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python\Round - 3\Streamlit\Stock Dashboard\"/>
    </mc:Choice>
  </mc:AlternateContent>
  <xr:revisionPtr revIDLastSave="0" documentId="13_ncr:1_{8EC371D7-B544-4784-82C5-1C048FE30782}" xr6:coauthVersionLast="43" xr6:coauthVersionMax="43" xr10:uidLastSave="{00000000-0000-0000-0000-000000000000}"/>
  <bookViews>
    <workbookView xWindow="-28920" yWindow="-120" windowWidth="29040" windowHeight="16440" xr2:uid="{00000000-000D-0000-FFFF-FFFF00000000}"/>
  </bookViews>
  <sheets>
    <sheet name="ticker" sheetId="1" r:id="rId1"/>
    <sheet name="AAPL" sheetId="2" r:id="rId2"/>
    <sheet name="AMZN" sheetId="3" r:id="rId3"/>
    <sheet name="SNOW" sheetId="4" r:id="rId4"/>
    <sheet name="TSLA" sheetId="5" r:id="rId5"/>
    <sheet name="META" sheetId="6" r:id="rId6"/>
    <sheet name="MSFT" sheetId="7" r:id="rId7"/>
    <sheet name="GOOG" sheetId="8" r:id="rId8"/>
  </sheets>
  <definedNames>
    <definedName name="_xlnm._FilterDatabase" localSheetId="1" hidden="1">AAPL!$F$1:$F$327</definedName>
    <definedName name="_xlnm._FilterDatabase" localSheetId="2" hidden="1">AMZN!$F$1:$F$327</definedName>
    <definedName name="_xlnm._FilterDatabase" localSheetId="3" hidden="1">SNOW!$F$1:$F$327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7" i="8" l="1"/>
  <c r="E327" i="8"/>
  <c r="D327" i="8"/>
  <c r="C327" i="8"/>
  <c r="B327" i="8"/>
  <c r="A327" i="8"/>
  <c r="F326" i="8"/>
  <c r="E326" i="8"/>
  <c r="D326" i="8"/>
  <c r="C326" i="8"/>
  <c r="B326" i="8"/>
  <c r="A326" i="8"/>
  <c r="F325" i="8"/>
  <c r="E325" i="8"/>
  <c r="D325" i="8"/>
  <c r="C325" i="8"/>
  <c r="B325" i="8"/>
  <c r="A325" i="8"/>
  <c r="F324" i="8"/>
  <c r="E324" i="8"/>
  <c r="D324" i="8"/>
  <c r="C324" i="8"/>
  <c r="B324" i="8"/>
  <c r="A324" i="8"/>
  <c r="F323" i="8"/>
  <c r="E323" i="8"/>
  <c r="D323" i="8"/>
  <c r="C323" i="8"/>
  <c r="B323" i="8"/>
  <c r="A323" i="8"/>
  <c r="F322" i="8"/>
  <c r="E322" i="8"/>
  <c r="D322" i="8"/>
  <c r="C322" i="8"/>
  <c r="B322" i="8"/>
  <c r="A322" i="8"/>
  <c r="F321" i="8"/>
  <c r="E321" i="8"/>
  <c r="D321" i="8"/>
  <c r="C321" i="8"/>
  <c r="B321" i="8"/>
  <c r="A321" i="8"/>
  <c r="F320" i="8"/>
  <c r="E320" i="8"/>
  <c r="D320" i="8"/>
  <c r="C320" i="8"/>
  <c r="B320" i="8"/>
  <c r="A320" i="8"/>
  <c r="F319" i="8"/>
  <c r="E319" i="8"/>
  <c r="D319" i="8"/>
  <c r="C319" i="8"/>
  <c r="B319" i="8"/>
  <c r="A319" i="8"/>
  <c r="F318" i="8"/>
  <c r="E318" i="8"/>
  <c r="D318" i="8"/>
  <c r="C318" i="8"/>
  <c r="B318" i="8"/>
  <c r="A318" i="8"/>
  <c r="F317" i="8"/>
  <c r="E317" i="8"/>
  <c r="D317" i="8"/>
  <c r="C317" i="8"/>
  <c r="B317" i="8"/>
  <c r="A317" i="8"/>
  <c r="F316" i="8"/>
  <c r="E316" i="8"/>
  <c r="D316" i="8"/>
  <c r="C316" i="8"/>
  <c r="B316" i="8"/>
  <c r="A316" i="8"/>
  <c r="F315" i="8"/>
  <c r="E315" i="8"/>
  <c r="D315" i="8"/>
  <c r="C315" i="8"/>
  <c r="B315" i="8"/>
  <c r="A315" i="8"/>
  <c r="F314" i="8"/>
  <c r="E314" i="8"/>
  <c r="D314" i="8"/>
  <c r="C314" i="8"/>
  <c r="B314" i="8"/>
  <c r="A314" i="8"/>
  <c r="F313" i="8"/>
  <c r="E313" i="8"/>
  <c r="D313" i="8"/>
  <c r="C313" i="8"/>
  <c r="B313" i="8"/>
  <c r="A313" i="8"/>
  <c r="F312" i="8"/>
  <c r="E312" i="8"/>
  <c r="D312" i="8"/>
  <c r="C312" i="8"/>
  <c r="B312" i="8"/>
  <c r="A312" i="8"/>
  <c r="F311" i="8"/>
  <c r="E311" i="8"/>
  <c r="D311" i="8"/>
  <c r="C311" i="8"/>
  <c r="B311" i="8"/>
  <c r="A311" i="8"/>
  <c r="F310" i="8"/>
  <c r="E310" i="8"/>
  <c r="D310" i="8"/>
  <c r="C310" i="8"/>
  <c r="B310" i="8"/>
  <c r="A310" i="8"/>
  <c r="F309" i="8"/>
  <c r="E309" i="8"/>
  <c r="D309" i="8"/>
  <c r="C309" i="8"/>
  <c r="B309" i="8"/>
  <c r="A309" i="8"/>
  <c r="F308" i="8"/>
  <c r="E308" i="8"/>
  <c r="D308" i="8"/>
  <c r="C308" i="8"/>
  <c r="B308" i="8"/>
  <c r="A308" i="8"/>
  <c r="F307" i="8"/>
  <c r="E307" i="8"/>
  <c r="D307" i="8"/>
  <c r="C307" i="8"/>
  <c r="B307" i="8"/>
  <c r="A307" i="8"/>
  <c r="F306" i="8"/>
  <c r="E306" i="8"/>
  <c r="D306" i="8"/>
  <c r="C306" i="8"/>
  <c r="B306" i="8"/>
  <c r="A306" i="8"/>
  <c r="F305" i="8"/>
  <c r="E305" i="8"/>
  <c r="D305" i="8"/>
  <c r="C305" i="8"/>
  <c r="B305" i="8"/>
  <c r="A305" i="8"/>
  <c r="F304" i="8"/>
  <c r="E304" i="8"/>
  <c r="D304" i="8"/>
  <c r="C304" i="8"/>
  <c r="B304" i="8"/>
  <c r="A304" i="8"/>
  <c r="F303" i="8"/>
  <c r="E303" i="8"/>
  <c r="D303" i="8"/>
  <c r="C303" i="8"/>
  <c r="B303" i="8"/>
  <c r="A303" i="8"/>
  <c r="F302" i="8"/>
  <c r="E302" i="8"/>
  <c r="D302" i="8"/>
  <c r="C302" i="8"/>
  <c r="B302" i="8"/>
  <c r="A302" i="8"/>
  <c r="F301" i="8"/>
  <c r="E301" i="8"/>
  <c r="D301" i="8"/>
  <c r="C301" i="8"/>
  <c r="B301" i="8"/>
  <c r="A301" i="8"/>
  <c r="F300" i="8"/>
  <c r="E300" i="8"/>
  <c r="D300" i="8"/>
  <c r="C300" i="8"/>
  <c r="B300" i="8"/>
  <c r="A300" i="8"/>
  <c r="F299" i="8"/>
  <c r="E299" i="8"/>
  <c r="D299" i="8"/>
  <c r="C299" i="8"/>
  <c r="B299" i="8"/>
  <c r="A299" i="8"/>
  <c r="F298" i="8"/>
  <c r="E298" i="8"/>
  <c r="D298" i="8"/>
  <c r="C298" i="8"/>
  <c r="B298" i="8"/>
  <c r="A298" i="8"/>
  <c r="F297" i="8"/>
  <c r="E297" i="8"/>
  <c r="D297" i="8"/>
  <c r="C297" i="8"/>
  <c r="B297" i="8"/>
  <c r="A297" i="8"/>
  <c r="F296" i="8"/>
  <c r="E296" i="8"/>
  <c r="D296" i="8"/>
  <c r="C296" i="8"/>
  <c r="B296" i="8"/>
  <c r="A296" i="8"/>
  <c r="F295" i="8"/>
  <c r="E295" i="8"/>
  <c r="D295" i="8"/>
  <c r="C295" i="8"/>
  <c r="B295" i="8"/>
  <c r="A295" i="8"/>
  <c r="F294" i="8"/>
  <c r="E294" i="8"/>
  <c r="D294" i="8"/>
  <c r="C294" i="8"/>
  <c r="B294" i="8"/>
  <c r="A294" i="8"/>
  <c r="F293" i="8"/>
  <c r="E293" i="8"/>
  <c r="D293" i="8"/>
  <c r="C293" i="8"/>
  <c r="B293" i="8"/>
  <c r="A293" i="8"/>
  <c r="F292" i="8"/>
  <c r="E292" i="8"/>
  <c r="D292" i="8"/>
  <c r="C292" i="8"/>
  <c r="B292" i="8"/>
  <c r="A292" i="8"/>
  <c r="F291" i="8"/>
  <c r="E291" i="8"/>
  <c r="D291" i="8"/>
  <c r="C291" i="8"/>
  <c r="B291" i="8"/>
  <c r="A291" i="8"/>
  <c r="F290" i="8"/>
  <c r="E290" i="8"/>
  <c r="D290" i="8"/>
  <c r="C290" i="8"/>
  <c r="B290" i="8"/>
  <c r="A290" i="8"/>
  <c r="F289" i="8"/>
  <c r="E289" i="8"/>
  <c r="D289" i="8"/>
  <c r="C289" i="8"/>
  <c r="B289" i="8"/>
  <c r="A289" i="8"/>
  <c r="F288" i="8"/>
  <c r="E288" i="8"/>
  <c r="D288" i="8"/>
  <c r="C288" i="8"/>
  <c r="B288" i="8"/>
  <c r="A288" i="8"/>
  <c r="F287" i="8"/>
  <c r="E287" i="8"/>
  <c r="D287" i="8"/>
  <c r="C287" i="8"/>
  <c r="B287" i="8"/>
  <c r="A287" i="8"/>
  <c r="F286" i="8"/>
  <c r="E286" i="8"/>
  <c r="D286" i="8"/>
  <c r="C286" i="8"/>
  <c r="B286" i="8"/>
  <c r="A286" i="8"/>
  <c r="F285" i="8"/>
  <c r="E285" i="8"/>
  <c r="D285" i="8"/>
  <c r="C285" i="8"/>
  <c r="B285" i="8"/>
  <c r="A285" i="8"/>
  <c r="F284" i="8"/>
  <c r="E284" i="8"/>
  <c r="D284" i="8"/>
  <c r="C284" i="8"/>
  <c r="B284" i="8"/>
  <c r="A284" i="8"/>
  <c r="F283" i="8"/>
  <c r="E283" i="8"/>
  <c r="D283" i="8"/>
  <c r="C283" i="8"/>
  <c r="B283" i="8"/>
  <c r="A283" i="8"/>
  <c r="F282" i="8"/>
  <c r="E282" i="8"/>
  <c r="D282" i="8"/>
  <c r="C282" i="8"/>
  <c r="B282" i="8"/>
  <c r="A282" i="8"/>
  <c r="F281" i="8"/>
  <c r="E281" i="8"/>
  <c r="D281" i="8"/>
  <c r="C281" i="8"/>
  <c r="B281" i="8"/>
  <c r="A281" i="8"/>
  <c r="F280" i="8"/>
  <c r="E280" i="8"/>
  <c r="D280" i="8"/>
  <c r="C280" i="8"/>
  <c r="B280" i="8"/>
  <c r="A280" i="8"/>
  <c r="F279" i="8"/>
  <c r="E279" i="8"/>
  <c r="D279" i="8"/>
  <c r="C279" i="8"/>
  <c r="B279" i="8"/>
  <c r="A279" i="8"/>
  <c r="F278" i="8"/>
  <c r="E278" i="8"/>
  <c r="D278" i="8"/>
  <c r="C278" i="8"/>
  <c r="B278" i="8"/>
  <c r="A278" i="8"/>
  <c r="F277" i="8"/>
  <c r="E277" i="8"/>
  <c r="D277" i="8"/>
  <c r="C277" i="8"/>
  <c r="B277" i="8"/>
  <c r="A277" i="8"/>
  <c r="F276" i="8"/>
  <c r="E276" i="8"/>
  <c r="D276" i="8"/>
  <c r="C276" i="8"/>
  <c r="B276" i="8"/>
  <c r="A276" i="8"/>
  <c r="F275" i="8"/>
  <c r="E275" i="8"/>
  <c r="D275" i="8"/>
  <c r="C275" i="8"/>
  <c r="B275" i="8"/>
  <c r="A275" i="8"/>
  <c r="F274" i="8"/>
  <c r="E274" i="8"/>
  <c r="D274" i="8"/>
  <c r="C274" i="8"/>
  <c r="B274" i="8"/>
  <c r="A274" i="8"/>
  <c r="F273" i="8"/>
  <c r="E273" i="8"/>
  <c r="D273" i="8"/>
  <c r="C273" i="8"/>
  <c r="B273" i="8"/>
  <c r="A273" i="8"/>
  <c r="F272" i="8"/>
  <c r="E272" i="8"/>
  <c r="D272" i="8"/>
  <c r="C272" i="8"/>
  <c r="B272" i="8"/>
  <c r="A272" i="8"/>
  <c r="F271" i="8"/>
  <c r="E271" i="8"/>
  <c r="D271" i="8"/>
  <c r="C271" i="8"/>
  <c r="B271" i="8"/>
  <c r="A271" i="8"/>
  <c r="F270" i="8"/>
  <c r="E270" i="8"/>
  <c r="D270" i="8"/>
  <c r="C270" i="8"/>
  <c r="B270" i="8"/>
  <c r="A270" i="8"/>
  <c r="F269" i="8"/>
  <c r="E269" i="8"/>
  <c r="D269" i="8"/>
  <c r="C269" i="8"/>
  <c r="B269" i="8"/>
  <c r="A269" i="8"/>
  <c r="F268" i="8"/>
  <c r="E268" i="8"/>
  <c r="D268" i="8"/>
  <c r="C268" i="8"/>
  <c r="B268" i="8"/>
  <c r="A268" i="8"/>
  <c r="F267" i="8"/>
  <c r="E267" i="8"/>
  <c r="D267" i="8"/>
  <c r="C267" i="8"/>
  <c r="B267" i="8"/>
  <c r="A267" i="8"/>
  <c r="F266" i="8"/>
  <c r="E266" i="8"/>
  <c r="D266" i="8"/>
  <c r="C266" i="8"/>
  <c r="B266" i="8"/>
  <c r="A266" i="8"/>
  <c r="F265" i="8"/>
  <c r="E265" i="8"/>
  <c r="D265" i="8"/>
  <c r="C265" i="8"/>
  <c r="B265" i="8"/>
  <c r="A265" i="8"/>
  <c r="F264" i="8"/>
  <c r="E264" i="8"/>
  <c r="D264" i="8"/>
  <c r="C264" i="8"/>
  <c r="B264" i="8"/>
  <c r="A264" i="8"/>
  <c r="F263" i="8"/>
  <c r="E263" i="8"/>
  <c r="D263" i="8"/>
  <c r="C263" i="8"/>
  <c r="B263" i="8"/>
  <c r="A263" i="8"/>
  <c r="F262" i="8"/>
  <c r="E262" i="8"/>
  <c r="D262" i="8"/>
  <c r="C262" i="8"/>
  <c r="B262" i="8"/>
  <c r="A262" i="8"/>
  <c r="F261" i="8"/>
  <c r="E261" i="8"/>
  <c r="D261" i="8"/>
  <c r="C261" i="8"/>
  <c r="B261" i="8"/>
  <c r="A261" i="8"/>
  <c r="F260" i="8"/>
  <c r="E260" i="8"/>
  <c r="D260" i="8"/>
  <c r="C260" i="8"/>
  <c r="B260" i="8"/>
  <c r="A260" i="8"/>
  <c r="F259" i="8"/>
  <c r="E259" i="8"/>
  <c r="D259" i="8"/>
  <c r="C259" i="8"/>
  <c r="B259" i="8"/>
  <c r="A259" i="8"/>
  <c r="F258" i="8"/>
  <c r="E258" i="8"/>
  <c r="D258" i="8"/>
  <c r="C258" i="8"/>
  <c r="B258" i="8"/>
  <c r="A258" i="8"/>
  <c r="F257" i="8"/>
  <c r="E257" i="8"/>
  <c r="D257" i="8"/>
  <c r="C257" i="8"/>
  <c r="B257" i="8"/>
  <c r="A257" i="8"/>
  <c r="F256" i="8"/>
  <c r="E256" i="8"/>
  <c r="D256" i="8"/>
  <c r="C256" i="8"/>
  <c r="B256" i="8"/>
  <c r="A256" i="8"/>
  <c r="F255" i="8"/>
  <c r="E255" i="8"/>
  <c r="D255" i="8"/>
  <c r="C255" i="8"/>
  <c r="B255" i="8"/>
  <c r="A255" i="8"/>
  <c r="F254" i="8"/>
  <c r="E254" i="8"/>
  <c r="D254" i="8"/>
  <c r="C254" i="8"/>
  <c r="B254" i="8"/>
  <c r="A254" i="8"/>
  <c r="F253" i="8"/>
  <c r="E253" i="8"/>
  <c r="D253" i="8"/>
  <c r="C253" i="8"/>
  <c r="B253" i="8"/>
  <c r="A253" i="8"/>
  <c r="F252" i="8"/>
  <c r="E252" i="8"/>
  <c r="D252" i="8"/>
  <c r="C252" i="8"/>
  <c r="B252" i="8"/>
  <c r="A252" i="8"/>
  <c r="F251" i="8"/>
  <c r="E251" i="8"/>
  <c r="D251" i="8"/>
  <c r="C251" i="8"/>
  <c r="B251" i="8"/>
  <c r="A251" i="8"/>
  <c r="F250" i="8"/>
  <c r="E250" i="8"/>
  <c r="D250" i="8"/>
  <c r="C250" i="8"/>
  <c r="B250" i="8"/>
  <c r="A250" i="8"/>
  <c r="F249" i="8"/>
  <c r="E249" i="8"/>
  <c r="D249" i="8"/>
  <c r="C249" i="8"/>
  <c r="B249" i="8"/>
  <c r="A249" i="8"/>
  <c r="F248" i="8"/>
  <c r="E248" i="8"/>
  <c r="D248" i="8"/>
  <c r="C248" i="8"/>
  <c r="B248" i="8"/>
  <c r="A248" i="8"/>
  <c r="F247" i="8"/>
  <c r="E247" i="8"/>
  <c r="D247" i="8"/>
  <c r="C247" i="8"/>
  <c r="B247" i="8"/>
  <c r="A247" i="8"/>
  <c r="F246" i="8"/>
  <c r="E246" i="8"/>
  <c r="D246" i="8"/>
  <c r="C246" i="8"/>
  <c r="B246" i="8"/>
  <c r="A246" i="8"/>
  <c r="F245" i="8"/>
  <c r="E245" i="8"/>
  <c r="D245" i="8"/>
  <c r="C245" i="8"/>
  <c r="B245" i="8"/>
  <c r="A245" i="8"/>
  <c r="F244" i="8"/>
  <c r="E244" i="8"/>
  <c r="D244" i="8"/>
  <c r="C244" i="8"/>
  <c r="B244" i="8"/>
  <c r="A244" i="8"/>
  <c r="F243" i="8"/>
  <c r="E243" i="8"/>
  <c r="D243" i="8"/>
  <c r="C243" i="8"/>
  <c r="B243" i="8"/>
  <c r="A243" i="8"/>
  <c r="F242" i="8"/>
  <c r="E242" i="8"/>
  <c r="D242" i="8"/>
  <c r="C242" i="8"/>
  <c r="B242" i="8"/>
  <c r="A242" i="8"/>
  <c r="F241" i="8"/>
  <c r="E241" i="8"/>
  <c r="D241" i="8"/>
  <c r="C241" i="8"/>
  <c r="B241" i="8"/>
  <c r="A241" i="8"/>
  <c r="F240" i="8"/>
  <c r="E240" i="8"/>
  <c r="D240" i="8"/>
  <c r="C240" i="8"/>
  <c r="B240" i="8"/>
  <c r="A240" i="8"/>
  <c r="F239" i="8"/>
  <c r="E239" i="8"/>
  <c r="D239" i="8"/>
  <c r="C239" i="8"/>
  <c r="B239" i="8"/>
  <c r="A239" i="8"/>
  <c r="F238" i="8"/>
  <c r="E238" i="8"/>
  <c r="D238" i="8"/>
  <c r="C238" i="8"/>
  <c r="B238" i="8"/>
  <c r="A238" i="8"/>
  <c r="F237" i="8"/>
  <c r="E237" i="8"/>
  <c r="D237" i="8"/>
  <c r="C237" i="8"/>
  <c r="B237" i="8"/>
  <c r="A237" i="8"/>
  <c r="F236" i="8"/>
  <c r="E236" i="8"/>
  <c r="D236" i="8"/>
  <c r="C236" i="8"/>
  <c r="B236" i="8"/>
  <c r="A236" i="8"/>
  <c r="F235" i="8"/>
  <c r="E235" i="8"/>
  <c r="D235" i="8"/>
  <c r="C235" i="8"/>
  <c r="B235" i="8"/>
  <c r="A235" i="8"/>
  <c r="F234" i="8"/>
  <c r="E234" i="8"/>
  <c r="D234" i="8"/>
  <c r="C234" i="8"/>
  <c r="B234" i="8"/>
  <c r="A234" i="8"/>
  <c r="F233" i="8"/>
  <c r="E233" i="8"/>
  <c r="D233" i="8"/>
  <c r="C233" i="8"/>
  <c r="B233" i="8"/>
  <c r="A233" i="8"/>
  <c r="F232" i="8"/>
  <c r="E232" i="8"/>
  <c r="D232" i="8"/>
  <c r="C232" i="8"/>
  <c r="B232" i="8"/>
  <c r="A232" i="8"/>
  <c r="F231" i="8"/>
  <c r="E231" i="8"/>
  <c r="D231" i="8"/>
  <c r="C231" i="8"/>
  <c r="B231" i="8"/>
  <c r="A231" i="8"/>
  <c r="F230" i="8"/>
  <c r="E230" i="8"/>
  <c r="D230" i="8"/>
  <c r="C230" i="8"/>
  <c r="B230" i="8"/>
  <c r="A230" i="8"/>
  <c r="F229" i="8"/>
  <c r="E229" i="8"/>
  <c r="D229" i="8"/>
  <c r="C229" i="8"/>
  <c r="B229" i="8"/>
  <c r="A229" i="8"/>
  <c r="F228" i="8"/>
  <c r="E228" i="8"/>
  <c r="D228" i="8"/>
  <c r="C228" i="8"/>
  <c r="B228" i="8"/>
  <c r="A228" i="8"/>
  <c r="F227" i="8"/>
  <c r="E227" i="8"/>
  <c r="D227" i="8"/>
  <c r="C227" i="8"/>
  <c r="B227" i="8"/>
  <c r="A227" i="8"/>
  <c r="F226" i="8"/>
  <c r="E226" i="8"/>
  <c r="D226" i="8"/>
  <c r="C226" i="8"/>
  <c r="B226" i="8"/>
  <c r="A226" i="8"/>
  <c r="F225" i="8"/>
  <c r="E225" i="8"/>
  <c r="D225" i="8"/>
  <c r="C225" i="8"/>
  <c r="B225" i="8"/>
  <c r="A225" i="8"/>
  <c r="F224" i="8"/>
  <c r="E224" i="8"/>
  <c r="D224" i="8"/>
  <c r="C224" i="8"/>
  <c r="B224" i="8"/>
  <c r="A224" i="8"/>
  <c r="F223" i="8"/>
  <c r="E223" i="8"/>
  <c r="D223" i="8"/>
  <c r="C223" i="8"/>
  <c r="B223" i="8"/>
  <c r="A223" i="8"/>
  <c r="F222" i="8"/>
  <c r="E222" i="8"/>
  <c r="D222" i="8"/>
  <c r="C222" i="8"/>
  <c r="B222" i="8"/>
  <c r="A222" i="8"/>
  <c r="F221" i="8"/>
  <c r="E221" i="8"/>
  <c r="D221" i="8"/>
  <c r="C221" i="8"/>
  <c r="B221" i="8"/>
  <c r="A221" i="8"/>
  <c r="F220" i="8"/>
  <c r="E220" i="8"/>
  <c r="D220" i="8"/>
  <c r="C220" i="8"/>
  <c r="B220" i="8"/>
  <c r="A220" i="8"/>
  <c r="F219" i="8"/>
  <c r="E219" i="8"/>
  <c r="D219" i="8"/>
  <c r="C219" i="8"/>
  <c r="B219" i="8"/>
  <c r="A219" i="8"/>
  <c r="F218" i="8"/>
  <c r="E218" i="8"/>
  <c r="D218" i="8"/>
  <c r="C218" i="8"/>
  <c r="B218" i="8"/>
  <c r="A218" i="8"/>
  <c r="F217" i="8"/>
  <c r="E217" i="8"/>
  <c r="D217" i="8"/>
  <c r="C217" i="8"/>
  <c r="B217" i="8"/>
  <c r="A217" i="8"/>
  <c r="F216" i="8"/>
  <c r="E216" i="8"/>
  <c r="D216" i="8"/>
  <c r="C216" i="8"/>
  <c r="B216" i="8"/>
  <c r="A216" i="8"/>
  <c r="F215" i="8"/>
  <c r="E215" i="8"/>
  <c r="D215" i="8"/>
  <c r="C215" i="8"/>
  <c r="B215" i="8"/>
  <c r="A215" i="8"/>
  <c r="F214" i="8"/>
  <c r="E214" i="8"/>
  <c r="D214" i="8"/>
  <c r="C214" i="8"/>
  <c r="B214" i="8"/>
  <c r="A214" i="8"/>
  <c r="F213" i="8"/>
  <c r="E213" i="8"/>
  <c r="D213" i="8"/>
  <c r="C213" i="8"/>
  <c r="B213" i="8"/>
  <c r="A213" i="8"/>
  <c r="F212" i="8"/>
  <c r="E212" i="8"/>
  <c r="D212" i="8"/>
  <c r="C212" i="8"/>
  <c r="B212" i="8"/>
  <c r="A212" i="8"/>
  <c r="F211" i="8"/>
  <c r="E211" i="8"/>
  <c r="D211" i="8"/>
  <c r="C211" i="8"/>
  <c r="B211" i="8"/>
  <c r="A211" i="8"/>
  <c r="F210" i="8"/>
  <c r="E210" i="8"/>
  <c r="D210" i="8"/>
  <c r="C210" i="8"/>
  <c r="B210" i="8"/>
  <c r="A210" i="8"/>
  <c r="F209" i="8"/>
  <c r="E209" i="8"/>
  <c r="D209" i="8"/>
  <c r="C209" i="8"/>
  <c r="B209" i="8"/>
  <c r="A209" i="8"/>
  <c r="F208" i="8"/>
  <c r="E208" i="8"/>
  <c r="D208" i="8"/>
  <c r="C208" i="8"/>
  <c r="B208" i="8"/>
  <c r="A208" i="8"/>
  <c r="F207" i="8"/>
  <c r="E207" i="8"/>
  <c r="D207" i="8"/>
  <c r="C207" i="8"/>
  <c r="B207" i="8"/>
  <c r="A207" i="8"/>
  <c r="F206" i="8"/>
  <c r="E206" i="8"/>
  <c r="D206" i="8"/>
  <c r="C206" i="8"/>
  <c r="B206" i="8"/>
  <c r="A206" i="8"/>
  <c r="F205" i="8"/>
  <c r="E205" i="8"/>
  <c r="D205" i="8"/>
  <c r="C205" i="8"/>
  <c r="B205" i="8"/>
  <c r="A205" i="8"/>
  <c r="F204" i="8"/>
  <c r="E204" i="8"/>
  <c r="D204" i="8"/>
  <c r="C204" i="8"/>
  <c r="B204" i="8"/>
  <c r="A204" i="8"/>
  <c r="F203" i="8"/>
  <c r="E203" i="8"/>
  <c r="D203" i="8"/>
  <c r="C203" i="8"/>
  <c r="B203" i="8"/>
  <c r="A203" i="8"/>
  <c r="F202" i="8"/>
  <c r="E202" i="8"/>
  <c r="D202" i="8"/>
  <c r="C202" i="8"/>
  <c r="B202" i="8"/>
  <c r="A202" i="8"/>
  <c r="F201" i="8"/>
  <c r="E201" i="8"/>
  <c r="D201" i="8"/>
  <c r="C201" i="8"/>
  <c r="B201" i="8"/>
  <c r="A201" i="8"/>
  <c r="F200" i="8"/>
  <c r="E200" i="8"/>
  <c r="D200" i="8"/>
  <c r="C200" i="8"/>
  <c r="B200" i="8"/>
  <c r="A200" i="8"/>
  <c r="F199" i="8"/>
  <c r="E199" i="8"/>
  <c r="D199" i="8"/>
  <c r="C199" i="8"/>
  <c r="B199" i="8"/>
  <c r="A199" i="8"/>
  <c r="F198" i="8"/>
  <c r="E198" i="8"/>
  <c r="D198" i="8"/>
  <c r="C198" i="8"/>
  <c r="B198" i="8"/>
  <c r="A198" i="8"/>
  <c r="F197" i="8"/>
  <c r="E197" i="8"/>
  <c r="D197" i="8"/>
  <c r="C197" i="8"/>
  <c r="B197" i="8"/>
  <c r="A197" i="8"/>
  <c r="F196" i="8"/>
  <c r="E196" i="8"/>
  <c r="D196" i="8"/>
  <c r="C196" i="8"/>
  <c r="B196" i="8"/>
  <c r="A196" i="8"/>
  <c r="F195" i="8"/>
  <c r="E195" i="8"/>
  <c r="D195" i="8"/>
  <c r="C195" i="8"/>
  <c r="B195" i="8"/>
  <c r="A195" i="8"/>
  <c r="F194" i="8"/>
  <c r="E194" i="8"/>
  <c r="D194" i="8"/>
  <c r="C194" i="8"/>
  <c r="B194" i="8"/>
  <c r="A194" i="8"/>
  <c r="F193" i="8"/>
  <c r="E193" i="8"/>
  <c r="D193" i="8"/>
  <c r="C193" i="8"/>
  <c r="B193" i="8"/>
  <c r="A193" i="8"/>
  <c r="F192" i="8"/>
  <c r="E192" i="8"/>
  <c r="D192" i="8"/>
  <c r="C192" i="8"/>
  <c r="B192" i="8"/>
  <c r="A192" i="8"/>
  <c r="F191" i="8"/>
  <c r="E191" i="8"/>
  <c r="D191" i="8"/>
  <c r="C191" i="8"/>
  <c r="B191" i="8"/>
  <c r="A191" i="8"/>
  <c r="F190" i="8"/>
  <c r="E190" i="8"/>
  <c r="D190" i="8"/>
  <c r="C190" i="8"/>
  <c r="B190" i="8"/>
  <c r="A190" i="8"/>
  <c r="F189" i="8"/>
  <c r="E189" i="8"/>
  <c r="D189" i="8"/>
  <c r="C189" i="8"/>
  <c r="B189" i="8"/>
  <c r="A189" i="8"/>
  <c r="F188" i="8"/>
  <c r="E188" i="8"/>
  <c r="D188" i="8"/>
  <c r="C188" i="8"/>
  <c r="B188" i="8"/>
  <c r="A188" i="8"/>
  <c r="F187" i="8"/>
  <c r="E187" i="8"/>
  <c r="D187" i="8"/>
  <c r="C187" i="8"/>
  <c r="B187" i="8"/>
  <c r="A187" i="8"/>
  <c r="F186" i="8"/>
  <c r="E186" i="8"/>
  <c r="D186" i="8"/>
  <c r="C186" i="8"/>
  <c r="B186" i="8"/>
  <c r="A186" i="8"/>
  <c r="F185" i="8"/>
  <c r="E185" i="8"/>
  <c r="D185" i="8"/>
  <c r="C185" i="8"/>
  <c r="B185" i="8"/>
  <c r="A185" i="8"/>
  <c r="F184" i="8"/>
  <c r="E184" i="8"/>
  <c r="D184" i="8"/>
  <c r="C184" i="8"/>
  <c r="B184" i="8"/>
  <c r="A184" i="8"/>
  <c r="F183" i="8"/>
  <c r="E183" i="8"/>
  <c r="D183" i="8"/>
  <c r="C183" i="8"/>
  <c r="B183" i="8"/>
  <c r="A183" i="8"/>
  <c r="F182" i="8"/>
  <c r="E182" i="8"/>
  <c r="D182" i="8"/>
  <c r="C182" i="8"/>
  <c r="B182" i="8"/>
  <c r="A182" i="8"/>
  <c r="F181" i="8"/>
  <c r="E181" i="8"/>
  <c r="D181" i="8"/>
  <c r="C181" i="8"/>
  <c r="B181" i="8"/>
  <c r="A181" i="8"/>
  <c r="F180" i="8"/>
  <c r="E180" i="8"/>
  <c r="D180" i="8"/>
  <c r="C180" i="8"/>
  <c r="B180" i="8"/>
  <c r="A180" i="8"/>
  <c r="F179" i="8"/>
  <c r="E179" i="8"/>
  <c r="D179" i="8"/>
  <c r="C179" i="8"/>
  <c r="B179" i="8"/>
  <c r="A179" i="8"/>
  <c r="F178" i="8"/>
  <c r="E178" i="8"/>
  <c r="D178" i="8"/>
  <c r="C178" i="8"/>
  <c r="B178" i="8"/>
  <c r="A178" i="8"/>
  <c r="F177" i="8"/>
  <c r="E177" i="8"/>
  <c r="D177" i="8"/>
  <c r="C177" i="8"/>
  <c r="B177" i="8"/>
  <c r="A177" i="8"/>
  <c r="F176" i="8"/>
  <c r="E176" i="8"/>
  <c r="D176" i="8"/>
  <c r="C176" i="8"/>
  <c r="B176" i="8"/>
  <c r="A176" i="8"/>
  <c r="F175" i="8"/>
  <c r="E175" i="8"/>
  <c r="D175" i="8"/>
  <c r="C175" i="8"/>
  <c r="B175" i="8"/>
  <c r="A175" i="8"/>
  <c r="F174" i="8"/>
  <c r="E174" i="8"/>
  <c r="D174" i="8"/>
  <c r="C174" i="8"/>
  <c r="B174" i="8"/>
  <c r="A174" i="8"/>
  <c r="F173" i="8"/>
  <c r="E173" i="8"/>
  <c r="D173" i="8"/>
  <c r="C173" i="8"/>
  <c r="B173" i="8"/>
  <c r="A173" i="8"/>
  <c r="F172" i="8"/>
  <c r="E172" i="8"/>
  <c r="D172" i="8"/>
  <c r="C172" i="8"/>
  <c r="B172" i="8"/>
  <c r="A172" i="8"/>
  <c r="F171" i="8"/>
  <c r="E171" i="8"/>
  <c r="D171" i="8"/>
  <c r="C171" i="8"/>
  <c r="B171" i="8"/>
  <c r="A171" i="8"/>
  <c r="F170" i="8"/>
  <c r="E170" i="8"/>
  <c r="D170" i="8"/>
  <c r="C170" i="8"/>
  <c r="B170" i="8"/>
  <c r="A170" i="8"/>
  <c r="F169" i="8"/>
  <c r="E169" i="8"/>
  <c r="D169" i="8"/>
  <c r="C169" i="8"/>
  <c r="B169" i="8"/>
  <c r="A169" i="8"/>
  <c r="F168" i="8"/>
  <c r="E168" i="8"/>
  <c r="D168" i="8"/>
  <c r="C168" i="8"/>
  <c r="B168" i="8"/>
  <c r="A168" i="8"/>
  <c r="F167" i="8"/>
  <c r="E167" i="8"/>
  <c r="D167" i="8"/>
  <c r="C167" i="8"/>
  <c r="B167" i="8"/>
  <c r="A167" i="8"/>
  <c r="F166" i="8"/>
  <c r="E166" i="8"/>
  <c r="D166" i="8"/>
  <c r="C166" i="8"/>
  <c r="B166" i="8"/>
  <c r="A166" i="8"/>
  <c r="F165" i="8"/>
  <c r="E165" i="8"/>
  <c r="D165" i="8"/>
  <c r="C165" i="8"/>
  <c r="B165" i="8"/>
  <c r="A165" i="8"/>
  <c r="F164" i="8"/>
  <c r="E164" i="8"/>
  <c r="D164" i="8"/>
  <c r="C164" i="8"/>
  <c r="B164" i="8"/>
  <c r="A164" i="8"/>
  <c r="F163" i="8"/>
  <c r="E163" i="8"/>
  <c r="D163" i="8"/>
  <c r="C163" i="8"/>
  <c r="B163" i="8"/>
  <c r="A163" i="8"/>
  <c r="F162" i="8"/>
  <c r="E162" i="8"/>
  <c r="D162" i="8"/>
  <c r="C162" i="8"/>
  <c r="B162" i="8"/>
  <c r="A162" i="8"/>
  <c r="F161" i="8"/>
  <c r="E161" i="8"/>
  <c r="D161" i="8"/>
  <c r="C161" i="8"/>
  <c r="B161" i="8"/>
  <c r="A161" i="8"/>
  <c r="F160" i="8"/>
  <c r="E160" i="8"/>
  <c r="D160" i="8"/>
  <c r="C160" i="8"/>
  <c r="B160" i="8"/>
  <c r="A160" i="8"/>
  <c r="F159" i="8"/>
  <c r="E159" i="8"/>
  <c r="D159" i="8"/>
  <c r="C159" i="8"/>
  <c r="B159" i="8"/>
  <c r="A159" i="8"/>
  <c r="F158" i="8"/>
  <c r="E158" i="8"/>
  <c r="D158" i="8"/>
  <c r="C158" i="8"/>
  <c r="B158" i="8"/>
  <c r="A158" i="8"/>
  <c r="F157" i="8"/>
  <c r="E157" i="8"/>
  <c r="D157" i="8"/>
  <c r="C157" i="8"/>
  <c r="B157" i="8"/>
  <c r="A157" i="8"/>
  <c r="F156" i="8"/>
  <c r="E156" i="8"/>
  <c r="D156" i="8"/>
  <c r="C156" i="8"/>
  <c r="B156" i="8"/>
  <c r="A156" i="8"/>
  <c r="F155" i="8"/>
  <c r="E155" i="8"/>
  <c r="D155" i="8"/>
  <c r="C155" i="8"/>
  <c r="B155" i="8"/>
  <c r="A155" i="8"/>
  <c r="F154" i="8"/>
  <c r="E154" i="8"/>
  <c r="D154" i="8"/>
  <c r="C154" i="8"/>
  <c r="B154" i="8"/>
  <c r="A154" i="8"/>
  <c r="F153" i="8"/>
  <c r="E153" i="8"/>
  <c r="D153" i="8"/>
  <c r="C153" i="8"/>
  <c r="B153" i="8"/>
  <c r="A153" i="8"/>
  <c r="F152" i="8"/>
  <c r="E152" i="8"/>
  <c r="D152" i="8"/>
  <c r="C152" i="8"/>
  <c r="B152" i="8"/>
  <c r="A152" i="8"/>
  <c r="F151" i="8"/>
  <c r="E151" i="8"/>
  <c r="D151" i="8"/>
  <c r="C151" i="8"/>
  <c r="B151" i="8"/>
  <c r="A151" i="8"/>
  <c r="F150" i="8"/>
  <c r="E150" i="8"/>
  <c r="D150" i="8"/>
  <c r="C150" i="8"/>
  <c r="B150" i="8"/>
  <c r="A150" i="8"/>
  <c r="F149" i="8"/>
  <c r="E149" i="8"/>
  <c r="D149" i="8"/>
  <c r="C149" i="8"/>
  <c r="B149" i="8"/>
  <c r="A149" i="8"/>
  <c r="F148" i="8"/>
  <c r="E148" i="8"/>
  <c r="D148" i="8"/>
  <c r="C148" i="8"/>
  <c r="B148" i="8"/>
  <c r="A148" i="8"/>
  <c r="F147" i="8"/>
  <c r="E147" i="8"/>
  <c r="D147" i="8"/>
  <c r="C147" i="8"/>
  <c r="B147" i="8"/>
  <c r="A147" i="8"/>
  <c r="F146" i="8"/>
  <c r="E146" i="8"/>
  <c r="D146" i="8"/>
  <c r="C146" i="8"/>
  <c r="B146" i="8"/>
  <c r="A146" i="8"/>
  <c r="F145" i="8"/>
  <c r="E145" i="8"/>
  <c r="D145" i="8"/>
  <c r="C145" i="8"/>
  <c r="B145" i="8"/>
  <c r="A145" i="8"/>
  <c r="F144" i="8"/>
  <c r="E144" i="8"/>
  <c r="D144" i="8"/>
  <c r="C144" i="8"/>
  <c r="B144" i="8"/>
  <c r="A144" i="8"/>
  <c r="F143" i="8"/>
  <c r="E143" i="8"/>
  <c r="D143" i="8"/>
  <c r="C143" i="8"/>
  <c r="B143" i="8"/>
  <c r="A143" i="8"/>
  <c r="F142" i="8"/>
  <c r="E142" i="8"/>
  <c r="D142" i="8"/>
  <c r="C142" i="8"/>
  <c r="B142" i="8"/>
  <c r="A142" i="8"/>
  <c r="F141" i="8"/>
  <c r="E141" i="8"/>
  <c r="D141" i="8"/>
  <c r="C141" i="8"/>
  <c r="B141" i="8"/>
  <c r="A141" i="8"/>
  <c r="F140" i="8"/>
  <c r="E140" i="8"/>
  <c r="D140" i="8"/>
  <c r="C140" i="8"/>
  <c r="B140" i="8"/>
  <c r="A140" i="8"/>
  <c r="F139" i="8"/>
  <c r="E139" i="8"/>
  <c r="D139" i="8"/>
  <c r="C139" i="8"/>
  <c r="B139" i="8"/>
  <c r="A139" i="8"/>
  <c r="F138" i="8"/>
  <c r="E138" i="8"/>
  <c r="D138" i="8"/>
  <c r="C138" i="8"/>
  <c r="B138" i="8"/>
  <c r="A138" i="8"/>
  <c r="F137" i="8"/>
  <c r="E137" i="8"/>
  <c r="D137" i="8"/>
  <c r="C137" i="8"/>
  <c r="B137" i="8"/>
  <c r="A137" i="8"/>
  <c r="F136" i="8"/>
  <c r="E136" i="8"/>
  <c r="D136" i="8"/>
  <c r="C136" i="8"/>
  <c r="B136" i="8"/>
  <c r="A136" i="8"/>
  <c r="F135" i="8"/>
  <c r="E135" i="8"/>
  <c r="D135" i="8"/>
  <c r="C135" i="8"/>
  <c r="B135" i="8"/>
  <c r="A135" i="8"/>
  <c r="F134" i="8"/>
  <c r="E134" i="8"/>
  <c r="D134" i="8"/>
  <c r="C134" i="8"/>
  <c r="B134" i="8"/>
  <c r="A134" i="8"/>
  <c r="F133" i="8"/>
  <c r="E133" i="8"/>
  <c r="D133" i="8"/>
  <c r="C133" i="8"/>
  <c r="B133" i="8"/>
  <c r="A133" i="8"/>
  <c r="F132" i="8"/>
  <c r="E132" i="8"/>
  <c r="D132" i="8"/>
  <c r="C132" i="8"/>
  <c r="B132" i="8"/>
  <c r="A132" i="8"/>
  <c r="F131" i="8"/>
  <c r="E131" i="8"/>
  <c r="D131" i="8"/>
  <c r="C131" i="8"/>
  <c r="B131" i="8"/>
  <c r="A131" i="8"/>
  <c r="F130" i="8"/>
  <c r="E130" i="8"/>
  <c r="D130" i="8"/>
  <c r="C130" i="8"/>
  <c r="B130" i="8"/>
  <c r="A130" i="8"/>
  <c r="F129" i="8"/>
  <c r="E129" i="8"/>
  <c r="D129" i="8"/>
  <c r="C129" i="8"/>
  <c r="B129" i="8"/>
  <c r="A129" i="8"/>
  <c r="F128" i="8"/>
  <c r="E128" i="8"/>
  <c r="D128" i="8"/>
  <c r="C128" i="8"/>
  <c r="B128" i="8"/>
  <c r="A128" i="8"/>
  <c r="F127" i="8"/>
  <c r="E127" i="8"/>
  <c r="D127" i="8"/>
  <c r="C127" i="8"/>
  <c r="B127" i="8"/>
  <c r="A127" i="8"/>
  <c r="F126" i="8"/>
  <c r="E126" i="8"/>
  <c r="D126" i="8"/>
  <c r="C126" i="8"/>
  <c r="B126" i="8"/>
  <c r="A126" i="8"/>
  <c r="F125" i="8"/>
  <c r="E125" i="8"/>
  <c r="D125" i="8"/>
  <c r="C125" i="8"/>
  <c r="B125" i="8"/>
  <c r="A125" i="8"/>
  <c r="F124" i="8"/>
  <c r="E124" i="8"/>
  <c r="D124" i="8"/>
  <c r="C124" i="8"/>
  <c r="B124" i="8"/>
  <c r="A124" i="8"/>
  <c r="F123" i="8"/>
  <c r="E123" i="8"/>
  <c r="D123" i="8"/>
  <c r="C123" i="8"/>
  <c r="B123" i="8"/>
  <c r="A123" i="8"/>
  <c r="F122" i="8"/>
  <c r="E122" i="8"/>
  <c r="D122" i="8"/>
  <c r="C122" i="8"/>
  <c r="B122" i="8"/>
  <c r="A122" i="8"/>
  <c r="F121" i="8"/>
  <c r="E121" i="8"/>
  <c r="D121" i="8"/>
  <c r="C121" i="8"/>
  <c r="B121" i="8"/>
  <c r="A121" i="8"/>
  <c r="F120" i="8"/>
  <c r="E120" i="8"/>
  <c r="D120" i="8"/>
  <c r="C120" i="8"/>
  <c r="B120" i="8"/>
  <c r="A120" i="8"/>
  <c r="F119" i="8"/>
  <c r="E119" i="8"/>
  <c r="D119" i="8"/>
  <c r="C119" i="8"/>
  <c r="B119" i="8"/>
  <c r="A119" i="8"/>
  <c r="F118" i="8"/>
  <c r="E118" i="8"/>
  <c r="D118" i="8"/>
  <c r="C118" i="8"/>
  <c r="B118" i="8"/>
  <c r="A118" i="8"/>
  <c r="F117" i="8"/>
  <c r="E117" i="8"/>
  <c r="D117" i="8"/>
  <c r="C117" i="8"/>
  <c r="B117" i="8"/>
  <c r="A117" i="8"/>
  <c r="F116" i="8"/>
  <c r="E116" i="8"/>
  <c r="D116" i="8"/>
  <c r="C116" i="8"/>
  <c r="B116" i="8"/>
  <c r="A116" i="8"/>
  <c r="F115" i="8"/>
  <c r="E115" i="8"/>
  <c r="D115" i="8"/>
  <c r="C115" i="8"/>
  <c r="B115" i="8"/>
  <c r="A115" i="8"/>
  <c r="F114" i="8"/>
  <c r="E114" i="8"/>
  <c r="D114" i="8"/>
  <c r="C114" i="8"/>
  <c r="B114" i="8"/>
  <c r="A114" i="8"/>
  <c r="F113" i="8"/>
  <c r="E113" i="8"/>
  <c r="D113" i="8"/>
  <c r="C113" i="8"/>
  <c r="B113" i="8"/>
  <c r="A113" i="8"/>
  <c r="F112" i="8"/>
  <c r="E112" i="8"/>
  <c r="D112" i="8"/>
  <c r="C112" i="8"/>
  <c r="B112" i="8"/>
  <c r="A112" i="8"/>
  <c r="F111" i="8"/>
  <c r="E111" i="8"/>
  <c r="D111" i="8"/>
  <c r="C111" i="8"/>
  <c r="B111" i="8"/>
  <c r="A111" i="8"/>
  <c r="F110" i="8"/>
  <c r="E110" i="8"/>
  <c r="D110" i="8"/>
  <c r="C110" i="8"/>
  <c r="B110" i="8"/>
  <c r="A110" i="8"/>
  <c r="F109" i="8"/>
  <c r="E109" i="8"/>
  <c r="D109" i="8"/>
  <c r="C109" i="8"/>
  <c r="B109" i="8"/>
  <c r="A109" i="8"/>
  <c r="F108" i="8"/>
  <c r="E108" i="8"/>
  <c r="D108" i="8"/>
  <c r="C108" i="8"/>
  <c r="B108" i="8"/>
  <c r="A108" i="8"/>
  <c r="F107" i="8"/>
  <c r="E107" i="8"/>
  <c r="D107" i="8"/>
  <c r="C107" i="8"/>
  <c r="B107" i="8"/>
  <c r="A107" i="8"/>
  <c r="F106" i="8"/>
  <c r="E106" i="8"/>
  <c r="D106" i="8"/>
  <c r="C106" i="8"/>
  <c r="B106" i="8"/>
  <c r="A106" i="8"/>
  <c r="F105" i="8"/>
  <c r="E105" i="8"/>
  <c r="D105" i="8"/>
  <c r="C105" i="8"/>
  <c r="B105" i="8"/>
  <c r="A105" i="8"/>
  <c r="F104" i="8"/>
  <c r="E104" i="8"/>
  <c r="D104" i="8"/>
  <c r="C104" i="8"/>
  <c r="B104" i="8"/>
  <c r="A104" i="8"/>
  <c r="F103" i="8"/>
  <c r="E103" i="8"/>
  <c r="D103" i="8"/>
  <c r="C103" i="8"/>
  <c r="B103" i="8"/>
  <c r="A103" i="8"/>
  <c r="F102" i="8"/>
  <c r="E102" i="8"/>
  <c r="D102" i="8"/>
  <c r="C102" i="8"/>
  <c r="B102" i="8"/>
  <c r="A102" i="8"/>
  <c r="F101" i="8"/>
  <c r="E101" i="8"/>
  <c r="D101" i="8"/>
  <c r="C101" i="8"/>
  <c r="B101" i="8"/>
  <c r="A101" i="8"/>
  <c r="F100" i="8"/>
  <c r="E100" i="8"/>
  <c r="D100" i="8"/>
  <c r="C100" i="8"/>
  <c r="B100" i="8"/>
  <c r="A100" i="8"/>
  <c r="F99" i="8"/>
  <c r="E99" i="8"/>
  <c r="D99" i="8"/>
  <c r="C99" i="8"/>
  <c r="B99" i="8"/>
  <c r="A99" i="8"/>
  <c r="F98" i="8"/>
  <c r="E98" i="8"/>
  <c r="D98" i="8"/>
  <c r="C98" i="8"/>
  <c r="B98" i="8"/>
  <c r="A98" i="8"/>
  <c r="F97" i="8"/>
  <c r="E97" i="8"/>
  <c r="D97" i="8"/>
  <c r="C97" i="8"/>
  <c r="B97" i="8"/>
  <c r="A97" i="8"/>
  <c r="F96" i="8"/>
  <c r="E96" i="8"/>
  <c r="D96" i="8"/>
  <c r="C96" i="8"/>
  <c r="B96" i="8"/>
  <c r="A96" i="8"/>
  <c r="F95" i="8"/>
  <c r="E95" i="8"/>
  <c r="D95" i="8"/>
  <c r="C95" i="8"/>
  <c r="B95" i="8"/>
  <c r="A95" i="8"/>
  <c r="F94" i="8"/>
  <c r="E94" i="8"/>
  <c r="D94" i="8"/>
  <c r="C94" i="8"/>
  <c r="B94" i="8"/>
  <c r="A94" i="8"/>
  <c r="F93" i="8"/>
  <c r="E93" i="8"/>
  <c r="D93" i="8"/>
  <c r="C93" i="8"/>
  <c r="B93" i="8"/>
  <c r="A93" i="8"/>
  <c r="F92" i="8"/>
  <c r="E92" i="8"/>
  <c r="D92" i="8"/>
  <c r="C92" i="8"/>
  <c r="B92" i="8"/>
  <c r="A92" i="8"/>
  <c r="F91" i="8"/>
  <c r="E91" i="8"/>
  <c r="D91" i="8"/>
  <c r="C91" i="8"/>
  <c r="B91" i="8"/>
  <c r="A91" i="8"/>
  <c r="F90" i="8"/>
  <c r="E90" i="8"/>
  <c r="D90" i="8"/>
  <c r="C90" i="8"/>
  <c r="B90" i="8"/>
  <c r="A90" i="8"/>
  <c r="F89" i="8"/>
  <c r="E89" i="8"/>
  <c r="D89" i="8"/>
  <c r="C89" i="8"/>
  <c r="B89" i="8"/>
  <c r="A89" i="8"/>
  <c r="F88" i="8"/>
  <c r="E88" i="8"/>
  <c r="D88" i="8"/>
  <c r="C88" i="8"/>
  <c r="B88" i="8"/>
  <c r="A88" i="8"/>
  <c r="F87" i="8"/>
  <c r="E87" i="8"/>
  <c r="D87" i="8"/>
  <c r="C87" i="8"/>
  <c r="B87" i="8"/>
  <c r="A87" i="8"/>
  <c r="F86" i="8"/>
  <c r="E86" i="8"/>
  <c r="D86" i="8"/>
  <c r="C86" i="8"/>
  <c r="B86" i="8"/>
  <c r="A86" i="8"/>
  <c r="F85" i="8"/>
  <c r="E85" i="8"/>
  <c r="D85" i="8"/>
  <c r="C85" i="8"/>
  <c r="B85" i="8"/>
  <c r="A85" i="8"/>
  <c r="F84" i="8"/>
  <c r="E84" i="8"/>
  <c r="D84" i="8"/>
  <c r="C84" i="8"/>
  <c r="B84" i="8"/>
  <c r="A84" i="8"/>
  <c r="F83" i="8"/>
  <c r="E83" i="8"/>
  <c r="D83" i="8"/>
  <c r="C83" i="8"/>
  <c r="B83" i="8"/>
  <c r="A83" i="8"/>
  <c r="F82" i="8"/>
  <c r="E82" i="8"/>
  <c r="D82" i="8"/>
  <c r="C82" i="8"/>
  <c r="B82" i="8"/>
  <c r="A82" i="8"/>
  <c r="F81" i="8"/>
  <c r="E81" i="8"/>
  <c r="D81" i="8"/>
  <c r="C81" i="8"/>
  <c r="B81" i="8"/>
  <c r="A81" i="8"/>
  <c r="F80" i="8"/>
  <c r="E80" i="8"/>
  <c r="D80" i="8"/>
  <c r="C80" i="8"/>
  <c r="B80" i="8"/>
  <c r="A80" i="8"/>
  <c r="F79" i="8"/>
  <c r="E79" i="8"/>
  <c r="D79" i="8"/>
  <c r="C79" i="8"/>
  <c r="B79" i="8"/>
  <c r="A79" i="8"/>
  <c r="F78" i="8"/>
  <c r="E78" i="8"/>
  <c r="D78" i="8"/>
  <c r="C78" i="8"/>
  <c r="B78" i="8"/>
  <c r="A78" i="8"/>
  <c r="F77" i="8"/>
  <c r="E77" i="8"/>
  <c r="D77" i="8"/>
  <c r="C77" i="8"/>
  <c r="B77" i="8"/>
  <c r="A77" i="8"/>
  <c r="F76" i="8"/>
  <c r="E76" i="8"/>
  <c r="D76" i="8"/>
  <c r="C76" i="8"/>
  <c r="B76" i="8"/>
  <c r="A76" i="8"/>
  <c r="F75" i="8"/>
  <c r="E75" i="8"/>
  <c r="D75" i="8"/>
  <c r="C75" i="8"/>
  <c r="B75" i="8"/>
  <c r="A75" i="8"/>
  <c r="F74" i="8"/>
  <c r="E74" i="8"/>
  <c r="D74" i="8"/>
  <c r="C74" i="8"/>
  <c r="B74" i="8"/>
  <c r="A74" i="8"/>
  <c r="F73" i="8"/>
  <c r="E73" i="8"/>
  <c r="D73" i="8"/>
  <c r="C73" i="8"/>
  <c r="B73" i="8"/>
  <c r="A73" i="8"/>
  <c r="F72" i="8"/>
  <c r="E72" i="8"/>
  <c r="D72" i="8"/>
  <c r="C72" i="8"/>
  <c r="B72" i="8"/>
  <c r="A72" i="8"/>
  <c r="F71" i="8"/>
  <c r="E71" i="8"/>
  <c r="D71" i="8"/>
  <c r="C71" i="8"/>
  <c r="B71" i="8"/>
  <c r="A71" i="8"/>
  <c r="F70" i="8"/>
  <c r="E70" i="8"/>
  <c r="D70" i="8"/>
  <c r="C70" i="8"/>
  <c r="B70" i="8"/>
  <c r="A70" i="8"/>
  <c r="F69" i="8"/>
  <c r="E69" i="8"/>
  <c r="D69" i="8"/>
  <c r="C69" i="8"/>
  <c r="B69" i="8"/>
  <c r="A69" i="8"/>
  <c r="F68" i="8"/>
  <c r="E68" i="8"/>
  <c r="D68" i="8"/>
  <c r="C68" i="8"/>
  <c r="B68" i="8"/>
  <c r="A68" i="8"/>
  <c r="F67" i="8"/>
  <c r="E67" i="8"/>
  <c r="D67" i="8"/>
  <c r="C67" i="8"/>
  <c r="B67" i="8"/>
  <c r="A67" i="8"/>
  <c r="F66" i="8"/>
  <c r="E66" i="8"/>
  <c r="D66" i="8"/>
  <c r="C66" i="8"/>
  <c r="B66" i="8"/>
  <c r="A66" i="8"/>
  <c r="F65" i="8"/>
  <c r="E65" i="8"/>
  <c r="D65" i="8"/>
  <c r="C65" i="8"/>
  <c r="B65" i="8"/>
  <c r="A65" i="8"/>
  <c r="F64" i="8"/>
  <c r="E64" i="8"/>
  <c r="D64" i="8"/>
  <c r="C64" i="8"/>
  <c r="B64" i="8"/>
  <c r="A64" i="8"/>
  <c r="F63" i="8"/>
  <c r="E63" i="8"/>
  <c r="D63" i="8"/>
  <c r="C63" i="8"/>
  <c r="B63" i="8"/>
  <c r="A63" i="8"/>
  <c r="F62" i="8"/>
  <c r="E62" i="8"/>
  <c r="D62" i="8"/>
  <c r="C62" i="8"/>
  <c r="B62" i="8"/>
  <c r="A62" i="8"/>
  <c r="F61" i="8"/>
  <c r="E61" i="8"/>
  <c r="D61" i="8"/>
  <c r="C61" i="8"/>
  <c r="B61" i="8"/>
  <c r="A61" i="8"/>
  <c r="F60" i="8"/>
  <c r="E60" i="8"/>
  <c r="D60" i="8"/>
  <c r="C60" i="8"/>
  <c r="B60" i="8"/>
  <c r="A60" i="8"/>
  <c r="F59" i="8"/>
  <c r="E59" i="8"/>
  <c r="D59" i="8"/>
  <c r="C59" i="8"/>
  <c r="B59" i="8"/>
  <c r="A59" i="8"/>
  <c r="F58" i="8"/>
  <c r="E58" i="8"/>
  <c r="D58" i="8"/>
  <c r="C58" i="8"/>
  <c r="B58" i="8"/>
  <c r="A58" i="8"/>
  <c r="F57" i="8"/>
  <c r="E57" i="8"/>
  <c r="D57" i="8"/>
  <c r="C57" i="8"/>
  <c r="B57" i="8"/>
  <c r="A57" i="8"/>
  <c r="F56" i="8"/>
  <c r="E56" i="8"/>
  <c r="D56" i="8"/>
  <c r="C56" i="8"/>
  <c r="B56" i="8"/>
  <c r="A56" i="8"/>
  <c r="F55" i="8"/>
  <c r="E55" i="8"/>
  <c r="D55" i="8"/>
  <c r="C55" i="8"/>
  <c r="B55" i="8"/>
  <c r="A55" i="8"/>
  <c r="F54" i="8"/>
  <c r="E54" i="8"/>
  <c r="D54" i="8"/>
  <c r="C54" i="8"/>
  <c r="B54" i="8"/>
  <c r="A54" i="8"/>
  <c r="F53" i="8"/>
  <c r="E53" i="8"/>
  <c r="D53" i="8"/>
  <c r="C53" i="8"/>
  <c r="B53" i="8"/>
  <c r="A53" i="8"/>
  <c r="F52" i="8"/>
  <c r="E52" i="8"/>
  <c r="D52" i="8"/>
  <c r="C52" i="8"/>
  <c r="B52" i="8"/>
  <c r="A52" i="8"/>
  <c r="F51" i="8"/>
  <c r="E51" i="8"/>
  <c r="D51" i="8"/>
  <c r="C51" i="8"/>
  <c r="B51" i="8"/>
  <c r="A51" i="8"/>
  <c r="F50" i="8"/>
  <c r="E50" i="8"/>
  <c r="D50" i="8"/>
  <c r="C50" i="8"/>
  <c r="B50" i="8"/>
  <c r="A50" i="8"/>
  <c r="F49" i="8"/>
  <c r="E49" i="8"/>
  <c r="D49" i="8"/>
  <c r="C49" i="8"/>
  <c r="B49" i="8"/>
  <c r="A49" i="8"/>
  <c r="F48" i="8"/>
  <c r="E48" i="8"/>
  <c r="D48" i="8"/>
  <c r="C48" i="8"/>
  <c r="B48" i="8"/>
  <c r="A48" i="8"/>
  <c r="F47" i="8"/>
  <c r="E47" i="8"/>
  <c r="D47" i="8"/>
  <c r="C47" i="8"/>
  <c r="B47" i="8"/>
  <c r="A47" i="8"/>
  <c r="F46" i="8"/>
  <c r="E46" i="8"/>
  <c r="D46" i="8"/>
  <c r="C46" i="8"/>
  <c r="B46" i="8"/>
  <c r="A46" i="8"/>
  <c r="F45" i="8"/>
  <c r="E45" i="8"/>
  <c r="D45" i="8"/>
  <c r="C45" i="8"/>
  <c r="B45" i="8"/>
  <c r="A45" i="8"/>
  <c r="F44" i="8"/>
  <c r="E44" i="8"/>
  <c r="D44" i="8"/>
  <c r="C44" i="8"/>
  <c r="B44" i="8"/>
  <c r="A44" i="8"/>
  <c r="F43" i="8"/>
  <c r="E43" i="8"/>
  <c r="D43" i="8"/>
  <c r="C43" i="8"/>
  <c r="B43" i="8"/>
  <c r="A43" i="8"/>
  <c r="F42" i="8"/>
  <c r="E42" i="8"/>
  <c r="D42" i="8"/>
  <c r="C42" i="8"/>
  <c r="B42" i="8"/>
  <c r="A42" i="8"/>
  <c r="F41" i="8"/>
  <c r="E41" i="8"/>
  <c r="D41" i="8"/>
  <c r="C41" i="8"/>
  <c r="B41" i="8"/>
  <c r="A41" i="8"/>
  <c r="F40" i="8"/>
  <c r="E40" i="8"/>
  <c r="D40" i="8"/>
  <c r="C40" i="8"/>
  <c r="B40" i="8"/>
  <c r="A40" i="8"/>
  <c r="F39" i="8"/>
  <c r="E39" i="8"/>
  <c r="D39" i="8"/>
  <c r="C39" i="8"/>
  <c r="B39" i="8"/>
  <c r="A39" i="8"/>
  <c r="F38" i="8"/>
  <c r="E38" i="8"/>
  <c r="D38" i="8"/>
  <c r="C38" i="8"/>
  <c r="B38" i="8"/>
  <c r="A38" i="8"/>
  <c r="F37" i="8"/>
  <c r="E37" i="8"/>
  <c r="D37" i="8"/>
  <c r="C37" i="8"/>
  <c r="B37" i="8"/>
  <c r="A37" i="8"/>
  <c r="F36" i="8"/>
  <c r="E36" i="8"/>
  <c r="D36" i="8"/>
  <c r="C36" i="8"/>
  <c r="B36" i="8"/>
  <c r="A36" i="8"/>
  <c r="F35" i="8"/>
  <c r="E35" i="8"/>
  <c r="D35" i="8"/>
  <c r="C35" i="8"/>
  <c r="B35" i="8"/>
  <c r="A35" i="8"/>
  <c r="F34" i="8"/>
  <c r="E34" i="8"/>
  <c r="D34" i="8"/>
  <c r="C34" i="8"/>
  <c r="B34" i="8"/>
  <c r="A34" i="8"/>
  <c r="F33" i="8"/>
  <c r="E33" i="8"/>
  <c r="D33" i="8"/>
  <c r="C33" i="8"/>
  <c r="B33" i="8"/>
  <c r="A33" i="8"/>
  <c r="F32" i="8"/>
  <c r="E32" i="8"/>
  <c r="D32" i="8"/>
  <c r="C32" i="8"/>
  <c r="B32" i="8"/>
  <c r="A32" i="8"/>
  <c r="F31" i="8"/>
  <c r="E31" i="8"/>
  <c r="D31" i="8"/>
  <c r="C31" i="8"/>
  <c r="B31" i="8"/>
  <c r="A31" i="8"/>
  <c r="F30" i="8"/>
  <c r="E30" i="8"/>
  <c r="D30" i="8"/>
  <c r="C30" i="8"/>
  <c r="B30" i="8"/>
  <c r="A30" i="8"/>
  <c r="F29" i="8"/>
  <c r="E29" i="8"/>
  <c r="D29" i="8"/>
  <c r="C29" i="8"/>
  <c r="B29" i="8"/>
  <c r="A29" i="8"/>
  <c r="F28" i="8"/>
  <c r="E28" i="8"/>
  <c r="D28" i="8"/>
  <c r="C28" i="8"/>
  <c r="B28" i="8"/>
  <c r="A28" i="8"/>
  <c r="F27" i="8"/>
  <c r="E27" i="8"/>
  <c r="D27" i="8"/>
  <c r="C27" i="8"/>
  <c r="B27" i="8"/>
  <c r="A27" i="8"/>
  <c r="F26" i="8"/>
  <c r="E26" i="8"/>
  <c r="D26" i="8"/>
  <c r="C26" i="8"/>
  <c r="B26" i="8"/>
  <c r="A26" i="8"/>
  <c r="F25" i="8"/>
  <c r="E25" i="8"/>
  <c r="D25" i="8"/>
  <c r="C25" i="8"/>
  <c r="B25" i="8"/>
  <c r="A25" i="8"/>
  <c r="F24" i="8"/>
  <c r="E24" i="8"/>
  <c r="D24" i="8"/>
  <c r="C24" i="8"/>
  <c r="B24" i="8"/>
  <c r="A24" i="8"/>
  <c r="F23" i="8"/>
  <c r="E23" i="8"/>
  <c r="D23" i="8"/>
  <c r="C23" i="8"/>
  <c r="B23" i="8"/>
  <c r="A23" i="8"/>
  <c r="F22" i="8"/>
  <c r="E22" i="8"/>
  <c r="D22" i="8"/>
  <c r="C22" i="8"/>
  <c r="B22" i="8"/>
  <c r="A22" i="8"/>
  <c r="F21" i="8"/>
  <c r="E21" i="8"/>
  <c r="D21" i="8"/>
  <c r="C21" i="8"/>
  <c r="B21" i="8"/>
  <c r="A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F14" i="8"/>
  <c r="E14" i="8"/>
  <c r="D14" i="8"/>
  <c r="C14" i="8"/>
  <c r="B14" i="8"/>
  <c r="A14" i="8"/>
  <c r="F13" i="8"/>
  <c r="E13" i="8"/>
  <c r="D13" i="8"/>
  <c r="C13" i="8"/>
  <c r="B13" i="8"/>
  <c r="A13" i="8"/>
  <c r="F12" i="8"/>
  <c r="E12" i="8"/>
  <c r="D12" i="8"/>
  <c r="C12" i="8"/>
  <c r="B12" i="8"/>
  <c r="A12" i="8"/>
  <c r="F11" i="8"/>
  <c r="E11" i="8"/>
  <c r="D11" i="8"/>
  <c r="C11" i="8"/>
  <c r="B11" i="8"/>
  <c r="A11" i="8"/>
  <c r="F10" i="8"/>
  <c r="E10" i="8"/>
  <c r="D10" i="8"/>
  <c r="C10" i="8"/>
  <c r="B10" i="8"/>
  <c r="A10" i="8"/>
  <c r="F9" i="8"/>
  <c r="E9" i="8"/>
  <c r="D9" i="8"/>
  <c r="C9" i="8"/>
  <c r="B9" i="8"/>
  <c r="A9" i="8"/>
  <c r="F8" i="8"/>
  <c r="E8" i="8"/>
  <c r="D8" i="8"/>
  <c r="C8" i="8"/>
  <c r="B8" i="8"/>
  <c r="A8" i="8"/>
  <c r="F7" i="8"/>
  <c r="E7" i="8"/>
  <c r="D7" i="8"/>
  <c r="C7" i="8"/>
  <c r="B7" i="8"/>
  <c r="A7" i="8"/>
  <c r="F6" i="8"/>
  <c r="E6" i="8"/>
  <c r="D6" i="8"/>
  <c r="C6" i="8"/>
  <c r="B6" i="8"/>
  <c r="A6" i="8"/>
  <c r="F5" i="8"/>
  <c r="E5" i="8"/>
  <c r="D5" i="8"/>
  <c r="C5" i="8"/>
  <c r="B5" i="8"/>
  <c r="A5" i="8"/>
  <c r="F4" i="8"/>
  <c r="E4" i="8"/>
  <c r="D4" i="8"/>
  <c r="C4" i="8"/>
  <c r="B4" i="8"/>
  <c r="A4" i="8"/>
  <c r="F3" i="8"/>
  <c r="E3" i="8"/>
  <c r="D3" i="8"/>
  <c r="C3" i="8"/>
  <c r="B3" i="8"/>
  <c r="A3" i="8"/>
  <c r="F2" i="8"/>
  <c r="E2" i="8"/>
  <c r="D2" i="8"/>
  <c r="C2" i="8"/>
  <c r="B2" i="8"/>
  <c r="A2" i="8"/>
  <c r="F1" i="8"/>
  <c r="E1" i="8"/>
  <c r="D1" i="8"/>
  <c r="C1" i="8"/>
  <c r="B1" i="8"/>
  <c r="A1" i="8"/>
  <c r="F327" i="7"/>
  <c r="E327" i="7"/>
  <c r="D327" i="7"/>
  <c r="C327" i="7"/>
  <c r="B327" i="7"/>
  <c r="A327" i="7"/>
  <c r="F326" i="7"/>
  <c r="E326" i="7"/>
  <c r="D326" i="7"/>
  <c r="C326" i="7"/>
  <c r="B326" i="7"/>
  <c r="A326" i="7"/>
  <c r="F325" i="7"/>
  <c r="E325" i="7"/>
  <c r="D325" i="7"/>
  <c r="C325" i="7"/>
  <c r="B325" i="7"/>
  <c r="A325" i="7"/>
  <c r="F324" i="7"/>
  <c r="E324" i="7"/>
  <c r="D324" i="7"/>
  <c r="C324" i="7"/>
  <c r="B324" i="7"/>
  <c r="A324" i="7"/>
  <c r="F323" i="7"/>
  <c r="E323" i="7"/>
  <c r="D323" i="7"/>
  <c r="C323" i="7"/>
  <c r="B323" i="7"/>
  <c r="A323" i="7"/>
  <c r="F322" i="7"/>
  <c r="E322" i="7"/>
  <c r="D322" i="7"/>
  <c r="C322" i="7"/>
  <c r="B322" i="7"/>
  <c r="A322" i="7"/>
  <c r="F321" i="7"/>
  <c r="E321" i="7"/>
  <c r="D321" i="7"/>
  <c r="C321" i="7"/>
  <c r="B321" i="7"/>
  <c r="A321" i="7"/>
  <c r="F320" i="7"/>
  <c r="E320" i="7"/>
  <c r="D320" i="7"/>
  <c r="C320" i="7"/>
  <c r="B320" i="7"/>
  <c r="A320" i="7"/>
  <c r="F319" i="7"/>
  <c r="E319" i="7"/>
  <c r="D319" i="7"/>
  <c r="C319" i="7"/>
  <c r="B319" i="7"/>
  <c r="A319" i="7"/>
  <c r="F318" i="7"/>
  <c r="E318" i="7"/>
  <c r="D318" i="7"/>
  <c r="C318" i="7"/>
  <c r="B318" i="7"/>
  <c r="A318" i="7"/>
  <c r="F317" i="7"/>
  <c r="E317" i="7"/>
  <c r="D317" i="7"/>
  <c r="C317" i="7"/>
  <c r="B317" i="7"/>
  <c r="A317" i="7"/>
  <c r="F316" i="7"/>
  <c r="E316" i="7"/>
  <c r="D316" i="7"/>
  <c r="C316" i="7"/>
  <c r="B316" i="7"/>
  <c r="A316" i="7"/>
  <c r="F315" i="7"/>
  <c r="E315" i="7"/>
  <c r="D315" i="7"/>
  <c r="C315" i="7"/>
  <c r="B315" i="7"/>
  <c r="A315" i="7"/>
  <c r="F314" i="7"/>
  <c r="E314" i="7"/>
  <c r="D314" i="7"/>
  <c r="C314" i="7"/>
  <c r="B314" i="7"/>
  <c r="A314" i="7"/>
  <c r="F313" i="7"/>
  <c r="E313" i="7"/>
  <c r="D313" i="7"/>
  <c r="C313" i="7"/>
  <c r="B313" i="7"/>
  <c r="A313" i="7"/>
  <c r="F312" i="7"/>
  <c r="E312" i="7"/>
  <c r="D312" i="7"/>
  <c r="C312" i="7"/>
  <c r="B312" i="7"/>
  <c r="A312" i="7"/>
  <c r="F311" i="7"/>
  <c r="E311" i="7"/>
  <c r="D311" i="7"/>
  <c r="C311" i="7"/>
  <c r="B311" i="7"/>
  <c r="A311" i="7"/>
  <c r="F310" i="7"/>
  <c r="E310" i="7"/>
  <c r="D310" i="7"/>
  <c r="C310" i="7"/>
  <c r="B310" i="7"/>
  <c r="A310" i="7"/>
  <c r="F309" i="7"/>
  <c r="E309" i="7"/>
  <c r="D309" i="7"/>
  <c r="C309" i="7"/>
  <c r="B309" i="7"/>
  <c r="A309" i="7"/>
  <c r="F308" i="7"/>
  <c r="E308" i="7"/>
  <c r="D308" i="7"/>
  <c r="C308" i="7"/>
  <c r="B308" i="7"/>
  <c r="A308" i="7"/>
  <c r="F307" i="7"/>
  <c r="E307" i="7"/>
  <c r="D307" i="7"/>
  <c r="C307" i="7"/>
  <c r="B307" i="7"/>
  <c r="A307" i="7"/>
  <c r="F306" i="7"/>
  <c r="E306" i="7"/>
  <c r="D306" i="7"/>
  <c r="C306" i="7"/>
  <c r="B306" i="7"/>
  <c r="A306" i="7"/>
  <c r="F305" i="7"/>
  <c r="E305" i="7"/>
  <c r="D305" i="7"/>
  <c r="C305" i="7"/>
  <c r="B305" i="7"/>
  <c r="A305" i="7"/>
  <c r="F304" i="7"/>
  <c r="E304" i="7"/>
  <c r="D304" i="7"/>
  <c r="C304" i="7"/>
  <c r="B304" i="7"/>
  <c r="A304" i="7"/>
  <c r="F303" i="7"/>
  <c r="E303" i="7"/>
  <c r="D303" i="7"/>
  <c r="C303" i="7"/>
  <c r="B303" i="7"/>
  <c r="A303" i="7"/>
  <c r="F302" i="7"/>
  <c r="E302" i="7"/>
  <c r="D302" i="7"/>
  <c r="C302" i="7"/>
  <c r="B302" i="7"/>
  <c r="A302" i="7"/>
  <c r="F301" i="7"/>
  <c r="E301" i="7"/>
  <c r="D301" i="7"/>
  <c r="C301" i="7"/>
  <c r="B301" i="7"/>
  <c r="A301" i="7"/>
  <c r="F300" i="7"/>
  <c r="E300" i="7"/>
  <c r="D300" i="7"/>
  <c r="C300" i="7"/>
  <c r="B300" i="7"/>
  <c r="A300" i="7"/>
  <c r="F299" i="7"/>
  <c r="E299" i="7"/>
  <c r="D299" i="7"/>
  <c r="C299" i="7"/>
  <c r="B299" i="7"/>
  <c r="A299" i="7"/>
  <c r="F298" i="7"/>
  <c r="E298" i="7"/>
  <c r="D298" i="7"/>
  <c r="C298" i="7"/>
  <c r="B298" i="7"/>
  <c r="A298" i="7"/>
  <c r="F297" i="7"/>
  <c r="E297" i="7"/>
  <c r="D297" i="7"/>
  <c r="C297" i="7"/>
  <c r="B297" i="7"/>
  <c r="A297" i="7"/>
  <c r="F296" i="7"/>
  <c r="E296" i="7"/>
  <c r="D296" i="7"/>
  <c r="C296" i="7"/>
  <c r="B296" i="7"/>
  <c r="A296" i="7"/>
  <c r="F295" i="7"/>
  <c r="E295" i="7"/>
  <c r="D295" i="7"/>
  <c r="C295" i="7"/>
  <c r="B295" i="7"/>
  <c r="A295" i="7"/>
  <c r="F294" i="7"/>
  <c r="E294" i="7"/>
  <c r="D294" i="7"/>
  <c r="C294" i="7"/>
  <c r="B294" i="7"/>
  <c r="A294" i="7"/>
  <c r="F293" i="7"/>
  <c r="E293" i="7"/>
  <c r="D293" i="7"/>
  <c r="C293" i="7"/>
  <c r="B293" i="7"/>
  <c r="A293" i="7"/>
  <c r="F292" i="7"/>
  <c r="E292" i="7"/>
  <c r="D292" i="7"/>
  <c r="C292" i="7"/>
  <c r="B292" i="7"/>
  <c r="A292" i="7"/>
  <c r="F291" i="7"/>
  <c r="E291" i="7"/>
  <c r="D291" i="7"/>
  <c r="C291" i="7"/>
  <c r="B291" i="7"/>
  <c r="A291" i="7"/>
  <c r="F290" i="7"/>
  <c r="E290" i="7"/>
  <c r="D290" i="7"/>
  <c r="C290" i="7"/>
  <c r="B290" i="7"/>
  <c r="A290" i="7"/>
  <c r="F289" i="7"/>
  <c r="E289" i="7"/>
  <c r="D289" i="7"/>
  <c r="C289" i="7"/>
  <c r="B289" i="7"/>
  <c r="A289" i="7"/>
  <c r="F288" i="7"/>
  <c r="E288" i="7"/>
  <c r="D288" i="7"/>
  <c r="C288" i="7"/>
  <c r="B288" i="7"/>
  <c r="A288" i="7"/>
  <c r="F287" i="7"/>
  <c r="E287" i="7"/>
  <c r="D287" i="7"/>
  <c r="C287" i="7"/>
  <c r="B287" i="7"/>
  <c r="A287" i="7"/>
  <c r="F286" i="7"/>
  <c r="E286" i="7"/>
  <c r="D286" i="7"/>
  <c r="C286" i="7"/>
  <c r="B286" i="7"/>
  <c r="A286" i="7"/>
  <c r="F285" i="7"/>
  <c r="E285" i="7"/>
  <c r="D285" i="7"/>
  <c r="C285" i="7"/>
  <c r="B285" i="7"/>
  <c r="A285" i="7"/>
  <c r="F284" i="7"/>
  <c r="E284" i="7"/>
  <c r="D284" i="7"/>
  <c r="C284" i="7"/>
  <c r="B284" i="7"/>
  <c r="A284" i="7"/>
  <c r="F283" i="7"/>
  <c r="E283" i="7"/>
  <c r="D283" i="7"/>
  <c r="C283" i="7"/>
  <c r="B283" i="7"/>
  <c r="A283" i="7"/>
  <c r="F282" i="7"/>
  <c r="E282" i="7"/>
  <c r="D282" i="7"/>
  <c r="C282" i="7"/>
  <c r="B282" i="7"/>
  <c r="A282" i="7"/>
  <c r="F281" i="7"/>
  <c r="E281" i="7"/>
  <c r="D281" i="7"/>
  <c r="C281" i="7"/>
  <c r="B281" i="7"/>
  <c r="A281" i="7"/>
  <c r="F280" i="7"/>
  <c r="E280" i="7"/>
  <c r="D280" i="7"/>
  <c r="C280" i="7"/>
  <c r="B280" i="7"/>
  <c r="A280" i="7"/>
  <c r="F279" i="7"/>
  <c r="E279" i="7"/>
  <c r="D279" i="7"/>
  <c r="C279" i="7"/>
  <c r="B279" i="7"/>
  <c r="A279" i="7"/>
  <c r="F278" i="7"/>
  <c r="E278" i="7"/>
  <c r="D278" i="7"/>
  <c r="C278" i="7"/>
  <c r="B278" i="7"/>
  <c r="A278" i="7"/>
  <c r="F277" i="7"/>
  <c r="E277" i="7"/>
  <c r="D277" i="7"/>
  <c r="C277" i="7"/>
  <c r="B277" i="7"/>
  <c r="A277" i="7"/>
  <c r="F276" i="7"/>
  <c r="E276" i="7"/>
  <c r="D276" i="7"/>
  <c r="C276" i="7"/>
  <c r="B276" i="7"/>
  <c r="A276" i="7"/>
  <c r="F275" i="7"/>
  <c r="E275" i="7"/>
  <c r="D275" i="7"/>
  <c r="C275" i="7"/>
  <c r="B275" i="7"/>
  <c r="A275" i="7"/>
  <c r="F274" i="7"/>
  <c r="E274" i="7"/>
  <c r="D274" i="7"/>
  <c r="C274" i="7"/>
  <c r="B274" i="7"/>
  <c r="A274" i="7"/>
  <c r="F273" i="7"/>
  <c r="E273" i="7"/>
  <c r="D273" i="7"/>
  <c r="C273" i="7"/>
  <c r="B273" i="7"/>
  <c r="A273" i="7"/>
  <c r="F272" i="7"/>
  <c r="E272" i="7"/>
  <c r="D272" i="7"/>
  <c r="C272" i="7"/>
  <c r="B272" i="7"/>
  <c r="A272" i="7"/>
  <c r="F271" i="7"/>
  <c r="E271" i="7"/>
  <c r="D271" i="7"/>
  <c r="C271" i="7"/>
  <c r="B271" i="7"/>
  <c r="A271" i="7"/>
  <c r="F270" i="7"/>
  <c r="E270" i="7"/>
  <c r="D270" i="7"/>
  <c r="C270" i="7"/>
  <c r="B270" i="7"/>
  <c r="A270" i="7"/>
  <c r="F269" i="7"/>
  <c r="E269" i="7"/>
  <c r="D269" i="7"/>
  <c r="C269" i="7"/>
  <c r="B269" i="7"/>
  <c r="A269" i="7"/>
  <c r="F268" i="7"/>
  <c r="E268" i="7"/>
  <c r="D268" i="7"/>
  <c r="C268" i="7"/>
  <c r="B268" i="7"/>
  <c r="A268" i="7"/>
  <c r="F267" i="7"/>
  <c r="E267" i="7"/>
  <c r="D267" i="7"/>
  <c r="C267" i="7"/>
  <c r="B267" i="7"/>
  <c r="A267" i="7"/>
  <c r="F266" i="7"/>
  <c r="E266" i="7"/>
  <c r="D266" i="7"/>
  <c r="C266" i="7"/>
  <c r="B266" i="7"/>
  <c r="A266" i="7"/>
  <c r="F265" i="7"/>
  <c r="E265" i="7"/>
  <c r="D265" i="7"/>
  <c r="C265" i="7"/>
  <c r="B265" i="7"/>
  <c r="A265" i="7"/>
  <c r="F264" i="7"/>
  <c r="E264" i="7"/>
  <c r="D264" i="7"/>
  <c r="C264" i="7"/>
  <c r="B264" i="7"/>
  <c r="A264" i="7"/>
  <c r="F263" i="7"/>
  <c r="E263" i="7"/>
  <c r="D263" i="7"/>
  <c r="C263" i="7"/>
  <c r="B263" i="7"/>
  <c r="A263" i="7"/>
  <c r="F262" i="7"/>
  <c r="E262" i="7"/>
  <c r="D262" i="7"/>
  <c r="C262" i="7"/>
  <c r="B262" i="7"/>
  <c r="A262" i="7"/>
  <c r="F261" i="7"/>
  <c r="E261" i="7"/>
  <c r="D261" i="7"/>
  <c r="C261" i="7"/>
  <c r="B261" i="7"/>
  <c r="A261" i="7"/>
  <c r="F260" i="7"/>
  <c r="E260" i="7"/>
  <c r="D260" i="7"/>
  <c r="C260" i="7"/>
  <c r="B260" i="7"/>
  <c r="A260" i="7"/>
  <c r="F259" i="7"/>
  <c r="E259" i="7"/>
  <c r="D259" i="7"/>
  <c r="C259" i="7"/>
  <c r="B259" i="7"/>
  <c r="A259" i="7"/>
  <c r="F258" i="7"/>
  <c r="E258" i="7"/>
  <c r="D258" i="7"/>
  <c r="C258" i="7"/>
  <c r="B258" i="7"/>
  <c r="A258" i="7"/>
  <c r="F257" i="7"/>
  <c r="E257" i="7"/>
  <c r="D257" i="7"/>
  <c r="C257" i="7"/>
  <c r="B257" i="7"/>
  <c r="A257" i="7"/>
  <c r="F256" i="7"/>
  <c r="E256" i="7"/>
  <c r="D256" i="7"/>
  <c r="C256" i="7"/>
  <c r="B256" i="7"/>
  <c r="A256" i="7"/>
  <c r="F255" i="7"/>
  <c r="E255" i="7"/>
  <c r="D255" i="7"/>
  <c r="C255" i="7"/>
  <c r="B255" i="7"/>
  <c r="A255" i="7"/>
  <c r="F254" i="7"/>
  <c r="E254" i="7"/>
  <c r="D254" i="7"/>
  <c r="C254" i="7"/>
  <c r="B254" i="7"/>
  <c r="A254" i="7"/>
  <c r="F253" i="7"/>
  <c r="E253" i="7"/>
  <c r="D253" i="7"/>
  <c r="C253" i="7"/>
  <c r="B253" i="7"/>
  <c r="A253" i="7"/>
  <c r="F252" i="7"/>
  <c r="E252" i="7"/>
  <c r="D252" i="7"/>
  <c r="C252" i="7"/>
  <c r="B252" i="7"/>
  <c r="A252" i="7"/>
  <c r="F251" i="7"/>
  <c r="E251" i="7"/>
  <c r="D251" i="7"/>
  <c r="C251" i="7"/>
  <c r="B251" i="7"/>
  <c r="A251" i="7"/>
  <c r="F250" i="7"/>
  <c r="E250" i="7"/>
  <c r="D250" i="7"/>
  <c r="C250" i="7"/>
  <c r="B250" i="7"/>
  <c r="A250" i="7"/>
  <c r="F249" i="7"/>
  <c r="E249" i="7"/>
  <c r="D249" i="7"/>
  <c r="C249" i="7"/>
  <c r="B249" i="7"/>
  <c r="A249" i="7"/>
  <c r="F248" i="7"/>
  <c r="E248" i="7"/>
  <c r="D248" i="7"/>
  <c r="C248" i="7"/>
  <c r="B248" i="7"/>
  <c r="A248" i="7"/>
  <c r="F247" i="7"/>
  <c r="E247" i="7"/>
  <c r="D247" i="7"/>
  <c r="C247" i="7"/>
  <c r="B247" i="7"/>
  <c r="A247" i="7"/>
  <c r="F246" i="7"/>
  <c r="E246" i="7"/>
  <c r="D246" i="7"/>
  <c r="C246" i="7"/>
  <c r="B246" i="7"/>
  <c r="A246" i="7"/>
  <c r="F245" i="7"/>
  <c r="E245" i="7"/>
  <c r="D245" i="7"/>
  <c r="C245" i="7"/>
  <c r="B245" i="7"/>
  <c r="A245" i="7"/>
  <c r="F244" i="7"/>
  <c r="E244" i="7"/>
  <c r="D244" i="7"/>
  <c r="C244" i="7"/>
  <c r="B244" i="7"/>
  <c r="A244" i="7"/>
  <c r="F243" i="7"/>
  <c r="E243" i="7"/>
  <c r="D243" i="7"/>
  <c r="C243" i="7"/>
  <c r="B243" i="7"/>
  <c r="A243" i="7"/>
  <c r="F242" i="7"/>
  <c r="E242" i="7"/>
  <c r="D242" i="7"/>
  <c r="C242" i="7"/>
  <c r="B242" i="7"/>
  <c r="A242" i="7"/>
  <c r="F241" i="7"/>
  <c r="E241" i="7"/>
  <c r="D241" i="7"/>
  <c r="C241" i="7"/>
  <c r="B241" i="7"/>
  <c r="A241" i="7"/>
  <c r="F240" i="7"/>
  <c r="E240" i="7"/>
  <c r="D240" i="7"/>
  <c r="C240" i="7"/>
  <c r="B240" i="7"/>
  <c r="A240" i="7"/>
  <c r="F239" i="7"/>
  <c r="E239" i="7"/>
  <c r="D239" i="7"/>
  <c r="C239" i="7"/>
  <c r="B239" i="7"/>
  <c r="A239" i="7"/>
  <c r="F238" i="7"/>
  <c r="E238" i="7"/>
  <c r="D238" i="7"/>
  <c r="C238" i="7"/>
  <c r="B238" i="7"/>
  <c r="A238" i="7"/>
  <c r="F237" i="7"/>
  <c r="E237" i="7"/>
  <c r="D237" i="7"/>
  <c r="C237" i="7"/>
  <c r="B237" i="7"/>
  <c r="A237" i="7"/>
  <c r="F236" i="7"/>
  <c r="E236" i="7"/>
  <c r="D236" i="7"/>
  <c r="C236" i="7"/>
  <c r="B236" i="7"/>
  <c r="A236" i="7"/>
  <c r="F235" i="7"/>
  <c r="E235" i="7"/>
  <c r="D235" i="7"/>
  <c r="C235" i="7"/>
  <c r="B235" i="7"/>
  <c r="A235" i="7"/>
  <c r="F234" i="7"/>
  <c r="E234" i="7"/>
  <c r="D234" i="7"/>
  <c r="C234" i="7"/>
  <c r="B234" i="7"/>
  <c r="A234" i="7"/>
  <c r="F233" i="7"/>
  <c r="E233" i="7"/>
  <c r="D233" i="7"/>
  <c r="C233" i="7"/>
  <c r="B233" i="7"/>
  <c r="A233" i="7"/>
  <c r="F232" i="7"/>
  <c r="E232" i="7"/>
  <c r="D232" i="7"/>
  <c r="C232" i="7"/>
  <c r="B232" i="7"/>
  <c r="A232" i="7"/>
  <c r="F231" i="7"/>
  <c r="E231" i="7"/>
  <c r="D231" i="7"/>
  <c r="C231" i="7"/>
  <c r="B231" i="7"/>
  <c r="A231" i="7"/>
  <c r="F230" i="7"/>
  <c r="E230" i="7"/>
  <c r="D230" i="7"/>
  <c r="C230" i="7"/>
  <c r="B230" i="7"/>
  <c r="A230" i="7"/>
  <c r="F229" i="7"/>
  <c r="E229" i="7"/>
  <c r="D229" i="7"/>
  <c r="C229" i="7"/>
  <c r="B229" i="7"/>
  <c r="A229" i="7"/>
  <c r="F228" i="7"/>
  <c r="E228" i="7"/>
  <c r="D228" i="7"/>
  <c r="C228" i="7"/>
  <c r="B228" i="7"/>
  <c r="A228" i="7"/>
  <c r="F227" i="7"/>
  <c r="E227" i="7"/>
  <c r="D227" i="7"/>
  <c r="C227" i="7"/>
  <c r="B227" i="7"/>
  <c r="A227" i="7"/>
  <c r="F226" i="7"/>
  <c r="E226" i="7"/>
  <c r="D226" i="7"/>
  <c r="C226" i="7"/>
  <c r="B226" i="7"/>
  <c r="A226" i="7"/>
  <c r="F225" i="7"/>
  <c r="E225" i="7"/>
  <c r="D225" i="7"/>
  <c r="C225" i="7"/>
  <c r="B225" i="7"/>
  <c r="A225" i="7"/>
  <c r="F224" i="7"/>
  <c r="E224" i="7"/>
  <c r="D224" i="7"/>
  <c r="C224" i="7"/>
  <c r="B224" i="7"/>
  <c r="A224" i="7"/>
  <c r="F223" i="7"/>
  <c r="E223" i="7"/>
  <c r="D223" i="7"/>
  <c r="C223" i="7"/>
  <c r="B223" i="7"/>
  <c r="A223" i="7"/>
  <c r="F222" i="7"/>
  <c r="E222" i="7"/>
  <c r="D222" i="7"/>
  <c r="C222" i="7"/>
  <c r="B222" i="7"/>
  <c r="A222" i="7"/>
  <c r="F221" i="7"/>
  <c r="E221" i="7"/>
  <c r="D221" i="7"/>
  <c r="C221" i="7"/>
  <c r="B221" i="7"/>
  <c r="A221" i="7"/>
  <c r="F220" i="7"/>
  <c r="E220" i="7"/>
  <c r="D220" i="7"/>
  <c r="C220" i="7"/>
  <c r="B220" i="7"/>
  <c r="A220" i="7"/>
  <c r="F219" i="7"/>
  <c r="E219" i="7"/>
  <c r="D219" i="7"/>
  <c r="C219" i="7"/>
  <c r="B219" i="7"/>
  <c r="A219" i="7"/>
  <c r="F218" i="7"/>
  <c r="E218" i="7"/>
  <c r="D218" i="7"/>
  <c r="C218" i="7"/>
  <c r="B218" i="7"/>
  <c r="A218" i="7"/>
  <c r="F217" i="7"/>
  <c r="E217" i="7"/>
  <c r="D217" i="7"/>
  <c r="C217" i="7"/>
  <c r="B217" i="7"/>
  <c r="A217" i="7"/>
  <c r="F216" i="7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6" i="7"/>
  <c r="E146" i="7"/>
  <c r="D146" i="7"/>
  <c r="C146" i="7"/>
  <c r="B146" i="7"/>
  <c r="A146" i="7"/>
  <c r="F145" i="7"/>
  <c r="E145" i="7"/>
  <c r="D145" i="7"/>
  <c r="C145" i="7"/>
  <c r="B145" i="7"/>
  <c r="A145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F2" i="7"/>
  <c r="E2" i="7"/>
  <c r="D2" i="7"/>
  <c r="C2" i="7"/>
  <c r="B2" i="7"/>
  <c r="A2" i="7"/>
  <c r="F1" i="7"/>
  <c r="E1" i="7"/>
  <c r="D1" i="7"/>
  <c r="C1" i="7"/>
  <c r="B1" i="7"/>
  <c r="A1" i="7"/>
  <c r="F327" i="6"/>
  <c r="E327" i="6"/>
  <c r="D327" i="6"/>
  <c r="C327" i="6"/>
  <c r="B327" i="6"/>
  <c r="A327" i="6"/>
  <c r="F326" i="6"/>
  <c r="E326" i="6"/>
  <c r="D326" i="6"/>
  <c r="C326" i="6"/>
  <c r="B326" i="6"/>
  <c r="A326" i="6"/>
  <c r="F325" i="6"/>
  <c r="E325" i="6"/>
  <c r="D325" i="6"/>
  <c r="C325" i="6"/>
  <c r="B325" i="6"/>
  <c r="A325" i="6"/>
  <c r="F324" i="6"/>
  <c r="E324" i="6"/>
  <c r="D324" i="6"/>
  <c r="C324" i="6"/>
  <c r="B324" i="6"/>
  <c r="A324" i="6"/>
  <c r="F323" i="6"/>
  <c r="E323" i="6"/>
  <c r="D323" i="6"/>
  <c r="C323" i="6"/>
  <c r="B323" i="6"/>
  <c r="A323" i="6"/>
  <c r="F322" i="6"/>
  <c r="E322" i="6"/>
  <c r="D322" i="6"/>
  <c r="C322" i="6"/>
  <c r="B322" i="6"/>
  <c r="A322" i="6"/>
  <c r="F321" i="6"/>
  <c r="E321" i="6"/>
  <c r="D321" i="6"/>
  <c r="C321" i="6"/>
  <c r="B321" i="6"/>
  <c r="A321" i="6"/>
  <c r="F320" i="6"/>
  <c r="E320" i="6"/>
  <c r="D320" i="6"/>
  <c r="C320" i="6"/>
  <c r="B320" i="6"/>
  <c r="A320" i="6"/>
  <c r="F319" i="6"/>
  <c r="E319" i="6"/>
  <c r="D319" i="6"/>
  <c r="C319" i="6"/>
  <c r="B319" i="6"/>
  <c r="A319" i="6"/>
  <c r="F318" i="6"/>
  <c r="E318" i="6"/>
  <c r="D318" i="6"/>
  <c r="C318" i="6"/>
  <c r="B318" i="6"/>
  <c r="A318" i="6"/>
  <c r="F317" i="6"/>
  <c r="E317" i="6"/>
  <c r="D317" i="6"/>
  <c r="C317" i="6"/>
  <c r="B317" i="6"/>
  <c r="A317" i="6"/>
  <c r="F316" i="6"/>
  <c r="E316" i="6"/>
  <c r="D316" i="6"/>
  <c r="C316" i="6"/>
  <c r="B316" i="6"/>
  <c r="A316" i="6"/>
  <c r="F315" i="6"/>
  <c r="E315" i="6"/>
  <c r="D315" i="6"/>
  <c r="C315" i="6"/>
  <c r="B315" i="6"/>
  <c r="A315" i="6"/>
  <c r="F314" i="6"/>
  <c r="E314" i="6"/>
  <c r="D314" i="6"/>
  <c r="C314" i="6"/>
  <c r="B314" i="6"/>
  <c r="A314" i="6"/>
  <c r="F313" i="6"/>
  <c r="E313" i="6"/>
  <c r="D313" i="6"/>
  <c r="C313" i="6"/>
  <c r="B313" i="6"/>
  <c r="A313" i="6"/>
  <c r="F312" i="6"/>
  <c r="E312" i="6"/>
  <c r="D312" i="6"/>
  <c r="C312" i="6"/>
  <c r="B312" i="6"/>
  <c r="A312" i="6"/>
  <c r="F311" i="6"/>
  <c r="E311" i="6"/>
  <c r="D311" i="6"/>
  <c r="C311" i="6"/>
  <c r="B311" i="6"/>
  <c r="A311" i="6"/>
  <c r="F310" i="6"/>
  <c r="E310" i="6"/>
  <c r="D310" i="6"/>
  <c r="C310" i="6"/>
  <c r="B310" i="6"/>
  <c r="A310" i="6"/>
  <c r="F309" i="6"/>
  <c r="E309" i="6"/>
  <c r="D309" i="6"/>
  <c r="C309" i="6"/>
  <c r="B309" i="6"/>
  <c r="A309" i="6"/>
  <c r="F308" i="6"/>
  <c r="E308" i="6"/>
  <c r="D308" i="6"/>
  <c r="C308" i="6"/>
  <c r="B308" i="6"/>
  <c r="A308" i="6"/>
  <c r="F307" i="6"/>
  <c r="E307" i="6"/>
  <c r="D307" i="6"/>
  <c r="C307" i="6"/>
  <c r="B307" i="6"/>
  <c r="A307" i="6"/>
  <c r="F306" i="6"/>
  <c r="E306" i="6"/>
  <c r="D306" i="6"/>
  <c r="C306" i="6"/>
  <c r="B306" i="6"/>
  <c r="A306" i="6"/>
  <c r="F305" i="6"/>
  <c r="E305" i="6"/>
  <c r="D305" i="6"/>
  <c r="C305" i="6"/>
  <c r="B305" i="6"/>
  <c r="A305" i="6"/>
  <c r="F304" i="6"/>
  <c r="E304" i="6"/>
  <c r="D304" i="6"/>
  <c r="C304" i="6"/>
  <c r="B304" i="6"/>
  <c r="A304" i="6"/>
  <c r="F303" i="6"/>
  <c r="E303" i="6"/>
  <c r="D303" i="6"/>
  <c r="C303" i="6"/>
  <c r="B303" i="6"/>
  <c r="A303" i="6"/>
  <c r="F302" i="6"/>
  <c r="E302" i="6"/>
  <c r="D302" i="6"/>
  <c r="C302" i="6"/>
  <c r="B302" i="6"/>
  <c r="A302" i="6"/>
  <c r="F301" i="6"/>
  <c r="E301" i="6"/>
  <c r="D301" i="6"/>
  <c r="C301" i="6"/>
  <c r="B301" i="6"/>
  <c r="A301" i="6"/>
  <c r="F300" i="6"/>
  <c r="E300" i="6"/>
  <c r="D300" i="6"/>
  <c r="C300" i="6"/>
  <c r="B300" i="6"/>
  <c r="A300" i="6"/>
  <c r="F299" i="6"/>
  <c r="E299" i="6"/>
  <c r="D299" i="6"/>
  <c r="C299" i="6"/>
  <c r="B299" i="6"/>
  <c r="A299" i="6"/>
  <c r="F298" i="6"/>
  <c r="E298" i="6"/>
  <c r="D298" i="6"/>
  <c r="C298" i="6"/>
  <c r="B298" i="6"/>
  <c r="A298" i="6"/>
  <c r="F297" i="6"/>
  <c r="E297" i="6"/>
  <c r="D297" i="6"/>
  <c r="C297" i="6"/>
  <c r="B297" i="6"/>
  <c r="A297" i="6"/>
  <c r="F296" i="6"/>
  <c r="E296" i="6"/>
  <c r="D296" i="6"/>
  <c r="C296" i="6"/>
  <c r="B296" i="6"/>
  <c r="A296" i="6"/>
  <c r="F295" i="6"/>
  <c r="E295" i="6"/>
  <c r="D295" i="6"/>
  <c r="C295" i="6"/>
  <c r="B295" i="6"/>
  <c r="A295" i="6"/>
  <c r="F294" i="6"/>
  <c r="E294" i="6"/>
  <c r="D294" i="6"/>
  <c r="C294" i="6"/>
  <c r="B294" i="6"/>
  <c r="A294" i="6"/>
  <c r="F293" i="6"/>
  <c r="E293" i="6"/>
  <c r="D293" i="6"/>
  <c r="C293" i="6"/>
  <c r="B293" i="6"/>
  <c r="A293" i="6"/>
  <c r="F292" i="6"/>
  <c r="E292" i="6"/>
  <c r="D292" i="6"/>
  <c r="C292" i="6"/>
  <c r="B292" i="6"/>
  <c r="A292" i="6"/>
  <c r="F291" i="6"/>
  <c r="E291" i="6"/>
  <c r="D291" i="6"/>
  <c r="C291" i="6"/>
  <c r="B291" i="6"/>
  <c r="A291" i="6"/>
  <c r="F290" i="6"/>
  <c r="E290" i="6"/>
  <c r="D290" i="6"/>
  <c r="C290" i="6"/>
  <c r="B290" i="6"/>
  <c r="A290" i="6"/>
  <c r="F289" i="6"/>
  <c r="E289" i="6"/>
  <c r="D289" i="6"/>
  <c r="C289" i="6"/>
  <c r="B289" i="6"/>
  <c r="A289" i="6"/>
  <c r="F288" i="6"/>
  <c r="E288" i="6"/>
  <c r="D288" i="6"/>
  <c r="C288" i="6"/>
  <c r="B288" i="6"/>
  <c r="A288" i="6"/>
  <c r="F287" i="6"/>
  <c r="E287" i="6"/>
  <c r="D287" i="6"/>
  <c r="C287" i="6"/>
  <c r="B287" i="6"/>
  <c r="A287" i="6"/>
  <c r="F286" i="6"/>
  <c r="E286" i="6"/>
  <c r="D286" i="6"/>
  <c r="C286" i="6"/>
  <c r="B286" i="6"/>
  <c r="A286" i="6"/>
  <c r="F285" i="6"/>
  <c r="E285" i="6"/>
  <c r="D285" i="6"/>
  <c r="C285" i="6"/>
  <c r="B285" i="6"/>
  <c r="A285" i="6"/>
  <c r="F284" i="6"/>
  <c r="E284" i="6"/>
  <c r="D284" i="6"/>
  <c r="C284" i="6"/>
  <c r="B284" i="6"/>
  <c r="A284" i="6"/>
  <c r="F283" i="6"/>
  <c r="E283" i="6"/>
  <c r="D283" i="6"/>
  <c r="C283" i="6"/>
  <c r="B283" i="6"/>
  <c r="A283" i="6"/>
  <c r="F282" i="6"/>
  <c r="E282" i="6"/>
  <c r="D282" i="6"/>
  <c r="C282" i="6"/>
  <c r="B282" i="6"/>
  <c r="A282" i="6"/>
  <c r="F281" i="6"/>
  <c r="E281" i="6"/>
  <c r="D281" i="6"/>
  <c r="C281" i="6"/>
  <c r="B281" i="6"/>
  <c r="A281" i="6"/>
  <c r="F280" i="6"/>
  <c r="E280" i="6"/>
  <c r="D280" i="6"/>
  <c r="C280" i="6"/>
  <c r="B280" i="6"/>
  <c r="A280" i="6"/>
  <c r="F279" i="6"/>
  <c r="E279" i="6"/>
  <c r="D279" i="6"/>
  <c r="C279" i="6"/>
  <c r="B279" i="6"/>
  <c r="A279" i="6"/>
  <c r="F278" i="6"/>
  <c r="E278" i="6"/>
  <c r="D278" i="6"/>
  <c r="C278" i="6"/>
  <c r="B278" i="6"/>
  <c r="A278" i="6"/>
  <c r="F277" i="6"/>
  <c r="E277" i="6"/>
  <c r="D277" i="6"/>
  <c r="C277" i="6"/>
  <c r="B277" i="6"/>
  <c r="A277" i="6"/>
  <c r="F276" i="6"/>
  <c r="E276" i="6"/>
  <c r="D276" i="6"/>
  <c r="C276" i="6"/>
  <c r="B276" i="6"/>
  <c r="A276" i="6"/>
  <c r="F275" i="6"/>
  <c r="E275" i="6"/>
  <c r="D275" i="6"/>
  <c r="C275" i="6"/>
  <c r="B275" i="6"/>
  <c r="A275" i="6"/>
  <c r="F274" i="6"/>
  <c r="E274" i="6"/>
  <c r="D274" i="6"/>
  <c r="C274" i="6"/>
  <c r="B274" i="6"/>
  <c r="A274" i="6"/>
  <c r="F273" i="6"/>
  <c r="E273" i="6"/>
  <c r="D273" i="6"/>
  <c r="C273" i="6"/>
  <c r="B273" i="6"/>
  <c r="A273" i="6"/>
  <c r="F272" i="6"/>
  <c r="E272" i="6"/>
  <c r="D272" i="6"/>
  <c r="C272" i="6"/>
  <c r="B272" i="6"/>
  <c r="A272" i="6"/>
  <c r="F271" i="6"/>
  <c r="E271" i="6"/>
  <c r="D271" i="6"/>
  <c r="C271" i="6"/>
  <c r="B271" i="6"/>
  <c r="A271" i="6"/>
  <c r="F270" i="6"/>
  <c r="E270" i="6"/>
  <c r="D270" i="6"/>
  <c r="C270" i="6"/>
  <c r="B270" i="6"/>
  <c r="A270" i="6"/>
  <c r="F269" i="6"/>
  <c r="E269" i="6"/>
  <c r="D269" i="6"/>
  <c r="C269" i="6"/>
  <c r="B269" i="6"/>
  <c r="A269" i="6"/>
  <c r="F268" i="6"/>
  <c r="E268" i="6"/>
  <c r="D268" i="6"/>
  <c r="C268" i="6"/>
  <c r="B268" i="6"/>
  <c r="A268" i="6"/>
  <c r="F267" i="6"/>
  <c r="E267" i="6"/>
  <c r="D267" i="6"/>
  <c r="C267" i="6"/>
  <c r="B267" i="6"/>
  <c r="A267" i="6"/>
  <c r="F266" i="6"/>
  <c r="E266" i="6"/>
  <c r="D266" i="6"/>
  <c r="C266" i="6"/>
  <c r="B266" i="6"/>
  <c r="A266" i="6"/>
  <c r="F265" i="6"/>
  <c r="E265" i="6"/>
  <c r="D265" i="6"/>
  <c r="C265" i="6"/>
  <c r="B265" i="6"/>
  <c r="A265" i="6"/>
  <c r="F264" i="6"/>
  <c r="E264" i="6"/>
  <c r="D264" i="6"/>
  <c r="C264" i="6"/>
  <c r="B264" i="6"/>
  <c r="A264" i="6"/>
  <c r="F263" i="6"/>
  <c r="E263" i="6"/>
  <c r="D263" i="6"/>
  <c r="C263" i="6"/>
  <c r="B263" i="6"/>
  <c r="A263" i="6"/>
  <c r="F262" i="6"/>
  <c r="E262" i="6"/>
  <c r="D262" i="6"/>
  <c r="C262" i="6"/>
  <c r="B262" i="6"/>
  <c r="A262" i="6"/>
  <c r="F261" i="6"/>
  <c r="E261" i="6"/>
  <c r="D261" i="6"/>
  <c r="C261" i="6"/>
  <c r="B261" i="6"/>
  <c r="A261" i="6"/>
  <c r="F260" i="6"/>
  <c r="E260" i="6"/>
  <c r="D260" i="6"/>
  <c r="C260" i="6"/>
  <c r="B260" i="6"/>
  <c r="A260" i="6"/>
  <c r="F259" i="6"/>
  <c r="E259" i="6"/>
  <c r="D259" i="6"/>
  <c r="C259" i="6"/>
  <c r="B259" i="6"/>
  <c r="A259" i="6"/>
  <c r="F258" i="6"/>
  <c r="E258" i="6"/>
  <c r="D258" i="6"/>
  <c r="C258" i="6"/>
  <c r="B258" i="6"/>
  <c r="A258" i="6"/>
  <c r="F257" i="6"/>
  <c r="E257" i="6"/>
  <c r="D257" i="6"/>
  <c r="C257" i="6"/>
  <c r="B257" i="6"/>
  <c r="A257" i="6"/>
  <c r="F256" i="6"/>
  <c r="E256" i="6"/>
  <c r="D256" i="6"/>
  <c r="C256" i="6"/>
  <c r="B256" i="6"/>
  <c r="A256" i="6"/>
  <c r="F255" i="6"/>
  <c r="E255" i="6"/>
  <c r="D255" i="6"/>
  <c r="C255" i="6"/>
  <c r="B255" i="6"/>
  <c r="A255" i="6"/>
  <c r="F254" i="6"/>
  <c r="E254" i="6"/>
  <c r="D254" i="6"/>
  <c r="C254" i="6"/>
  <c r="B254" i="6"/>
  <c r="A254" i="6"/>
  <c r="F253" i="6"/>
  <c r="E253" i="6"/>
  <c r="D253" i="6"/>
  <c r="C253" i="6"/>
  <c r="B253" i="6"/>
  <c r="A253" i="6"/>
  <c r="F252" i="6"/>
  <c r="E252" i="6"/>
  <c r="D252" i="6"/>
  <c r="C252" i="6"/>
  <c r="B252" i="6"/>
  <c r="A252" i="6"/>
  <c r="F251" i="6"/>
  <c r="E251" i="6"/>
  <c r="D251" i="6"/>
  <c r="C251" i="6"/>
  <c r="B251" i="6"/>
  <c r="A251" i="6"/>
  <c r="F250" i="6"/>
  <c r="E250" i="6"/>
  <c r="D250" i="6"/>
  <c r="C250" i="6"/>
  <c r="B250" i="6"/>
  <c r="A250" i="6"/>
  <c r="F249" i="6"/>
  <c r="E249" i="6"/>
  <c r="D249" i="6"/>
  <c r="C249" i="6"/>
  <c r="B249" i="6"/>
  <c r="A249" i="6"/>
  <c r="F248" i="6"/>
  <c r="E248" i="6"/>
  <c r="D248" i="6"/>
  <c r="C248" i="6"/>
  <c r="B248" i="6"/>
  <c r="A248" i="6"/>
  <c r="F247" i="6"/>
  <c r="E247" i="6"/>
  <c r="D247" i="6"/>
  <c r="C247" i="6"/>
  <c r="B247" i="6"/>
  <c r="A247" i="6"/>
  <c r="F246" i="6"/>
  <c r="E246" i="6"/>
  <c r="D246" i="6"/>
  <c r="C246" i="6"/>
  <c r="B246" i="6"/>
  <c r="A246" i="6"/>
  <c r="F245" i="6"/>
  <c r="E245" i="6"/>
  <c r="D245" i="6"/>
  <c r="C245" i="6"/>
  <c r="B245" i="6"/>
  <c r="A245" i="6"/>
  <c r="F244" i="6"/>
  <c r="E244" i="6"/>
  <c r="D244" i="6"/>
  <c r="C244" i="6"/>
  <c r="B244" i="6"/>
  <c r="A244" i="6"/>
  <c r="F243" i="6"/>
  <c r="E243" i="6"/>
  <c r="D243" i="6"/>
  <c r="C243" i="6"/>
  <c r="B243" i="6"/>
  <c r="A243" i="6"/>
  <c r="F242" i="6"/>
  <c r="E242" i="6"/>
  <c r="D242" i="6"/>
  <c r="C242" i="6"/>
  <c r="B242" i="6"/>
  <c r="A242" i="6"/>
  <c r="F241" i="6"/>
  <c r="E241" i="6"/>
  <c r="D241" i="6"/>
  <c r="C241" i="6"/>
  <c r="B241" i="6"/>
  <c r="A241" i="6"/>
  <c r="F240" i="6"/>
  <c r="E240" i="6"/>
  <c r="D240" i="6"/>
  <c r="C240" i="6"/>
  <c r="B240" i="6"/>
  <c r="A240" i="6"/>
  <c r="F239" i="6"/>
  <c r="E239" i="6"/>
  <c r="D239" i="6"/>
  <c r="C239" i="6"/>
  <c r="B239" i="6"/>
  <c r="A239" i="6"/>
  <c r="F238" i="6"/>
  <c r="E238" i="6"/>
  <c r="D238" i="6"/>
  <c r="C238" i="6"/>
  <c r="B238" i="6"/>
  <c r="A238" i="6"/>
  <c r="F237" i="6"/>
  <c r="E237" i="6"/>
  <c r="D237" i="6"/>
  <c r="C237" i="6"/>
  <c r="B237" i="6"/>
  <c r="A237" i="6"/>
  <c r="F236" i="6"/>
  <c r="E236" i="6"/>
  <c r="D236" i="6"/>
  <c r="C236" i="6"/>
  <c r="B236" i="6"/>
  <c r="A236" i="6"/>
  <c r="F235" i="6"/>
  <c r="E235" i="6"/>
  <c r="D235" i="6"/>
  <c r="C235" i="6"/>
  <c r="B235" i="6"/>
  <c r="A235" i="6"/>
  <c r="F234" i="6"/>
  <c r="E234" i="6"/>
  <c r="D234" i="6"/>
  <c r="C234" i="6"/>
  <c r="B234" i="6"/>
  <c r="A234" i="6"/>
  <c r="F233" i="6"/>
  <c r="E233" i="6"/>
  <c r="D233" i="6"/>
  <c r="C233" i="6"/>
  <c r="B233" i="6"/>
  <c r="A233" i="6"/>
  <c r="F232" i="6"/>
  <c r="E232" i="6"/>
  <c r="D232" i="6"/>
  <c r="C232" i="6"/>
  <c r="B232" i="6"/>
  <c r="A232" i="6"/>
  <c r="F231" i="6"/>
  <c r="E231" i="6"/>
  <c r="D231" i="6"/>
  <c r="C231" i="6"/>
  <c r="B231" i="6"/>
  <c r="A231" i="6"/>
  <c r="F230" i="6"/>
  <c r="E230" i="6"/>
  <c r="D230" i="6"/>
  <c r="C230" i="6"/>
  <c r="B230" i="6"/>
  <c r="A230" i="6"/>
  <c r="F229" i="6"/>
  <c r="E229" i="6"/>
  <c r="D229" i="6"/>
  <c r="C229" i="6"/>
  <c r="B229" i="6"/>
  <c r="A229" i="6"/>
  <c r="F228" i="6"/>
  <c r="E228" i="6"/>
  <c r="D228" i="6"/>
  <c r="C228" i="6"/>
  <c r="B228" i="6"/>
  <c r="A228" i="6"/>
  <c r="F227" i="6"/>
  <c r="E227" i="6"/>
  <c r="D227" i="6"/>
  <c r="C227" i="6"/>
  <c r="B227" i="6"/>
  <c r="A227" i="6"/>
  <c r="F226" i="6"/>
  <c r="E226" i="6"/>
  <c r="D226" i="6"/>
  <c r="C226" i="6"/>
  <c r="B226" i="6"/>
  <c r="A226" i="6"/>
  <c r="F225" i="6"/>
  <c r="E225" i="6"/>
  <c r="D225" i="6"/>
  <c r="C225" i="6"/>
  <c r="B225" i="6"/>
  <c r="A225" i="6"/>
  <c r="F224" i="6"/>
  <c r="E224" i="6"/>
  <c r="D224" i="6"/>
  <c r="C224" i="6"/>
  <c r="B224" i="6"/>
  <c r="A224" i="6"/>
  <c r="F223" i="6"/>
  <c r="E223" i="6"/>
  <c r="D223" i="6"/>
  <c r="C223" i="6"/>
  <c r="B223" i="6"/>
  <c r="A223" i="6"/>
  <c r="F222" i="6"/>
  <c r="E222" i="6"/>
  <c r="D222" i="6"/>
  <c r="C222" i="6"/>
  <c r="B222" i="6"/>
  <c r="A222" i="6"/>
  <c r="F221" i="6"/>
  <c r="E221" i="6"/>
  <c r="D221" i="6"/>
  <c r="C221" i="6"/>
  <c r="B221" i="6"/>
  <c r="A221" i="6"/>
  <c r="F220" i="6"/>
  <c r="E220" i="6"/>
  <c r="D220" i="6"/>
  <c r="C220" i="6"/>
  <c r="B220" i="6"/>
  <c r="A220" i="6"/>
  <c r="F219" i="6"/>
  <c r="E219" i="6"/>
  <c r="D219" i="6"/>
  <c r="C219" i="6"/>
  <c r="B219" i="6"/>
  <c r="A219" i="6"/>
  <c r="F218" i="6"/>
  <c r="E218" i="6"/>
  <c r="D218" i="6"/>
  <c r="C218" i="6"/>
  <c r="B218" i="6"/>
  <c r="A218" i="6"/>
  <c r="F217" i="6"/>
  <c r="E217" i="6"/>
  <c r="D217" i="6"/>
  <c r="C217" i="6"/>
  <c r="B217" i="6"/>
  <c r="A217" i="6"/>
  <c r="F216" i="6"/>
  <c r="E216" i="6"/>
  <c r="D216" i="6"/>
  <c r="C216" i="6"/>
  <c r="B216" i="6"/>
  <c r="A216" i="6"/>
  <c r="F215" i="6"/>
  <c r="E215" i="6"/>
  <c r="D215" i="6"/>
  <c r="C215" i="6"/>
  <c r="B215" i="6"/>
  <c r="A215" i="6"/>
  <c r="F214" i="6"/>
  <c r="E214" i="6"/>
  <c r="D214" i="6"/>
  <c r="C214" i="6"/>
  <c r="B214" i="6"/>
  <c r="A214" i="6"/>
  <c r="F213" i="6"/>
  <c r="E213" i="6"/>
  <c r="D213" i="6"/>
  <c r="C213" i="6"/>
  <c r="B213" i="6"/>
  <c r="A213" i="6"/>
  <c r="F212" i="6"/>
  <c r="E212" i="6"/>
  <c r="D212" i="6"/>
  <c r="C212" i="6"/>
  <c r="B212" i="6"/>
  <c r="A212" i="6"/>
  <c r="F211" i="6"/>
  <c r="E211" i="6"/>
  <c r="D211" i="6"/>
  <c r="C211" i="6"/>
  <c r="B211" i="6"/>
  <c r="A211" i="6"/>
  <c r="F210" i="6"/>
  <c r="E210" i="6"/>
  <c r="D210" i="6"/>
  <c r="C210" i="6"/>
  <c r="B210" i="6"/>
  <c r="A210" i="6"/>
  <c r="F209" i="6"/>
  <c r="E209" i="6"/>
  <c r="D209" i="6"/>
  <c r="C209" i="6"/>
  <c r="B209" i="6"/>
  <c r="A209" i="6"/>
  <c r="F208" i="6"/>
  <c r="E208" i="6"/>
  <c r="D208" i="6"/>
  <c r="C208" i="6"/>
  <c r="B208" i="6"/>
  <c r="A208" i="6"/>
  <c r="F207" i="6"/>
  <c r="E207" i="6"/>
  <c r="D207" i="6"/>
  <c r="C207" i="6"/>
  <c r="B207" i="6"/>
  <c r="A207" i="6"/>
  <c r="F206" i="6"/>
  <c r="E206" i="6"/>
  <c r="D206" i="6"/>
  <c r="C206" i="6"/>
  <c r="B206" i="6"/>
  <c r="A206" i="6"/>
  <c r="F205" i="6"/>
  <c r="E205" i="6"/>
  <c r="D205" i="6"/>
  <c r="C205" i="6"/>
  <c r="B205" i="6"/>
  <c r="A205" i="6"/>
  <c r="F204" i="6"/>
  <c r="E204" i="6"/>
  <c r="D204" i="6"/>
  <c r="C204" i="6"/>
  <c r="B204" i="6"/>
  <c r="A204" i="6"/>
  <c r="F203" i="6"/>
  <c r="E203" i="6"/>
  <c r="D203" i="6"/>
  <c r="C203" i="6"/>
  <c r="B203" i="6"/>
  <c r="A203" i="6"/>
  <c r="F202" i="6"/>
  <c r="E202" i="6"/>
  <c r="D202" i="6"/>
  <c r="C202" i="6"/>
  <c r="B202" i="6"/>
  <c r="A202" i="6"/>
  <c r="F201" i="6"/>
  <c r="E201" i="6"/>
  <c r="D201" i="6"/>
  <c r="C201" i="6"/>
  <c r="B201" i="6"/>
  <c r="A201" i="6"/>
  <c r="F200" i="6"/>
  <c r="E200" i="6"/>
  <c r="D200" i="6"/>
  <c r="C200" i="6"/>
  <c r="B200" i="6"/>
  <c r="A200" i="6"/>
  <c r="F199" i="6"/>
  <c r="E199" i="6"/>
  <c r="D199" i="6"/>
  <c r="C199" i="6"/>
  <c r="B199" i="6"/>
  <c r="A199" i="6"/>
  <c r="F198" i="6"/>
  <c r="E198" i="6"/>
  <c r="D198" i="6"/>
  <c r="C198" i="6"/>
  <c r="B198" i="6"/>
  <c r="A198" i="6"/>
  <c r="F197" i="6"/>
  <c r="E197" i="6"/>
  <c r="D197" i="6"/>
  <c r="C197" i="6"/>
  <c r="B197" i="6"/>
  <c r="A197" i="6"/>
  <c r="F196" i="6"/>
  <c r="E196" i="6"/>
  <c r="D196" i="6"/>
  <c r="C196" i="6"/>
  <c r="B196" i="6"/>
  <c r="A196" i="6"/>
  <c r="F195" i="6"/>
  <c r="E195" i="6"/>
  <c r="D195" i="6"/>
  <c r="C195" i="6"/>
  <c r="B195" i="6"/>
  <c r="A195" i="6"/>
  <c r="F194" i="6"/>
  <c r="E194" i="6"/>
  <c r="D194" i="6"/>
  <c r="C194" i="6"/>
  <c r="B194" i="6"/>
  <c r="A194" i="6"/>
  <c r="F193" i="6"/>
  <c r="E193" i="6"/>
  <c r="D193" i="6"/>
  <c r="C193" i="6"/>
  <c r="B193" i="6"/>
  <c r="A193" i="6"/>
  <c r="F192" i="6"/>
  <c r="E192" i="6"/>
  <c r="D192" i="6"/>
  <c r="C192" i="6"/>
  <c r="B192" i="6"/>
  <c r="A192" i="6"/>
  <c r="F191" i="6"/>
  <c r="E191" i="6"/>
  <c r="D191" i="6"/>
  <c r="C191" i="6"/>
  <c r="B191" i="6"/>
  <c r="A191" i="6"/>
  <c r="F190" i="6"/>
  <c r="E190" i="6"/>
  <c r="D190" i="6"/>
  <c r="C190" i="6"/>
  <c r="B190" i="6"/>
  <c r="A190" i="6"/>
  <c r="F189" i="6"/>
  <c r="E189" i="6"/>
  <c r="D189" i="6"/>
  <c r="C189" i="6"/>
  <c r="B189" i="6"/>
  <c r="A189" i="6"/>
  <c r="F188" i="6"/>
  <c r="E188" i="6"/>
  <c r="D188" i="6"/>
  <c r="C188" i="6"/>
  <c r="B188" i="6"/>
  <c r="A188" i="6"/>
  <c r="F187" i="6"/>
  <c r="E187" i="6"/>
  <c r="D187" i="6"/>
  <c r="C187" i="6"/>
  <c r="B187" i="6"/>
  <c r="A187" i="6"/>
  <c r="F186" i="6"/>
  <c r="E186" i="6"/>
  <c r="D186" i="6"/>
  <c r="C186" i="6"/>
  <c r="B186" i="6"/>
  <c r="A186" i="6"/>
  <c r="F185" i="6"/>
  <c r="E185" i="6"/>
  <c r="D185" i="6"/>
  <c r="C185" i="6"/>
  <c r="B185" i="6"/>
  <c r="A185" i="6"/>
  <c r="F184" i="6"/>
  <c r="E184" i="6"/>
  <c r="D184" i="6"/>
  <c r="C184" i="6"/>
  <c r="B184" i="6"/>
  <c r="A184" i="6"/>
  <c r="F183" i="6"/>
  <c r="E183" i="6"/>
  <c r="D183" i="6"/>
  <c r="C183" i="6"/>
  <c r="B183" i="6"/>
  <c r="A183" i="6"/>
  <c r="F182" i="6"/>
  <c r="E182" i="6"/>
  <c r="D182" i="6"/>
  <c r="C182" i="6"/>
  <c r="B182" i="6"/>
  <c r="A182" i="6"/>
  <c r="F181" i="6"/>
  <c r="E181" i="6"/>
  <c r="D181" i="6"/>
  <c r="C181" i="6"/>
  <c r="B181" i="6"/>
  <c r="A181" i="6"/>
  <c r="F180" i="6"/>
  <c r="E180" i="6"/>
  <c r="D180" i="6"/>
  <c r="C180" i="6"/>
  <c r="B180" i="6"/>
  <c r="A180" i="6"/>
  <c r="F179" i="6"/>
  <c r="E179" i="6"/>
  <c r="D179" i="6"/>
  <c r="C179" i="6"/>
  <c r="B179" i="6"/>
  <c r="A179" i="6"/>
  <c r="F178" i="6"/>
  <c r="E178" i="6"/>
  <c r="D178" i="6"/>
  <c r="C178" i="6"/>
  <c r="B178" i="6"/>
  <c r="A178" i="6"/>
  <c r="F177" i="6"/>
  <c r="E177" i="6"/>
  <c r="D177" i="6"/>
  <c r="C177" i="6"/>
  <c r="B177" i="6"/>
  <c r="A177" i="6"/>
  <c r="F176" i="6"/>
  <c r="E176" i="6"/>
  <c r="D176" i="6"/>
  <c r="C176" i="6"/>
  <c r="B176" i="6"/>
  <c r="A176" i="6"/>
  <c r="F175" i="6"/>
  <c r="E175" i="6"/>
  <c r="D175" i="6"/>
  <c r="C175" i="6"/>
  <c r="B175" i="6"/>
  <c r="A175" i="6"/>
  <c r="F174" i="6"/>
  <c r="E174" i="6"/>
  <c r="D174" i="6"/>
  <c r="C174" i="6"/>
  <c r="B174" i="6"/>
  <c r="A174" i="6"/>
  <c r="F173" i="6"/>
  <c r="E173" i="6"/>
  <c r="D173" i="6"/>
  <c r="C173" i="6"/>
  <c r="B173" i="6"/>
  <c r="A173" i="6"/>
  <c r="F172" i="6"/>
  <c r="E172" i="6"/>
  <c r="D172" i="6"/>
  <c r="C172" i="6"/>
  <c r="B172" i="6"/>
  <c r="A172" i="6"/>
  <c r="F171" i="6"/>
  <c r="E171" i="6"/>
  <c r="D171" i="6"/>
  <c r="C171" i="6"/>
  <c r="B171" i="6"/>
  <c r="A171" i="6"/>
  <c r="F170" i="6"/>
  <c r="E170" i="6"/>
  <c r="D170" i="6"/>
  <c r="C170" i="6"/>
  <c r="B170" i="6"/>
  <c r="A170" i="6"/>
  <c r="F169" i="6"/>
  <c r="E169" i="6"/>
  <c r="D169" i="6"/>
  <c r="C169" i="6"/>
  <c r="B169" i="6"/>
  <c r="A169" i="6"/>
  <c r="F168" i="6"/>
  <c r="E168" i="6"/>
  <c r="D168" i="6"/>
  <c r="C168" i="6"/>
  <c r="B168" i="6"/>
  <c r="A168" i="6"/>
  <c r="F167" i="6"/>
  <c r="E167" i="6"/>
  <c r="D167" i="6"/>
  <c r="C167" i="6"/>
  <c r="B167" i="6"/>
  <c r="A167" i="6"/>
  <c r="F166" i="6"/>
  <c r="E166" i="6"/>
  <c r="D166" i="6"/>
  <c r="C166" i="6"/>
  <c r="B166" i="6"/>
  <c r="A166" i="6"/>
  <c r="F165" i="6"/>
  <c r="E165" i="6"/>
  <c r="D165" i="6"/>
  <c r="C165" i="6"/>
  <c r="B165" i="6"/>
  <c r="A165" i="6"/>
  <c r="F164" i="6"/>
  <c r="E164" i="6"/>
  <c r="D164" i="6"/>
  <c r="C164" i="6"/>
  <c r="B164" i="6"/>
  <c r="A164" i="6"/>
  <c r="F163" i="6"/>
  <c r="E163" i="6"/>
  <c r="D163" i="6"/>
  <c r="C163" i="6"/>
  <c r="B163" i="6"/>
  <c r="A163" i="6"/>
  <c r="F162" i="6"/>
  <c r="E162" i="6"/>
  <c r="D162" i="6"/>
  <c r="C162" i="6"/>
  <c r="B162" i="6"/>
  <c r="A162" i="6"/>
  <c r="F161" i="6"/>
  <c r="E161" i="6"/>
  <c r="D161" i="6"/>
  <c r="C161" i="6"/>
  <c r="B161" i="6"/>
  <c r="A161" i="6"/>
  <c r="F160" i="6"/>
  <c r="E160" i="6"/>
  <c r="D160" i="6"/>
  <c r="C160" i="6"/>
  <c r="B160" i="6"/>
  <c r="A160" i="6"/>
  <c r="F159" i="6"/>
  <c r="E159" i="6"/>
  <c r="D159" i="6"/>
  <c r="C159" i="6"/>
  <c r="B159" i="6"/>
  <c r="A159" i="6"/>
  <c r="F158" i="6"/>
  <c r="E158" i="6"/>
  <c r="D158" i="6"/>
  <c r="C158" i="6"/>
  <c r="B158" i="6"/>
  <c r="A158" i="6"/>
  <c r="F157" i="6"/>
  <c r="E157" i="6"/>
  <c r="D157" i="6"/>
  <c r="C157" i="6"/>
  <c r="B157" i="6"/>
  <c r="A157" i="6"/>
  <c r="F156" i="6"/>
  <c r="E156" i="6"/>
  <c r="D156" i="6"/>
  <c r="C156" i="6"/>
  <c r="B156" i="6"/>
  <c r="A156" i="6"/>
  <c r="F155" i="6"/>
  <c r="E155" i="6"/>
  <c r="D155" i="6"/>
  <c r="C155" i="6"/>
  <c r="B155" i="6"/>
  <c r="A155" i="6"/>
  <c r="F154" i="6"/>
  <c r="E154" i="6"/>
  <c r="D154" i="6"/>
  <c r="C154" i="6"/>
  <c r="B154" i="6"/>
  <c r="A154" i="6"/>
  <c r="F153" i="6"/>
  <c r="E153" i="6"/>
  <c r="D153" i="6"/>
  <c r="C153" i="6"/>
  <c r="B153" i="6"/>
  <c r="A153" i="6"/>
  <c r="F152" i="6"/>
  <c r="E152" i="6"/>
  <c r="D152" i="6"/>
  <c r="C152" i="6"/>
  <c r="B152" i="6"/>
  <c r="A152" i="6"/>
  <c r="F151" i="6"/>
  <c r="E151" i="6"/>
  <c r="D151" i="6"/>
  <c r="C151" i="6"/>
  <c r="B151" i="6"/>
  <c r="A151" i="6"/>
  <c r="F150" i="6"/>
  <c r="E150" i="6"/>
  <c r="D150" i="6"/>
  <c r="C150" i="6"/>
  <c r="B150" i="6"/>
  <c r="A150" i="6"/>
  <c r="F149" i="6"/>
  <c r="E149" i="6"/>
  <c r="D149" i="6"/>
  <c r="C149" i="6"/>
  <c r="B149" i="6"/>
  <c r="A149" i="6"/>
  <c r="F148" i="6"/>
  <c r="E148" i="6"/>
  <c r="D148" i="6"/>
  <c r="C148" i="6"/>
  <c r="B148" i="6"/>
  <c r="A148" i="6"/>
  <c r="F147" i="6"/>
  <c r="E147" i="6"/>
  <c r="D147" i="6"/>
  <c r="C147" i="6"/>
  <c r="B147" i="6"/>
  <c r="A147" i="6"/>
  <c r="F146" i="6"/>
  <c r="E146" i="6"/>
  <c r="D146" i="6"/>
  <c r="C146" i="6"/>
  <c r="B146" i="6"/>
  <c r="A146" i="6"/>
  <c r="F145" i="6"/>
  <c r="E145" i="6"/>
  <c r="D145" i="6"/>
  <c r="C145" i="6"/>
  <c r="B145" i="6"/>
  <c r="A145" i="6"/>
  <c r="F144" i="6"/>
  <c r="E144" i="6"/>
  <c r="D144" i="6"/>
  <c r="C144" i="6"/>
  <c r="B144" i="6"/>
  <c r="A144" i="6"/>
  <c r="F143" i="6"/>
  <c r="E143" i="6"/>
  <c r="D143" i="6"/>
  <c r="C143" i="6"/>
  <c r="B143" i="6"/>
  <c r="A143" i="6"/>
  <c r="F142" i="6"/>
  <c r="E142" i="6"/>
  <c r="D142" i="6"/>
  <c r="C142" i="6"/>
  <c r="B142" i="6"/>
  <c r="A142" i="6"/>
  <c r="F141" i="6"/>
  <c r="E141" i="6"/>
  <c r="D141" i="6"/>
  <c r="C141" i="6"/>
  <c r="B141" i="6"/>
  <c r="A141" i="6"/>
  <c r="F140" i="6"/>
  <c r="E140" i="6"/>
  <c r="D140" i="6"/>
  <c r="C140" i="6"/>
  <c r="B140" i="6"/>
  <c r="A140" i="6"/>
  <c r="F139" i="6"/>
  <c r="E139" i="6"/>
  <c r="D139" i="6"/>
  <c r="C139" i="6"/>
  <c r="B139" i="6"/>
  <c r="A139" i="6"/>
  <c r="F138" i="6"/>
  <c r="E138" i="6"/>
  <c r="D138" i="6"/>
  <c r="C138" i="6"/>
  <c r="B138" i="6"/>
  <c r="A138" i="6"/>
  <c r="F137" i="6"/>
  <c r="E137" i="6"/>
  <c r="D137" i="6"/>
  <c r="C137" i="6"/>
  <c r="B137" i="6"/>
  <c r="A137" i="6"/>
  <c r="F136" i="6"/>
  <c r="E136" i="6"/>
  <c r="D136" i="6"/>
  <c r="C136" i="6"/>
  <c r="B136" i="6"/>
  <c r="A136" i="6"/>
  <c r="F135" i="6"/>
  <c r="E135" i="6"/>
  <c r="D135" i="6"/>
  <c r="C135" i="6"/>
  <c r="B135" i="6"/>
  <c r="A135" i="6"/>
  <c r="F134" i="6"/>
  <c r="E134" i="6"/>
  <c r="D134" i="6"/>
  <c r="C134" i="6"/>
  <c r="B134" i="6"/>
  <c r="A134" i="6"/>
  <c r="F133" i="6"/>
  <c r="E133" i="6"/>
  <c r="D133" i="6"/>
  <c r="C133" i="6"/>
  <c r="B133" i="6"/>
  <c r="A133" i="6"/>
  <c r="F132" i="6"/>
  <c r="E132" i="6"/>
  <c r="D132" i="6"/>
  <c r="C132" i="6"/>
  <c r="B132" i="6"/>
  <c r="A132" i="6"/>
  <c r="F131" i="6"/>
  <c r="E131" i="6"/>
  <c r="D131" i="6"/>
  <c r="C131" i="6"/>
  <c r="B131" i="6"/>
  <c r="A131" i="6"/>
  <c r="F130" i="6"/>
  <c r="E130" i="6"/>
  <c r="D130" i="6"/>
  <c r="C130" i="6"/>
  <c r="B130" i="6"/>
  <c r="A130" i="6"/>
  <c r="F129" i="6"/>
  <c r="E129" i="6"/>
  <c r="D129" i="6"/>
  <c r="C129" i="6"/>
  <c r="B129" i="6"/>
  <c r="A129" i="6"/>
  <c r="F128" i="6"/>
  <c r="E128" i="6"/>
  <c r="D128" i="6"/>
  <c r="C128" i="6"/>
  <c r="B128" i="6"/>
  <c r="A128" i="6"/>
  <c r="F127" i="6"/>
  <c r="E127" i="6"/>
  <c r="D127" i="6"/>
  <c r="C127" i="6"/>
  <c r="B127" i="6"/>
  <c r="A127" i="6"/>
  <c r="F126" i="6"/>
  <c r="E126" i="6"/>
  <c r="D126" i="6"/>
  <c r="C126" i="6"/>
  <c r="B126" i="6"/>
  <c r="A126" i="6"/>
  <c r="F125" i="6"/>
  <c r="E125" i="6"/>
  <c r="D125" i="6"/>
  <c r="C125" i="6"/>
  <c r="B125" i="6"/>
  <c r="A125" i="6"/>
  <c r="F124" i="6"/>
  <c r="E124" i="6"/>
  <c r="D124" i="6"/>
  <c r="C124" i="6"/>
  <c r="B124" i="6"/>
  <c r="A124" i="6"/>
  <c r="F123" i="6"/>
  <c r="E123" i="6"/>
  <c r="D123" i="6"/>
  <c r="C123" i="6"/>
  <c r="B123" i="6"/>
  <c r="A123" i="6"/>
  <c r="F122" i="6"/>
  <c r="E122" i="6"/>
  <c r="D122" i="6"/>
  <c r="C122" i="6"/>
  <c r="B122" i="6"/>
  <c r="A122" i="6"/>
  <c r="F121" i="6"/>
  <c r="E121" i="6"/>
  <c r="D121" i="6"/>
  <c r="C121" i="6"/>
  <c r="B121" i="6"/>
  <c r="A121" i="6"/>
  <c r="F120" i="6"/>
  <c r="E120" i="6"/>
  <c r="D120" i="6"/>
  <c r="C120" i="6"/>
  <c r="B120" i="6"/>
  <c r="A120" i="6"/>
  <c r="F119" i="6"/>
  <c r="E119" i="6"/>
  <c r="D119" i="6"/>
  <c r="C119" i="6"/>
  <c r="B119" i="6"/>
  <c r="A119" i="6"/>
  <c r="F118" i="6"/>
  <c r="E118" i="6"/>
  <c r="D118" i="6"/>
  <c r="C118" i="6"/>
  <c r="B118" i="6"/>
  <c r="A118" i="6"/>
  <c r="F117" i="6"/>
  <c r="E117" i="6"/>
  <c r="D117" i="6"/>
  <c r="C117" i="6"/>
  <c r="B117" i="6"/>
  <c r="A117" i="6"/>
  <c r="F116" i="6"/>
  <c r="E116" i="6"/>
  <c r="D116" i="6"/>
  <c r="C116" i="6"/>
  <c r="B116" i="6"/>
  <c r="A116" i="6"/>
  <c r="F115" i="6"/>
  <c r="E115" i="6"/>
  <c r="D115" i="6"/>
  <c r="C115" i="6"/>
  <c r="B115" i="6"/>
  <c r="A115" i="6"/>
  <c r="F114" i="6"/>
  <c r="E114" i="6"/>
  <c r="D114" i="6"/>
  <c r="C114" i="6"/>
  <c r="B114" i="6"/>
  <c r="A114" i="6"/>
  <c r="F113" i="6"/>
  <c r="E113" i="6"/>
  <c r="D113" i="6"/>
  <c r="C113" i="6"/>
  <c r="B113" i="6"/>
  <c r="A113" i="6"/>
  <c r="F112" i="6"/>
  <c r="E112" i="6"/>
  <c r="D112" i="6"/>
  <c r="C112" i="6"/>
  <c r="B112" i="6"/>
  <c r="A112" i="6"/>
  <c r="F111" i="6"/>
  <c r="E111" i="6"/>
  <c r="D111" i="6"/>
  <c r="C111" i="6"/>
  <c r="B111" i="6"/>
  <c r="A111" i="6"/>
  <c r="F110" i="6"/>
  <c r="E110" i="6"/>
  <c r="D110" i="6"/>
  <c r="C110" i="6"/>
  <c r="B110" i="6"/>
  <c r="A110" i="6"/>
  <c r="F109" i="6"/>
  <c r="E109" i="6"/>
  <c r="D109" i="6"/>
  <c r="C109" i="6"/>
  <c r="B109" i="6"/>
  <c r="A109" i="6"/>
  <c r="F108" i="6"/>
  <c r="E108" i="6"/>
  <c r="D108" i="6"/>
  <c r="C108" i="6"/>
  <c r="B108" i="6"/>
  <c r="A108" i="6"/>
  <c r="F107" i="6"/>
  <c r="E107" i="6"/>
  <c r="D107" i="6"/>
  <c r="C107" i="6"/>
  <c r="B107" i="6"/>
  <c r="A107" i="6"/>
  <c r="F106" i="6"/>
  <c r="E106" i="6"/>
  <c r="D106" i="6"/>
  <c r="C106" i="6"/>
  <c r="B106" i="6"/>
  <c r="A106" i="6"/>
  <c r="F105" i="6"/>
  <c r="E105" i="6"/>
  <c r="D105" i="6"/>
  <c r="C105" i="6"/>
  <c r="B105" i="6"/>
  <c r="A105" i="6"/>
  <c r="F104" i="6"/>
  <c r="E104" i="6"/>
  <c r="D104" i="6"/>
  <c r="C104" i="6"/>
  <c r="B104" i="6"/>
  <c r="A104" i="6"/>
  <c r="F103" i="6"/>
  <c r="E103" i="6"/>
  <c r="D103" i="6"/>
  <c r="C103" i="6"/>
  <c r="B103" i="6"/>
  <c r="A103" i="6"/>
  <c r="F102" i="6"/>
  <c r="E102" i="6"/>
  <c r="D102" i="6"/>
  <c r="C102" i="6"/>
  <c r="B102" i="6"/>
  <c r="A102" i="6"/>
  <c r="F101" i="6"/>
  <c r="E101" i="6"/>
  <c r="D101" i="6"/>
  <c r="C101" i="6"/>
  <c r="B101" i="6"/>
  <c r="A101" i="6"/>
  <c r="F100" i="6"/>
  <c r="E100" i="6"/>
  <c r="D100" i="6"/>
  <c r="C100" i="6"/>
  <c r="B100" i="6"/>
  <c r="A100" i="6"/>
  <c r="F99" i="6"/>
  <c r="E99" i="6"/>
  <c r="D99" i="6"/>
  <c r="C99" i="6"/>
  <c r="B99" i="6"/>
  <c r="A99" i="6"/>
  <c r="F98" i="6"/>
  <c r="E98" i="6"/>
  <c r="D98" i="6"/>
  <c r="C98" i="6"/>
  <c r="B98" i="6"/>
  <c r="A98" i="6"/>
  <c r="F97" i="6"/>
  <c r="E97" i="6"/>
  <c r="D97" i="6"/>
  <c r="C97" i="6"/>
  <c r="B97" i="6"/>
  <c r="A97" i="6"/>
  <c r="F96" i="6"/>
  <c r="E96" i="6"/>
  <c r="D96" i="6"/>
  <c r="C96" i="6"/>
  <c r="B96" i="6"/>
  <c r="A96" i="6"/>
  <c r="F95" i="6"/>
  <c r="E95" i="6"/>
  <c r="D95" i="6"/>
  <c r="C95" i="6"/>
  <c r="B95" i="6"/>
  <c r="A95" i="6"/>
  <c r="F94" i="6"/>
  <c r="E94" i="6"/>
  <c r="D94" i="6"/>
  <c r="C94" i="6"/>
  <c r="B94" i="6"/>
  <c r="A94" i="6"/>
  <c r="F93" i="6"/>
  <c r="E93" i="6"/>
  <c r="D93" i="6"/>
  <c r="C93" i="6"/>
  <c r="B93" i="6"/>
  <c r="A93" i="6"/>
  <c r="F92" i="6"/>
  <c r="E92" i="6"/>
  <c r="D92" i="6"/>
  <c r="C92" i="6"/>
  <c r="B92" i="6"/>
  <c r="A92" i="6"/>
  <c r="F91" i="6"/>
  <c r="E91" i="6"/>
  <c r="D91" i="6"/>
  <c r="C91" i="6"/>
  <c r="B91" i="6"/>
  <c r="A91" i="6"/>
  <c r="F90" i="6"/>
  <c r="E90" i="6"/>
  <c r="D90" i="6"/>
  <c r="C90" i="6"/>
  <c r="B90" i="6"/>
  <c r="A90" i="6"/>
  <c r="F89" i="6"/>
  <c r="E89" i="6"/>
  <c r="D89" i="6"/>
  <c r="C89" i="6"/>
  <c r="B89" i="6"/>
  <c r="A89" i="6"/>
  <c r="F88" i="6"/>
  <c r="E88" i="6"/>
  <c r="D88" i="6"/>
  <c r="C88" i="6"/>
  <c r="B88" i="6"/>
  <c r="A88" i="6"/>
  <c r="F87" i="6"/>
  <c r="E87" i="6"/>
  <c r="D87" i="6"/>
  <c r="C87" i="6"/>
  <c r="B87" i="6"/>
  <c r="A87" i="6"/>
  <c r="F86" i="6"/>
  <c r="E86" i="6"/>
  <c r="D86" i="6"/>
  <c r="C86" i="6"/>
  <c r="B86" i="6"/>
  <c r="A86" i="6"/>
  <c r="F85" i="6"/>
  <c r="E85" i="6"/>
  <c r="D85" i="6"/>
  <c r="C85" i="6"/>
  <c r="B85" i="6"/>
  <c r="A85" i="6"/>
  <c r="F84" i="6"/>
  <c r="E84" i="6"/>
  <c r="D84" i="6"/>
  <c r="C84" i="6"/>
  <c r="B84" i="6"/>
  <c r="A84" i="6"/>
  <c r="F83" i="6"/>
  <c r="E83" i="6"/>
  <c r="D83" i="6"/>
  <c r="C83" i="6"/>
  <c r="B83" i="6"/>
  <c r="A83" i="6"/>
  <c r="F82" i="6"/>
  <c r="E82" i="6"/>
  <c r="D82" i="6"/>
  <c r="C82" i="6"/>
  <c r="B82" i="6"/>
  <c r="A82" i="6"/>
  <c r="F81" i="6"/>
  <c r="E81" i="6"/>
  <c r="D81" i="6"/>
  <c r="C81" i="6"/>
  <c r="B81" i="6"/>
  <c r="A81" i="6"/>
  <c r="F80" i="6"/>
  <c r="E80" i="6"/>
  <c r="D80" i="6"/>
  <c r="C80" i="6"/>
  <c r="B80" i="6"/>
  <c r="A80" i="6"/>
  <c r="F79" i="6"/>
  <c r="E79" i="6"/>
  <c r="D79" i="6"/>
  <c r="C79" i="6"/>
  <c r="B79" i="6"/>
  <c r="A79" i="6"/>
  <c r="F78" i="6"/>
  <c r="E78" i="6"/>
  <c r="D78" i="6"/>
  <c r="C78" i="6"/>
  <c r="B78" i="6"/>
  <c r="A78" i="6"/>
  <c r="F77" i="6"/>
  <c r="E77" i="6"/>
  <c r="D77" i="6"/>
  <c r="C77" i="6"/>
  <c r="B77" i="6"/>
  <c r="A77" i="6"/>
  <c r="F76" i="6"/>
  <c r="E76" i="6"/>
  <c r="D76" i="6"/>
  <c r="C76" i="6"/>
  <c r="B76" i="6"/>
  <c r="A76" i="6"/>
  <c r="F75" i="6"/>
  <c r="E75" i="6"/>
  <c r="D75" i="6"/>
  <c r="C75" i="6"/>
  <c r="B75" i="6"/>
  <c r="A75" i="6"/>
  <c r="F74" i="6"/>
  <c r="E74" i="6"/>
  <c r="D74" i="6"/>
  <c r="C74" i="6"/>
  <c r="B74" i="6"/>
  <c r="A74" i="6"/>
  <c r="F73" i="6"/>
  <c r="E73" i="6"/>
  <c r="D73" i="6"/>
  <c r="C73" i="6"/>
  <c r="B73" i="6"/>
  <c r="A73" i="6"/>
  <c r="F72" i="6"/>
  <c r="E72" i="6"/>
  <c r="D72" i="6"/>
  <c r="C72" i="6"/>
  <c r="B72" i="6"/>
  <c r="A72" i="6"/>
  <c r="F71" i="6"/>
  <c r="E71" i="6"/>
  <c r="D71" i="6"/>
  <c r="C71" i="6"/>
  <c r="B71" i="6"/>
  <c r="A71" i="6"/>
  <c r="F70" i="6"/>
  <c r="E70" i="6"/>
  <c r="D70" i="6"/>
  <c r="C70" i="6"/>
  <c r="B70" i="6"/>
  <c r="A70" i="6"/>
  <c r="F69" i="6"/>
  <c r="E69" i="6"/>
  <c r="D69" i="6"/>
  <c r="C69" i="6"/>
  <c r="B69" i="6"/>
  <c r="A69" i="6"/>
  <c r="F68" i="6"/>
  <c r="E68" i="6"/>
  <c r="D68" i="6"/>
  <c r="C68" i="6"/>
  <c r="B68" i="6"/>
  <c r="A68" i="6"/>
  <c r="F67" i="6"/>
  <c r="E67" i="6"/>
  <c r="D67" i="6"/>
  <c r="C67" i="6"/>
  <c r="B67" i="6"/>
  <c r="A67" i="6"/>
  <c r="F66" i="6"/>
  <c r="E66" i="6"/>
  <c r="D66" i="6"/>
  <c r="C66" i="6"/>
  <c r="B66" i="6"/>
  <c r="A66" i="6"/>
  <c r="F65" i="6"/>
  <c r="E65" i="6"/>
  <c r="D65" i="6"/>
  <c r="C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C62" i="6"/>
  <c r="B62" i="6"/>
  <c r="A62" i="6"/>
  <c r="F61" i="6"/>
  <c r="E61" i="6"/>
  <c r="D61" i="6"/>
  <c r="C61" i="6"/>
  <c r="B61" i="6"/>
  <c r="A61" i="6"/>
  <c r="F60" i="6"/>
  <c r="E60" i="6"/>
  <c r="D60" i="6"/>
  <c r="C60" i="6"/>
  <c r="B60" i="6"/>
  <c r="A60" i="6"/>
  <c r="F59" i="6"/>
  <c r="E59" i="6"/>
  <c r="D59" i="6"/>
  <c r="C59" i="6"/>
  <c r="B59" i="6"/>
  <c r="A59" i="6"/>
  <c r="F58" i="6"/>
  <c r="E58" i="6"/>
  <c r="D58" i="6"/>
  <c r="C58" i="6"/>
  <c r="B58" i="6"/>
  <c r="A58" i="6"/>
  <c r="F57" i="6"/>
  <c r="E57" i="6"/>
  <c r="D57" i="6"/>
  <c r="C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C53" i="6"/>
  <c r="B53" i="6"/>
  <c r="A53" i="6"/>
  <c r="F52" i="6"/>
  <c r="E52" i="6"/>
  <c r="D52" i="6"/>
  <c r="C52" i="6"/>
  <c r="B52" i="6"/>
  <c r="A52" i="6"/>
  <c r="F51" i="6"/>
  <c r="E51" i="6"/>
  <c r="D51" i="6"/>
  <c r="C51" i="6"/>
  <c r="B51" i="6"/>
  <c r="A51" i="6"/>
  <c r="F50" i="6"/>
  <c r="E50" i="6"/>
  <c r="D50" i="6"/>
  <c r="C50" i="6"/>
  <c r="B50" i="6"/>
  <c r="A50" i="6"/>
  <c r="F49" i="6"/>
  <c r="E49" i="6"/>
  <c r="D49" i="6"/>
  <c r="C49" i="6"/>
  <c r="B49" i="6"/>
  <c r="A49" i="6"/>
  <c r="F48" i="6"/>
  <c r="E48" i="6"/>
  <c r="D48" i="6"/>
  <c r="C48" i="6"/>
  <c r="B48" i="6"/>
  <c r="A48" i="6"/>
  <c r="F47" i="6"/>
  <c r="E47" i="6"/>
  <c r="D47" i="6"/>
  <c r="C47" i="6"/>
  <c r="B47" i="6"/>
  <c r="A47" i="6"/>
  <c r="F46" i="6"/>
  <c r="E46" i="6"/>
  <c r="D46" i="6"/>
  <c r="C46" i="6"/>
  <c r="B46" i="6"/>
  <c r="A46" i="6"/>
  <c r="F45" i="6"/>
  <c r="E45" i="6"/>
  <c r="D45" i="6"/>
  <c r="C45" i="6"/>
  <c r="B45" i="6"/>
  <c r="A45" i="6"/>
  <c r="F44" i="6"/>
  <c r="E44" i="6"/>
  <c r="D44" i="6"/>
  <c r="C44" i="6"/>
  <c r="B44" i="6"/>
  <c r="A44" i="6"/>
  <c r="F43" i="6"/>
  <c r="E43" i="6"/>
  <c r="D43" i="6"/>
  <c r="C43" i="6"/>
  <c r="B43" i="6"/>
  <c r="A43" i="6"/>
  <c r="F42" i="6"/>
  <c r="E42" i="6"/>
  <c r="D42" i="6"/>
  <c r="C42" i="6"/>
  <c r="B42" i="6"/>
  <c r="A42" i="6"/>
  <c r="F41" i="6"/>
  <c r="E41" i="6"/>
  <c r="D41" i="6"/>
  <c r="C41" i="6"/>
  <c r="B41" i="6"/>
  <c r="A41" i="6"/>
  <c r="F40" i="6"/>
  <c r="E40" i="6"/>
  <c r="D40" i="6"/>
  <c r="C40" i="6"/>
  <c r="B40" i="6"/>
  <c r="A40" i="6"/>
  <c r="F39" i="6"/>
  <c r="E39" i="6"/>
  <c r="D39" i="6"/>
  <c r="C39" i="6"/>
  <c r="B39" i="6"/>
  <c r="A39" i="6"/>
  <c r="F38" i="6"/>
  <c r="E38" i="6"/>
  <c r="D38" i="6"/>
  <c r="C38" i="6"/>
  <c r="B38" i="6"/>
  <c r="A38" i="6"/>
  <c r="F37" i="6"/>
  <c r="E37" i="6"/>
  <c r="D37" i="6"/>
  <c r="C37" i="6"/>
  <c r="B37" i="6"/>
  <c r="A37" i="6"/>
  <c r="F36" i="6"/>
  <c r="E36" i="6"/>
  <c r="D36" i="6"/>
  <c r="C36" i="6"/>
  <c r="B36" i="6"/>
  <c r="A36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E33" i="6"/>
  <c r="D33" i="6"/>
  <c r="C33" i="6"/>
  <c r="B33" i="6"/>
  <c r="A33" i="6"/>
  <c r="F32" i="6"/>
  <c r="E32" i="6"/>
  <c r="D32" i="6"/>
  <c r="C32" i="6"/>
  <c r="B32" i="6"/>
  <c r="A32" i="6"/>
  <c r="F31" i="6"/>
  <c r="E31" i="6"/>
  <c r="D31" i="6"/>
  <c r="C31" i="6"/>
  <c r="B31" i="6"/>
  <c r="A31" i="6"/>
  <c r="F30" i="6"/>
  <c r="E30" i="6"/>
  <c r="D30" i="6"/>
  <c r="C30" i="6"/>
  <c r="B30" i="6"/>
  <c r="A30" i="6"/>
  <c r="F29" i="6"/>
  <c r="E29" i="6"/>
  <c r="D29" i="6"/>
  <c r="C29" i="6"/>
  <c r="B29" i="6"/>
  <c r="A29" i="6"/>
  <c r="F28" i="6"/>
  <c r="E28" i="6"/>
  <c r="D28" i="6"/>
  <c r="C28" i="6"/>
  <c r="B28" i="6"/>
  <c r="A28" i="6"/>
  <c r="F27" i="6"/>
  <c r="E27" i="6"/>
  <c r="D27" i="6"/>
  <c r="C27" i="6"/>
  <c r="B27" i="6"/>
  <c r="A27" i="6"/>
  <c r="F26" i="6"/>
  <c r="E26" i="6"/>
  <c r="D26" i="6"/>
  <c r="C26" i="6"/>
  <c r="B26" i="6"/>
  <c r="A26" i="6"/>
  <c r="F25" i="6"/>
  <c r="E25" i="6"/>
  <c r="D25" i="6"/>
  <c r="C25" i="6"/>
  <c r="B25" i="6"/>
  <c r="A25" i="6"/>
  <c r="F24" i="6"/>
  <c r="E24" i="6"/>
  <c r="D24" i="6"/>
  <c r="C24" i="6"/>
  <c r="B24" i="6"/>
  <c r="A24" i="6"/>
  <c r="F23" i="6"/>
  <c r="E23" i="6"/>
  <c r="D23" i="6"/>
  <c r="C23" i="6"/>
  <c r="B23" i="6"/>
  <c r="A23" i="6"/>
  <c r="F22" i="6"/>
  <c r="E22" i="6"/>
  <c r="D22" i="6"/>
  <c r="C22" i="6"/>
  <c r="B22" i="6"/>
  <c r="A22" i="6"/>
  <c r="F21" i="6"/>
  <c r="E21" i="6"/>
  <c r="D21" i="6"/>
  <c r="C21" i="6"/>
  <c r="B21" i="6"/>
  <c r="A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F11" i="6"/>
  <c r="E11" i="6"/>
  <c r="D11" i="6"/>
  <c r="C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3" i="6"/>
  <c r="E3" i="6"/>
  <c r="D3" i="6"/>
  <c r="C3" i="6"/>
  <c r="B3" i="6"/>
  <c r="A3" i="6"/>
  <c r="F2" i="6"/>
  <c r="E2" i="6"/>
  <c r="D2" i="6"/>
  <c r="C2" i="6"/>
  <c r="B2" i="6"/>
  <c r="A2" i="6"/>
  <c r="F1" i="6"/>
  <c r="E1" i="6"/>
  <c r="D1" i="6"/>
  <c r="C1" i="6"/>
  <c r="B1" i="6"/>
  <c r="A1" i="6"/>
  <c r="F327" i="5"/>
  <c r="E327" i="5"/>
  <c r="D327" i="5"/>
  <c r="C327" i="5"/>
  <c r="B327" i="5"/>
  <c r="A327" i="5"/>
  <c r="F326" i="5"/>
  <c r="E326" i="5"/>
  <c r="D326" i="5"/>
  <c r="C326" i="5"/>
  <c r="B326" i="5"/>
  <c r="A326" i="5"/>
  <c r="F325" i="5"/>
  <c r="E325" i="5"/>
  <c r="D325" i="5"/>
  <c r="C325" i="5"/>
  <c r="B325" i="5"/>
  <c r="A325" i="5"/>
  <c r="F324" i="5"/>
  <c r="E324" i="5"/>
  <c r="D324" i="5"/>
  <c r="C324" i="5"/>
  <c r="B324" i="5"/>
  <c r="A324" i="5"/>
  <c r="F323" i="5"/>
  <c r="E323" i="5"/>
  <c r="D323" i="5"/>
  <c r="C323" i="5"/>
  <c r="B323" i="5"/>
  <c r="A323" i="5"/>
  <c r="F322" i="5"/>
  <c r="E322" i="5"/>
  <c r="D322" i="5"/>
  <c r="C322" i="5"/>
  <c r="B322" i="5"/>
  <c r="A322" i="5"/>
  <c r="F321" i="5"/>
  <c r="E321" i="5"/>
  <c r="D321" i="5"/>
  <c r="C321" i="5"/>
  <c r="B321" i="5"/>
  <c r="A321" i="5"/>
  <c r="F320" i="5"/>
  <c r="E320" i="5"/>
  <c r="D320" i="5"/>
  <c r="C320" i="5"/>
  <c r="B320" i="5"/>
  <c r="A320" i="5"/>
  <c r="F319" i="5"/>
  <c r="E319" i="5"/>
  <c r="D319" i="5"/>
  <c r="C319" i="5"/>
  <c r="B319" i="5"/>
  <c r="A319" i="5"/>
  <c r="F318" i="5"/>
  <c r="E318" i="5"/>
  <c r="D318" i="5"/>
  <c r="C318" i="5"/>
  <c r="B318" i="5"/>
  <c r="A318" i="5"/>
  <c r="F317" i="5"/>
  <c r="E317" i="5"/>
  <c r="D317" i="5"/>
  <c r="C317" i="5"/>
  <c r="B317" i="5"/>
  <c r="A317" i="5"/>
  <c r="F316" i="5"/>
  <c r="E316" i="5"/>
  <c r="D316" i="5"/>
  <c r="C316" i="5"/>
  <c r="B316" i="5"/>
  <c r="A316" i="5"/>
  <c r="F315" i="5"/>
  <c r="E315" i="5"/>
  <c r="D315" i="5"/>
  <c r="C315" i="5"/>
  <c r="B315" i="5"/>
  <c r="A315" i="5"/>
  <c r="F314" i="5"/>
  <c r="E314" i="5"/>
  <c r="D314" i="5"/>
  <c r="C314" i="5"/>
  <c r="B314" i="5"/>
  <c r="A314" i="5"/>
  <c r="F313" i="5"/>
  <c r="E313" i="5"/>
  <c r="D313" i="5"/>
  <c r="C313" i="5"/>
  <c r="B313" i="5"/>
  <c r="A313" i="5"/>
  <c r="F312" i="5"/>
  <c r="E312" i="5"/>
  <c r="D312" i="5"/>
  <c r="C312" i="5"/>
  <c r="B312" i="5"/>
  <c r="A312" i="5"/>
  <c r="F311" i="5"/>
  <c r="E311" i="5"/>
  <c r="D311" i="5"/>
  <c r="C311" i="5"/>
  <c r="B311" i="5"/>
  <c r="A311" i="5"/>
  <c r="F310" i="5"/>
  <c r="E310" i="5"/>
  <c r="D310" i="5"/>
  <c r="C310" i="5"/>
  <c r="B310" i="5"/>
  <c r="A310" i="5"/>
  <c r="F309" i="5"/>
  <c r="E309" i="5"/>
  <c r="D309" i="5"/>
  <c r="C309" i="5"/>
  <c r="B309" i="5"/>
  <c r="A309" i="5"/>
  <c r="F308" i="5"/>
  <c r="E308" i="5"/>
  <c r="D308" i="5"/>
  <c r="C308" i="5"/>
  <c r="B308" i="5"/>
  <c r="A308" i="5"/>
  <c r="F307" i="5"/>
  <c r="E307" i="5"/>
  <c r="D307" i="5"/>
  <c r="C307" i="5"/>
  <c r="B307" i="5"/>
  <c r="A307" i="5"/>
  <c r="F306" i="5"/>
  <c r="E306" i="5"/>
  <c r="D306" i="5"/>
  <c r="C306" i="5"/>
  <c r="B306" i="5"/>
  <c r="A306" i="5"/>
  <c r="F305" i="5"/>
  <c r="E305" i="5"/>
  <c r="D305" i="5"/>
  <c r="C305" i="5"/>
  <c r="B305" i="5"/>
  <c r="A305" i="5"/>
  <c r="F304" i="5"/>
  <c r="E304" i="5"/>
  <c r="D304" i="5"/>
  <c r="C304" i="5"/>
  <c r="B304" i="5"/>
  <c r="A304" i="5"/>
  <c r="F303" i="5"/>
  <c r="E303" i="5"/>
  <c r="D303" i="5"/>
  <c r="C303" i="5"/>
  <c r="B303" i="5"/>
  <c r="A303" i="5"/>
  <c r="F302" i="5"/>
  <c r="E302" i="5"/>
  <c r="D302" i="5"/>
  <c r="C302" i="5"/>
  <c r="B302" i="5"/>
  <c r="A302" i="5"/>
  <c r="F301" i="5"/>
  <c r="E301" i="5"/>
  <c r="D301" i="5"/>
  <c r="C301" i="5"/>
  <c r="B301" i="5"/>
  <c r="A301" i="5"/>
  <c r="F300" i="5"/>
  <c r="E300" i="5"/>
  <c r="D300" i="5"/>
  <c r="C300" i="5"/>
  <c r="B300" i="5"/>
  <c r="A300" i="5"/>
  <c r="F299" i="5"/>
  <c r="E299" i="5"/>
  <c r="D299" i="5"/>
  <c r="C299" i="5"/>
  <c r="B299" i="5"/>
  <c r="A299" i="5"/>
  <c r="F298" i="5"/>
  <c r="E298" i="5"/>
  <c r="D298" i="5"/>
  <c r="C298" i="5"/>
  <c r="B298" i="5"/>
  <c r="A298" i="5"/>
  <c r="F297" i="5"/>
  <c r="E297" i="5"/>
  <c r="D297" i="5"/>
  <c r="C297" i="5"/>
  <c r="B297" i="5"/>
  <c r="A297" i="5"/>
  <c r="F296" i="5"/>
  <c r="E296" i="5"/>
  <c r="D296" i="5"/>
  <c r="C296" i="5"/>
  <c r="B296" i="5"/>
  <c r="A296" i="5"/>
  <c r="F295" i="5"/>
  <c r="E295" i="5"/>
  <c r="D295" i="5"/>
  <c r="C295" i="5"/>
  <c r="B295" i="5"/>
  <c r="A295" i="5"/>
  <c r="F294" i="5"/>
  <c r="E294" i="5"/>
  <c r="D294" i="5"/>
  <c r="C294" i="5"/>
  <c r="B294" i="5"/>
  <c r="A294" i="5"/>
  <c r="F293" i="5"/>
  <c r="E293" i="5"/>
  <c r="D293" i="5"/>
  <c r="C293" i="5"/>
  <c r="B293" i="5"/>
  <c r="A293" i="5"/>
  <c r="F292" i="5"/>
  <c r="E292" i="5"/>
  <c r="D292" i="5"/>
  <c r="C292" i="5"/>
  <c r="B292" i="5"/>
  <c r="A292" i="5"/>
  <c r="F291" i="5"/>
  <c r="E291" i="5"/>
  <c r="D291" i="5"/>
  <c r="C291" i="5"/>
  <c r="B291" i="5"/>
  <c r="A291" i="5"/>
  <c r="F290" i="5"/>
  <c r="E290" i="5"/>
  <c r="D290" i="5"/>
  <c r="C290" i="5"/>
  <c r="B290" i="5"/>
  <c r="A290" i="5"/>
  <c r="F289" i="5"/>
  <c r="E289" i="5"/>
  <c r="D289" i="5"/>
  <c r="C289" i="5"/>
  <c r="B289" i="5"/>
  <c r="A289" i="5"/>
  <c r="F288" i="5"/>
  <c r="E288" i="5"/>
  <c r="D288" i="5"/>
  <c r="C288" i="5"/>
  <c r="B288" i="5"/>
  <c r="A288" i="5"/>
  <c r="F287" i="5"/>
  <c r="E287" i="5"/>
  <c r="D287" i="5"/>
  <c r="C287" i="5"/>
  <c r="B287" i="5"/>
  <c r="A287" i="5"/>
  <c r="F286" i="5"/>
  <c r="E286" i="5"/>
  <c r="D286" i="5"/>
  <c r="C286" i="5"/>
  <c r="B286" i="5"/>
  <c r="A286" i="5"/>
  <c r="F285" i="5"/>
  <c r="E285" i="5"/>
  <c r="D285" i="5"/>
  <c r="C285" i="5"/>
  <c r="B285" i="5"/>
  <c r="A285" i="5"/>
  <c r="F284" i="5"/>
  <c r="E284" i="5"/>
  <c r="D284" i="5"/>
  <c r="C284" i="5"/>
  <c r="B284" i="5"/>
  <c r="A284" i="5"/>
  <c r="F283" i="5"/>
  <c r="E283" i="5"/>
  <c r="D283" i="5"/>
  <c r="C283" i="5"/>
  <c r="B283" i="5"/>
  <c r="A283" i="5"/>
  <c r="F282" i="5"/>
  <c r="E282" i="5"/>
  <c r="D282" i="5"/>
  <c r="C282" i="5"/>
  <c r="B282" i="5"/>
  <c r="A282" i="5"/>
  <c r="F281" i="5"/>
  <c r="E281" i="5"/>
  <c r="D281" i="5"/>
  <c r="C281" i="5"/>
  <c r="B281" i="5"/>
  <c r="A281" i="5"/>
  <c r="F280" i="5"/>
  <c r="E280" i="5"/>
  <c r="D280" i="5"/>
  <c r="C280" i="5"/>
  <c r="B280" i="5"/>
  <c r="A280" i="5"/>
  <c r="F279" i="5"/>
  <c r="E279" i="5"/>
  <c r="D279" i="5"/>
  <c r="C279" i="5"/>
  <c r="B279" i="5"/>
  <c r="A279" i="5"/>
  <c r="F278" i="5"/>
  <c r="E278" i="5"/>
  <c r="D278" i="5"/>
  <c r="C278" i="5"/>
  <c r="B278" i="5"/>
  <c r="A278" i="5"/>
  <c r="F277" i="5"/>
  <c r="E277" i="5"/>
  <c r="D277" i="5"/>
  <c r="C277" i="5"/>
  <c r="B277" i="5"/>
  <c r="A277" i="5"/>
  <c r="F276" i="5"/>
  <c r="E276" i="5"/>
  <c r="D276" i="5"/>
  <c r="C276" i="5"/>
  <c r="B276" i="5"/>
  <c r="A276" i="5"/>
  <c r="F275" i="5"/>
  <c r="E275" i="5"/>
  <c r="D275" i="5"/>
  <c r="C275" i="5"/>
  <c r="B275" i="5"/>
  <c r="A275" i="5"/>
  <c r="F274" i="5"/>
  <c r="E274" i="5"/>
  <c r="D274" i="5"/>
  <c r="C274" i="5"/>
  <c r="B274" i="5"/>
  <c r="A274" i="5"/>
  <c r="F273" i="5"/>
  <c r="E273" i="5"/>
  <c r="D273" i="5"/>
  <c r="C273" i="5"/>
  <c r="B273" i="5"/>
  <c r="A273" i="5"/>
  <c r="F272" i="5"/>
  <c r="E272" i="5"/>
  <c r="D272" i="5"/>
  <c r="C272" i="5"/>
  <c r="B272" i="5"/>
  <c r="A272" i="5"/>
  <c r="F271" i="5"/>
  <c r="E271" i="5"/>
  <c r="D271" i="5"/>
  <c r="C271" i="5"/>
  <c r="B271" i="5"/>
  <c r="A271" i="5"/>
  <c r="F270" i="5"/>
  <c r="E270" i="5"/>
  <c r="D270" i="5"/>
  <c r="C270" i="5"/>
  <c r="B270" i="5"/>
  <c r="A270" i="5"/>
  <c r="F269" i="5"/>
  <c r="E269" i="5"/>
  <c r="D269" i="5"/>
  <c r="C269" i="5"/>
  <c r="B269" i="5"/>
  <c r="A269" i="5"/>
  <c r="F268" i="5"/>
  <c r="E268" i="5"/>
  <c r="D268" i="5"/>
  <c r="C268" i="5"/>
  <c r="B268" i="5"/>
  <c r="A268" i="5"/>
  <c r="F267" i="5"/>
  <c r="E267" i="5"/>
  <c r="D267" i="5"/>
  <c r="C267" i="5"/>
  <c r="B267" i="5"/>
  <c r="A267" i="5"/>
  <c r="F266" i="5"/>
  <c r="E266" i="5"/>
  <c r="D266" i="5"/>
  <c r="C266" i="5"/>
  <c r="B266" i="5"/>
  <c r="A266" i="5"/>
  <c r="F265" i="5"/>
  <c r="E265" i="5"/>
  <c r="D265" i="5"/>
  <c r="C265" i="5"/>
  <c r="B265" i="5"/>
  <c r="A265" i="5"/>
  <c r="F264" i="5"/>
  <c r="E264" i="5"/>
  <c r="D264" i="5"/>
  <c r="C264" i="5"/>
  <c r="B264" i="5"/>
  <c r="A264" i="5"/>
  <c r="F263" i="5"/>
  <c r="E263" i="5"/>
  <c r="D263" i="5"/>
  <c r="C263" i="5"/>
  <c r="B263" i="5"/>
  <c r="A263" i="5"/>
  <c r="F262" i="5"/>
  <c r="E262" i="5"/>
  <c r="D262" i="5"/>
  <c r="C262" i="5"/>
  <c r="B262" i="5"/>
  <c r="A262" i="5"/>
  <c r="F261" i="5"/>
  <c r="E261" i="5"/>
  <c r="D261" i="5"/>
  <c r="C261" i="5"/>
  <c r="B261" i="5"/>
  <c r="A261" i="5"/>
  <c r="F260" i="5"/>
  <c r="E260" i="5"/>
  <c r="D260" i="5"/>
  <c r="C260" i="5"/>
  <c r="B260" i="5"/>
  <c r="A260" i="5"/>
  <c r="F259" i="5"/>
  <c r="E259" i="5"/>
  <c r="D259" i="5"/>
  <c r="C259" i="5"/>
  <c r="B259" i="5"/>
  <c r="A259" i="5"/>
  <c r="F258" i="5"/>
  <c r="E258" i="5"/>
  <c r="D258" i="5"/>
  <c r="C258" i="5"/>
  <c r="B258" i="5"/>
  <c r="A258" i="5"/>
  <c r="F257" i="5"/>
  <c r="E257" i="5"/>
  <c r="D257" i="5"/>
  <c r="C257" i="5"/>
  <c r="B257" i="5"/>
  <c r="A257" i="5"/>
  <c r="F256" i="5"/>
  <c r="E256" i="5"/>
  <c r="D256" i="5"/>
  <c r="C256" i="5"/>
  <c r="B256" i="5"/>
  <c r="A256" i="5"/>
  <c r="F255" i="5"/>
  <c r="E255" i="5"/>
  <c r="D255" i="5"/>
  <c r="C255" i="5"/>
  <c r="B255" i="5"/>
  <c r="A255" i="5"/>
  <c r="F254" i="5"/>
  <c r="E254" i="5"/>
  <c r="D254" i="5"/>
  <c r="C254" i="5"/>
  <c r="B254" i="5"/>
  <c r="A254" i="5"/>
  <c r="F253" i="5"/>
  <c r="E253" i="5"/>
  <c r="D253" i="5"/>
  <c r="C253" i="5"/>
  <c r="B253" i="5"/>
  <c r="A253" i="5"/>
  <c r="F252" i="5"/>
  <c r="E252" i="5"/>
  <c r="D252" i="5"/>
  <c r="C252" i="5"/>
  <c r="B252" i="5"/>
  <c r="A252" i="5"/>
  <c r="F251" i="5"/>
  <c r="E251" i="5"/>
  <c r="D251" i="5"/>
  <c r="C251" i="5"/>
  <c r="B251" i="5"/>
  <c r="A251" i="5"/>
  <c r="F250" i="5"/>
  <c r="E250" i="5"/>
  <c r="D250" i="5"/>
  <c r="C250" i="5"/>
  <c r="B250" i="5"/>
  <c r="A250" i="5"/>
  <c r="F249" i="5"/>
  <c r="E249" i="5"/>
  <c r="D249" i="5"/>
  <c r="C249" i="5"/>
  <c r="B249" i="5"/>
  <c r="A249" i="5"/>
  <c r="F248" i="5"/>
  <c r="E248" i="5"/>
  <c r="D248" i="5"/>
  <c r="C248" i="5"/>
  <c r="B248" i="5"/>
  <c r="A248" i="5"/>
  <c r="F247" i="5"/>
  <c r="E247" i="5"/>
  <c r="D247" i="5"/>
  <c r="C247" i="5"/>
  <c r="B247" i="5"/>
  <c r="A247" i="5"/>
  <c r="F246" i="5"/>
  <c r="E246" i="5"/>
  <c r="D246" i="5"/>
  <c r="C246" i="5"/>
  <c r="B246" i="5"/>
  <c r="A246" i="5"/>
  <c r="F245" i="5"/>
  <c r="E245" i="5"/>
  <c r="D245" i="5"/>
  <c r="C245" i="5"/>
  <c r="B245" i="5"/>
  <c r="A245" i="5"/>
  <c r="F244" i="5"/>
  <c r="E244" i="5"/>
  <c r="D244" i="5"/>
  <c r="C244" i="5"/>
  <c r="B244" i="5"/>
  <c r="A244" i="5"/>
  <c r="F243" i="5"/>
  <c r="E243" i="5"/>
  <c r="D243" i="5"/>
  <c r="C243" i="5"/>
  <c r="B243" i="5"/>
  <c r="A243" i="5"/>
  <c r="F242" i="5"/>
  <c r="E242" i="5"/>
  <c r="D242" i="5"/>
  <c r="C242" i="5"/>
  <c r="B242" i="5"/>
  <c r="A242" i="5"/>
  <c r="F241" i="5"/>
  <c r="E241" i="5"/>
  <c r="D241" i="5"/>
  <c r="C241" i="5"/>
  <c r="B241" i="5"/>
  <c r="A241" i="5"/>
  <c r="F240" i="5"/>
  <c r="E240" i="5"/>
  <c r="D240" i="5"/>
  <c r="C240" i="5"/>
  <c r="B240" i="5"/>
  <c r="A240" i="5"/>
  <c r="F239" i="5"/>
  <c r="E239" i="5"/>
  <c r="D239" i="5"/>
  <c r="C239" i="5"/>
  <c r="B239" i="5"/>
  <c r="A239" i="5"/>
  <c r="F238" i="5"/>
  <c r="E238" i="5"/>
  <c r="D238" i="5"/>
  <c r="C238" i="5"/>
  <c r="B238" i="5"/>
  <c r="A238" i="5"/>
  <c r="F237" i="5"/>
  <c r="E237" i="5"/>
  <c r="D237" i="5"/>
  <c r="C237" i="5"/>
  <c r="B237" i="5"/>
  <c r="A237" i="5"/>
  <c r="F236" i="5"/>
  <c r="E236" i="5"/>
  <c r="D236" i="5"/>
  <c r="C236" i="5"/>
  <c r="B236" i="5"/>
  <c r="A236" i="5"/>
  <c r="F235" i="5"/>
  <c r="E235" i="5"/>
  <c r="D235" i="5"/>
  <c r="C235" i="5"/>
  <c r="B235" i="5"/>
  <c r="A235" i="5"/>
  <c r="F234" i="5"/>
  <c r="E234" i="5"/>
  <c r="D234" i="5"/>
  <c r="C234" i="5"/>
  <c r="B234" i="5"/>
  <c r="A234" i="5"/>
  <c r="F233" i="5"/>
  <c r="E233" i="5"/>
  <c r="D233" i="5"/>
  <c r="C233" i="5"/>
  <c r="B233" i="5"/>
  <c r="A233" i="5"/>
  <c r="F232" i="5"/>
  <c r="E232" i="5"/>
  <c r="D232" i="5"/>
  <c r="C232" i="5"/>
  <c r="B232" i="5"/>
  <c r="A232" i="5"/>
  <c r="F231" i="5"/>
  <c r="E231" i="5"/>
  <c r="D231" i="5"/>
  <c r="C231" i="5"/>
  <c r="B231" i="5"/>
  <c r="A231" i="5"/>
  <c r="F230" i="5"/>
  <c r="E230" i="5"/>
  <c r="D230" i="5"/>
  <c r="C230" i="5"/>
  <c r="B230" i="5"/>
  <c r="A230" i="5"/>
  <c r="F229" i="5"/>
  <c r="E229" i="5"/>
  <c r="D229" i="5"/>
  <c r="C229" i="5"/>
  <c r="B229" i="5"/>
  <c r="A229" i="5"/>
  <c r="F228" i="5"/>
  <c r="E228" i="5"/>
  <c r="D228" i="5"/>
  <c r="C228" i="5"/>
  <c r="B228" i="5"/>
  <c r="A228" i="5"/>
  <c r="F227" i="5"/>
  <c r="E227" i="5"/>
  <c r="D227" i="5"/>
  <c r="C227" i="5"/>
  <c r="B227" i="5"/>
  <c r="A227" i="5"/>
  <c r="F226" i="5"/>
  <c r="E226" i="5"/>
  <c r="D226" i="5"/>
  <c r="C226" i="5"/>
  <c r="B226" i="5"/>
  <c r="A226" i="5"/>
  <c r="F225" i="5"/>
  <c r="E225" i="5"/>
  <c r="D225" i="5"/>
  <c r="C225" i="5"/>
  <c r="B225" i="5"/>
  <c r="A225" i="5"/>
  <c r="F224" i="5"/>
  <c r="E224" i="5"/>
  <c r="D224" i="5"/>
  <c r="C224" i="5"/>
  <c r="B224" i="5"/>
  <c r="A224" i="5"/>
  <c r="F223" i="5"/>
  <c r="E223" i="5"/>
  <c r="D223" i="5"/>
  <c r="C223" i="5"/>
  <c r="B223" i="5"/>
  <c r="A223" i="5"/>
  <c r="F222" i="5"/>
  <c r="E222" i="5"/>
  <c r="D222" i="5"/>
  <c r="C222" i="5"/>
  <c r="B222" i="5"/>
  <c r="A222" i="5"/>
  <c r="F221" i="5"/>
  <c r="E221" i="5"/>
  <c r="D221" i="5"/>
  <c r="C221" i="5"/>
  <c r="B221" i="5"/>
  <c r="A221" i="5"/>
  <c r="F220" i="5"/>
  <c r="E220" i="5"/>
  <c r="D220" i="5"/>
  <c r="C220" i="5"/>
  <c r="B220" i="5"/>
  <c r="A220" i="5"/>
  <c r="F219" i="5"/>
  <c r="E219" i="5"/>
  <c r="D219" i="5"/>
  <c r="C219" i="5"/>
  <c r="B219" i="5"/>
  <c r="A219" i="5"/>
  <c r="F218" i="5"/>
  <c r="E218" i="5"/>
  <c r="D218" i="5"/>
  <c r="C218" i="5"/>
  <c r="B218" i="5"/>
  <c r="A218" i="5"/>
  <c r="F217" i="5"/>
  <c r="E217" i="5"/>
  <c r="D217" i="5"/>
  <c r="C217" i="5"/>
  <c r="B217" i="5"/>
  <c r="A217" i="5"/>
  <c r="F216" i="5"/>
  <c r="E216" i="5"/>
  <c r="D216" i="5"/>
  <c r="C216" i="5"/>
  <c r="B216" i="5"/>
  <c r="A216" i="5"/>
  <c r="F215" i="5"/>
  <c r="E215" i="5"/>
  <c r="D215" i="5"/>
  <c r="C215" i="5"/>
  <c r="B215" i="5"/>
  <c r="A215" i="5"/>
  <c r="F214" i="5"/>
  <c r="E214" i="5"/>
  <c r="D214" i="5"/>
  <c r="C214" i="5"/>
  <c r="B214" i="5"/>
  <c r="A214" i="5"/>
  <c r="F213" i="5"/>
  <c r="E213" i="5"/>
  <c r="D213" i="5"/>
  <c r="C213" i="5"/>
  <c r="B213" i="5"/>
  <c r="A213" i="5"/>
  <c r="F212" i="5"/>
  <c r="E212" i="5"/>
  <c r="D212" i="5"/>
  <c r="C212" i="5"/>
  <c r="B212" i="5"/>
  <c r="A212" i="5"/>
  <c r="F211" i="5"/>
  <c r="E211" i="5"/>
  <c r="D211" i="5"/>
  <c r="C211" i="5"/>
  <c r="B211" i="5"/>
  <c r="A211" i="5"/>
  <c r="F210" i="5"/>
  <c r="E210" i="5"/>
  <c r="D210" i="5"/>
  <c r="C210" i="5"/>
  <c r="B210" i="5"/>
  <c r="A210" i="5"/>
  <c r="F209" i="5"/>
  <c r="E209" i="5"/>
  <c r="D209" i="5"/>
  <c r="C209" i="5"/>
  <c r="B209" i="5"/>
  <c r="A209" i="5"/>
  <c r="F208" i="5"/>
  <c r="E208" i="5"/>
  <c r="D208" i="5"/>
  <c r="C208" i="5"/>
  <c r="B208" i="5"/>
  <c r="A208" i="5"/>
  <c r="F207" i="5"/>
  <c r="E207" i="5"/>
  <c r="D207" i="5"/>
  <c r="C207" i="5"/>
  <c r="B207" i="5"/>
  <c r="A207" i="5"/>
  <c r="F206" i="5"/>
  <c r="E206" i="5"/>
  <c r="D206" i="5"/>
  <c r="C206" i="5"/>
  <c r="B206" i="5"/>
  <c r="A206" i="5"/>
  <c r="F205" i="5"/>
  <c r="E205" i="5"/>
  <c r="D205" i="5"/>
  <c r="C205" i="5"/>
  <c r="B205" i="5"/>
  <c r="A205" i="5"/>
  <c r="F204" i="5"/>
  <c r="E204" i="5"/>
  <c r="D204" i="5"/>
  <c r="C204" i="5"/>
  <c r="B204" i="5"/>
  <c r="A204" i="5"/>
  <c r="F203" i="5"/>
  <c r="E203" i="5"/>
  <c r="D203" i="5"/>
  <c r="C203" i="5"/>
  <c r="B203" i="5"/>
  <c r="A203" i="5"/>
  <c r="F202" i="5"/>
  <c r="E202" i="5"/>
  <c r="D202" i="5"/>
  <c r="C202" i="5"/>
  <c r="B202" i="5"/>
  <c r="A202" i="5"/>
  <c r="F201" i="5"/>
  <c r="E201" i="5"/>
  <c r="D201" i="5"/>
  <c r="C201" i="5"/>
  <c r="B201" i="5"/>
  <c r="A201" i="5"/>
  <c r="F200" i="5"/>
  <c r="E200" i="5"/>
  <c r="D200" i="5"/>
  <c r="C200" i="5"/>
  <c r="B200" i="5"/>
  <c r="A200" i="5"/>
  <c r="F199" i="5"/>
  <c r="E199" i="5"/>
  <c r="D199" i="5"/>
  <c r="C199" i="5"/>
  <c r="B199" i="5"/>
  <c r="A199" i="5"/>
  <c r="F198" i="5"/>
  <c r="E198" i="5"/>
  <c r="D198" i="5"/>
  <c r="C198" i="5"/>
  <c r="B198" i="5"/>
  <c r="A198" i="5"/>
  <c r="F197" i="5"/>
  <c r="E197" i="5"/>
  <c r="D197" i="5"/>
  <c r="C197" i="5"/>
  <c r="B197" i="5"/>
  <c r="A197" i="5"/>
  <c r="F196" i="5"/>
  <c r="E196" i="5"/>
  <c r="D196" i="5"/>
  <c r="C196" i="5"/>
  <c r="B196" i="5"/>
  <c r="A196" i="5"/>
  <c r="F195" i="5"/>
  <c r="E195" i="5"/>
  <c r="D195" i="5"/>
  <c r="C195" i="5"/>
  <c r="B195" i="5"/>
  <c r="A195" i="5"/>
  <c r="F194" i="5"/>
  <c r="E194" i="5"/>
  <c r="D194" i="5"/>
  <c r="C194" i="5"/>
  <c r="B194" i="5"/>
  <c r="A194" i="5"/>
  <c r="F193" i="5"/>
  <c r="E193" i="5"/>
  <c r="D193" i="5"/>
  <c r="C193" i="5"/>
  <c r="B193" i="5"/>
  <c r="A193" i="5"/>
  <c r="F192" i="5"/>
  <c r="E192" i="5"/>
  <c r="D192" i="5"/>
  <c r="C192" i="5"/>
  <c r="B192" i="5"/>
  <c r="A192" i="5"/>
  <c r="F191" i="5"/>
  <c r="E191" i="5"/>
  <c r="D191" i="5"/>
  <c r="C191" i="5"/>
  <c r="B191" i="5"/>
  <c r="A191" i="5"/>
  <c r="F190" i="5"/>
  <c r="E190" i="5"/>
  <c r="D190" i="5"/>
  <c r="C190" i="5"/>
  <c r="B190" i="5"/>
  <c r="A190" i="5"/>
  <c r="F189" i="5"/>
  <c r="E189" i="5"/>
  <c r="D189" i="5"/>
  <c r="C189" i="5"/>
  <c r="B189" i="5"/>
  <c r="A189" i="5"/>
  <c r="F188" i="5"/>
  <c r="E188" i="5"/>
  <c r="D188" i="5"/>
  <c r="C188" i="5"/>
  <c r="B188" i="5"/>
  <c r="A188" i="5"/>
  <c r="F187" i="5"/>
  <c r="E187" i="5"/>
  <c r="D187" i="5"/>
  <c r="C187" i="5"/>
  <c r="B187" i="5"/>
  <c r="A187" i="5"/>
  <c r="F186" i="5"/>
  <c r="E186" i="5"/>
  <c r="D186" i="5"/>
  <c r="C186" i="5"/>
  <c r="B186" i="5"/>
  <c r="A186" i="5"/>
  <c r="F185" i="5"/>
  <c r="E185" i="5"/>
  <c r="D185" i="5"/>
  <c r="C185" i="5"/>
  <c r="B185" i="5"/>
  <c r="A185" i="5"/>
  <c r="F184" i="5"/>
  <c r="E184" i="5"/>
  <c r="D184" i="5"/>
  <c r="C184" i="5"/>
  <c r="B184" i="5"/>
  <c r="A184" i="5"/>
  <c r="F183" i="5"/>
  <c r="E183" i="5"/>
  <c r="D183" i="5"/>
  <c r="C183" i="5"/>
  <c r="B183" i="5"/>
  <c r="A183" i="5"/>
  <c r="F182" i="5"/>
  <c r="E182" i="5"/>
  <c r="D182" i="5"/>
  <c r="C182" i="5"/>
  <c r="B182" i="5"/>
  <c r="A182" i="5"/>
  <c r="F181" i="5"/>
  <c r="E181" i="5"/>
  <c r="D181" i="5"/>
  <c r="C181" i="5"/>
  <c r="B181" i="5"/>
  <c r="A181" i="5"/>
  <c r="F180" i="5"/>
  <c r="E180" i="5"/>
  <c r="D180" i="5"/>
  <c r="C180" i="5"/>
  <c r="B180" i="5"/>
  <c r="A180" i="5"/>
  <c r="F179" i="5"/>
  <c r="E179" i="5"/>
  <c r="D179" i="5"/>
  <c r="C179" i="5"/>
  <c r="B179" i="5"/>
  <c r="A179" i="5"/>
  <c r="F178" i="5"/>
  <c r="E178" i="5"/>
  <c r="D178" i="5"/>
  <c r="C178" i="5"/>
  <c r="B178" i="5"/>
  <c r="A178" i="5"/>
  <c r="F177" i="5"/>
  <c r="E177" i="5"/>
  <c r="D177" i="5"/>
  <c r="C177" i="5"/>
  <c r="B177" i="5"/>
  <c r="A177" i="5"/>
  <c r="F176" i="5"/>
  <c r="E176" i="5"/>
  <c r="D176" i="5"/>
  <c r="C176" i="5"/>
  <c r="B176" i="5"/>
  <c r="A176" i="5"/>
  <c r="F175" i="5"/>
  <c r="E175" i="5"/>
  <c r="D175" i="5"/>
  <c r="C175" i="5"/>
  <c r="B175" i="5"/>
  <c r="A175" i="5"/>
  <c r="F174" i="5"/>
  <c r="E174" i="5"/>
  <c r="D174" i="5"/>
  <c r="C174" i="5"/>
  <c r="B174" i="5"/>
  <c r="A174" i="5"/>
  <c r="F173" i="5"/>
  <c r="E173" i="5"/>
  <c r="D173" i="5"/>
  <c r="C173" i="5"/>
  <c r="B173" i="5"/>
  <c r="A173" i="5"/>
  <c r="F172" i="5"/>
  <c r="E172" i="5"/>
  <c r="D172" i="5"/>
  <c r="C172" i="5"/>
  <c r="B172" i="5"/>
  <c r="A172" i="5"/>
  <c r="F171" i="5"/>
  <c r="E171" i="5"/>
  <c r="D171" i="5"/>
  <c r="C171" i="5"/>
  <c r="B171" i="5"/>
  <c r="A171" i="5"/>
  <c r="F170" i="5"/>
  <c r="E170" i="5"/>
  <c r="D170" i="5"/>
  <c r="C170" i="5"/>
  <c r="B170" i="5"/>
  <c r="A170" i="5"/>
  <c r="F169" i="5"/>
  <c r="E169" i="5"/>
  <c r="D169" i="5"/>
  <c r="C169" i="5"/>
  <c r="B169" i="5"/>
  <c r="A169" i="5"/>
  <c r="F168" i="5"/>
  <c r="E168" i="5"/>
  <c r="D168" i="5"/>
  <c r="C168" i="5"/>
  <c r="B168" i="5"/>
  <c r="A168" i="5"/>
  <c r="F167" i="5"/>
  <c r="E167" i="5"/>
  <c r="D167" i="5"/>
  <c r="C167" i="5"/>
  <c r="B167" i="5"/>
  <c r="A167" i="5"/>
  <c r="F166" i="5"/>
  <c r="E166" i="5"/>
  <c r="D166" i="5"/>
  <c r="C166" i="5"/>
  <c r="B166" i="5"/>
  <c r="A166" i="5"/>
  <c r="F165" i="5"/>
  <c r="E165" i="5"/>
  <c r="D165" i="5"/>
  <c r="C165" i="5"/>
  <c r="B165" i="5"/>
  <c r="A165" i="5"/>
  <c r="F164" i="5"/>
  <c r="E164" i="5"/>
  <c r="D164" i="5"/>
  <c r="C164" i="5"/>
  <c r="B164" i="5"/>
  <c r="A164" i="5"/>
  <c r="F163" i="5"/>
  <c r="E163" i="5"/>
  <c r="D163" i="5"/>
  <c r="C163" i="5"/>
  <c r="B163" i="5"/>
  <c r="A163" i="5"/>
  <c r="F162" i="5"/>
  <c r="E162" i="5"/>
  <c r="D162" i="5"/>
  <c r="C162" i="5"/>
  <c r="B162" i="5"/>
  <c r="A162" i="5"/>
  <c r="F161" i="5"/>
  <c r="E161" i="5"/>
  <c r="D161" i="5"/>
  <c r="C161" i="5"/>
  <c r="B161" i="5"/>
  <c r="A161" i="5"/>
  <c r="F160" i="5"/>
  <c r="E160" i="5"/>
  <c r="D160" i="5"/>
  <c r="C160" i="5"/>
  <c r="B160" i="5"/>
  <c r="A160" i="5"/>
  <c r="F159" i="5"/>
  <c r="E159" i="5"/>
  <c r="D159" i="5"/>
  <c r="C159" i="5"/>
  <c r="B159" i="5"/>
  <c r="A159" i="5"/>
  <c r="F158" i="5"/>
  <c r="E158" i="5"/>
  <c r="D158" i="5"/>
  <c r="C158" i="5"/>
  <c r="B158" i="5"/>
  <c r="A158" i="5"/>
  <c r="F157" i="5"/>
  <c r="E157" i="5"/>
  <c r="D157" i="5"/>
  <c r="C157" i="5"/>
  <c r="B157" i="5"/>
  <c r="A157" i="5"/>
  <c r="F156" i="5"/>
  <c r="E156" i="5"/>
  <c r="D156" i="5"/>
  <c r="C156" i="5"/>
  <c r="B156" i="5"/>
  <c r="A156" i="5"/>
  <c r="F155" i="5"/>
  <c r="E155" i="5"/>
  <c r="D155" i="5"/>
  <c r="C155" i="5"/>
  <c r="B155" i="5"/>
  <c r="A155" i="5"/>
  <c r="F154" i="5"/>
  <c r="E154" i="5"/>
  <c r="D154" i="5"/>
  <c r="C154" i="5"/>
  <c r="B154" i="5"/>
  <c r="A154" i="5"/>
  <c r="F153" i="5"/>
  <c r="E153" i="5"/>
  <c r="D153" i="5"/>
  <c r="C153" i="5"/>
  <c r="B153" i="5"/>
  <c r="A153" i="5"/>
  <c r="F152" i="5"/>
  <c r="E152" i="5"/>
  <c r="D152" i="5"/>
  <c r="C152" i="5"/>
  <c r="B152" i="5"/>
  <c r="A152" i="5"/>
  <c r="F151" i="5"/>
  <c r="E151" i="5"/>
  <c r="D151" i="5"/>
  <c r="C151" i="5"/>
  <c r="B151" i="5"/>
  <c r="A151" i="5"/>
  <c r="F150" i="5"/>
  <c r="E150" i="5"/>
  <c r="D150" i="5"/>
  <c r="C150" i="5"/>
  <c r="B150" i="5"/>
  <c r="A150" i="5"/>
  <c r="F149" i="5"/>
  <c r="E149" i="5"/>
  <c r="D149" i="5"/>
  <c r="C149" i="5"/>
  <c r="B149" i="5"/>
  <c r="A149" i="5"/>
  <c r="F148" i="5"/>
  <c r="E148" i="5"/>
  <c r="D148" i="5"/>
  <c r="C148" i="5"/>
  <c r="B148" i="5"/>
  <c r="A148" i="5"/>
  <c r="F147" i="5"/>
  <c r="E147" i="5"/>
  <c r="D147" i="5"/>
  <c r="C147" i="5"/>
  <c r="B147" i="5"/>
  <c r="A147" i="5"/>
  <c r="F146" i="5"/>
  <c r="E146" i="5"/>
  <c r="D146" i="5"/>
  <c r="C146" i="5"/>
  <c r="B146" i="5"/>
  <c r="A146" i="5"/>
  <c r="F145" i="5"/>
  <c r="E145" i="5"/>
  <c r="D145" i="5"/>
  <c r="C145" i="5"/>
  <c r="B145" i="5"/>
  <c r="A145" i="5"/>
  <c r="F144" i="5"/>
  <c r="E144" i="5"/>
  <c r="D144" i="5"/>
  <c r="C144" i="5"/>
  <c r="B144" i="5"/>
  <c r="A144" i="5"/>
  <c r="F143" i="5"/>
  <c r="E143" i="5"/>
  <c r="D143" i="5"/>
  <c r="C143" i="5"/>
  <c r="B143" i="5"/>
  <c r="A143" i="5"/>
  <c r="F142" i="5"/>
  <c r="E142" i="5"/>
  <c r="D142" i="5"/>
  <c r="C142" i="5"/>
  <c r="B142" i="5"/>
  <c r="A142" i="5"/>
  <c r="F141" i="5"/>
  <c r="E141" i="5"/>
  <c r="D141" i="5"/>
  <c r="C141" i="5"/>
  <c r="B141" i="5"/>
  <c r="A141" i="5"/>
  <c r="F140" i="5"/>
  <c r="E140" i="5"/>
  <c r="D140" i="5"/>
  <c r="C140" i="5"/>
  <c r="B140" i="5"/>
  <c r="A140" i="5"/>
  <c r="F139" i="5"/>
  <c r="E139" i="5"/>
  <c r="D139" i="5"/>
  <c r="C139" i="5"/>
  <c r="B139" i="5"/>
  <c r="A139" i="5"/>
  <c r="F138" i="5"/>
  <c r="E138" i="5"/>
  <c r="D138" i="5"/>
  <c r="C138" i="5"/>
  <c r="B138" i="5"/>
  <c r="A138" i="5"/>
  <c r="F137" i="5"/>
  <c r="E137" i="5"/>
  <c r="D137" i="5"/>
  <c r="C137" i="5"/>
  <c r="B137" i="5"/>
  <c r="A137" i="5"/>
  <c r="F136" i="5"/>
  <c r="E136" i="5"/>
  <c r="D136" i="5"/>
  <c r="C136" i="5"/>
  <c r="B136" i="5"/>
  <c r="A136" i="5"/>
  <c r="F135" i="5"/>
  <c r="E135" i="5"/>
  <c r="D135" i="5"/>
  <c r="C135" i="5"/>
  <c r="B135" i="5"/>
  <c r="A135" i="5"/>
  <c r="F134" i="5"/>
  <c r="E134" i="5"/>
  <c r="D134" i="5"/>
  <c r="C134" i="5"/>
  <c r="B134" i="5"/>
  <c r="A134" i="5"/>
  <c r="F133" i="5"/>
  <c r="E133" i="5"/>
  <c r="D133" i="5"/>
  <c r="C133" i="5"/>
  <c r="B133" i="5"/>
  <c r="A133" i="5"/>
  <c r="F132" i="5"/>
  <c r="E132" i="5"/>
  <c r="D132" i="5"/>
  <c r="C132" i="5"/>
  <c r="B132" i="5"/>
  <c r="A132" i="5"/>
  <c r="F131" i="5"/>
  <c r="E131" i="5"/>
  <c r="D131" i="5"/>
  <c r="C131" i="5"/>
  <c r="B131" i="5"/>
  <c r="A131" i="5"/>
  <c r="F130" i="5"/>
  <c r="E130" i="5"/>
  <c r="D130" i="5"/>
  <c r="C130" i="5"/>
  <c r="B130" i="5"/>
  <c r="A130" i="5"/>
  <c r="F129" i="5"/>
  <c r="E129" i="5"/>
  <c r="D129" i="5"/>
  <c r="C129" i="5"/>
  <c r="B129" i="5"/>
  <c r="A129" i="5"/>
  <c r="F128" i="5"/>
  <c r="E128" i="5"/>
  <c r="D128" i="5"/>
  <c r="C128" i="5"/>
  <c r="B128" i="5"/>
  <c r="A128" i="5"/>
  <c r="F127" i="5"/>
  <c r="E127" i="5"/>
  <c r="D127" i="5"/>
  <c r="C127" i="5"/>
  <c r="B127" i="5"/>
  <c r="A127" i="5"/>
  <c r="F126" i="5"/>
  <c r="E126" i="5"/>
  <c r="D126" i="5"/>
  <c r="C126" i="5"/>
  <c r="B126" i="5"/>
  <c r="A126" i="5"/>
  <c r="F125" i="5"/>
  <c r="E125" i="5"/>
  <c r="D125" i="5"/>
  <c r="C125" i="5"/>
  <c r="B125" i="5"/>
  <c r="A125" i="5"/>
  <c r="F124" i="5"/>
  <c r="E124" i="5"/>
  <c r="D124" i="5"/>
  <c r="C124" i="5"/>
  <c r="B124" i="5"/>
  <c r="A124" i="5"/>
  <c r="F123" i="5"/>
  <c r="E123" i="5"/>
  <c r="D123" i="5"/>
  <c r="C123" i="5"/>
  <c r="B123" i="5"/>
  <c r="A123" i="5"/>
  <c r="F122" i="5"/>
  <c r="E122" i="5"/>
  <c r="D122" i="5"/>
  <c r="C122" i="5"/>
  <c r="B122" i="5"/>
  <c r="A122" i="5"/>
  <c r="F121" i="5"/>
  <c r="E121" i="5"/>
  <c r="D121" i="5"/>
  <c r="C121" i="5"/>
  <c r="B121" i="5"/>
  <c r="A121" i="5"/>
  <c r="F120" i="5"/>
  <c r="E120" i="5"/>
  <c r="D120" i="5"/>
  <c r="C120" i="5"/>
  <c r="B120" i="5"/>
  <c r="A120" i="5"/>
  <c r="F119" i="5"/>
  <c r="E119" i="5"/>
  <c r="D119" i="5"/>
  <c r="C119" i="5"/>
  <c r="B119" i="5"/>
  <c r="A119" i="5"/>
  <c r="F118" i="5"/>
  <c r="E118" i="5"/>
  <c r="D118" i="5"/>
  <c r="C118" i="5"/>
  <c r="B118" i="5"/>
  <c r="A118" i="5"/>
  <c r="F117" i="5"/>
  <c r="E117" i="5"/>
  <c r="D117" i="5"/>
  <c r="C117" i="5"/>
  <c r="B117" i="5"/>
  <c r="A117" i="5"/>
  <c r="F116" i="5"/>
  <c r="E116" i="5"/>
  <c r="D116" i="5"/>
  <c r="C116" i="5"/>
  <c r="B116" i="5"/>
  <c r="A116" i="5"/>
  <c r="F115" i="5"/>
  <c r="E115" i="5"/>
  <c r="D115" i="5"/>
  <c r="C115" i="5"/>
  <c r="B115" i="5"/>
  <c r="A115" i="5"/>
  <c r="F114" i="5"/>
  <c r="E114" i="5"/>
  <c r="D114" i="5"/>
  <c r="C114" i="5"/>
  <c r="B114" i="5"/>
  <c r="A114" i="5"/>
  <c r="F113" i="5"/>
  <c r="E113" i="5"/>
  <c r="D113" i="5"/>
  <c r="C113" i="5"/>
  <c r="B113" i="5"/>
  <c r="A113" i="5"/>
  <c r="F112" i="5"/>
  <c r="E112" i="5"/>
  <c r="D112" i="5"/>
  <c r="C112" i="5"/>
  <c r="B112" i="5"/>
  <c r="A112" i="5"/>
  <c r="F111" i="5"/>
  <c r="E111" i="5"/>
  <c r="D111" i="5"/>
  <c r="C111" i="5"/>
  <c r="B111" i="5"/>
  <c r="A111" i="5"/>
  <c r="F110" i="5"/>
  <c r="E110" i="5"/>
  <c r="D110" i="5"/>
  <c r="C110" i="5"/>
  <c r="B110" i="5"/>
  <c r="A110" i="5"/>
  <c r="F109" i="5"/>
  <c r="E109" i="5"/>
  <c r="D109" i="5"/>
  <c r="C109" i="5"/>
  <c r="B109" i="5"/>
  <c r="A109" i="5"/>
  <c r="F108" i="5"/>
  <c r="E108" i="5"/>
  <c r="D108" i="5"/>
  <c r="C108" i="5"/>
  <c r="B108" i="5"/>
  <c r="A108" i="5"/>
  <c r="F107" i="5"/>
  <c r="E107" i="5"/>
  <c r="D107" i="5"/>
  <c r="C107" i="5"/>
  <c r="B107" i="5"/>
  <c r="A107" i="5"/>
  <c r="F106" i="5"/>
  <c r="E106" i="5"/>
  <c r="D106" i="5"/>
  <c r="C106" i="5"/>
  <c r="B106" i="5"/>
  <c r="A106" i="5"/>
  <c r="F105" i="5"/>
  <c r="E105" i="5"/>
  <c r="D105" i="5"/>
  <c r="C105" i="5"/>
  <c r="B105" i="5"/>
  <c r="A105" i="5"/>
  <c r="F104" i="5"/>
  <c r="E104" i="5"/>
  <c r="D104" i="5"/>
  <c r="C104" i="5"/>
  <c r="B104" i="5"/>
  <c r="A104" i="5"/>
  <c r="F103" i="5"/>
  <c r="E103" i="5"/>
  <c r="D103" i="5"/>
  <c r="C103" i="5"/>
  <c r="B103" i="5"/>
  <c r="A103" i="5"/>
  <c r="F102" i="5"/>
  <c r="E102" i="5"/>
  <c r="D102" i="5"/>
  <c r="C102" i="5"/>
  <c r="B102" i="5"/>
  <c r="A102" i="5"/>
  <c r="F101" i="5"/>
  <c r="E101" i="5"/>
  <c r="D101" i="5"/>
  <c r="C101" i="5"/>
  <c r="B101" i="5"/>
  <c r="A101" i="5"/>
  <c r="F100" i="5"/>
  <c r="E100" i="5"/>
  <c r="D100" i="5"/>
  <c r="C100" i="5"/>
  <c r="B100" i="5"/>
  <c r="A100" i="5"/>
  <c r="F99" i="5"/>
  <c r="E99" i="5"/>
  <c r="D99" i="5"/>
  <c r="C99" i="5"/>
  <c r="B99" i="5"/>
  <c r="A99" i="5"/>
  <c r="F98" i="5"/>
  <c r="E98" i="5"/>
  <c r="D98" i="5"/>
  <c r="C98" i="5"/>
  <c r="B98" i="5"/>
  <c r="A98" i="5"/>
  <c r="F97" i="5"/>
  <c r="E97" i="5"/>
  <c r="D97" i="5"/>
  <c r="C97" i="5"/>
  <c r="B97" i="5"/>
  <c r="A97" i="5"/>
  <c r="F96" i="5"/>
  <c r="E96" i="5"/>
  <c r="D96" i="5"/>
  <c r="C96" i="5"/>
  <c r="B96" i="5"/>
  <c r="A96" i="5"/>
  <c r="F95" i="5"/>
  <c r="E95" i="5"/>
  <c r="D95" i="5"/>
  <c r="C95" i="5"/>
  <c r="B95" i="5"/>
  <c r="A95" i="5"/>
  <c r="F94" i="5"/>
  <c r="E94" i="5"/>
  <c r="D94" i="5"/>
  <c r="C94" i="5"/>
  <c r="B94" i="5"/>
  <c r="A94" i="5"/>
  <c r="F93" i="5"/>
  <c r="E93" i="5"/>
  <c r="D93" i="5"/>
  <c r="C93" i="5"/>
  <c r="B93" i="5"/>
  <c r="A93" i="5"/>
  <c r="F92" i="5"/>
  <c r="E92" i="5"/>
  <c r="D92" i="5"/>
  <c r="C92" i="5"/>
  <c r="B92" i="5"/>
  <c r="A92" i="5"/>
  <c r="F91" i="5"/>
  <c r="E91" i="5"/>
  <c r="D91" i="5"/>
  <c r="C91" i="5"/>
  <c r="B91" i="5"/>
  <c r="A91" i="5"/>
  <c r="F90" i="5"/>
  <c r="E90" i="5"/>
  <c r="D90" i="5"/>
  <c r="C90" i="5"/>
  <c r="B90" i="5"/>
  <c r="A90" i="5"/>
  <c r="F89" i="5"/>
  <c r="E89" i="5"/>
  <c r="D89" i="5"/>
  <c r="C89" i="5"/>
  <c r="B89" i="5"/>
  <c r="A89" i="5"/>
  <c r="F88" i="5"/>
  <c r="E88" i="5"/>
  <c r="D88" i="5"/>
  <c r="C88" i="5"/>
  <c r="B88" i="5"/>
  <c r="A88" i="5"/>
  <c r="F87" i="5"/>
  <c r="E87" i="5"/>
  <c r="D87" i="5"/>
  <c r="C87" i="5"/>
  <c r="B87" i="5"/>
  <c r="A87" i="5"/>
  <c r="F86" i="5"/>
  <c r="E86" i="5"/>
  <c r="D86" i="5"/>
  <c r="C86" i="5"/>
  <c r="B86" i="5"/>
  <c r="A86" i="5"/>
  <c r="F85" i="5"/>
  <c r="E85" i="5"/>
  <c r="D85" i="5"/>
  <c r="C85" i="5"/>
  <c r="B85" i="5"/>
  <c r="A85" i="5"/>
  <c r="F84" i="5"/>
  <c r="E84" i="5"/>
  <c r="D84" i="5"/>
  <c r="C84" i="5"/>
  <c r="B84" i="5"/>
  <c r="A84" i="5"/>
  <c r="F83" i="5"/>
  <c r="E83" i="5"/>
  <c r="D83" i="5"/>
  <c r="C83" i="5"/>
  <c r="B83" i="5"/>
  <c r="A83" i="5"/>
  <c r="F82" i="5"/>
  <c r="E82" i="5"/>
  <c r="D82" i="5"/>
  <c r="C82" i="5"/>
  <c r="B82" i="5"/>
  <c r="A82" i="5"/>
  <c r="F81" i="5"/>
  <c r="E81" i="5"/>
  <c r="D81" i="5"/>
  <c r="C81" i="5"/>
  <c r="B81" i="5"/>
  <c r="A81" i="5"/>
  <c r="F80" i="5"/>
  <c r="E80" i="5"/>
  <c r="D80" i="5"/>
  <c r="C80" i="5"/>
  <c r="B80" i="5"/>
  <c r="A80" i="5"/>
  <c r="F79" i="5"/>
  <c r="E79" i="5"/>
  <c r="D79" i="5"/>
  <c r="C79" i="5"/>
  <c r="B79" i="5"/>
  <c r="A79" i="5"/>
  <c r="F78" i="5"/>
  <c r="E78" i="5"/>
  <c r="D78" i="5"/>
  <c r="C78" i="5"/>
  <c r="B78" i="5"/>
  <c r="A78" i="5"/>
  <c r="F77" i="5"/>
  <c r="E77" i="5"/>
  <c r="D77" i="5"/>
  <c r="C77" i="5"/>
  <c r="B77" i="5"/>
  <c r="A77" i="5"/>
  <c r="F76" i="5"/>
  <c r="E76" i="5"/>
  <c r="D76" i="5"/>
  <c r="C76" i="5"/>
  <c r="B76" i="5"/>
  <c r="A76" i="5"/>
  <c r="F75" i="5"/>
  <c r="E75" i="5"/>
  <c r="D75" i="5"/>
  <c r="C75" i="5"/>
  <c r="B75" i="5"/>
  <c r="A75" i="5"/>
  <c r="F74" i="5"/>
  <c r="E74" i="5"/>
  <c r="D74" i="5"/>
  <c r="C74" i="5"/>
  <c r="B74" i="5"/>
  <c r="A74" i="5"/>
  <c r="F73" i="5"/>
  <c r="E73" i="5"/>
  <c r="D73" i="5"/>
  <c r="C73" i="5"/>
  <c r="B73" i="5"/>
  <c r="A73" i="5"/>
  <c r="F72" i="5"/>
  <c r="E72" i="5"/>
  <c r="D72" i="5"/>
  <c r="C72" i="5"/>
  <c r="B72" i="5"/>
  <c r="A72" i="5"/>
  <c r="F71" i="5"/>
  <c r="E71" i="5"/>
  <c r="D71" i="5"/>
  <c r="C71" i="5"/>
  <c r="B71" i="5"/>
  <c r="A71" i="5"/>
  <c r="F70" i="5"/>
  <c r="E70" i="5"/>
  <c r="D70" i="5"/>
  <c r="C70" i="5"/>
  <c r="B70" i="5"/>
  <c r="A70" i="5"/>
  <c r="F69" i="5"/>
  <c r="E69" i="5"/>
  <c r="D69" i="5"/>
  <c r="C69" i="5"/>
  <c r="B69" i="5"/>
  <c r="A69" i="5"/>
  <c r="F68" i="5"/>
  <c r="E68" i="5"/>
  <c r="D68" i="5"/>
  <c r="C68" i="5"/>
  <c r="B68" i="5"/>
  <c r="A68" i="5"/>
  <c r="F67" i="5"/>
  <c r="E67" i="5"/>
  <c r="D67" i="5"/>
  <c r="C67" i="5"/>
  <c r="B67" i="5"/>
  <c r="A67" i="5"/>
  <c r="F66" i="5"/>
  <c r="E66" i="5"/>
  <c r="D66" i="5"/>
  <c r="C66" i="5"/>
  <c r="B66" i="5"/>
  <c r="A66" i="5"/>
  <c r="F65" i="5"/>
  <c r="E65" i="5"/>
  <c r="D65" i="5"/>
  <c r="C65" i="5"/>
  <c r="B65" i="5"/>
  <c r="A65" i="5"/>
  <c r="F64" i="5"/>
  <c r="E64" i="5"/>
  <c r="D64" i="5"/>
  <c r="C64" i="5"/>
  <c r="B64" i="5"/>
  <c r="A64" i="5"/>
  <c r="F63" i="5"/>
  <c r="E63" i="5"/>
  <c r="D63" i="5"/>
  <c r="C63" i="5"/>
  <c r="B63" i="5"/>
  <c r="A63" i="5"/>
  <c r="F62" i="5"/>
  <c r="E62" i="5"/>
  <c r="D62" i="5"/>
  <c r="C62" i="5"/>
  <c r="B62" i="5"/>
  <c r="A62" i="5"/>
  <c r="F61" i="5"/>
  <c r="E61" i="5"/>
  <c r="D61" i="5"/>
  <c r="C61" i="5"/>
  <c r="B61" i="5"/>
  <c r="A61" i="5"/>
  <c r="F60" i="5"/>
  <c r="E60" i="5"/>
  <c r="D60" i="5"/>
  <c r="C60" i="5"/>
  <c r="B60" i="5"/>
  <c r="A60" i="5"/>
  <c r="F59" i="5"/>
  <c r="E59" i="5"/>
  <c r="D59" i="5"/>
  <c r="C59" i="5"/>
  <c r="B59" i="5"/>
  <c r="A59" i="5"/>
  <c r="F58" i="5"/>
  <c r="E58" i="5"/>
  <c r="D58" i="5"/>
  <c r="C58" i="5"/>
  <c r="B58" i="5"/>
  <c r="A58" i="5"/>
  <c r="F57" i="5"/>
  <c r="E57" i="5"/>
  <c r="D57" i="5"/>
  <c r="C57" i="5"/>
  <c r="B57" i="5"/>
  <c r="A57" i="5"/>
  <c r="F56" i="5"/>
  <c r="E56" i="5"/>
  <c r="D56" i="5"/>
  <c r="C56" i="5"/>
  <c r="B56" i="5"/>
  <c r="A56" i="5"/>
  <c r="F55" i="5"/>
  <c r="E55" i="5"/>
  <c r="D55" i="5"/>
  <c r="C55" i="5"/>
  <c r="B55" i="5"/>
  <c r="A55" i="5"/>
  <c r="F54" i="5"/>
  <c r="E54" i="5"/>
  <c r="D54" i="5"/>
  <c r="C54" i="5"/>
  <c r="B54" i="5"/>
  <c r="A54" i="5"/>
  <c r="F53" i="5"/>
  <c r="E53" i="5"/>
  <c r="D53" i="5"/>
  <c r="C53" i="5"/>
  <c r="B53" i="5"/>
  <c r="A53" i="5"/>
  <c r="F52" i="5"/>
  <c r="E52" i="5"/>
  <c r="D52" i="5"/>
  <c r="C52" i="5"/>
  <c r="B52" i="5"/>
  <c r="A52" i="5"/>
  <c r="F51" i="5"/>
  <c r="E51" i="5"/>
  <c r="D51" i="5"/>
  <c r="C51" i="5"/>
  <c r="B51" i="5"/>
  <c r="A51" i="5"/>
  <c r="F50" i="5"/>
  <c r="E50" i="5"/>
  <c r="D50" i="5"/>
  <c r="C50" i="5"/>
  <c r="B50" i="5"/>
  <c r="A50" i="5"/>
  <c r="F49" i="5"/>
  <c r="E49" i="5"/>
  <c r="D49" i="5"/>
  <c r="C49" i="5"/>
  <c r="B49" i="5"/>
  <c r="A49" i="5"/>
  <c r="F48" i="5"/>
  <c r="E48" i="5"/>
  <c r="D48" i="5"/>
  <c r="C48" i="5"/>
  <c r="B48" i="5"/>
  <c r="A48" i="5"/>
  <c r="F47" i="5"/>
  <c r="E47" i="5"/>
  <c r="D47" i="5"/>
  <c r="C47" i="5"/>
  <c r="B47" i="5"/>
  <c r="A47" i="5"/>
  <c r="F46" i="5"/>
  <c r="E46" i="5"/>
  <c r="D46" i="5"/>
  <c r="C46" i="5"/>
  <c r="B46" i="5"/>
  <c r="A46" i="5"/>
  <c r="F45" i="5"/>
  <c r="E45" i="5"/>
  <c r="D45" i="5"/>
  <c r="C45" i="5"/>
  <c r="B45" i="5"/>
  <c r="A45" i="5"/>
  <c r="F44" i="5"/>
  <c r="E44" i="5"/>
  <c r="D44" i="5"/>
  <c r="C44" i="5"/>
  <c r="B44" i="5"/>
  <c r="A44" i="5"/>
  <c r="F43" i="5"/>
  <c r="E43" i="5"/>
  <c r="D43" i="5"/>
  <c r="C43" i="5"/>
  <c r="B43" i="5"/>
  <c r="A43" i="5"/>
  <c r="F42" i="5"/>
  <c r="E42" i="5"/>
  <c r="D42" i="5"/>
  <c r="C42" i="5"/>
  <c r="B42" i="5"/>
  <c r="A42" i="5"/>
  <c r="F41" i="5"/>
  <c r="E41" i="5"/>
  <c r="D41" i="5"/>
  <c r="C41" i="5"/>
  <c r="B41" i="5"/>
  <c r="A41" i="5"/>
  <c r="F40" i="5"/>
  <c r="E40" i="5"/>
  <c r="D40" i="5"/>
  <c r="C40" i="5"/>
  <c r="B40" i="5"/>
  <c r="A40" i="5"/>
  <c r="F39" i="5"/>
  <c r="E39" i="5"/>
  <c r="D39" i="5"/>
  <c r="C39" i="5"/>
  <c r="B39" i="5"/>
  <c r="A39" i="5"/>
  <c r="F38" i="5"/>
  <c r="E38" i="5"/>
  <c r="D38" i="5"/>
  <c r="C38" i="5"/>
  <c r="B38" i="5"/>
  <c r="A38" i="5"/>
  <c r="F37" i="5"/>
  <c r="E37" i="5"/>
  <c r="D37" i="5"/>
  <c r="C37" i="5"/>
  <c r="B37" i="5"/>
  <c r="A37" i="5"/>
  <c r="F36" i="5"/>
  <c r="E36" i="5"/>
  <c r="D36" i="5"/>
  <c r="C36" i="5"/>
  <c r="B36" i="5"/>
  <c r="A36" i="5"/>
  <c r="F35" i="5"/>
  <c r="E35" i="5"/>
  <c r="D35" i="5"/>
  <c r="C35" i="5"/>
  <c r="B35" i="5"/>
  <c r="A35" i="5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F1" i="5"/>
  <c r="E1" i="5"/>
  <c r="D1" i="5"/>
  <c r="C1" i="5"/>
  <c r="B1" i="5"/>
  <c r="A1" i="5"/>
  <c r="F327" i="4"/>
  <c r="E327" i="4"/>
  <c r="D327" i="4"/>
  <c r="C327" i="4"/>
  <c r="B327" i="4"/>
  <c r="A327" i="4"/>
  <c r="F326" i="4"/>
  <c r="E326" i="4"/>
  <c r="D326" i="4"/>
  <c r="C326" i="4"/>
  <c r="B326" i="4"/>
  <c r="A326" i="4"/>
  <c r="F325" i="4"/>
  <c r="E325" i="4"/>
  <c r="D325" i="4"/>
  <c r="C325" i="4"/>
  <c r="B325" i="4"/>
  <c r="A325" i="4"/>
  <c r="F324" i="4"/>
  <c r="E324" i="4"/>
  <c r="D324" i="4"/>
  <c r="C324" i="4"/>
  <c r="B324" i="4"/>
  <c r="A324" i="4"/>
  <c r="F323" i="4"/>
  <c r="E323" i="4"/>
  <c r="D323" i="4"/>
  <c r="C323" i="4"/>
  <c r="B323" i="4"/>
  <c r="A323" i="4"/>
  <c r="F322" i="4"/>
  <c r="E322" i="4"/>
  <c r="D322" i="4"/>
  <c r="C322" i="4"/>
  <c r="B322" i="4"/>
  <c r="A322" i="4"/>
  <c r="F321" i="4"/>
  <c r="E321" i="4"/>
  <c r="D321" i="4"/>
  <c r="C321" i="4"/>
  <c r="B321" i="4"/>
  <c r="A321" i="4"/>
  <c r="F320" i="4"/>
  <c r="E320" i="4"/>
  <c r="D320" i="4"/>
  <c r="C320" i="4"/>
  <c r="B320" i="4"/>
  <c r="A320" i="4"/>
  <c r="F319" i="4"/>
  <c r="E319" i="4"/>
  <c r="D319" i="4"/>
  <c r="C319" i="4"/>
  <c r="B319" i="4"/>
  <c r="A319" i="4"/>
  <c r="F318" i="4"/>
  <c r="E318" i="4"/>
  <c r="D318" i="4"/>
  <c r="C318" i="4"/>
  <c r="B318" i="4"/>
  <c r="A318" i="4"/>
  <c r="F317" i="4"/>
  <c r="E317" i="4"/>
  <c r="D317" i="4"/>
  <c r="C317" i="4"/>
  <c r="B317" i="4"/>
  <c r="A317" i="4"/>
  <c r="F316" i="4"/>
  <c r="E316" i="4"/>
  <c r="D316" i="4"/>
  <c r="C316" i="4"/>
  <c r="B316" i="4"/>
  <c r="A316" i="4"/>
  <c r="F315" i="4"/>
  <c r="E315" i="4"/>
  <c r="D315" i="4"/>
  <c r="C315" i="4"/>
  <c r="B315" i="4"/>
  <c r="A315" i="4"/>
  <c r="F314" i="4"/>
  <c r="E314" i="4"/>
  <c r="D314" i="4"/>
  <c r="C314" i="4"/>
  <c r="B314" i="4"/>
  <c r="A314" i="4"/>
  <c r="F313" i="4"/>
  <c r="E313" i="4"/>
  <c r="D313" i="4"/>
  <c r="C313" i="4"/>
  <c r="B313" i="4"/>
  <c r="A313" i="4"/>
  <c r="F312" i="4"/>
  <c r="E312" i="4"/>
  <c r="D312" i="4"/>
  <c r="C312" i="4"/>
  <c r="B312" i="4"/>
  <c r="A312" i="4"/>
  <c r="F311" i="4"/>
  <c r="E311" i="4"/>
  <c r="D311" i="4"/>
  <c r="C311" i="4"/>
  <c r="B311" i="4"/>
  <c r="A311" i="4"/>
  <c r="F310" i="4"/>
  <c r="E310" i="4"/>
  <c r="D310" i="4"/>
  <c r="C310" i="4"/>
  <c r="B310" i="4"/>
  <c r="A310" i="4"/>
  <c r="F309" i="4"/>
  <c r="E309" i="4"/>
  <c r="D309" i="4"/>
  <c r="C309" i="4"/>
  <c r="B309" i="4"/>
  <c r="A309" i="4"/>
  <c r="F308" i="4"/>
  <c r="E308" i="4"/>
  <c r="D308" i="4"/>
  <c r="C308" i="4"/>
  <c r="B308" i="4"/>
  <c r="A308" i="4"/>
  <c r="F307" i="4"/>
  <c r="E307" i="4"/>
  <c r="D307" i="4"/>
  <c r="C307" i="4"/>
  <c r="B307" i="4"/>
  <c r="A307" i="4"/>
  <c r="F306" i="4"/>
  <c r="E306" i="4"/>
  <c r="D306" i="4"/>
  <c r="C306" i="4"/>
  <c r="B306" i="4"/>
  <c r="A306" i="4"/>
  <c r="F305" i="4"/>
  <c r="E305" i="4"/>
  <c r="D305" i="4"/>
  <c r="C305" i="4"/>
  <c r="B305" i="4"/>
  <c r="A305" i="4"/>
  <c r="F304" i="4"/>
  <c r="E304" i="4"/>
  <c r="D304" i="4"/>
  <c r="C304" i="4"/>
  <c r="B304" i="4"/>
  <c r="A304" i="4"/>
  <c r="F303" i="4"/>
  <c r="E303" i="4"/>
  <c r="D303" i="4"/>
  <c r="C303" i="4"/>
  <c r="B303" i="4"/>
  <c r="A303" i="4"/>
  <c r="F302" i="4"/>
  <c r="E302" i="4"/>
  <c r="D302" i="4"/>
  <c r="C302" i="4"/>
  <c r="B302" i="4"/>
  <c r="A302" i="4"/>
  <c r="F301" i="4"/>
  <c r="E301" i="4"/>
  <c r="D301" i="4"/>
  <c r="C301" i="4"/>
  <c r="B301" i="4"/>
  <c r="A301" i="4"/>
  <c r="F300" i="4"/>
  <c r="E300" i="4"/>
  <c r="D300" i="4"/>
  <c r="C300" i="4"/>
  <c r="B300" i="4"/>
  <c r="A300" i="4"/>
  <c r="F299" i="4"/>
  <c r="E299" i="4"/>
  <c r="D299" i="4"/>
  <c r="C299" i="4"/>
  <c r="B299" i="4"/>
  <c r="A299" i="4"/>
  <c r="F298" i="4"/>
  <c r="E298" i="4"/>
  <c r="D298" i="4"/>
  <c r="C298" i="4"/>
  <c r="B298" i="4"/>
  <c r="A298" i="4"/>
  <c r="F297" i="4"/>
  <c r="E297" i="4"/>
  <c r="D297" i="4"/>
  <c r="C297" i="4"/>
  <c r="B297" i="4"/>
  <c r="A297" i="4"/>
  <c r="F296" i="4"/>
  <c r="E296" i="4"/>
  <c r="D296" i="4"/>
  <c r="C296" i="4"/>
  <c r="B296" i="4"/>
  <c r="A296" i="4"/>
  <c r="F295" i="4"/>
  <c r="E295" i="4"/>
  <c r="D295" i="4"/>
  <c r="C295" i="4"/>
  <c r="B295" i="4"/>
  <c r="A295" i="4"/>
  <c r="F294" i="4"/>
  <c r="E294" i="4"/>
  <c r="D294" i="4"/>
  <c r="C294" i="4"/>
  <c r="B294" i="4"/>
  <c r="A294" i="4"/>
  <c r="F293" i="4"/>
  <c r="E293" i="4"/>
  <c r="D293" i="4"/>
  <c r="C293" i="4"/>
  <c r="B293" i="4"/>
  <c r="A293" i="4"/>
  <c r="F292" i="4"/>
  <c r="E292" i="4"/>
  <c r="D292" i="4"/>
  <c r="C292" i="4"/>
  <c r="B292" i="4"/>
  <c r="A292" i="4"/>
  <c r="F291" i="4"/>
  <c r="E291" i="4"/>
  <c r="D291" i="4"/>
  <c r="C291" i="4"/>
  <c r="B291" i="4"/>
  <c r="A291" i="4"/>
  <c r="F290" i="4"/>
  <c r="E290" i="4"/>
  <c r="D290" i="4"/>
  <c r="C290" i="4"/>
  <c r="B290" i="4"/>
  <c r="A290" i="4"/>
  <c r="F289" i="4"/>
  <c r="E289" i="4"/>
  <c r="D289" i="4"/>
  <c r="C289" i="4"/>
  <c r="B289" i="4"/>
  <c r="A289" i="4"/>
  <c r="F288" i="4"/>
  <c r="E288" i="4"/>
  <c r="D288" i="4"/>
  <c r="C288" i="4"/>
  <c r="B288" i="4"/>
  <c r="A288" i="4"/>
  <c r="F287" i="4"/>
  <c r="E287" i="4"/>
  <c r="D287" i="4"/>
  <c r="C287" i="4"/>
  <c r="B287" i="4"/>
  <c r="A287" i="4"/>
  <c r="F286" i="4"/>
  <c r="E286" i="4"/>
  <c r="D286" i="4"/>
  <c r="C286" i="4"/>
  <c r="B286" i="4"/>
  <c r="A286" i="4"/>
  <c r="F285" i="4"/>
  <c r="E285" i="4"/>
  <c r="D285" i="4"/>
  <c r="C285" i="4"/>
  <c r="B285" i="4"/>
  <c r="A285" i="4"/>
  <c r="F284" i="4"/>
  <c r="E284" i="4"/>
  <c r="D284" i="4"/>
  <c r="C284" i="4"/>
  <c r="B284" i="4"/>
  <c r="A284" i="4"/>
  <c r="F283" i="4"/>
  <c r="E283" i="4"/>
  <c r="D283" i="4"/>
  <c r="C283" i="4"/>
  <c r="B283" i="4"/>
  <c r="A283" i="4"/>
  <c r="F282" i="4"/>
  <c r="E282" i="4"/>
  <c r="D282" i="4"/>
  <c r="C282" i="4"/>
  <c r="B282" i="4"/>
  <c r="A282" i="4"/>
  <c r="F281" i="4"/>
  <c r="E281" i="4"/>
  <c r="D281" i="4"/>
  <c r="C281" i="4"/>
  <c r="B281" i="4"/>
  <c r="A281" i="4"/>
  <c r="F280" i="4"/>
  <c r="E280" i="4"/>
  <c r="D280" i="4"/>
  <c r="C280" i="4"/>
  <c r="B280" i="4"/>
  <c r="A280" i="4"/>
  <c r="F279" i="4"/>
  <c r="E279" i="4"/>
  <c r="D279" i="4"/>
  <c r="C279" i="4"/>
  <c r="B279" i="4"/>
  <c r="A279" i="4"/>
  <c r="F278" i="4"/>
  <c r="E278" i="4"/>
  <c r="D278" i="4"/>
  <c r="C278" i="4"/>
  <c r="B278" i="4"/>
  <c r="A278" i="4"/>
  <c r="F277" i="4"/>
  <c r="E277" i="4"/>
  <c r="D277" i="4"/>
  <c r="C277" i="4"/>
  <c r="B277" i="4"/>
  <c r="A277" i="4"/>
  <c r="F276" i="4"/>
  <c r="E276" i="4"/>
  <c r="D276" i="4"/>
  <c r="C276" i="4"/>
  <c r="B276" i="4"/>
  <c r="A276" i="4"/>
  <c r="F275" i="4"/>
  <c r="E275" i="4"/>
  <c r="D275" i="4"/>
  <c r="C275" i="4"/>
  <c r="B275" i="4"/>
  <c r="A275" i="4"/>
  <c r="F274" i="4"/>
  <c r="E274" i="4"/>
  <c r="D274" i="4"/>
  <c r="C274" i="4"/>
  <c r="B274" i="4"/>
  <c r="A274" i="4"/>
  <c r="F273" i="4"/>
  <c r="E273" i="4"/>
  <c r="D273" i="4"/>
  <c r="C273" i="4"/>
  <c r="B273" i="4"/>
  <c r="A273" i="4"/>
  <c r="F272" i="4"/>
  <c r="E272" i="4"/>
  <c r="D272" i="4"/>
  <c r="C272" i="4"/>
  <c r="B272" i="4"/>
  <c r="A272" i="4"/>
  <c r="F271" i="4"/>
  <c r="E271" i="4"/>
  <c r="D271" i="4"/>
  <c r="C271" i="4"/>
  <c r="B271" i="4"/>
  <c r="A271" i="4"/>
  <c r="F270" i="4"/>
  <c r="E270" i="4"/>
  <c r="D270" i="4"/>
  <c r="C270" i="4"/>
  <c r="B270" i="4"/>
  <c r="A270" i="4"/>
  <c r="F269" i="4"/>
  <c r="E269" i="4"/>
  <c r="D269" i="4"/>
  <c r="C269" i="4"/>
  <c r="B269" i="4"/>
  <c r="A269" i="4"/>
  <c r="F268" i="4"/>
  <c r="E268" i="4"/>
  <c r="D268" i="4"/>
  <c r="C268" i="4"/>
  <c r="B268" i="4"/>
  <c r="A268" i="4"/>
  <c r="F267" i="4"/>
  <c r="E267" i="4"/>
  <c r="D267" i="4"/>
  <c r="C267" i="4"/>
  <c r="B267" i="4"/>
  <c r="A267" i="4"/>
  <c r="F266" i="4"/>
  <c r="E266" i="4"/>
  <c r="D266" i="4"/>
  <c r="C266" i="4"/>
  <c r="B266" i="4"/>
  <c r="A266" i="4"/>
  <c r="F265" i="4"/>
  <c r="E265" i="4"/>
  <c r="D265" i="4"/>
  <c r="C265" i="4"/>
  <c r="B265" i="4"/>
  <c r="A265" i="4"/>
  <c r="F264" i="4"/>
  <c r="E264" i="4"/>
  <c r="D264" i="4"/>
  <c r="C264" i="4"/>
  <c r="B264" i="4"/>
  <c r="A264" i="4"/>
  <c r="F263" i="4"/>
  <c r="E263" i="4"/>
  <c r="D263" i="4"/>
  <c r="C263" i="4"/>
  <c r="B263" i="4"/>
  <c r="A263" i="4"/>
  <c r="F262" i="4"/>
  <c r="E262" i="4"/>
  <c r="D262" i="4"/>
  <c r="C262" i="4"/>
  <c r="B262" i="4"/>
  <c r="A262" i="4"/>
  <c r="F261" i="4"/>
  <c r="E261" i="4"/>
  <c r="D261" i="4"/>
  <c r="C261" i="4"/>
  <c r="B261" i="4"/>
  <c r="A261" i="4"/>
  <c r="F260" i="4"/>
  <c r="E260" i="4"/>
  <c r="D260" i="4"/>
  <c r="C260" i="4"/>
  <c r="B260" i="4"/>
  <c r="A260" i="4"/>
  <c r="F259" i="4"/>
  <c r="E259" i="4"/>
  <c r="D259" i="4"/>
  <c r="C259" i="4"/>
  <c r="B259" i="4"/>
  <c r="A259" i="4"/>
  <c r="F258" i="4"/>
  <c r="E258" i="4"/>
  <c r="D258" i="4"/>
  <c r="C258" i="4"/>
  <c r="B258" i="4"/>
  <c r="A258" i="4"/>
  <c r="F257" i="4"/>
  <c r="E257" i="4"/>
  <c r="D257" i="4"/>
  <c r="C257" i="4"/>
  <c r="B257" i="4"/>
  <c r="A257" i="4"/>
  <c r="F256" i="4"/>
  <c r="E256" i="4"/>
  <c r="D256" i="4"/>
  <c r="C256" i="4"/>
  <c r="B256" i="4"/>
  <c r="A256" i="4"/>
  <c r="F255" i="4"/>
  <c r="E255" i="4"/>
  <c r="D255" i="4"/>
  <c r="C255" i="4"/>
  <c r="B255" i="4"/>
  <c r="A255" i="4"/>
  <c r="F254" i="4"/>
  <c r="E254" i="4"/>
  <c r="D254" i="4"/>
  <c r="C254" i="4"/>
  <c r="B254" i="4"/>
  <c r="A254" i="4"/>
  <c r="F253" i="4"/>
  <c r="E253" i="4"/>
  <c r="D253" i="4"/>
  <c r="C253" i="4"/>
  <c r="B253" i="4"/>
  <c r="A253" i="4"/>
  <c r="F252" i="4"/>
  <c r="E252" i="4"/>
  <c r="D252" i="4"/>
  <c r="C252" i="4"/>
  <c r="B252" i="4"/>
  <c r="A252" i="4"/>
  <c r="F251" i="4"/>
  <c r="E251" i="4"/>
  <c r="D251" i="4"/>
  <c r="C251" i="4"/>
  <c r="B251" i="4"/>
  <c r="A251" i="4"/>
  <c r="F250" i="4"/>
  <c r="E250" i="4"/>
  <c r="D250" i="4"/>
  <c r="C250" i="4"/>
  <c r="B250" i="4"/>
  <c r="A250" i="4"/>
  <c r="F249" i="4"/>
  <c r="E249" i="4"/>
  <c r="D249" i="4"/>
  <c r="C249" i="4"/>
  <c r="B249" i="4"/>
  <c r="A249" i="4"/>
  <c r="F248" i="4"/>
  <c r="E248" i="4"/>
  <c r="D248" i="4"/>
  <c r="C248" i="4"/>
  <c r="B248" i="4"/>
  <c r="A248" i="4"/>
  <c r="F247" i="4"/>
  <c r="E247" i="4"/>
  <c r="D247" i="4"/>
  <c r="C247" i="4"/>
  <c r="B247" i="4"/>
  <c r="A247" i="4"/>
  <c r="F246" i="4"/>
  <c r="E246" i="4"/>
  <c r="D246" i="4"/>
  <c r="C246" i="4"/>
  <c r="B246" i="4"/>
  <c r="A246" i="4"/>
  <c r="F245" i="4"/>
  <c r="E245" i="4"/>
  <c r="D245" i="4"/>
  <c r="C245" i="4"/>
  <c r="B245" i="4"/>
  <c r="A245" i="4"/>
  <c r="F244" i="4"/>
  <c r="E244" i="4"/>
  <c r="D244" i="4"/>
  <c r="C244" i="4"/>
  <c r="B244" i="4"/>
  <c r="A244" i="4"/>
  <c r="F243" i="4"/>
  <c r="E243" i="4"/>
  <c r="D243" i="4"/>
  <c r="C243" i="4"/>
  <c r="B243" i="4"/>
  <c r="A243" i="4"/>
  <c r="F242" i="4"/>
  <c r="E242" i="4"/>
  <c r="D242" i="4"/>
  <c r="C242" i="4"/>
  <c r="B242" i="4"/>
  <c r="A242" i="4"/>
  <c r="F241" i="4"/>
  <c r="E241" i="4"/>
  <c r="D241" i="4"/>
  <c r="C241" i="4"/>
  <c r="B241" i="4"/>
  <c r="A241" i="4"/>
  <c r="F240" i="4"/>
  <c r="E240" i="4"/>
  <c r="D240" i="4"/>
  <c r="C240" i="4"/>
  <c r="B240" i="4"/>
  <c r="A240" i="4"/>
  <c r="F239" i="4"/>
  <c r="E239" i="4"/>
  <c r="D239" i="4"/>
  <c r="C239" i="4"/>
  <c r="B239" i="4"/>
  <c r="A239" i="4"/>
  <c r="F238" i="4"/>
  <c r="E238" i="4"/>
  <c r="D238" i="4"/>
  <c r="C238" i="4"/>
  <c r="B238" i="4"/>
  <c r="A238" i="4"/>
  <c r="F237" i="4"/>
  <c r="E237" i="4"/>
  <c r="D237" i="4"/>
  <c r="C237" i="4"/>
  <c r="B237" i="4"/>
  <c r="A237" i="4"/>
  <c r="F236" i="4"/>
  <c r="E236" i="4"/>
  <c r="D236" i="4"/>
  <c r="C236" i="4"/>
  <c r="B236" i="4"/>
  <c r="A236" i="4"/>
  <c r="F235" i="4"/>
  <c r="E235" i="4"/>
  <c r="D235" i="4"/>
  <c r="C235" i="4"/>
  <c r="B235" i="4"/>
  <c r="A235" i="4"/>
  <c r="F234" i="4"/>
  <c r="E234" i="4"/>
  <c r="D234" i="4"/>
  <c r="C234" i="4"/>
  <c r="B234" i="4"/>
  <c r="A234" i="4"/>
  <c r="F233" i="4"/>
  <c r="E233" i="4"/>
  <c r="D233" i="4"/>
  <c r="C233" i="4"/>
  <c r="B233" i="4"/>
  <c r="A233" i="4"/>
  <c r="F232" i="4"/>
  <c r="E232" i="4"/>
  <c r="D232" i="4"/>
  <c r="C232" i="4"/>
  <c r="B232" i="4"/>
  <c r="A232" i="4"/>
  <c r="F231" i="4"/>
  <c r="E231" i="4"/>
  <c r="D231" i="4"/>
  <c r="C231" i="4"/>
  <c r="B231" i="4"/>
  <c r="A231" i="4"/>
  <c r="F230" i="4"/>
  <c r="E230" i="4"/>
  <c r="D230" i="4"/>
  <c r="C230" i="4"/>
  <c r="B230" i="4"/>
  <c r="A230" i="4"/>
  <c r="F229" i="4"/>
  <c r="E229" i="4"/>
  <c r="D229" i="4"/>
  <c r="C229" i="4"/>
  <c r="B229" i="4"/>
  <c r="A229" i="4"/>
  <c r="F228" i="4"/>
  <c r="E228" i="4"/>
  <c r="D228" i="4"/>
  <c r="C228" i="4"/>
  <c r="B228" i="4"/>
  <c r="A228" i="4"/>
  <c r="F227" i="4"/>
  <c r="E227" i="4"/>
  <c r="D227" i="4"/>
  <c r="C227" i="4"/>
  <c r="B227" i="4"/>
  <c r="A227" i="4"/>
  <c r="F226" i="4"/>
  <c r="E226" i="4"/>
  <c r="D226" i="4"/>
  <c r="C226" i="4"/>
  <c r="B226" i="4"/>
  <c r="A226" i="4"/>
  <c r="F225" i="4"/>
  <c r="E225" i="4"/>
  <c r="D225" i="4"/>
  <c r="C225" i="4"/>
  <c r="B225" i="4"/>
  <c r="A225" i="4"/>
  <c r="F224" i="4"/>
  <c r="E224" i="4"/>
  <c r="D224" i="4"/>
  <c r="C224" i="4"/>
  <c r="B224" i="4"/>
  <c r="A224" i="4"/>
  <c r="F223" i="4"/>
  <c r="E223" i="4"/>
  <c r="D223" i="4"/>
  <c r="C223" i="4"/>
  <c r="B223" i="4"/>
  <c r="A223" i="4"/>
  <c r="F222" i="4"/>
  <c r="E222" i="4"/>
  <c r="D222" i="4"/>
  <c r="C222" i="4"/>
  <c r="B222" i="4"/>
  <c r="A222" i="4"/>
  <c r="F221" i="4"/>
  <c r="E221" i="4"/>
  <c r="D221" i="4"/>
  <c r="C221" i="4"/>
  <c r="B221" i="4"/>
  <c r="A221" i="4"/>
  <c r="F220" i="4"/>
  <c r="E220" i="4"/>
  <c r="D220" i="4"/>
  <c r="C220" i="4"/>
  <c r="B220" i="4"/>
  <c r="A220" i="4"/>
  <c r="F219" i="4"/>
  <c r="E219" i="4"/>
  <c r="D219" i="4"/>
  <c r="C219" i="4"/>
  <c r="B219" i="4"/>
  <c r="A219" i="4"/>
  <c r="F218" i="4"/>
  <c r="E218" i="4"/>
  <c r="D218" i="4"/>
  <c r="C218" i="4"/>
  <c r="B218" i="4"/>
  <c r="A218" i="4"/>
  <c r="F217" i="4"/>
  <c r="E217" i="4"/>
  <c r="D217" i="4"/>
  <c r="C217" i="4"/>
  <c r="B217" i="4"/>
  <c r="A217" i="4"/>
  <c r="F216" i="4"/>
  <c r="E216" i="4"/>
  <c r="D216" i="4"/>
  <c r="C216" i="4"/>
  <c r="B216" i="4"/>
  <c r="A216" i="4"/>
  <c r="F215" i="4"/>
  <c r="E215" i="4"/>
  <c r="D215" i="4"/>
  <c r="C215" i="4"/>
  <c r="B215" i="4"/>
  <c r="A215" i="4"/>
  <c r="F214" i="4"/>
  <c r="E214" i="4"/>
  <c r="D214" i="4"/>
  <c r="C214" i="4"/>
  <c r="B214" i="4"/>
  <c r="A214" i="4"/>
  <c r="F213" i="4"/>
  <c r="E213" i="4"/>
  <c r="D213" i="4"/>
  <c r="C213" i="4"/>
  <c r="B213" i="4"/>
  <c r="A213" i="4"/>
  <c r="F212" i="4"/>
  <c r="E212" i="4"/>
  <c r="D212" i="4"/>
  <c r="C212" i="4"/>
  <c r="B212" i="4"/>
  <c r="A212" i="4"/>
  <c r="F211" i="4"/>
  <c r="E211" i="4"/>
  <c r="D211" i="4"/>
  <c r="C211" i="4"/>
  <c r="B211" i="4"/>
  <c r="A211" i="4"/>
  <c r="F210" i="4"/>
  <c r="E210" i="4"/>
  <c r="D210" i="4"/>
  <c r="C210" i="4"/>
  <c r="B210" i="4"/>
  <c r="A210" i="4"/>
  <c r="F209" i="4"/>
  <c r="E209" i="4"/>
  <c r="D209" i="4"/>
  <c r="C209" i="4"/>
  <c r="B209" i="4"/>
  <c r="A209" i="4"/>
  <c r="F208" i="4"/>
  <c r="E208" i="4"/>
  <c r="D208" i="4"/>
  <c r="C208" i="4"/>
  <c r="B208" i="4"/>
  <c r="A208" i="4"/>
  <c r="F207" i="4"/>
  <c r="E207" i="4"/>
  <c r="D207" i="4"/>
  <c r="C207" i="4"/>
  <c r="B207" i="4"/>
  <c r="A207" i="4"/>
  <c r="F206" i="4"/>
  <c r="E206" i="4"/>
  <c r="D206" i="4"/>
  <c r="C206" i="4"/>
  <c r="B206" i="4"/>
  <c r="A206" i="4"/>
  <c r="F205" i="4"/>
  <c r="E205" i="4"/>
  <c r="D205" i="4"/>
  <c r="C205" i="4"/>
  <c r="B205" i="4"/>
  <c r="A205" i="4"/>
  <c r="F204" i="4"/>
  <c r="E204" i="4"/>
  <c r="D204" i="4"/>
  <c r="C204" i="4"/>
  <c r="B204" i="4"/>
  <c r="A204" i="4"/>
  <c r="F203" i="4"/>
  <c r="E203" i="4"/>
  <c r="D203" i="4"/>
  <c r="C203" i="4"/>
  <c r="B203" i="4"/>
  <c r="A203" i="4"/>
  <c r="F202" i="4"/>
  <c r="E202" i="4"/>
  <c r="D202" i="4"/>
  <c r="C202" i="4"/>
  <c r="B202" i="4"/>
  <c r="A202" i="4"/>
  <c r="F201" i="4"/>
  <c r="E201" i="4"/>
  <c r="D201" i="4"/>
  <c r="C201" i="4"/>
  <c r="B201" i="4"/>
  <c r="A201" i="4"/>
  <c r="F200" i="4"/>
  <c r="E200" i="4"/>
  <c r="D200" i="4"/>
  <c r="C200" i="4"/>
  <c r="B200" i="4"/>
  <c r="A200" i="4"/>
  <c r="F199" i="4"/>
  <c r="E199" i="4"/>
  <c r="D199" i="4"/>
  <c r="C199" i="4"/>
  <c r="B199" i="4"/>
  <c r="A199" i="4"/>
  <c r="F198" i="4"/>
  <c r="E198" i="4"/>
  <c r="D198" i="4"/>
  <c r="C198" i="4"/>
  <c r="B198" i="4"/>
  <c r="A198" i="4"/>
  <c r="F197" i="4"/>
  <c r="E197" i="4"/>
  <c r="D197" i="4"/>
  <c r="C197" i="4"/>
  <c r="B197" i="4"/>
  <c r="A197" i="4"/>
  <c r="F196" i="4"/>
  <c r="E196" i="4"/>
  <c r="D196" i="4"/>
  <c r="C196" i="4"/>
  <c r="B196" i="4"/>
  <c r="A196" i="4"/>
  <c r="F195" i="4"/>
  <c r="E195" i="4"/>
  <c r="D195" i="4"/>
  <c r="C195" i="4"/>
  <c r="B195" i="4"/>
  <c r="A195" i="4"/>
  <c r="F194" i="4"/>
  <c r="E194" i="4"/>
  <c r="D194" i="4"/>
  <c r="C194" i="4"/>
  <c r="B194" i="4"/>
  <c r="A194" i="4"/>
  <c r="F193" i="4"/>
  <c r="E193" i="4"/>
  <c r="D193" i="4"/>
  <c r="C193" i="4"/>
  <c r="B193" i="4"/>
  <c r="A193" i="4"/>
  <c r="F192" i="4"/>
  <c r="E192" i="4"/>
  <c r="D192" i="4"/>
  <c r="C192" i="4"/>
  <c r="B192" i="4"/>
  <c r="A192" i="4"/>
  <c r="F191" i="4"/>
  <c r="E191" i="4"/>
  <c r="D191" i="4"/>
  <c r="C191" i="4"/>
  <c r="B191" i="4"/>
  <c r="A191" i="4"/>
  <c r="F190" i="4"/>
  <c r="E190" i="4"/>
  <c r="D190" i="4"/>
  <c r="C190" i="4"/>
  <c r="B190" i="4"/>
  <c r="A190" i="4"/>
  <c r="F189" i="4"/>
  <c r="E189" i="4"/>
  <c r="D189" i="4"/>
  <c r="C189" i="4"/>
  <c r="B189" i="4"/>
  <c r="A189" i="4"/>
  <c r="F188" i="4"/>
  <c r="E188" i="4"/>
  <c r="D188" i="4"/>
  <c r="C188" i="4"/>
  <c r="B188" i="4"/>
  <c r="A188" i="4"/>
  <c r="F187" i="4"/>
  <c r="E187" i="4"/>
  <c r="D187" i="4"/>
  <c r="C187" i="4"/>
  <c r="B187" i="4"/>
  <c r="A187" i="4"/>
  <c r="F186" i="4"/>
  <c r="E186" i="4"/>
  <c r="D186" i="4"/>
  <c r="C186" i="4"/>
  <c r="B186" i="4"/>
  <c r="A186" i="4"/>
  <c r="F185" i="4"/>
  <c r="E185" i="4"/>
  <c r="D185" i="4"/>
  <c r="C185" i="4"/>
  <c r="B185" i="4"/>
  <c r="A185" i="4"/>
  <c r="F184" i="4"/>
  <c r="E184" i="4"/>
  <c r="D184" i="4"/>
  <c r="C184" i="4"/>
  <c r="B184" i="4"/>
  <c r="A184" i="4"/>
  <c r="F183" i="4"/>
  <c r="E183" i="4"/>
  <c r="D183" i="4"/>
  <c r="C183" i="4"/>
  <c r="B183" i="4"/>
  <c r="A183" i="4"/>
  <c r="F182" i="4"/>
  <c r="E182" i="4"/>
  <c r="D182" i="4"/>
  <c r="C182" i="4"/>
  <c r="B182" i="4"/>
  <c r="A182" i="4"/>
  <c r="F181" i="4"/>
  <c r="E181" i="4"/>
  <c r="D181" i="4"/>
  <c r="C181" i="4"/>
  <c r="B181" i="4"/>
  <c r="A181" i="4"/>
  <c r="F180" i="4"/>
  <c r="E180" i="4"/>
  <c r="D180" i="4"/>
  <c r="C180" i="4"/>
  <c r="B180" i="4"/>
  <c r="A180" i="4"/>
  <c r="F179" i="4"/>
  <c r="E179" i="4"/>
  <c r="D179" i="4"/>
  <c r="C179" i="4"/>
  <c r="B179" i="4"/>
  <c r="A179" i="4"/>
  <c r="F178" i="4"/>
  <c r="E178" i="4"/>
  <c r="D178" i="4"/>
  <c r="C178" i="4"/>
  <c r="B178" i="4"/>
  <c r="A178" i="4"/>
  <c r="F177" i="4"/>
  <c r="E177" i="4"/>
  <c r="D177" i="4"/>
  <c r="C177" i="4"/>
  <c r="B177" i="4"/>
  <c r="A177" i="4"/>
  <c r="F176" i="4"/>
  <c r="E176" i="4"/>
  <c r="D176" i="4"/>
  <c r="C176" i="4"/>
  <c r="B176" i="4"/>
  <c r="A176" i="4"/>
  <c r="F175" i="4"/>
  <c r="E175" i="4"/>
  <c r="D175" i="4"/>
  <c r="C175" i="4"/>
  <c r="B175" i="4"/>
  <c r="A175" i="4"/>
  <c r="F174" i="4"/>
  <c r="E174" i="4"/>
  <c r="D174" i="4"/>
  <c r="C174" i="4"/>
  <c r="B174" i="4"/>
  <c r="A174" i="4"/>
  <c r="F173" i="4"/>
  <c r="E173" i="4"/>
  <c r="D173" i="4"/>
  <c r="C173" i="4"/>
  <c r="B173" i="4"/>
  <c r="A173" i="4"/>
  <c r="F172" i="4"/>
  <c r="E172" i="4"/>
  <c r="D172" i="4"/>
  <c r="C172" i="4"/>
  <c r="B172" i="4"/>
  <c r="A172" i="4"/>
  <c r="F171" i="4"/>
  <c r="E171" i="4"/>
  <c r="D171" i="4"/>
  <c r="C171" i="4"/>
  <c r="B171" i="4"/>
  <c r="A171" i="4"/>
  <c r="F170" i="4"/>
  <c r="E170" i="4"/>
  <c r="D170" i="4"/>
  <c r="C170" i="4"/>
  <c r="B170" i="4"/>
  <c r="A170" i="4"/>
  <c r="F169" i="4"/>
  <c r="E169" i="4"/>
  <c r="D169" i="4"/>
  <c r="C169" i="4"/>
  <c r="B169" i="4"/>
  <c r="A169" i="4"/>
  <c r="F168" i="4"/>
  <c r="E168" i="4"/>
  <c r="D168" i="4"/>
  <c r="C168" i="4"/>
  <c r="B168" i="4"/>
  <c r="A168" i="4"/>
  <c r="F167" i="4"/>
  <c r="E167" i="4"/>
  <c r="D167" i="4"/>
  <c r="C167" i="4"/>
  <c r="B167" i="4"/>
  <c r="A167" i="4"/>
  <c r="F166" i="4"/>
  <c r="E166" i="4"/>
  <c r="D166" i="4"/>
  <c r="C166" i="4"/>
  <c r="B166" i="4"/>
  <c r="A166" i="4"/>
  <c r="F165" i="4"/>
  <c r="E165" i="4"/>
  <c r="D165" i="4"/>
  <c r="C165" i="4"/>
  <c r="B165" i="4"/>
  <c r="A165" i="4"/>
  <c r="F164" i="4"/>
  <c r="E164" i="4"/>
  <c r="D164" i="4"/>
  <c r="C164" i="4"/>
  <c r="B164" i="4"/>
  <c r="A164" i="4"/>
  <c r="F163" i="4"/>
  <c r="E163" i="4"/>
  <c r="D163" i="4"/>
  <c r="C163" i="4"/>
  <c r="B163" i="4"/>
  <c r="A163" i="4"/>
  <c r="F162" i="4"/>
  <c r="E162" i="4"/>
  <c r="D162" i="4"/>
  <c r="C162" i="4"/>
  <c r="B162" i="4"/>
  <c r="A162" i="4"/>
  <c r="F161" i="4"/>
  <c r="E161" i="4"/>
  <c r="D161" i="4"/>
  <c r="C161" i="4"/>
  <c r="B161" i="4"/>
  <c r="A161" i="4"/>
  <c r="F160" i="4"/>
  <c r="E160" i="4"/>
  <c r="D160" i="4"/>
  <c r="C160" i="4"/>
  <c r="B160" i="4"/>
  <c r="A160" i="4"/>
  <c r="F159" i="4"/>
  <c r="E159" i="4"/>
  <c r="D159" i="4"/>
  <c r="C159" i="4"/>
  <c r="B159" i="4"/>
  <c r="A159" i="4"/>
  <c r="F158" i="4"/>
  <c r="E158" i="4"/>
  <c r="D158" i="4"/>
  <c r="C158" i="4"/>
  <c r="B158" i="4"/>
  <c r="A158" i="4"/>
  <c r="F157" i="4"/>
  <c r="E157" i="4"/>
  <c r="D157" i="4"/>
  <c r="C157" i="4"/>
  <c r="B157" i="4"/>
  <c r="A157" i="4"/>
  <c r="F156" i="4"/>
  <c r="E156" i="4"/>
  <c r="D156" i="4"/>
  <c r="C156" i="4"/>
  <c r="B156" i="4"/>
  <c r="A156" i="4"/>
  <c r="F155" i="4"/>
  <c r="E155" i="4"/>
  <c r="D155" i="4"/>
  <c r="C155" i="4"/>
  <c r="B155" i="4"/>
  <c r="A155" i="4"/>
  <c r="F154" i="4"/>
  <c r="E154" i="4"/>
  <c r="D154" i="4"/>
  <c r="C154" i="4"/>
  <c r="B154" i="4"/>
  <c r="A154" i="4"/>
  <c r="F153" i="4"/>
  <c r="E153" i="4"/>
  <c r="D153" i="4"/>
  <c r="C153" i="4"/>
  <c r="B153" i="4"/>
  <c r="A153" i="4"/>
  <c r="F152" i="4"/>
  <c r="E152" i="4"/>
  <c r="D152" i="4"/>
  <c r="C152" i="4"/>
  <c r="B152" i="4"/>
  <c r="A152" i="4"/>
  <c r="F151" i="4"/>
  <c r="E151" i="4"/>
  <c r="D151" i="4"/>
  <c r="C151" i="4"/>
  <c r="B151" i="4"/>
  <c r="A151" i="4"/>
  <c r="F150" i="4"/>
  <c r="E150" i="4"/>
  <c r="D150" i="4"/>
  <c r="C150" i="4"/>
  <c r="B150" i="4"/>
  <c r="A150" i="4"/>
  <c r="F149" i="4"/>
  <c r="E149" i="4"/>
  <c r="D149" i="4"/>
  <c r="C149" i="4"/>
  <c r="B149" i="4"/>
  <c r="A149" i="4"/>
  <c r="F148" i="4"/>
  <c r="E148" i="4"/>
  <c r="D148" i="4"/>
  <c r="C148" i="4"/>
  <c r="B148" i="4"/>
  <c r="A148" i="4"/>
  <c r="F147" i="4"/>
  <c r="E147" i="4"/>
  <c r="D147" i="4"/>
  <c r="C147" i="4"/>
  <c r="B147" i="4"/>
  <c r="A147" i="4"/>
  <c r="F146" i="4"/>
  <c r="E146" i="4"/>
  <c r="D146" i="4"/>
  <c r="C146" i="4"/>
  <c r="B146" i="4"/>
  <c r="A146" i="4"/>
  <c r="F145" i="4"/>
  <c r="E145" i="4"/>
  <c r="D145" i="4"/>
  <c r="C145" i="4"/>
  <c r="B145" i="4"/>
  <c r="A145" i="4"/>
  <c r="F144" i="4"/>
  <c r="E144" i="4"/>
  <c r="D144" i="4"/>
  <c r="C144" i="4"/>
  <c r="B144" i="4"/>
  <c r="A144" i="4"/>
  <c r="F143" i="4"/>
  <c r="E143" i="4"/>
  <c r="D143" i="4"/>
  <c r="C143" i="4"/>
  <c r="B143" i="4"/>
  <c r="A143" i="4"/>
  <c r="F142" i="4"/>
  <c r="E142" i="4"/>
  <c r="D142" i="4"/>
  <c r="C142" i="4"/>
  <c r="B142" i="4"/>
  <c r="A142" i="4"/>
  <c r="F141" i="4"/>
  <c r="E141" i="4"/>
  <c r="D141" i="4"/>
  <c r="C141" i="4"/>
  <c r="B141" i="4"/>
  <c r="A141" i="4"/>
  <c r="F140" i="4"/>
  <c r="E140" i="4"/>
  <c r="D140" i="4"/>
  <c r="C140" i="4"/>
  <c r="B140" i="4"/>
  <c r="A140" i="4"/>
  <c r="F139" i="4"/>
  <c r="E139" i="4"/>
  <c r="D139" i="4"/>
  <c r="C139" i="4"/>
  <c r="B139" i="4"/>
  <c r="A139" i="4"/>
  <c r="F138" i="4"/>
  <c r="E138" i="4"/>
  <c r="D138" i="4"/>
  <c r="C138" i="4"/>
  <c r="B138" i="4"/>
  <c r="A138" i="4"/>
  <c r="F137" i="4"/>
  <c r="E137" i="4"/>
  <c r="D137" i="4"/>
  <c r="C137" i="4"/>
  <c r="B137" i="4"/>
  <c r="A137" i="4"/>
  <c r="F136" i="4"/>
  <c r="E136" i="4"/>
  <c r="D136" i="4"/>
  <c r="C136" i="4"/>
  <c r="B136" i="4"/>
  <c r="A136" i="4"/>
  <c r="F135" i="4"/>
  <c r="E135" i="4"/>
  <c r="D135" i="4"/>
  <c r="C135" i="4"/>
  <c r="B135" i="4"/>
  <c r="A135" i="4"/>
  <c r="F134" i="4"/>
  <c r="E134" i="4"/>
  <c r="D134" i="4"/>
  <c r="C134" i="4"/>
  <c r="B134" i="4"/>
  <c r="A134" i="4"/>
  <c r="F133" i="4"/>
  <c r="E133" i="4"/>
  <c r="D133" i="4"/>
  <c r="C133" i="4"/>
  <c r="B133" i="4"/>
  <c r="A133" i="4"/>
  <c r="F132" i="4"/>
  <c r="E132" i="4"/>
  <c r="D132" i="4"/>
  <c r="C132" i="4"/>
  <c r="B132" i="4"/>
  <c r="A132" i="4"/>
  <c r="F131" i="4"/>
  <c r="E131" i="4"/>
  <c r="D131" i="4"/>
  <c r="C131" i="4"/>
  <c r="B131" i="4"/>
  <c r="A131" i="4"/>
  <c r="F130" i="4"/>
  <c r="E130" i="4"/>
  <c r="D130" i="4"/>
  <c r="C130" i="4"/>
  <c r="B130" i="4"/>
  <c r="A130" i="4"/>
  <c r="F129" i="4"/>
  <c r="E129" i="4"/>
  <c r="D129" i="4"/>
  <c r="C129" i="4"/>
  <c r="B129" i="4"/>
  <c r="A129" i="4"/>
  <c r="F128" i="4"/>
  <c r="E128" i="4"/>
  <c r="D128" i="4"/>
  <c r="C128" i="4"/>
  <c r="B128" i="4"/>
  <c r="A128" i="4"/>
  <c r="F127" i="4"/>
  <c r="E127" i="4"/>
  <c r="D127" i="4"/>
  <c r="C127" i="4"/>
  <c r="B127" i="4"/>
  <c r="A127" i="4"/>
  <c r="F126" i="4"/>
  <c r="E126" i="4"/>
  <c r="D126" i="4"/>
  <c r="C126" i="4"/>
  <c r="B126" i="4"/>
  <c r="A126" i="4"/>
  <c r="F125" i="4"/>
  <c r="E125" i="4"/>
  <c r="D125" i="4"/>
  <c r="C125" i="4"/>
  <c r="B125" i="4"/>
  <c r="A125" i="4"/>
  <c r="F124" i="4"/>
  <c r="E124" i="4"/>
  <c r="D124" i="4"/>
  <c r="C124" i="4"/>
  <c r="B124" i="4"/>
  <c r="A124" i="4"/>
  <c r="F123" i="4"/>
  <c r="E123" i="4"/>
  <c r="D123" i="4"/>
  <c r="C123" i="4"/>
  <c r="B123" i="4"/>
  <c r="A123" i="4"/>
  <c r="F122" i="4"/>
  <c r="E122" i="4"/>
  <c r="D122" i="4"/>
  <c r="C122" i="4"/>
  <c r="B122" i="4"/>
  <c r="A122" i="4"/>
  <c r="F121" i="4"/>
  <c r="E121" i="4"/>
  <c r="D121" i="4"/>
  <c r="C121" i="4"/>
  <c r="B121" i="4"/>
  <c r="A121" i="4"/>
  <c r="F120" i="4"/>
  <c r="E120" i="4"/>
  <c r="D120" i="4"/>
  <c r="C120" i="4"/>
  <c r="B120" i="4"/>
  <c r="A120" i="4"/>
  <c r="F119" i="4"/>
  <c r="E119" i="4"/>
  <c r="D119" i="4"/>
  <c r="C119" i="4"/>
  <c r="B119" i="4"/>
  <c r="A119" i="4"/>
  <c r="F118" i="4"/>
  <c r="E118" i="4"/>
  <c r="D118" i="4"/>
  <c r="C118" i="4"/>
  <c r="B118" i="4"/>
  <c r="A118" i="4"/>
  <c r="F117" i="4"/>
  <c r="E117" i="4"/>
  <c r="D117" i="4"/>
  <c r="C117" i="4"/>
  <c r="B117" i="4"/>
  <c r="A117" i="4"/>
  <c r="F116" i="4"/>
  <c r="E116" i="4"/>
  <c r="D116" i="4"/>
  <c r="C116" i="4"/>
  <c r="B116" i="4"/>
  <c r="A116" i="4"/>
  <c r="F115" i="4"/>
  <c r="E115" i="4"/>
  <c r="D115" i="4"/>
  <c r="C115" i="4"/>
  <c r="B115" i="4"/>
  <c r="A115" i="4"/>
  <c r="F114" i="4"/>
  <c r="E114" i="4"/>
  <c r="D114" i="4"/>
  <c r="C114" i="4"/>
  <c r="B114" i="4"/>
  <c r="A114" i="4"/>
  <c r="F113" i="4"/>
  <c r="E113" i="4"/>
  <c r="D113" i="4"/>
  <c r="C113" i="4"/>
  <c r="B113" i="4"/>
  <c r="A113" i="4"/>
  <c r="F112" i="4"/>
  <c r="E112" i="4"/>
  <c r="D112" i="4"/>
  <c r="C112" i="4"/>
  <c r="B112" i="4"/>
  <c r="A112" i="4"/>
  <c r="F111" i="4"/>
  <c r="E111" i="4"/>
  <c r="D111" i="4"/>
  <c r="C111" i="4"/>
  <c r="B111" i="4"/>
  <c r="A111" i="4"/>
  <c r="F110" i="4"/>
  <c r="E110" i="4"/>
  <c r="D110" i="4"/>
  <c r="C110" i="4"/>
  <c r="B110" i="4"/>
  <c r="A110" i="4"/>
  <c r="F109" i="4"/>
  <c r="E109" i="4"/>
  <c r="D109" i="4"/>
  <c r="C109" i="4"/>
  <c r="B109" i="4"/>
  <c r="A109" i="4"/>
  <c r="F108" i="4"/>
  <c r="E108" i="4"/>
  <c r="D108" i="4"/>
  <c r="C108" i="4"/>
  <c r="B108" i="4"/>
  <c r="A108" i="4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C100" i="4"/>
  <c r="B100" i="4"/>
  <c r="A100" i="4"/>
  <c r="F99" i="4"/>
  <c r="E99" i="4"/>
  <c r="D99" i="4"/>
  <c r="C99" i="4"/>
  <c r="B99" i="4"/>
  <c r="A99" i="4"/>
  <c r="F98" i="4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D94" i="4"/>
  <c r="C94" i="4"/>
  <c r="B94" i="4"/>
  <c r="A94" i="4"/>
  <c r="F93" i="4"/>
  <c r="E93" i="4"/>
  <c r="D93" i="4"/>
  <c r="C93" i="4"/>
  <c r="B93" i="4"/>
  <c r="A93" i="4"/>
  <c r="F92" i="4"/>
  <c r="E92" i="4"/>
  <c r="D92" i="4"/>
  <c r="C92" i="4"/>
  <c r="B92" i="4"/>
  <c r="A92" i="4"/>
  <c r="F91" i="4"/>
  <c r="E91" i="4"/>
  <c r="D91" i="4"/>
  <c r="C91" i="4"/>
  <c r="B91" i="4"/>
  <c r="A91" i="4"/>
  <c r="F90" i="4"/>
  <c r="E90" i="4"/>
  <c r="D90" i="4"/>
  <c r="C90" i="4"/>
  <c r="B90" i="4"/>
  <c r="A90" i="4"/>
  <c r="F89" i="4"/>
  <c r="E89" i="4"/>
  <c r="D89" i="4"/>
  <c r="C89" i="4"/>
  <c r="B89" i="4"/>
  <c r="A89" i="4"/>
  <c r="F88" i="4"/>
  <c r="E88" i="4"/>
  <c r="D88" i="4"/>
  <c r="C88" i="4"/>
  <c r="B88" i="4"/>
  <c r="A88" i="4"/>
  <c r="F87" i="4"/>
  <c r="E87" i="4"/>
  <c r="D87" i="4"/>
  <c r="C87" i="4"/>
  <c r="B87" i="4"/>
  <c r="A87" i="4"/>
  <c r="F86" i="4"/>
  <c r="E86" i="4"/>
  <c r="D86" i="4"/>
  <c r="C86" i="4"/>
  <c r="B86" i="4"/>
  <c r="A86" i="4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F327" i="3"/>
  <c r="E327" i="3"/>
  <c r="D327" i="3"/>
  <c r="C327" i="3"/>
  <c r="B327" i="3"/>
  <c r="A327" i="3"/>
  <c r="F326" i="3"/>
  <c r="E326" i="3"/>
  <c r="D326" i="3"/>
  <c r="C326" i="3"/>
  <c r="B326" i="3"/>
  <c r="A326" i="3"/>
  <c r="F325" i="3"/>
  <c r="E325" i="3"/>
  <c r="D325" i="3"/>
  <c r="C325" i="3"/>
  <c r="B325" i="3"/>
  <c r="A325" i="3"/>
  <c r="F324" i="3"/>
  <c r="E324" i="3"/>
  <c r="D324" i="3"/>
  <c r="C324" i="3"/>
  <c r="B324" i="3"/>
  <c r="A324" i="3"/>
  <c r="F323" i="3"/>
  <c r="E323" i="3"/>
  <c r="D323" i="3"/>
  <c r="C323" i="3"/>
  <c r="B323" i="3"/>
  <c r="A323" i="3"/>
  <c r="F322" i="3"/>
  <c r="E322" i="3"/>
  <c r="D322" i="3"/>
  <c r="C322" i="3"/>
  <c r="B322" i="3"/>
  <c r="A322" i="3"/>
  <c r="F321" i="3"/>
  <c r="E321" i="3"/>
  <c r="D321" i="3"/>
  <c r="C321" i="3"/>
  <c r="B321" i="3"/>
  <c r="A321" i="3"/>
  <c r="F320" i="3"/>
  <c r="E320" i="3"/>
  <c r="D320" i="3"/>
  <c r="C320" i="3"/>
  <c r="B320" i="3"/>
  <c r="A320" i="3"/>
  <c r="F319" i="3"/>
  <c r="E319" i="3"/>
  <c r="D319" i="3"/>
  <c r="C319" i="3"/>
  <c r="B319" i="3"/>
  <c r="A319" i="3"/>
  <c r="F318" i="3"/>
  <c r="E318" i="3"/>
  <c r="D318" i="3"/>
  <c r="C318" i="3"/>
  <c r="B318" i="3"/>
  <c r="A318" i="3"/>
  <c r="F317" i="3"/>
  <c r="E317" i="3"/>
  <c r="D317" i="3"/>
  <c r="C317" i="3"/>
  <c r="B317" i="3"/>
  <c r="A317" i="3"/>
  <c r="F316" i="3"/>
  <c r="E316" i="3"/>
  <c r="D316" i="3"/>
  <c r="C316" i="3"/>
  <c r="B316" i="3"/>
  <c r="A316" i="3"/>
  <c r="F315" i="3"/>
  <c r="E315" i="3"/>
  <c r="D315" i="3"/>
  <c r="C315" i="3"/>
  <c r="B315" i="3"/>
  <c r="A315" i="3"/>
  <c r="F314" i="3"/>
  <c r="E314" i="3"/>
  <c r="D314" i="3"/>
  <c r="C314" i="3"/>
  <c r="B314" i="3"/>
  <c r="A314" i="3"/>
  <c r="F313" i="3"/>
  <c r="E313" i="3"/>
  <c r="D313" i="3"/>
  <c r="C313" i="3"/>
  <c r="B313" i="3"/>
  <c r="A313" i="3"/>
  <c r="F312" i="3"/>
  <c r="E312" i="3"/>
  <c r="D312" i="3"/>
  <c r="C312" i="3"/>
  <c r="B312" i="3"/>
  <c r="A312" i="3"/>
  <c r="F311" i="3"/>
  <c r="E311" i="3"/>
  <c r="D311" i="3"/>
  <c r="C311" i="3"/>
  <c r="B311" i="3"/>
  <c r="A311" i="3"/>
  <c r="F310" i="3"/>
  <c r="E310" i="3"/>
  <c r="D310" i="3"/>
  <c r="C310" i="3"/>
  <c r="B310" i="3"/>
  <c r="A310" i="3"/>
  <c r="F309" i="3"/>
  <c r="E309" i="3"/>
  <c r="D309" i="3"/>
  <c r="C309" i="3"/>
  <c r="B309" i="3"/>
  <c r="A309" i="3"/>
  <c r="F308" i="3"/>
  <c r="E308" i="3"/>
  <c r="D308" i="3"/>
  <c r="C308" i="3"/>
  <c r="B308" i="3"/>
  <c r="A308" i="3"/>
  <c r="F307" i="3"/>
  <c r="E307" i="3"/>
  <c r="D307" i="3"/>
  <c r="C307" i="3"/>
  <c r="B307" i="3"/>
  <c r="A307" i="3"/>
  <c r="F306" i="3"/>
  <c r="E306" i="3"/>
  <c r="D306" i="3"/>
  <c r="C306" i="3"/>
  <c r="B306" i="3"/>
  <c r="A306" i="3"/>
  <c r="F305" i="3"/>
  <c r="E305" i="3"/>
  <c r="D305" i="3"/>
  <c r="C305" i="3"/>
  <c r="B305" i="3"/>
  <c r="A305" i="3"/>
  <c r="F304" i="3"/>
  <c r="E304" i="3"/>
  <c r="D304" i="3"/>
  <c r="C304" i="3"/>
  <c r="B304" i="3"/>
  <c r="A304" i="3"/>
  <c r="F303" i="3"/>
  <c r="E303" i="3"/>
  <c r="D303" i="3"/>
  <c r="C303" i="3"/>
  <c r="B303" i="3"/>
  <c r="A303" i="3"/>
  <c r="F302" i="3"/>
  <c r="E302" i="3"/>
  <c r="D302" i="3"/>
  <c r="C302" i="3"/>
  <c r="B302" i="3"/>
  <c r="A302" i="3"/>
  <c r="F301" i="3"/>
  <c r="E301" i="3"/>
  <c r="D301" i="3"/>
  <c r="C301" i="3"/>
  <c r="B301" i="3"/>
  <c r="A301" i="3"/>
  <c r="F300" i="3"/>
  <c r="E300" i="3"/>
  <c r="D300" i="3"/>
  <c r="C300" i="3"/>
  <c r="B300" i="3"/>
  <c r="A300" i="3"/>
  <c r="F299" i="3"/>
  <c r="E299" i="3"/>
  <c r="D299" i="3"/>
  <c r="C299" i="3"/>
  <c r="B299" i="3"/>
  <c r="A299" i="3"/>
  <c r="F298" i="3"/>
  <c r="E298" i="3"/>
  <c r="D298" i="3"/>
  <c r="C298" i="3"/>
  <c r="B298" i="3"/>
  <c r="A298" i="3"/>
  <c r="F297" i="3"/>
  <c r="E297" i="3"/>
  <c r="D297" i="3"/>
  <c r="C297" i="3"/>
  <c r="B297" i="3"/>
  <c r="A297" i="3"/>
  <c r="F296" i="3"/>
  <c r="E296" i="3"/>
  <c r="D296" i="3"/>
  <c r="C296" i="3"/>
  <c r="B296" i="3"/>
  <c r="A296" i="3"/>
  <c r="F295" i="3"/>
  <c r="E295" i="3"/>
  <c r="D295" i="3"/>
  <c r="C295" i="3"/>
  <c r="B295" i="3"/>
  <c r="A295" i="3"/>
  <c r="F294" i="3"/>
  <c r="E294" i="3"/>
  <c r="D294" i="3"/>
  <c r="C294" i="3"/>
  <c r="B294" i="3"/>
  <c r="A294" i="3"/>
  <c r="F293" i="3"/>
  <c r="E293" i="3"/>
  <c r="D293" i="3"/>
  <c r="C293" i="3"/>
  <c r="B293" i="3"/>
  <c r="A293" i="3"/>
  <c r="F292" i="3"/>
  <c r="E292" i="3"/>
  <c r="D292" i="3"/>
  <c r="C292" i="3"/>
  <c r="B292" i="3"/>
  <c r="A292" i="3"/>
  <c r="F291" i="3"/>
  <c r="E291" i="3"/>
  <c r="D291" i="3"/>
  <c r="C291" i="3"/>
  <c r="B291" i="3"/>
  <c r="A291" i="3"/>
  <c r="F290" i="3"/>
  <c r="E290" i="3"/>
  <c r="D290" i="3"/>
  <c r="C290" i="3"/>
  <c r="B290" i="3"/>
  <c r="A290" i="3"/>
  <c r="F289" i="3"/>
  <c r="E289" i="3"/>
  <c r="D289" i="3"/>
  <c r="C289" i="3"/>
  <c r="B289" i="3"/>
  <c r="A289" i="3"/>
  <c r="F288" i="3"/>
  <c r="E288" i="3"/>
  <c r="D288" i="3"/>
  <c r="C288" i="3"/>
  <c r="B288" i="3"/>
  <c r="A288" i="3"/>
  <c r="F287" i="3"/>
  <c r="E287" i="3"/>
  <c r="D287" i="3"/>
  <c r="C287" i="3"/>
  <c r="B287" i="3"/>
  <c r="A287" i="3"/>
  <c r="F286" i="3"/>
  <c r="E286" i="3"/>
  <c r="D286" i="3"/>
  <c r="C286" i="3"/>
  <c r="B286" i="3"/>
  <c r="A286" i="3"/>
  <c r="F285" i="3"/>
  <c r="E285" i="3"/>
  <c r="D285" i="3"/>
  <c r="C285" i="3"/>
  <c r="B285" i="3"/>
  <c r="A285" i="3"/>
  <c r="F284" i="3"/>
  <c r="E284" i="3"/>
  <c r="D284" i="3"/>
  <c r="C284" i="3"/>
  <c r="B284" i="3"/>
  <c r="A284" i="3"/>
  <c r="F283" i="3"/>
  <c r="E283" i="3"/>
  <c r="D283" i="3"/>
  <c r="C283" i="3"/>
  <c r="B283" i="3"/>
  <c r="A283" i="3"/>
  <c r="F282" i="3"/>
  <c r="E282" i="3"/>
  <c r="D282" i="3"/>
  <c r="C282" i="3"/>
  <c r="B282" i="3"/>
  <c r="A282" i="3"/>
  <c r="F281" i="3"/>
  <c r="E281" i="3"/>
  <c r="D281" i="3"/>
  <c r="C281" i="3"/>
  <c r="B281" i="3"/>
  <c r="A281" i="3"/>
  <c r="F280" i="3"/>
  <c r="E280" i="3"/>
  <c r="D280" i="3"/>
  <c r="C280" i="3"/>
  <c r="B280" i="3"/>
  <c r="A280" i="3"/>
  <c r="F279" i="3"/>
  <c r="E279" i="3"/>
  <c r="D279" i="3"/>
  <c r="C279" i="3"/>
  <c r="B279" i="3"/>
  <c r="A279" i="3"/>
  <c r="F278" i="3"/>
  <c r="E278" i="3"/>
  <c r="D278" i="3"/>
  <c r="C278" i="3"/>
  <c r="B278" i="3"/>
  <c r="A278" i="3"/>
  <c r="F277" i="3"/>
  <c r="E277" i="3"/>
  <c r="D277" i="3"/>
  <c r="C277" i="3"/>
  <c r="B277" i="3"/>
  <c r="A277" i="3"/>
  <c r="F276" i="3"/>
  <c r="E276" i="3"/>
  <c r="D276" i="3"/>
  <c r="C276" i="3"/>
  <c r="B276" i="3"/>
  <c r="A276" i="3"/>
  <c r="F275" i="3"/>
  <c r="E275" i="3"/>
  <c r="D275" i="3"/>
  <c r="C275" i="3"/>
  <c r="B275" i="3"/>
  <c r="A275" i="3"/>
  <c r="F274" i="3"/>
  <c r="E274" i="3"/>
  <c r="D274" i="3"/>
  <c r="C274" i="3"/>
  <c r="B274" i="3"/>
  <c r="A274" i="3"/>
  <c r="F273" i="3"/>
  <c r="E273" i="3"/>
  <c r="D273" i="3"/>
  <c r="C273" i="3"/>
  <c r="B273" i="3"/>
  <c r="A273" i="3"/>
  <c r="F272" i="3"/>
  <c r="E272" i="3"/>
  <c r="D272" i="3"/>
  <c r="C272" i="3"/>
  <c r="B272" i="3"/>
  <c r="A272" i="3"/>
  <c r="F271" i="3"/>
  <c r="E271" i="3"/>
  <c r="D271" i="3"/>
  <c r="C271" i="3"/>
  <c r="B271" i="3"/>
  <c r="A271" i="3"/>
  <c r="F270" i="3"/>
  <c r="E270" i="3"/>
  <c r="D270" i="3"/>
  <c r="C270" i="3"/>
  <c r="B270" i="3"/>
  <c r="A270" i="3"/>
  <c r="F269" i="3"/>
  <c r="E269" i="3"/>
  <c r="D269" i="3"/>
  <c r="C269" i="3"/>
  <c r="B269" i="3"/>
  <c r="A269" i="3"/>
  <c r="F268" i="3"/>
  <c r="E268" i="3"/>
  <c r="D268" i="3"/>
  <c r="C268" i="3"/>
  <c r="B268" i="3"/>
  <c r="A268" i="3"/>
  <c r="F267" i="3"/>
  <c r="E267" i="3"/>
  <c r="D267" i="3"/>
  <c r="C267" i="3"/>
  <c r="B267" i="3"/>
  <c r="A267" i="3"/>
  <c r="F266" i="3"/>
  <c r="E266" i="3"/>
  <c r="D266" i="3"/>
  <c r="C266" i="3"/>
  <c r="B266" i="3"/>
  <c r="A266" i="3"/>
  <c r="F265" i="3"/>
  <c r="E265" i="3"/>
  <c r="D265" i="3"/>
  <c r="C265" i="3"/>
  <c r="B265" i="3"/>
  <c r="A265" i="3"/>
  <c r="F264" i="3"/>
  <c r="E264" i="3"/>
  <c r="D264" i="3"/>
  <c r="C264" i="3"/>
  <c r="B264" i="3"/>
  <c r="A264" i="3"/>
  <c r="F263" i="3"/>
  <c r="E263" i="3"/>
  <c r="D263" i="3"/>
  <c r="C263" i="3"/>
  <c r="B263" i="3"/>
  <c r="A263" i="3"/>
  <c r="F262" i="3"/>
  <c r="E262" i="3"/>
  <c r="D262" i="3"/>
  <c r="C262" i="3"/>
  <c r="B262" i="3"/>
  <c r="A262" i="3"/>
  <c r="F261" i="3"/>
  <c r="E261" i="3"/>
  <c r="D261" i="3"/>
  <c r="C261" i="3"/>
  <c r="B261" i="3"/>
  <c r="A261" i="3"/>
  <c r="F260" i="3"/>
  <c r="E260" i="3"/>
  <c r="D260" i="3"/>
  <c r="C260" i="3"/>
  <c r="B260" i="3"/>
  <c r="A260" i="3"/>
  <c r="F259" i="3"/>
  <c r="E259" i="3"/>
  <c r="D259" i="3"/>
  <c r="C259" i="3"/>
  <c r="B259" i="3"/>
  <c r="A259" i="3"/>
  <c r="F258" i="3"/>
  <c r="E258" i="3"/>
  <c r="D258" i="3"/>
  <c r="C258" i="3"/>
  <c r="B258" i="3"/>
  <c r="A258" i="3"/>
  <c r="F257" i="3"/>
  <c r="E257" i="3"/>
  <c r="D257" i="3"/>
  <c r="C257" i="3"/>
  <c r="B257" i="3"/>
  <c r="A257" i="3"/>
  <c r="F256" i="3"/>
  <c r="E256" i="3"/>
  <c r="D256" i="3"/>
  <c r="C256" i="3"/>
  <c r="B256" i="3"/>
  <c r="A256" i="3"/>
  <c r="F255" i="3"/>
  <c r="E255" i="3"/>
  <c r="D255" i="3"/>
  <c r="C255" i="3"/>
  <c r="B255" i="3"/>
  <c r="A255" i="3"/>
  <c r="F254" i="3"/>
  <c r="E254" i="3"/>
  <c r="D254" i="3"/>
  <c r="C254" i="3"/>
  <c r="B254" i="3"/>
  <c r="A254" i="3"/>
  <c r="F253" i="3"/>
  <c r="E253" i="3"/>
  <c r="D253" i="3"/>
  <c r="C253" i="3"/>
  <c r="B253" i="3"/>
  <c r="A253" i="3"/>
  <c r="F252" i="3"/>
  <c r="E252" i="3"/>
  <c r="D252" i="3"/>
  <c r="C252" i="3"/>
  <c r="B252" i="3"/>
  <c r="A252" i="3"/>
  <c r="F251" i="3"/>
  <c r="E251" i="3"/>
  <c r="D251" i="3"/>
  <c r="C251" i="3"/>
  <c r="B251" i="3"/>
  <c r="A251" i="3"/>
  <c r="F250" i="3"/>
  <c r="E250" i="3"/>
  <c r="D250" i="3"/>
  <c r="C250" i="3"/>
  <c r="B250" i="3"/>
  <c r="A250" i="3"/>
  <c r="F249" i="3"/>
  <c r="E249" i="3"/>
  <c r="D249" i="3"/>
  <c r="C249" i="3"/>
  <c r="B249" i="3"/>
  <c r="A249" i="3"/>
  <c r="F248" i="3"/>
  <c r="E248" i="3"/>
  <c r="D248" i="3"/>
  <c r="C248" i="3"/>
  <c r="B248" i="3"/>
  <c r="A248" i="3"/>
  <c r="F247" i="3"/>
  <c r="E247" i="3"/>
  <c r="D247" i="3"/>
  <c r="C247" i="3"/>
  <c r="B247" i="3"/>
  <c r="A247" i="3"/>
  <c r="F246" i="3"/>
  <c r="E246" i="3"/>
  <c r="D246" i="3"/>
  <c r="C246" i="3"/>
  <c r="B246" i="3"/>
  <c r="A246" i="3"/>
  <c r="F245" i="3"/>
  <c r="E245" i="3"/>
  <c r="D245" i="3"/>
  <c r="C245" i="3"/>
  <c r="B245" i="3"/>
  <c r="A245" i="3"/>
  <c r="F244" i="3"/>
  <c r="E244" i="3"/>
  <c r="D244" i="3"/>
  <c r="C244" i="3"/>
  <c r="B244" i="3"/>
  <c r="A244" i="3"/>
  <c r="F243" i="3"/>
  <c r="E243" i="3"/>
  <c r="D243" i="3"/>
  <c r="C243" i="3"/>
  <c r="B243" i="3"/>
  <c r="A243" i="3"/>
  <c r="F242" i="3"/>
  <c r="E242" i="3"/>
  <c r="D242" i="3"/>
  <c r="C242" i="3"/>
  <c r="B242" i="3"/>
  <c r="A242" i="3"/>
  <c r="F241" i="3"/>
  <c r="E241" i="3"/>
  <c r="D241" i="3"/>
  <c r="C241" i="3"/>
  <c r="B241" i="3"/>
  <c r="A241" i="3"/>
  <c r="F240" i="3"/>
  <c r="E240" i="3"/>
  <c r="D240" i="3"/>
  <c r="C240" i="3"/>
  <c r="B240" i="3"/>
  <c r="A240" i="3"/>
  <c r="F239" i="3"/>
  <c r="E239" i="3"/>
  <c r="D239" i="3"/>
  <c r="C239" i="3"/>
  <c r="B239" i="3"/>
  <c r="A239" i="3"/>
  <c r="F238" i="3"/>
  <c r="E238" i="3"/>
  <c r="D238" i="3"/>
  <c r="C238" i="3"/>
  <c r="B238" i="3"/>
  <c r="A238" i="3"/>
  <c r="F237" i="3"/>
  <c r="E237" i="3"/>
  <c r="D237" i="3"/>
  <c r="C237" i="3"/>
  <c r="B237" i="3"/>
  <c r="A237" i="3"/>
  <c r="F236" i="3"/>
  <c r="E236" i="3"/>
  <c r="D236" i="3"/>
  <c r="C236" i="3"/>
  <c r="B236" i="3"/>
  <c r="A236" i="3"/>
  <c r="F235" i="3"/>
  <c r="E235" i="3"/>
  <c r="D235" i="3"/>
  <c r="C235" i="3"/>
  <c r="B235" i="3"/>
  <c r="A235" i="3"/>
  <c r="F234" i="3"/>
  <c r="E234" i="3"/>
  <c r="D234" i="3"/>
  <c r="C234" i="3"/>
  <c r="B234" i="3"/>
  <c r="A234" i="3"/>
  <c r="F233" i="3"/>
  <c r="E233" i="3"/>
  <c r="D233" i="3"/>
  <c r="C233" i="3"/>
  <c r="B233" i="3"/>
  <c r="A233" i="3"/>
  <c r="F232" i="3"/>
  <c r="E232" i="3"/>
  <c r="D232" i="3"/>
  <c r="C232" i="3"/>
  <c r="B232" i="3"/>
  <c r="A232" i="3"/>
  <c r="F231" i="3"/>
  <c r="E231" i="3"/>
  <c r="D231" i="3"/>
  <c r="C231" i="3"/>
  <c r="B231" i="3"/>
  <c r="A231" i="3"/>
  <c r="F230" i="3"/>
  <c r="E230" i="3"/>
  <c r="D230" i="3"/>
  <c r="C230" i="3"/>
  <c r="B230" i="3"/>
  <c r="A230" i="3"/>
  <c r="F229" i="3"/>
  <c r="E229" i="3"/>
  <c r="D229" i="3"/>
  <c r="C229" i="3"/>
  <c r="B229" i="3"/>
  <c r="A229" i="3"/>
  <c r="F228" i="3"/>
  <c r="E228" i="3"/>
  <c r="D228" i="3"/>
  <c r="C228" i="3"/>
  <c r="B228" i="3"/>
  <c r="A228" i="3"/>
  <c r="F227" i="3"/>
  <c r="E227" i="3"/>
  <c r="D227" i="3"/>
  <c r="C227" i="3"/>
  <c r="B227" i="3"/>
  <c r="A227" i="3"/>
  <c r="F226" i="3"/>
  <c r="E226" i="3"/>
  <c r="D226" i="3"/>
  <c r="C226" i="3"/>
  <c r="B226" i="3"/>
  <c r="A226" i="3"/>
  <c r="F225" i="3"/>
  <c r="E225" i="3"/>
  <c r="D225" i="3"/>
  <c r="C225" i="3"/>
  <c r="B225" i="3"/>
  <c r="A225" i="3"/>
  <c r="F224" i="3"/>
  <c r="E224" i="3"/>
  <c r="D224" i="3"/>
  <c r="C224" i="3"/>
  <c r="B224" i="3"/>
  <c r="A224" i="3"/>
  <c r="F223" i="3"/>
  <c r="E223" i="3"/>
  <c r="D223" i="3"/>
  <c r="C223" i="3"/>
  <c r="B223" i="3"/>
  <c r="A223" i="3"/>
  <c r="F222" i="3"/>
  <c r="E222" i="3"/>
  <c r="D222" i="3"/>
  <c r="C222" i="3"/>
  <c r="B222" i="3"/>
  <c r="A222" i="3"/>
  <c r="F221" i="3"/>
  <c r="E221" i="3"/>
  <c r="D221" i="3"/>
  <c r="C221" i="3"/>
  <c r="B221" i="3"/>
  <c r="A221" i="3"/>
  <c r="F220" i="3"/>
  <c r="E220" i="3"/>
  <c r="D220" i="3"/>
  <c r="C220" i="3"/>
  <c r="B220" i="3"/>
  <c r="A220" i="3"/>
  <c r="F219" i="3"/>
  <c r="E219" i="3"/>
  <c r="D219" i="3"/>
  <c r="C219" i="3"/>
  <c r="B219" i="3"/>
  <c r="A219" i="3"/>
  <c r="F218" i="3"/>
  <c r="E218" i="3"/>
  <c r="D218" i="3"/>
  <c r="C218" i="3"/>
  <c r="B218" i="3"/>
  <c r="A218" i="3"/>
  <c r="F217" i="3"/>
  <c r="E217" i="3"/>
  <c r="D217" i="3"/>
  <c r="C217" i="3"/>
  <c r="B217" i="3"/>
  <c r="A217" i="3"/>
  <c r="F216" i="3"/>
  <c r="E216" i="3"/>
  <c r="D216" i="3"/>
  <c r="C216" i="3"/>
  <c r="B216" i="3"/>
  <c r="A216" i="3"/>
  <c r="F215" i="3"/>
  <c r="E215" i="3"/>
  <c r="D215" i="3"/>
  <c r="C215" i="3"/>
  <c r="B215" i="3"/>
  <c r="A215" i="3"/>
  <c r="F214" i="3"/>
  <c r="E214" i="3"/>
  <c r="D214" i="3"/>
  <c r="C214" i="3"/>
  <c r="B214" i="3"/>
  <c r="A214" i="3"/>
  <c r="F213" i="3"/>
  <c r="E213" i="3"/>
  <c r="D213" i="3"/>
  <c r="C213" i="3"/>
  <c r="B213" i="3"/>
  <c r="A213" i="3"/>
  <c r="F212" i="3"/>
  <c r="E212" i="3"/>
  <c r="D212" i="3"/>
  <c r="C212" i="3"/>
  <c r="B212" i="3"/>
  <c r="A212" i="3"/>
  <c r="F211" i="3"/>
  <c r="E211" i="3"/>
  <c r="D211" i="3"/>
  <c r="C211" i="3"/>
  <c r="B211" i="3"/>
  <c r="A211" i="3"/>
  <c r="F210" i="3"/>
  <c r="E210" i="3"/>
  <c r="D210" i="3"/>
  <c r="C210" i="3"/>
  <c r="B210" i="3"/>
  <c r="A210" i="3"/>
  <c r="F209" i="3"/>
  <c r="E209" i="3"/>
  <c r="D209" i="3"/>
  <c r="C209" i="3"/>
  <c r="B209" i="3"/>
  <c r="A209" i="3"/>
  <c r="F208" i="3"/>
  <c r="E208" i="3"/>
  <c r="D208" i="3"/>
  <c r="C208" i="3"/>
  <c r="B208" i="3"/>
  <c r="A208" i="3"/>
  <c r="F207" i="3"/>
  <c r="E207" i="3"/>
  <c r="D207" i="3"/>
  <c r="C207" i="3"/>
  <c r="B207" i="3"/>
  <c r="A207" i="3"/>
  <c r="F206" i="3"/>
  <c r="E206" i="3"/>
  <c r="D206" i="3"/>
  <c r="C206" i="3"/>
  <c r="B206" i="3"/>
  <c r="A206" i="3"/>
  <c r="F205" i="3"/>
  <c r="E205" i="3"/>
  <c r="D205" i="3"/>
  <c r="C205" i="3"/>
  <c r="B205" i="3"/>
  <c r="A205" i="3"/>
  <c r="F204" i="3"/>
  <c r="E204" i="3"/>
  <c r="D204" i="3"/>
  <c r="C204" i="3"/>
  <c r="B204" i="3"/>
  <c r="A204" i="3"/>
  <c r="F203" i="3"/>
  <c r="E203" i="3"/>
  <c r="D203" i="3"/>
  <c r="C203" i="3"/>
  <c r="B203" i="3"/>
  <c r="A203" i="3"/>
  <c r="F202" i="3"/>
  <c r="E202" i="3"/>
  <c r="D202" i="3"/>
  <c r="C202" i="3"/>
  <c r="B202" i="3"/>
  <c r="A202" i="3"/>
  <c r="F201" i="3"/>
  <c r="E201" i="3"/>
  <c r="D201" i="3"/>
  <c r="C201" i="3"/>
  <c r="B201" i="3"/>
  <c r="A201" i="3"/>
  <c r="F200" i="3"/>
  <c r="E200" i="3"/>
  <c r="D200" i="3"/>
  <c r="C200" i="3"/>
  <c r="B200" i="3"/>
  <c r="A200" i="3"/>
  <c r="F199" i="3"/>
  <c r="E199" i="3"/>
  <c r="D199" i="3"/>
  <c r="C199" i="3"/>
  <c r="B199" i="3"/>
  <c r="A199" i="3"/>
  <c r="F198" i="3"/>
  <c r="E198" i="3"/>
  <c r="D198" i="3"/>
  <c r="C198" i="3"/>
  <c r="B198" i="3"/>
  <c r="A198" i="3"/>
  <c r="F197" i="3"/>
  <c r="E197" i="3"/>
  <c r="D197" i="3"/>
  <c r="C197" i="3"/>
  <c r="B197" i="3"/>
  <c r="A197" i="3"/>
  <c r="F196" i="3"/>
  <c r="E196" i="3"/>
  <c r="D196" i="3"/>
  <c r="C196" i="3"/>
  <c r="B196" i="3"/>
  <c r="A196" i="3"/>
  <c r="F195" i="3"/>
  <c r="E195" i="3"/>
  <c r="D195" i="3"/>
  <c r="C195" i="3"/>
  <c r="B195" i="3"/>
  <c r="A195" i="3"/>
  <c r="F194" i="3"/>
  <c r="E194" i="3"/>
  <c r="D194" i="3"/>
  <c r="C194" i="3"/>
  <c r="B194" i="3"/>
  <c r="A194" i="3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F180" i="3"/>
  <c r="E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  <c r="F327" i="2"/>
  <c r="E327" i="2"/>
  <c r="D327" i="2"/>
  <c r="C327" i="2"/>
  <c r="B327" i="2"/>
  <c r="A327" i="2"/>
  <c r="F326" i="2"/>
  <c r="E326" i="2"/>
  <c r="D326" i="2"/>
  <c r="C326" i="2"/>
  <c r="B326" i="2"/>
  <c r="A326" i="2"/>
  <c r="F325" i="2"/>
  <c r="E325" i="2"/>
  <c r="D325" i="2"/>
  <c r="C325" i="2"/>
  <c r="B325" i="2"/>
  <c r="A325" i="2"/>
  <c r="F324" i="2"/>
  <c r="E324" i="2"/>
  <c r="D324" i="2"/>
  <c r="C324" i="2"/>
  <c r="B324" i="2"/>
  <c r="A324" i="2"/>
  <c r="F323" i="2"/>
  <c r="E323" i="2"/>
  <c r="D323" i="2"/>
  <c r="C323" i="2"/>
  <c r="B323" i="2"/>
  <c r="A323" i="2"/>
  <c r="F322" i="2"/>
  <c r="E322" i="2"/>
  <c r="D322" i="2"/>
  <c r="C322" i="2"/>
  <c r="B322" i="2"/>
  <c r="A322" i="2"/>
  <c r="F321" i="2"/>
  <c r="E321" i="2"/>
  <c r="D321" i="2"/>
  <c r="C321" i="2"/>
  <c r="B321" i="2"/>
  <c r="A321" i="2"/>
  <c r="F320" i="2"/>
  <c r="E320" i="2"/>
  <c r="D320" i="2"/>
  <c r="C320" i="2"/>
  <c r="B320" i="2"/>
  <c r="A320" i="2"/>
  <c r="F319" i="2"/>
  <c r="E319" i="2"/>
  <c r="D319" i="2"/>
  <c r="C319" i="2"/>
  <c r="B319" i="2"/>
  <c r="A319" i="2"/>
  <c r="F318" i="2"/>
  <c r="E318" i="2"/>
  <c r="D318" i="2"/>
  <c r="C318" i="2"/>
  <c r="B318" i="2"/>
  <c r="A318" i="2"/>
  <c r="F317" i="2"/>
  <c r="E317" i="2"/>
  <c r="D317" i="2"/>
  <c r="C317" i="2"/>
  <c r="B317" i="2"/>
  <c r="A317" i="2"/>
  <c r="F316" i="2"/>
  <c r="E316" i="2"/>
  <c r="D316" i="2"/>
  <c r="C316" i="2"/>
  <c r="B316" i="2"/>
  <c r="A316" i="2"/>
  <c r="F315" i="2"/>
  <c r="E315" i="2"/>
  <c r="D315" i="2"/>
  <c r="C315" i="2"/>
  <c r="B315" i="2"/>
  <c r="A315" i="2"/>
  <c r="F314" i="2"/>
  <c r="E314" i="2"/>
  <c r="D314" i="2"/>
  <c r="C314" i="2"/>
  <c r="B314" i="2"/>
  <c r="A314" i="2"/>
  <c r="F313" i="2"/>
  <c r="E313" i="2"/>
  <c r="D313" i="2"/>
  <c r="C313" i="2"/>
  <c r="B313" i="2"/>
  <c r="A313" i="2"/>
  <c r="F312" i="2"/>
  <c r="E312" i="2"/>
  <c r="D312" i="2"/>
  <c r="C312" i="2"/>
  <c r="B312" i="2"/>
  <c r="A312" i="2"/>
  <c r="F311" i="2"/>
  <c r="E311" i="2"/>
  <c r="D311" i="2"/>
  <c r="C311" i="2"/>
  <c r="B311" i="2"/>
  <c r="A311" i="2"/>
  <c r="F310" i="2"/>
  <c r="E310" i="2"/>
  <c r="D310" i="2"/>
  <c r="C310" i="2"/>
  <c r="B310" i="2"/>
  <c r="A310" i="2"/>
  <c r="F309" i="2"/>
  <c r="E309" i="2"/>
  <c r="D309" i="2"/>
  <c r="C309" i="2"/>
  <c r="B309" i="2"/>
  <c r="A309" i="2"/>
  <c r="F308" i="2"/>
  <c r="E308" i="2"/>
  <c r="D308" i="2"/>
  <c r="C308" i="2"/>
  <c r="B308" i="2"/>
  <c r="A308" i="2"/>
  <c r="F307" i="2"/>
  <c r="E307" i="2"/>
  <c r="D307" i="2"/>
  <c r="C307" i="2"/>
  <c r="B307" i="2"/>
  <c r="A307" i="2"/>
  <c r="F306" i="2"/>
  <c r="E306" i="2"/>
  <c r="D306" i="2"/>
  <c r="C306" i="2"/>
  <c r="B306" i="2"/>
  <c r="A306" i="2"/>
  <c r="F305" i="2"/>
  <c r="E305" i="2"/>
  <c r="D305" i="2"/>
  <c r="C305" i="2"/>
  <c r="B305" i="2"/>
  <c r="A305" i="2"/>
  <c r="F304" i="2"/>
  <c r="E304" i="2"/>
  <c r="D304" i="2"/>
  <c r="C304" i="2"/>
  <c r="B304" i="2"/>
  <c r="A304" i="2"/>
  <c r="F303" i="2"/>
  <c r="E303" i="2"/>
  <c r="D303" i="2"/>
  <c r="C303" i="2"/>
  <c r="B303" i="2"/>
  <c r="A303" i="2"/>
  <c r="F302" i="2"/>
  <c r="E302" i="2"/>
  <c r="D302" i="2"/>
  <c r="C302" i="2"/>
  <c r="B302" i="2"/>
  <c r="A302" i="2"/>
  <c r="F301" i="2"/>
  <c r="E301" i="2"/>
  <c r="D301" i="2"/>
  <c r="C301" i="2"/>
  <c r="B301" i="2"/>
  <c r="A301" i="2"/>
  <c r="F300" i="2"/>
  <c r="E300" i="2"/>
  <c r="D300" i="2"/>
  <c r="C300" i="2"/>
  <c r="B300" i="2"/>
  <c r="A300" i="2"/>
  <c r="F299" i="2"/>
  <c r="E299" i="2"/>
  <c r="D299" i="2"/>
  <c r="C299" i="2"/>
  <c r="B299" i="2"/>
  <c r="A299" i="2"/>
  <c r="F298" i="2"/>
  <c r="E298" i="2"/>
  <c r="D298" i="2"/>
  <c r="C298" i="2"/>
  <c r="B298" i="2"/>
  <c r="A298" i="2"/>
  <c r="F297" i="2"/>
  <c r="E297" i="2"/>
  <c r="D297" i="2"/>
  <c r="C297" i="2"/>
  <c r="B297" i="2"/>
  <c r="A297" i="2"/>
  <c r="F296" i="2"/>
  <c r="E296" i="2"/>
  <c r="D296" i="2"/>
  <c r="C296" i="2"/>
  <c r="B296" i="2"/>
  <c r="A296" i="2"/>
  <c r="F295" i="2"/>
  <c r="E295" i="2"/>
  <c r="D295" i="2"/>
  <c r="C295" i="2"/>
  <c r="B295" i="2"/>
  <c r="A295" i="2"/>
  <c r="F294" i="2"/>
  <c r="E294" i="2"/>
  <c r="D294" i="2"/>
  <c r="C294" i="2"/>
  <c r="B294" i="2"/>
  <c r="A294" i="2"/>
  <c r="F293" i="2"/>
  <c r="E293" i="2"/>
  <c r="D293" i="2"/>
  <c r="C293" i="2"/>
  <c r="B293" i="2"/>
  <c r="A293" i="2"/>
  <c r="F292" i="2"/>
  <c r="E292" i="2"/>
  <c r="D292" i="2"/>
  <c r="C292" i="2"/>
  <c r="B292" i="2"/>
  <c r="A292" i="2"/>
  <c r="F291" i="2"/>
  <c r="E291" i="2"/>
  <c r="D291" i="2"/>
  <c r="C291" i="2"/>
  <c r="B291" i="2"/>
  <c r="A291" i="2"/>
  <c r="F290" i="2"/>
  <c r="E290" i="2"/>
  <c r="D290" i="2"/>
  <c r="C290" i="2"/>
  <c r="B290" i="2"/>
  <c r="A290" i="2"/>
  <c r="F289" i="2"/>
  <c r="E289" i="2"/>
  <c r="D289" i="2"/>
  <c r="C289" i="2"/>
  <c r="B289" i="2"/>
  <c r="A289" i="2"/>
  <c r="F288" i="2"/>
  <c r="E288" i="2"/>
  <c r="D288" i="2"/>
  <c r="C288" i="2"/>
  <c r="B288" i="2"/>
  <c r="A288" i="2"/>
  <c r="F287" i="2"/>
  <c r="E287" i="2"/>
  <c r="D287" i="2"/>
  <c r="C287" i="2"/>
  <c r="B287" i="2"/>
  <c r="A287" i="2"/>
  <c r="F286" i="2"/>
  <c r="E286" i="2"/>
  <c r="D286" i="2"/>
  <c r="C286" i="2"/>
  <c r="B286" i="2"/>
  <c r="A286" i="2"/>
  <c r="F285" i="2"/>
  <c r="E285" i="2"/>
  <c r="D285" i="2"/>
  <c r="C285" i="2"/>
  <c r="B285" i="2"/>
  <c r="A285" i="2"/>
  <c r="F284" i="2"/>
  <c r="E284" i="2"/>
  <c r="D284" i="2"/>
  <c r="C284" i="2"/>
  <c r="B284" i="2"/>
  <c r="A284" i="2"/>
  <c r="F283" i="2"/>
  <c r="E283" i="2"/>
  <c r="D283" i="2"/>
  <c r="C283" i="2"/>
  <c r="B283" i="2"/>
  <c r="A283" i="2"/>
  <c r="F282" i="2"/>
  <c r="E282" i="2"/>
  <c r="D282" i="2"/>
  <c r="C282" i="2"/>
  <c r="B282" i="2"/>
  <c r="A282" i="2"/>
  <c r="F281" i="2"/>
  <c r="E281" i="2"/>
  <c r="D281" i="2"/>
  <c r="C281" i="2"/>
  <c r="B281" i="2"/>
  <c r="A281" i="2"/>
  <c r="F280" i="2"/>
  <c r="E280" i="2"/>
  <c r="D280" i="2"/>
  <c r="C280" i="2"/>
  <c r="B280" i="2"/>
  <c r="A280" i="2"/>
  <c r="F279" i="2"/>
  <c r="E279" i="2"/>
  <c r="D279" i="2"/>
  <c r="C279" i="2"/>
  <c r="B279" i="2"/>
  <c r="A279" i="2"/>
  <c r="F278" i="2"/>
  <c r="E278" i="2"/>
  <c r="D278" i="2"/>
  <c r="C278" i="2"/>
  <c r="B278" i="2"/>
  <c r="A278" i="2"/>
  <c r="F277" i="2"/>
  <c r="E277" i="2"/>
  <c r="D277" i="2"/>
  <c r="C277" i="2"/>
  <c r="B277" i="2"/>
  <c r="A277" i="2"/>
  <c r="F276" i="2"/>
  <c r="E276" i="2"/>
  <c r="D276" i="2"/>
  <c r="C276" i="2"/>
  <c r="B276" i="2"/>
  <c r="A276" i="2"/>
  <c r="F275" i="2"/>
  <c r="E275" i="2"/>
  <c r="D275" i="2"/>
  <c r="C275" i="2"/>
  <c r="B275" i="2"/>
  <c r="A275" i="2"/>
  <c r="F274" i="2"/>
  <c r="E274" i="2"/>
  <c r="D274" i="2"/>
  <c r="C274" i="2"/>
  <c r="B274" i="2"/>
  <c r="A274" i="2"/>
  <c r="F273" i="2"/>
  <c r="E273" i="2"/>
  <c r="D273" i="2"/>
  <c r="C273" i="2"/>
  <c r="B273" i="2"/>
  <c r="A273" i="2"/>
  <c r="F272" i="2"/>
  <c r="E272" i="2"/>
  <c r="D272" i="2"/>
  <c r="C272" i="2"/>
  <c r="B272" i="2"/>
  <c r="A272" i="2"/>
  <c r="F271" i="2"/>
  <c r="E271" i="2"/>
  <c r="D271" i="2"/>
  <c r="C271" i="2"/>
  <c r="B271" i="2"/>
  <c r="A271" i="2"/>
  <c r="F270" i="2"/>
  <c r="E270" i="2"/>
  <c r="D270" i="2"/>
  <c r="C270" i="2"/>
  <c r="B270" i="2"/>
  <c r="A270" i="2"/>
  <c r="F269" i="2"/>
  <c r="E269" i="2"/>
  <c r="D269" i="2"/>
  <c r="C269" i="2"/>
  <c r="B269" i="2"/>
  <c r="A269" i="2"/>
  <c r="F268" i="2"/>
  <c r="E268" i="2"/>
  <c r="D268" i="2"/>
  <c r="C268" i="2"/>
  <c r="B268" i="2"/>
  <c r="A268" i="2"/>
  <c r="F267" i="2"/>
  <c r="E267" i="2"/>
  <c r="D267" i="2"/>
  <c r="C267" i="2"/>
  <c r="B267" i="2"/>
  <c r="A267" i="2"/>
  <c r="F266" i="2"/>
  <c r="E266" i="2"/>
  <c r="D266" i="2"/>
  <c r="C266" i="2"/>
  <c r="B266" i="2"/>
  <c r="A266" i="2"/>
  <c r="F265" i="2"/>
  <c r="E265" i="2"/>
  <c r="D265" i="2"/>
  <c r="C265" i="2"/>
  <c r="B265" i="2"/>
  <c r="A265" i="2"/>
  <c r="F264" i="2"/>
  <c r="E264" i="2"/>
  <c r="D264" i="2"/>
  <c r="C264" i="2"/>
  <c r="B264" i="2"/>
  <c r="A264" i="2"/>
  <c r="F263" i="2"/>
  <c r="E263" i="2"/>
  <c r="D263" i="2"/>
  <c r="C263" i="2"/>
  <c r="B263" i="2"/>
  <c r="A263" i="2"/>
  <c r="F262" i="2"/>
  <c r="E262" i="2"/>
  <c r="D262" i="2"/>
  <c r="C262" i="2"/>
  <c r="B262" i="2"/>
  <c r="A262" i="2"/>
  <c r="F261" i="2"/>
  <c r="E261" i="2"/>
  <c r="D261" i="2"/>
  <c r="C261" i="2"/>
  <c r="B261" i="2"/>
  <c r="A261" i="2"/>
  <c r="F260" i="2"/>
  <c r="E260" i="2"/>
  <c r="D260" i="2"/>
  <c r="C260" i="2"/>
  <c r="B260" i="2"/>
  <c r="A260" i="2"/>
  <c r="F259" i="2"/>
  <c r="E259" i="2"/>
  <c r="D259" i="2"/>
  <c r="C259" i="2"/>
  <c r="B259" i="2"/>
  <c r="A259" i="2"/>
  <c r="F258" i="2"/>
  <c r="E258" i="2"/>
  <c r="D258" i="2"/>
  <c r="C258" i="2"/>
  <c r="B258" i="2"/>
  <c r="A258" i="2"/>
  <c r="F257" i="2"/>
  <c r="E257" i="2"/>
  <c r="D257" i="2"/>
  <c r="C257" i="2"/>
  <c r="B257" i="2"/>
  <c r="A257" i="2"/>
  <c r="F256" i="2"/>
  <c r="E256" i="2"/>
  <c r="D256" i="2"/>
  <c r="C256" i="2"/>
  <c r="B256" i="2"/>
  <c r="A256" i="2"/>
  <c r="F255" i="2"/>
  <c r="E255" i="2"/>
  <c r="D255" i="2"/>
  <c r="C255" i="2"/>
  <c r="B255" i="2"/>
  <c r="A255" i="2"/>
  <c r="F254" i="2"/>
  <c r="E254" i="2"/>
  <c r="D254" i="2"/>
  <c r="C254" i="2"/>
  <c r="B254" i="2"/>
  <c r="A254" i="2"/>
  <c r="F253" i="2"/>
  <c r="E253" i="2"/>
  <c r="D253" i="2"/>
  <c r="C253" i="2"/>
  <c r="B253" i="2"/>
  <c r="A253" i="2"/>
  <c r="F252" i="2"/>
  <c r="E252" i="2"/>
  <c r="D252" i="2"/>
  <c r="C252" i="2"/>
  <c r="B252" i="2"/>
  <c r="A252" i="2"/>
  <c r="F251" i="2"/>
  <c r="E251" i="2"/>
  <c r="D251" i="2"/>
  <c r="C251" i="2"/>
  <c r="B251" i="2"/>
  <c r="A251" i="2"/>
  <c r="F250" i="2"/>
  <c r="E250" i="2"/>
  <c r="D250" i="2"/>
  <c r="C250" i="2"/>
  <c r="B250" i="2"/>
  <c r="A250" i="2"/>
  <c r="F249" i="2"/>
  <c r="E249" i="2"/>
  <c r="D249" i="2"/>
  <c r="C249" i="2"/>
  <c r="B249" i="2"/>
  <c r="A249" i="2"/>
  <c r="F248" i="2"/>
  <c r="E248" i="2"/>
  <c r="D248" i="2"/>
  <c r="C248" i="2"/>
  <c r="B248" i="2"/>
  <c r="A248" i="2"/>
  <c r="F247" i="2"/>
  <c r="E247" i="2"/>
  <c r="D247" i="2"/>
  <c r="C247" i="2"/>
  <c r="B247" i="2"/>
  <c r="A247" i="2"/>
  <c r="F246" i="2"/>
  <c r="E246" i="2"/>
  <c r="D246" i="2"/>
  <c r="C246" i="2"/>
  <c r="B246" i="2"/>
  <c r="A246" i="2"/>
  <c r="F245" i="2"/>
  <c r="E245" i="2"/>
  <c r="D245" i="2"/>
  <c r="C245" i="2"/>
  <c r="B245" i="2"/>
  <c r="A245" i="2"/>
  <c r="F244" i="2"/>
  <c r="E244" i="2"/>
  <c r="D244" i="2"/>
  <c r="C244" i="2"/>
  <c r="B244" i="2"/>
  <c r="A244" i="2"/>
  <c r="F243" i="2"/>
  <c r="E243" i="2"/>
  <c r="D243" i="2"/>
  <c r="C243" i="2"/>
  <c r="B243" i="2"/>
  <c r="A243" i="2"/>
  <c r="F242" i="2"/>
  <c r="E242" i="2"/>
  <c r="D242" i="2"/>
  <c r="C242" i="2"/>
  <c r="B242" i="2"/>
  <c r="A242" i="2"/>
  <c r="F241" i="2"/>
  <c r="E241" i="2"/>
  <c r="D241" i="2"/>
  <c r="C241" i="2"/>
  <c r="B241" i="2"/>
  <c r="A241" i="2"/>
  <c r="F240" i="2"/>
  <c r="E240" i="2"/>
  <c r="D240" i="2"/>
  <c r="C240" i="2"/>
  <c r="B240" i="2"/>
  <c r="A240" i="2"/>
  <c r="F239" i="2"/>
  <c r="E239" i="2"/>
  <c r="D239" i="2"/>
  <c r="C239" i="2"/>
  <c r="B239" i="2"/>
  <c r="A239" i="2"/>
  <c r="F238" i="2"/>
  <c r="E238" i="2"/>
  <c r="D238" i="2"/>
  <c r="C238" i="2"/>
  <c r="B238" i="2"/>
  <c r="A238" i="2"/>
  <c r="F237" i="2"/>
  <c r="E237" i="2"/>
  <c r="D237" i="2"/>
  <c r="C237" i="2"/>
  <c r="B237" i="2"/>
  <c r="A237" i="2"/>
  <c r="F236" i="2"/>
  <c r="E236" i="2"/>
  <c r="D236" i="2"/>
  <c r="C236" i="2"/>
  <c r="B236" i="2"/>
  <c r="A236" i="2"/>
  <c r="F235" i="2"/>
  <c r="E235" i="2"/>
  <c r="D235" i="2"/>
  <c r="C235" i="2"/>
  <c r="B235" i="2"/>
  <c r="A235" i="2"/>
  <c r="F234" i="2"/>
  <c r="E234" i="2"/>
  <c r="D234" i="2"/>
  <c r="C234" i="2"/>
  <c r="B234" i="2"/>
  <c r="A234" i="2"/>
  <c r="F233" i="2"/>
  <c r="E233" i="2"/>
  <c r="D233" i="2"/>
  <c r="C233" i="2"/>
  <c r="B233" i="2"/>
  <c r="A233" i="2"/>
  <c r="F232" i="2"/>
  <c r="E232" i="2"/>
  <c r="D232" i="2"/>
  <c r="C232" i="2"/>
  <c r="B232" i="2"/>
  <c r="A232" i="2"/>
  <c r="F231" i="2"/>
  <c r="E231" i="2"/>
  <c r="D231" i="2"/>
  <c r="C231" i="2"/>
  <c r="B231" i="2"/>
  <c r="A231" i="2"/>
  <c r="F230" i="2"/>
  <c r="E230" i="2"/>
  <c r="D230" i="2"/>
  <c r="C230" i="2"/>
  <c r="B230" i="2"/>
  <c r="A230" i="2"/>
  <c r="F229" i="2"/>
  <c r="E229" i="2"/>
  <c r="D229" i="2"/>
  <c r="C229" i="2"/>
  <c r="B229" i="2"/>
  <c r="A229" i="2"/>
  <c r="F228" i="2"/>
  <c r="E228" i="2"/>
  <c r="D228" i="2"/>
  <c r="C228" i="2"/>
  <c r="B228" i="2"/>
  <c r="A228" i="2"/>
  <c r="F227" i="2"/>
  <c r="E227" i="2"/>
  <c r="D227" i="2"/>
  <c r="C227" i="2"/>
  <c r="B227" i="2"/>
  <c r="A227" i="2"/>
  <c r="F226" i="2"/>
  <c r="E226" i="2"/>
  <c r="D226" i="2"/>
  <c r="C226" i="2"/>
  <c r="B226" i="2"/>
  <c r="A226" i="2"/>
  <c r="F225" i="2"/>
  <c r="E225" i="2"/>
  <c r="D225" i="2"/>
  <c r="C225" i="2"/>
  <c r="B225" i="2"/>
  <c r="A225" i="2"/>
  <c r="F224" i="2"/>
  <c r="E224" i="2"/>
  <c r="D224" i="2"/>
  <c r="C224" i="2"/>
  <c r="B224" i="2"/>
  <c r="A224" i="2"/>
  <c r="F223" i="2"/>
  <c r="E223" i="2"/>
  <c r="D223" i="2"/>
  <c r="C223" i="2"/>
  <c r="B223" i="2"/>
  <c r="A223" i="2"/>
  <c r="F222" i="2"/>
  <c r="E222" i="2"/>
  <c r="D222" i="2"/>
  <c r="C222" i="2"/>
  <c r="B222" i="2"/>
  <c r="A222" i="2"/>
  <c r="F221" i="2"/>
  <c r="E221" i="2"/>
  <c r="D221" i="2"/>
  <c r="C221" i="2"/>
  <c r="B221" i="2"/>
  <c r="A221" i="2"/>
  <c r="F220" i="2"/>
  <c r="E220" i="2"/>
  <c r="D220" i="2"/>
  <c r="C220" i="2"/>
  <c r="B220" i="2"/>
  <c r="A220" i="2"/>
  <c r="F219" i="2"/>
  <c r="E219" i="2"/>
  <c r="D219" i="2"/>
  <c r="C219" i="2"/>
  <c r="B219" i="2"/>
  <c r="A219" i="2"/>
  <c r="F218" i="2"/>
  <c r="E218" i="2"/>
  <c r="D218" i="2"/>
  <c r="C218" i="2"/>
  <c r="B218" i="2"/>
  <c r="A218" i="2"/>
  <c r="F217" i="2"/>
  <c r="E217" i="2"/>
  <c r="D217" i="2"/>
  <c r="C217" i="2"/>
  <c r="B217" i="2"/>
  <c r="A217" i="2"/>
  <c r="F216" i="2"/>
  <c r="E216" i="2"/>
  <c r="D216" i="2"/>
  <c r="C216" i="2"/>
  <c r="B216" i="2"/>
  <c r="A216" i="2"/>
  <c r="F215" i="2"/>
  <c r="E215" i="2"/>
  <c r="D215" i="2"/>
  <c r="C215" i="2"/>
  <c r="B215" i="2"/>
  <c r="A215" i="2"/>
  <c r="F214" i="2"/>
  <c r="E214" i="2"/>
  <c r="D214" i="2"/>
  <c r="C214" i="2"/>
  <c r="B214" i="2"/>
  <c r="A214" i="2"/>
  <c r="F213" i="2"/>
  <c r="E213" i="2"/>
  <c r="D213" i="2"/>
  <c r="C213" i="2"/>
  <c r="B213" i="2"/>
  <c r="A213" i="2"/>
  <c r="F212" i="2"/>
  <c r="E212" i="2"/>
  <c r="D212" i="2"/>
  <c r="C212" i="2"/>
  <c r="B212" i="2"/>
  <c r="A212" i="2"/>
  <c r="F211" i="2"/>
  <c r="E211" i="2"/>
  <c r="D211" i="2"/>
  <c r="C211" i="2"/>
  <c r="B211" i="2"/>
  <c r="A211" i="2"/>
  <c r="F210" i="2"/>
  <c r="E210" i="2"/>
  <c r="D210" i="2"/>
  <c r="C210" i="2"/>
  <c r="B210" i="2"/>
  <c r="A210" i="2"/>
  <c r="F209" i="2"/>
  <c r="E209" i="2"/>
  <c r="D209" i="2"/>
  <c r="C209" i="2"/>
  <c r="B209" i="2"/>
  <c r="A209" i="2"/>
  <c r="F208" i="2"/>
  <c r="E208" i="2"/>
  <c r="D208" i="2"/>
  <c r="C208" i="2"/>
  <c r="B208" i="2"/>
  <c r="A208" i="2"/>
  <c r="F207" i="2"/>
  <c r="E207" i="2"/>
  <c r="D207" i="2"/>
  <c r="C207" i="2"/>
  <c r="B207" i="2"/>
  <c r="A207" i="2"/>
  <c r="F206" i="2"/>
  <c r="E206" i="2"/>
  <c r="D206" i="2"/>
  <c r="C206" i="2"/>
  <c r="B206" i="2"/>
  <c r="A206" i="2"/>
  <c r="F205" i="2"/>
  <c r="E205" i="2"/>
  <c r="D205" i="2"/>
  <c r="C205" i="2"/>
  <c r="B205" i="2"/>
  <c r="A205" i="2"/>
  <c r="F204" i="2"/>
  <c r="E204" i="2"/>
  <c r="D204" i="2"/>
  <c r="C204" i="2"/>
  <c r="B204" i="2"/>
  <c r="A204" i="2"/>
  <c r="F203" i="2"/>
  <c r="E203" i="2"/>
  <c r="D203" i="2"/>
  <c r="C203" i="2"/>
  <c r="B203" i="2"/>
  <c r="A203" i="2"/>
  <c r="F202" i="2"/>
  <c r="E202" i="2"/>
  <c r="D202" i="2"/>
  <c r="C202" i="2"/>
  <c r="B202" i="2"/>
  <c r="A202" i="2"/>
  <c r="F201" i="2"/>
  <c r="E201" i="2"/>
  <c r="D201" i="2"/>
  <c r="C201" i="2"/>
  <c r="B201" i="2"/>
  <c r="A201" i="2"/>
  <c r="F200" i="2"/>
  <c r="E200" i="2"/>
  <c r="D200" i="2"/>
  <c r="C200" i="2"/>
  <c r="B200" i="2"/>
  <c r="A200" i="2"/>
  <c r="F199" i="2"/>
  <c r="E199" i="2"/>
  <c r="D199" i="2"/>
  <c r="C199" i="2"/>
  <c r="B199" i="2"/>
  <c r="A199" i="2"/>
  <c r="F198" i="2"/>
  <c r="E198" i="2"/>
  <c r="D198" i="2"/>
  <c r="C198" i="2"/>
  <c r="B198" i="2"/>
  <c r="A198" i="2"/>
  <c r="F197" i="2"/>
  <c r="E197" i="2"/>
  <c r="D197" i="2"/>
  <c r="C197" i="2"/>
  <c r="B197" i="2"/>
  <c r="A197" i="2"/>
  <c r="F196" i="2"/>
  <c r="E196" i="2"/>
  <c r="D196" i="2"/>
  <c r="C196" i="2"/>
  <c r="B196" i="2"/>
  <c r="A196" i="2"/>
  <c r="F195" i="2"/>
  <c r="E195" i="2"/>
  <c r="D195" i="2"/>
  <c r="C195" i="2"/>
  <c r="B195" i="2"/>
  <c r="A195" i="2"/>
  <c r="F194" i="2"/>
  <c r="E194" i="2"/>
  <c r="D194" i="2"/>
  <c r="C194" i="2"/>
  <c r="B194" i="2"/>
  <c r="A194" i="2"/>
  <c r="F193" i="2"/>
  <c r="E193" i="2"/>
  <c r="D193" i="2"/>
  <c r="C193" i="2"/>
  <c r="B193" i="2"/>
  <c r="A193" i="2"/>
  <c r="F192" i="2"/>
  <c r="E192" i="2"/>
  <c r="D192" i="2"/>
  <c r="C192" i="2"/>
  <c r="B192" i="2"/>
  <c r="A192" i="2"/>
  <c r="F191" i="2"/>
  <c r="E191" i="2"/>
  <c r="D191" i="2"/>
  <c r="C191" i="2"/>
  <c r="B191" i="2"/>
  <c r="A191" i="2"/>
  <c r="F190" i="2"/>
  <c r="E190" i="2"/>
  <c r="D190" i="2"/>
  <c r="C190" i="2"/>
  <c r="B190" i="2"/>
  <c r="A190" i="2"/>
  <c r="F189" i="2"/>
  <c r="E189" i="2"/>
  <c r="D189" i="2"/>
  <c r="C189" i="2"/>
  <c r="B189" i="2"/>
  <c r="A189" i="2"/>
  <c r="F188" i="2"/>
  <c r="E188" i="2"/>
  <c r="D188" i="2"/>
  <c r="C188" i="2"/>
  <c r="B188" i="2"/>
  <c r="A188" i="2"/>
  <c r="F187" i="2"/>
  <c r="E187" i="2"/>
  <c r="D187" i="2"/>
  <c r="C187" i="2"/>
  <c r="B187" i="2"/>
  <c r="A187" i="2"/>
  <c r="F186" i="2"/>
  <c r="E186" i="2"/>
  <c r="D186" i="2"/>
  <c r="C186" i="2"/>
  <c r="B186" i="2"/>
  <c r="A186" i="2"/>
  <c r="F185" i="2"/>
  <c r="E185" i="2"/>
  <c r="D185" i="2"/>
  <c r="C185" i="2"/>
  <c r="B185" i="2"/>
  <c r="A185" i="2"/>
  <c r="F184" i="2"/>
  <c r="E184" i="2"/>
  <c r="D184" i="2"/>
  <c r="C184" i="2"/>
  <c r="B184" i="2"/>
  <c r="A184" i="2"/>
  <c r="F183" i="2"/>
  <c r="E183" i="2"/>
  <c r="D183" i="2"/>
  <c r="C183" i="2"/>
  <c r="B183" i="2"/>
  <c r="A183" i="2"/>
  <c r="F182" i="2"/>
  <c r="E182" i="2"/>
  <c r="D182" i="2"/>
  <c r="C182" i="2"/>
  <c r="B182" i="2"/>
  <c r="A182" i="2"/>
  <c r="F181" i="2"/>
  <c r="E181" i="2"/>
  <c r="D181" i="2"/>
  <c r="C181" i="2"/>
  <c r="B181" i="2"/>
  <c r="A181" i="2"/>
  <c r="F180" i="2"/>
  <c r="E180" i="2"/>
  <c r="D180" i="2"/>
  <c r="C180" i="2"/>
  <c r="B180" i="2"/>
  <c r="A180" i="2"/>
  <c r="F179" i="2"/>
  <c r="E179" i="2"/>
  <c r="D179" i="2"/>
  <c r="C179" i="2"/>
  <c r="B179" i="2"/>
  <c r="A179" i="2"/>
  <c r="F178" i="2"/>
  <c r="E178" i="2"/>
  <c r="D178" i="2"/>
  <c r="C178" i="2"/>
  <c r="B178" i="2"/>
  <c r="A178" i="2"/>
  <c r="F177" i="2"/>
  <c r="E177" i="2"/>
  <c r="D177" i="2"/>
  <c r="C177" i="2"/>
  <c r="B177" i="2"/>
  <c r="A177" i="2"/>
  <c r="F176" i="2"/>
  <c r="E176" i="2"/>
  <c r="D176" i="2"/>
  <c r="C176" i="2"/>
  <c r="B176" i="2"/>
  <c r="A176" i="2"/>
  <c r="F175" i="2"/>
  <c r="E175" i="2"/>
  <c r="D175" i="2"/>
  <c r="C175" i="2"/>
  <c r="B175" i="2"/>
  <c r="A175" i="2"/>
  <c r="F174" i="2"/>
  <c r="E174" i="2"/>
  <c r="D174" i="2"/>
  <c r="C174" i="2"/>
  <c r="B174" i="2"/>
  <c r="A174" i="2"/>
  <c r="F173" i="2"/>
  <c r="E173" i="2"/>
  <c r="D173" i="2"/>
  <c r="C173" i="2"/>
  <c r="B173" i="2"/>
  <c r="A173" i="2"/>
  <c r="F172" i="2"/>
  <c r="E172" i="2"/>
  <c r="D172" i="2"/>
  <c r="C172" i="2"/>
  <c r="B172" i="2"/>
  <c r="A172" i="2"/>
  <c r="F171" i="2"/>
  <c r="E171" i="2"/>
  <c r="D171" i="2"/>
  <c r="C171" i="2"/>
  <c r="B171" i="2"/>
  <c r="A171" i="2"/>
  <c r="F170" i="2"/>
  <c r="E170" i="2"/>
  <c r="D170" i="2"/>
  <c r="C170" i="2"/>
  <c r="B170" i="2"/>
  <c r="A170" i="2"/>
  <c r="F169" i="2"/>
  <c r="E169" i="2"/>
  <c r="D169" i="2"/>
  <c r="C169" i="2"/>
  <c r="B169" i="2"/>
  <c r="A169" i="2"/>
  <c r="F168" i="2"/>
  <c r="E168" i="2"/>
  <c r="D168" i="2"/>
  <c r="C168" i="2"/>
  <c r="B168" i="2"/>
  <c r="A168" i="2"/>
  <c r="F167" i="2"/>
  <c r="E167" i="2"/>
  <c r="D167" i="2"/>
  <c r="C167" i="2"/>
  <c r="B167" i="2"/>
  <c r="A167" i="2"/>
  <c r="F166" i="2"/>
  <c r="E166" i="2"/>
  <c r="D166" i="2"/>
  <c r="C166" i="2"/>
  <c r="B166" i="2"/>
  <c r="A166" i="2"/>
  <c r="F165" i="2"/>
  <c r="E165" i="2"/>
  <c r="D165" i="2"/>
  <c r="C165" i="2"/>
  <c r="B165" i="2"/>
  <c r="A165" i="2"/>
  <c r="F164" i="2"/>
  <c r="E164" i="2"/>
  <c r="D164" i="2"/>
  <c r="C164" i="2"/>
  <c r="B164" i="2"/>
  <c r="A164" i="2"/>
  <c r="F163" i="2"/>
  <c r="E163" i="2"/>
  <c r="D163" i="2"/>
  <c r="C163" i="2"/>
  <c r="B163" i="2"/>
  <c r="A163" i="2"/>
  <c r="F162" i="2"/>
  <c r="E162" i="2"/>
  <c r="D162" i="2"/>
  <c r="C162" i="2"/>
  <c r="B162" i="2"/>
  <c r="A162" i="2"/>
  <c r="F161" i="2"/>
  <c r="E161" i="2"/>
  <c r="D161" i="2"/>
  <c r="C161" i="2"/>
  <c r="B161" i="2"/>
  <c r="A161" i="2"/>
  <c r="F160" i="2"/>
  <c r="E160" i="2"/>
  <c r="D160" i="2"/>
  <c r="C160" i="2"/>
  <c r="B160" i="2"/>
  <c r="A160" i="2"/>
  <c r="F159" i="2"/>
  <c r="E159" i="2"/>
  <c r="D159" i="2"/>
  <c r="C159" i="2"/>
  <c r="B159" i="2"/>
  <c r="A159" i="2"/>
  <c r="F158" i="2"/>
  <c r="E158" i="2"/>
  <c r="D158" i="2"/>
  <c r="C158" i="2"/>
  <c r="B158" i="2"/>
  <c r="A158" i="2"/>
  <c r="F157" i="2"/>
  <c r="E157" i="2"/>
  <c r="D157" i="2"/>
  <c r="C157" i="2"/>
  <c r="B157" i="2"/>
  <c r="A157" i="2"/>
  <c r="F156" i="2"/>
  <c r="E156" i="2"/>
  <c r="D156" i="2"/>
  <c r="C156" i="2"/>
  <c r="B156" i="2"/>
  <c r="A156" i="2"/>
  <c r="F155" i="2"/>
  <c r="E155" i="2"/>
  <c r="D155" i="2"/>
  <c r="C155" i="2"/>
  <c r="B155" i="2"/>
  <c r="A155" i="2"/>
  <c r="F154" i="2"/>
  <c r="E154" i="2"/>
  <c r="D154" i="2"/>
  <c r="C154" i="2"/>
  <c r="B154" i="2"/>
  <c r="A154" i="2"/>
  <c r="F153" i="2"/>
  <c r="E153" i="2"/>
  <c r="D153" i="2"/>
  <c r="C153" i="2"/>
  <c r="B153" i="2"/>
  <c r="A153" i="2"/>
  <c r="F152" i="2"/>
  <c r="E152" i="2"/>
  <c r="D152" i="2"/>
  <c r="C152" i="2"/>
  <c r="B152" i="2"/>
  <c r="A152" i="2"/>
  <c r="F151" i="2"/>
  <c r="E151" i="2"/>
  <c r="D151" i="2"/>
  <c r="C151" i="2"/>
  <c r="B151" i="2"/>
  <c r="A151" i="2"/>
  <c r="F150" i="2"/>
  <c r="E150" i="2"/>
  <c r="D150" i="2"/>
  <c r="C150" i="2"/>
  <c r="B150" i="2"/>
  <c r="A150" i="2"/>
  <c r="F149" i="2"/>
  <c r="E149" i="2"/>
  <c r="D149" i="2"/>
  <c r="C149" i="2"/>
  <c r="B149" i="2"/>
  <c r="A149" i="2"/>
  <c r="F148" i="2"/>
  <c r="E148" i="2"/>
  <c r="D148" i="2"/>
  <c r="C148" i="2"/>
  <c r="B148" i="2"/>
  <c r="A148" i="2"/>
  <c r="F147" i="2"/>
  <c r="E147" i="2"/>
  <c r="D147" i="2"/>
  <c r="C147" i="2"/>
  <c r="B147" i="2"/>
  <c r="A147" i="2"/>
  <c r="F146" i="2"/>
  <c r="E146" i="2"/>
  <c r="D146" i="2"/>
  <c r="C146" i="2"/>
  <c r="B146" i="2"/>
  <c r="A146" i="2"/>
  <c r="F145" i="2"/>
  <c r="E145" i="2"/>
  <c r="D145" i="2"/>
  <c r="C145" i="2"/>
  <c r="B145" i="2"/>
  <c r="A145" i="2"/>
  <c r="F144" i="2"/>
  <c r="E144" i="2"/>
  <c r="D144" i="2"/>
  <c r="C144" i="2"/>
  <c r="B144" i="2"/>
  <c r="A144" i="2"/>
  <c r="F143" i="2"/>
  <c r="E143" i="2"/>
  <c r="D143" i="2"/>
  <c r="C143" i="2"/>
  <c r="B143" i="2"/>
  <c r="A143" i="2"/>
  <c r="F142" i="2"/>
  <c r="E142" i="2"/>
  <c r="D142" i="2"/>
  <c r="C142" i="2"/>
  <c r="B142" i="2"/>
  <c r="A142" i="2"/>
  <c r="F141" i="2"/>
  <c r="E141" i="2"/>
  <c r="D141" i="2"/>
  <c r="C141" i="2"/>
  <c r="B141" i="2"/>
  <c r="A141" i="2"/>
  <c r="F140" i="2"/>
  <c r="E140" i="2"/>
  <c r="D140" i="2"/>
  <c r="C140" i="2"/>
  <c r="B140" i="2"/>
  <c r="A140" i="2"/>
  <c r="F139" i="2"/>
  <c r="E139" i="2"/>
  <c r="D139" i="2"/>
  <c r="C139" i="2"/>
  <c r="B139" i="2"/>
  <c r="A139" i="2"/>
  <c r="F138" i="2"/>
  <c r="E138" i="2"/>
  <c r="D138" i="2"/>
  <c r="C138" i="2"/>
  <c r="B138" i="2"/>
  <c r="A138" i="2"/>
  <c r="F137" i="2"/>
  <c r="E137" i="2"/>
  <c r="D137" i="2"/>
  <c r="C137" i="2"/>
  <c r="B137" i="2"/>
  <c r="A137" i="2"/>
  <c r="F136" i="2"/>
  <c r="E136" i="2"/>
  <c r="D136" i="2"/>
  <c r="C136" i="2"/>
  <c r="B136" i="2"/>
  <c r="A136" i="2"/>
  <c r="F135" i="2"/>
  <c r="E135" i="2"/>
  <c r="D135" i="2"/>
  <c r="C135" i="2"/>
  <c r="B135" i="2"/>
  <c r="A135" i="2"/>
  <c r="F134" i="2"/>
  <c r="E134" i="2"/>
  <c r="D134" i="2"/>
  <c r="C134" i="2"/>
  <c r="B134" i="2"/>
  <c r="A134" i="2"/>
  <c r="F133" i="2"/>
  <c r="E133" i="2"/>
  <c r="D133" i="2"/>
  <c r="C133" i="2"/>
  <c r="B133" i="2"/>
  <c r="A133" i="2"/>
  <c r="F132" i="2"/>
  <c r="E132" i="2"/>
  <c r="D132" i="2"/>
  <c r="C132" i="2"/>
  <c r="B132" i="2"/>
  <c r="A132" i="2"/>
  <c r="F131" i="2"/>
  <c r="E131" i="2"/>
  <c r="D131" i="2"/>
  <c r="C131" i="2"/>
  <c r="B131" i="2"/>
  <c r="A131" i="2"/>
  <c r="F130" i="2"/>
  <c r="E130" i="2"/>
  <c r="D130" i="2"/>
  <c r="C130" i="2"/>
  <c r="B130" i="2"/>
  <c r="A130" i="2"/>
  <c r="F129" i="2"/>
  <c r="E129" i="2"/>
  <c r="D129" i="2"/>
  <c r="C129" i="2"/>
  <c r="B129" i="2"/>
  <c r="A129" i="2"/>
  <c r="F128" i="2"/>
  <c r="E128" i="2"/>
  <c r="D128" i="2"/>
  <c r="C128" i="2"/>
  <c r="B128" i="2"/>
  <c r="A128" i="2"/>
  <c r="F127" i="2"/>
  <c r="E127" i="2"/>
  <c r="D127" i="2"/>
  <c r="C127" i="2"/>
  <c r="B127" i="2"/>
  <c r="A127" i="2"/>
  <c r="F126" i="2"/>
  <c r="E126" i="2"/>
  <c r="D126" i="2"/>
  <c r="C126" i="2"/>
  <c r="B126" i="2"/>
  <c r="A126" i="2"/>
  <c r="F125" i="2"/>
  <c r="E125" i="2"/>
  <c r="D125" i="2"/>
  <c r="C125" i="2"/>
  <c r="B125" i="2"/>
  <c r="A125" i="2"/>
  <c r="F124" i="2"/>
  <c r="E124" i="2"/>
  <c r="D124" i="2"/>
  <c r="C124" i="2"/>
  <c r="B124" i="2"/>
  <c r="A124" i="2"/>
  <c r="F123" i="2"/>
  <c r="E123" i="2"/>
  <c r="D123" i="2"/>
  <c r="C123" i="2"/>
  <c r="B123" i="2"/>
  <c r="A123" i="2"/>
  <c r="F122" i="2"/>
  <c r="E122" i="2"/>
  <c r="D122" i="2"/>
  <c r="C122" i="2"/>
  <c r="B122" i="2"/>
  <c r="A122" i="2"/>
  <c r="F121" i="2"/>
  <c r="E121" i="2"/>
  <c r="D121" i="2"/>
  <c r="C121" i="2"/>
  <c r="B121" i="2"/>
  <c r="A121" i="2"/>
  <c r="F120" i="2"/>
  <c r="E120" i="2"/>
  <c r="D120" i="2"/>
  <c r="C120" i="2"/>
  <c r="B120" i="2"/>
  <c r="A120" i="2"/>
  <c r="F119" i="2"/>
  <c r="E119" i="2"/>
  <c r="D119" i="2"/>
  <c r="C119" i="2"/>
  <c r="B119" i="2"/>
  <c r="A119" i="2"/>
  <c r="F118" i="2"/>
  <c r="E118" i="2"/>
  <c r="D118" i="2"/>
  <c r="C118" i="2"/>
  <c r="B118" i="2"/>
  <c r="A118" i="2"/>
  <c r="F117" i="2"/>
  <c r="E117" i="2"/>
  <c r="D117" i="2"/>
  <c r="C117" i="2"/>
  <c r="B117" i="2"/>
  <c r="A117" i="2"/>
  <c r="F116" i="2"/>
  <c r="E116" i="2"/>
  <c r="D116" i="2"/>
  <c r="C116" i="2"/>
  <c r="B116" i="2"/>
  <c r="A116" i="2"/>
  <c r="F115" i="2"/>
  <c r="E115" i="2"/>
  <c r="D115" i="2"/>
  <c r="C115" i="2"/>
  <c r="B115" i="2"/>
  <c r="A115" i="2"/>
  <c r="F114" i="2"/>
  <c r="E114" i="2"/>
  <c r="D114" i="2"/>
  <c r="C114" i="2"/>
  <c r="B114" i="2"/>
  <c r="A114" i="2"/>
  <c r="F113" i="2"/>
  <c r="E113" i="2"/>
  <c r="D113" i="2"/>
  <c r="C113" i="2"/>
  <c r="B113" i="2"/>
  <c r="A113" i="2"/>
  <c r="F112" i="2"/>
  <c r="E112" i="2"/>
  <c r="D112" i="2"/>
  <c r="C112" i="2"/>
  <c r="B112" i="2"/>
  <c r="A112" i="2"/>
  <c r="F111" i="2"/>
  <c r="E111" i="2"/>
  <c r="D111" i="2"/>
  <c r="C111" i="2"/>
  <c r="B111" i="2"/>
  <c r="A111" i="2"/>
  <c r="F110" i="2"/>
  <c r="E110" i="2"/>
  <c r="D110" i="2"/>
  <c r="C110" i="2"/>
  <c r="B110" i="2"/>
  <c r="A110" i="2"/>
  <c r="F109" i="2"/>
  <c r="E109" i="2"/>
  <c r="D109" i="2"/>
  <c r="C109" i="2"/>
  <c r="B109" i="2"/>
  <c r="A109" i="2"/>
  <c r="F108" i="2"/>
  <c r="E108" i="2"/>
  <c r="D108" i="2"/>
  <c r="C108" i="2"/>
  <c r="B108" i="2"/>
  <c r="A108" i="2"/>
  <c r="F107" i="2"/>
  <c r="E107" i="2"/>
  <c r="D107" i="2"/>
  <c r="C107" i="2"/>
  <c r="B107" i="2"/>
  <c r="A107" i="2"/>
  <c r="F106" i="2"/>
  <c r="E106" i="2"/>
  <c r="D106" i="2"/>
  <c r="C106" i="2"/>
  <c r="B106" i="2"/>
  <c r="A106" i="2"/>
  <c r="F105" i="2"/>
  <c r="E105" i="2"/>
  <c r="D105" i="2"/>
  <c r="C105" i="2"/>
  <c r="B105" i="2"/>
  <c r="A105" i="2"/>
  <c r="F104" i="2"/>
  <c r="E104" i="2"/>
  <c r="D104" i="2"/>
  <c r="C104" i="2"/>
  <c r="B104" i="2"/>
  <c r="A104" i="2"/>
  <c r="F103" i="2"/>
  <c r="E103" i="2"/>
  <c r="D103" i="2"/>
  <c r="C103" i="2"/>
  <c r="B103" i="2"/>
  <c r="A103" i="2"/>
  <c r="F102" i="2"/>
  <c r="E102" i="2"/>
  <c r="D102" i="2"/>
  <c r="C102" i="2"/>
  <c r="B102" i="2"/>
  <c r="A102" i="2"/>
  <c r="F101" i="2"/>
  <c r="E101" i="2"/>
  <c r="D101" i="2"/>
  <c r="C101" i="2"/>
  <c r="B101" i="2"/>
  <c r="A101" i="2"/>
  <c r="F100" i="2"/>
  <c r="E100" i="2"/>
  <c r="D100" i="2"/>
  <c r="C100" i="2"/>
  <c r="B100" i="2"/>
  <c r="A100" i="2"/>
  <c r="F99" i="2"/>
  <c r="E99" i="2"/>
  <c r="D99" i="2"/>
  <c r="C99" i="2"/>
  <c r="B99" i="2"/>
  <c r="A99" i="2"/>
  <c r="F98" i="2"/>
  <c r="E98" i="2"/>
  <c r="D98" i="2"/>
  <c r="C98" i="2"/>
  <c r="B98" i="2"/>
  <c r="A98" i="2"/>
  <c r="F97" i="2"/>
  <c r="E97" i="2"/>
  <c r="D97" i="2"/>
  <c r="C97" i="2"/>
  <c r="B97" i="2"/>
  <c r="A97" i="2"/>
  <c r="F96" i="2"/>
  <c r="E96" i="2"/>
  <c r="D96" i="2"/>
  <c r="C96" i="2"/>
  <c r="B96" i="2"/>
  <c r="A96" i="2"/>
  <c r="F95" i="2"/>
  <c r="E95" i="2"/>
  <c r="D95" i="2"/>
  <c r="C95" i="2"/>
  <c r="B95" i="2"/>
  <c r="A95" i="2"/>
  <c r="F94" i="2"/>
  <c r="E94" i="2"/>
  <c r="D94" i="2"/>
  <c r="C94" i="2"/>
  <c r="B94" i="2"/>
  <c r="A94" i="2"/>
  <c r="F93" i="2"/>
  <c r="E93" i="2"/>
  <c r="D93" i="2"/>
  <c r="C93" i="2"/>
  <c r="B93" i="2"/>
  <c r="A93" i="2"/>
  <c r="F92" i="2"/>
  <c r="E92" i="2"/>
  <c r="D92" i="2"/>
  <c r="C92" i="2"/>
  <c r="B92" i="2"/>
  <c r="A92" i="2"/>
  <c r="F91" i="2"/>
  <c r="E91" i="2"/>
  <c r="D91" i="2"/>
  <c r="C91" i="2"/>
  <c r="B91" i="2"/>
  <c r="A91" i="2"/>
  <c r="F90" i="2"/>
  <c r="E90" i="2"/>
  <c r="D90" i="2"/>
  <c r="C90" i="2"/>
  <c r="B90" i="2"/>
  <c r="A90" i="2"/>
  <c r="F89" i="2"/>
  <c r="E89" i="2"/>
  <c r="D89" i="2"/>
  <c r="C89" i="2"/>
  <c r="B89" i="2"/>
  <c r="A89" i="2"/>
  <c r="F88" i="2"/>
  <c r="E88" i="2"/>
  <c r="D88" i="2"/>
  <c r="C88" i="2"/>
  <c r="B88" i="2"/>
  <c r="A88" i="2"/>
  <c r="F87" i="2"/>
  <c r="E87" i="2"/>
  <c r="D87" i="2"/>
  <c r="C87" i="2"/>
  <c r="B87" i="2"/>
  <c r="A87" i="2"/>
  <c r="F86" i="2"/>
  <c r="E86" i="2"/>
  <c r="D86" i="2"/>
  <c r="C86" i="2"/>
  <c r="B86" i="2"/>
  <c r="A86" i="2"/>
  <c r="F85" i="2"/>
  <c r="E85" i="2"/>
  <c r="D85" i="2"/>
  <c r="C85" i="2"/>
  <c r="B85" i="2"/>
  <c r="A85" i="2"/>
  <c r="F84" i="2"/>
  <c r="E84" i="2"/>
  <c r="D84" i="2"/>
  <c r="C84" i="2"/>
  <c r="B84" i="2"/>
  <c r="A84" i="2"/>
  <c r="F83" i="2"/>
  <c r="E83" i="2"/>
  <c r="D83" i="2"/>
  <c r="C83" i="2"/>
  <c r="B83" i="2"/>
  <c r="A83" i="2"/>
  <c r="F82" i="2"/>
  <c r="E82" i="2"/>
  <c r="D82" i="2"/>
  <c r="C82" i="2"/>
  <c r="B82" i="2"/>
  <c r="A82" i="2"/>
  <c r="F81" i="2"/>
  <c r="E81" i="2"/>
  <c r="D81" i="2"/>
  <c r="C81" i="2"/>
  <c r="B81" i="2"/>
  <c r="A81" i="2"/>
  <c r="F80" i="2"/>
  <c r="E80" i="2"/>
  <c r="D80" i="2"/>
  <c r="C80" i="2"/>
  <c r="B80" i="2"/>
  <c r="A80" i="2"/>
  <c r="F79" i="2"/>
  <c r="E79" i="2"/>
  <c r="D79" i="2"/>
  <c r="C79" i="2"/>
  <c r="B79" i="2"/>
  <c r="A79" i="2"/>
  <c r="F78" i="2"/>
  <c r="E78" i="2"/>
  <c r="D78" i="2"/>
  <c r="C78" i="2"/>
  <c r="B78" i="2"/>
  <c r="A78" i="2"/>
  <c r="F77" i="2"/>
  <c r="E77" i="2"/>
  <c r="D77" i="2"/>
  <c r="C77" i="2"/>
  <c r="B77" i="2"/>
  <c r="A77" i="2"/>
  <c r="F76" i="2"/>
  <c r="E76" i="2"/>
  <c r="D76" i="2"/>
  <c r="C76" i="2"/>
  <c r="B76" i="2"/>
  <c r="A76" i="2"/>
  <c r="F75" i="2"/>
  <c r="E75" i="2"/>
  <c r="D75" i="2"/>
  <c r="C75" i="2"/>
  <c r="B75" i="2"/>
  <c r="A75" i="2"/>
  <c r="F74" i="2"/>
  <c r="E74" i="2"/>
  <c r="D74" i="2"/>
  <c r="C74" i="2"/>
  <c r="B74" i="2"/>
  <c r="A74" i="2"/>
  <c r="F73" i="2"/>
  <c r="E73" i="2"/>
  <c r="D73" i="2"/>
  <c r="C73" i="2"/>
  <c r="B73" i="2"/>
  <c r="A73" i="2"/>
  <c r="F72" i="2"/>
  <c r="E72" i="2"/>
  <c r="D72" i="2"/>
  <c r="C72" i="2"/>
  <c r="B72" i="2"/>
  <c r="A72" i="2"/>
  <c r="F71" i="2"/>
  <c r="E71" i="2"/>
  <c r="D71" i="2"/>
  <c r="C71" i="2"/>
  <c r="B71" i="2"/>
  <c r="A71" i="2"/>
  <c r="F70" i="2"/>
  <c r="E70" i="2"/>
  <c r="D70" i="2"/>
  <c r="C70" i="2"/>
  <c r="B70" i="2"/>
  <c r="A70" i="2"/>
  <c r="F69" i="2"/>
  <c r="E69" i="2"/>
  <c r="D69" i="2"/>
  <c r="C69" i="2"/>
  <c r="B69" i="2"/>
  <c r="A69" i="2"/>
  <c r="F68" i="2"/>
  <c r="E68" i="2"/>
  <c r="D68" i="2"/>
  <c r="C68" i="2"/>
  <c r="B68" i="2"/>
  <c r="A68" i="2"/>
  <c r="F67" i="2"/>
  <c r="E67" i="2"/>
  <c r="D67" i="2"/>
  <c r="C67" i="2"/>
  <c r="B67" i="2"/>
  <c r="A67" i="2"/>
  <c r="F66" i="2"/>
  <c r="E66" i="2"/>
  <c r="D66" i="2"/>
  <c r="C66" i="2"/>
  <c r="B66" i="2"/>
  <c r="A66" i="2"/>
  <c r="F65" i="2"/>
  <c r="E65" i="2"/>
  <c r="D65" i="2"/>
  <c r="C65" i="2"/>
  <c r="B65" i="2"/>
  <c r="A65" i="2"/>
  <c r="F64" i="2"/>
  <c r="E64" i="2"/>
  <c r="D64" i="2"/>
  <c r="C64" i="2"/>
  <c r="B64" i="2"/>
  <c r="A64" i="2"/>
  <c r="F63" i="2"/>
  <c r="E63" i="2"/>
  <c r="D63" i="2"/>
  <c r="C63" i="2"/>
  <c r="B63" i="2"/>
  <c r="A63" i="2"/>
  <c r="F62" i="2"/>
  <c r="E62" i="2"/>
  <c r="D62" i="2"/>
  <c r="C62" i="2"/>
  <c r="B62" i="2"/>
  <c r="A62" i="2"/>
  <c r="F61" i="2"/>
  <c r="E61" i="2"/>
  <c r="D61" i="2"/>
  <c r="C61" i="2"/>
  <c r="B61" i="2"/>
  <c r="A61" i="2"/>
  <c r="F60" i="2"/>
  <c r="E60" i="2"/>
  <c r="D60" i="2"/>
  <c r="C60" i="2"/>
  <c r="B60" i="2"/>
  <c r="A60" i="2"/>
  <c r="F59" i="2"/>
  <c r="E59" i="2"/>
  <c r="D59" i="2"/>
  <c r="C59" i="2"/>
  <c r="B59" i="2"/>
  <c r="A59" i="2"/>
  <c r="F58" i="2"/>
  <c r="E58" i="2"/>
  <c r="D58" i="2"/>
  <c r="C58" i="2"/>
  <c r="B58" i="2"/>
  <c r="A58" i="2"/>
  <c r="F57" i="2"/>
  <c r="E57" i="2"/>
  <c r="D57" i="2"/>
  <c r="C57" i="2"/>
  <c r="B57" i="2"/>
  <c r="A57" i="2"/>
  <c r="F56" i="2"/>
  <c r="E56" i="2"/>
  <c r="D56" i="2"/>
  <c r="C56" i="2"/>
  <c r="B56" i="2"/>
  <c r="A56" i="2"/>
  <c r="F55" i="2"/>
  <c r="E55" i="2"/>
  <c r="D55" i="2"/>
  <c r="C55" i="2"/>
  <c r="B55" i="2"/>
  <c r="A55" i="2"/>
  <c r="F54" i="2"/>
  <c r="E54" i="2"/>
  <c r="D54" i="2"/>
  <c r="C54" i="2"/>
  <c r="B54" i="2"/>
  <c r="A54" i="2"/>
  <c r="F53" i="2"/>
  <c r="E53" i="2"/>
  <c r="D53" i="2"/>
  <c r="C53" i="2"/>
  <c r="B53" i="2"/>
  <c r="A53" i="2"/>
  <c r="F52" i="2"/>
  <c r="E52" i="2"/>
  <c r="D52" i="2"/>
  <c r="C52" i="2"/>
  <c r="B52" i="2"/>
  <c r="A52" i="2"/>
  <c r="F51" i="2"/>
  <c r="E51" i="2"/>
  <c r="D51" i="2"/>
  <c r="C51" i="2"/>
  <c r="B51" i="2"/>
  <c r="A51" i="2"/>
  <c r="F50" i="2"/>
  <c r="E50" i="2"/>
  <c r="D50" i="2"/>
  <c r="C50" i="2"/>
  <c r="B50" i="2"/>
  <c r="A50" i="2"/>
  <c r="F49" i="2"/>
  <c r="E49" i="2"/>
  <c r="D49" i="2"/>
  <c r="C49" i="2"/>
  <c r="B49" i="2"/>
  <c r="A49" i="2"/>
  <c r="F48" i="2"/>
  <c r="E48" i="2"/>
  <c r="D48" i="2"/>
  <c r="C48" i="2"/>
  <c r="B48" i="2"/>
  <c r="A48" i="2"/>
  <c r="F47" i="2"/>
  <c r="E47" i="2"/>
  <c r="D47" i="2"/>
  <c r="C47" i="2"/>
  <c r="B47" i="2"/>
  <c r="A47" i="2"/>
  <c r="F46" i="2"/>
  <c r="E46" i="2"/>
  <c r="D46" i="2"/>
  <c r="C46" i="2"/>
  <c r="B46" i="2"/>
  <c r="A46" i="2"/>
  <c r="F45" i="2"/>
  <c r="E45" i="2"/>
  <c r="D45" i="2"/>
  <c r="C45" i="2"/>
  <c r="B45" i="2"/>
  <c r="A45" i="2"/>
  <c r="F44" i="2"/>
  <c r="E44" i="2"/>
  <c r="D44" i="2"/>
  <c r="C44" i="2"/>
  <c r="B44" i="2"/>
  <c r="A44" i="2"/>
  <c r="F43" i="2"/>
  <c r="E43" i="2"/>
  <c r="D43" i="2"/>
  <c r="C43" i="2"/>
  <c r="B43" i="2"/>
  <c r="A43" i="2"/>
  <c r="F42" i="2"/>
  <c r="E42" i="2"/>
  <c r="D42" i="2"/>
  <c r="C42" i="2"/>
  <c r="B42" i="2"/>
  <c r="A42" i="2"/>
  <c r="F41" i="2"/>
  <c r="E41" i="2"/>
  <c r="D41" i="2"/>
  <c r="C41" i="2"/>
  <c r="B41" i="2"/>
  <c r="A41" i="2"/>
  <c r="F40" i="2"/>
  <c r="E40" i="2"/>
  <c r="D40" i="2"/>
  <c r="C40" i="2"/>
  <c r="B40" i="2"/>
  <c r="A40" i="2"/>
  <c r="F39" i="2"/>
  <c r="E39" i="2"/>
  <c r="D39" i="2"/>
  <c r="C39" i="2"/>
  <c r="B39" i="2"/>
  <c r="A39" i="2"/>
  <c r="F38" i="2"/>
  <c r="E38" i="2"/>
  <c r="D38" i="2"/>
  <c r="C38" i="2"/>
  <c r="B38" i="2"/>
  <c r="A38" i="2"/>
  <c r="F37" i="2"/>
  <c r="E37" i="2"/>
  <c r="D37" i="2"/>
  <c r="C37" i="2"/>
  <c r="B37" i="2"/>
  <c r="A37" i="2"/>
  <c r="F36" i="2"/>
  <c r="E36" i="2"/>
  <c r="D36" i="2"/>
  <c r="C36" i="2"/>
  <c r="B36" i="2"/>
  <c r="A36" i="2"/>
  <c r="F35" i="2"/>
  <c r="E35" i="2"/>
  <c r="D35" i="2"/>
  <c r="C35" i="2"/>
  <c r="B35" i="2"/>
  <c r="A35" i="2"/>
  <c r="F34" i="2"/>
  <c r="E34" i="2"/>
  <c r="D34" i="2"/>
  <c r="C34" i="2"/>
  <c r="B34" i="2"/>
  <c r="A34" i="2"/>
  <c r="F33" i="2"/>
  <c r="E33" i="2"/>
  <c r="D33" i="2"/>
  <c r="C33" i="2"/>
  <c r="B33" i="2"/>
  <c r="A33" i="2"/>
  <c r="F32" i="2"/>
  <c r="E32" i="2"/>
  <c r="D32" i="2"/>
  <c r="C32" i="2"/>
  <c r="B32" i="2"/>
  <c r="A32" i="2"/>
  <c r="F31" i="2"/>
  <c r="E31" i="2"/>
  <c r="D31" i="2"/>
  <c r="C31" i="2"/>
  <c r="B31" i="2"/>
  <c r="A31" i="2"/>
  <c r="F30" i="2"/>
  <c r="E30" i="2"/>
  <c r="D30" i="2"/>
  <c r="C30" i="2"/>
  <c r="B30" i="2"/>
  <c r="A30" i="2"/>
  <c r="F29" i="2"/>
  <c r="E29" i="2"/>
  <c r="D29" i="2"/>
  <c r="C29" i="2"/>
  <c r="B29" i="2"/>
  <c r="A29" i="2"/>
  <c r="F28" i="2"/>
  <c r="E28" i="2"/>
  <c r="D28" i="2"/>
  <c r="C28" i="2"/>
  <c r="B28" i="2"/>
  <c r="A28" i="2"/>
  <c r="F27" i="2"/>
  <c r="E27" i="2"/>
  <c r="D27" i="2"/>
  <c r="C27" i="2"/>
  <c r="B27" i="2"/>
  <c r="A27" i="2"/>
  <c r="F26" i="2"/>
  <c r="E26" i="2"/>
  <c r="D26" i="2"/>
  <c r="C26" i="2"/>
  <c r="B26" i="2"/>
  <c r="A26" i="2"/>
  <c r="F25" i="2"/>
  <c r="E25" i="2"/>
  <c r="D25" i="2"/>
  <c r="C25" i="2"/>
  <c r="B25" i="2"/>
  <c r="A25" i="2"/>
  <c r="F24" i="2"/>
  <c r="E24" i="2"/>
  <c r="D24" i="2"/>
  <c r="C24" i="2"/>
  <c r="B24" i="2"/>
  <c r="A24" i="2"/>
  <c r="F23" i="2"/>
  <c r="E23" i="2"/>
  <c r="D23" i="2"/>
  <c r="C23" i="2"/>
  <c r="B23" i="2"/>
  <c r="A23" i="2"/>
  <c r="F22" i="2"/>
  <c r="E22" i="2"/>
  <c r="D22" i="2"/>
  <c r="C22" i="2"/>
  <c r="B22" i="2"/>
  <c r="A22" i="2"/>
  <c r="F21" i="2"/>
  <c r="E21" i="2"/>
  <c r="D21" i="2"/>
  <c r="C21" i="2"/>
  <c r="B21" i="2"/>
  <c r="A21" i="2"/>
  <c r="F20" i="2"/>
  <c r="E20" i="2"/>
  <c r="D20" i="2"/>
  <c r="C20" i="2"/>
  <c r="B20" i="2"/>
  <c r="A20" i="2"/>
  <c r="F19" i="2"/>
  <c r="E19" i="2"/>
  <c r="D19" i="2"/>
  <c r="C19" i="2"/>
  <c r="B19" i="2"/>
  <c r="A19" i="2"/>
  <c r="F18" i="2"/>
  <c r="E18" i="2"/>
  <c r="D18" i="2"/>
  <c r="C18" i="2"/>
  <c r="B18" i="2"/>
  <c r="A18" i="2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A3" i="2"/>
  <c r="F2" i="2"/>
  <c r="E2" i="2"/>
  <c r="D2" i="2"/>
  <c r="C2" i="2"/>
  <c r="B2" i="2"/>
  <c r="A2" i="2"/>
  <c r="F1" i="2"/>
  <c r="E1" i="2"/>
  <c r="D1" i="2"/>
  <c r="C1" i="2"/>
  <c r="B1" i="2"/>
  <c r="A1" i="2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O4" i="1"/>
  <c r="M4" i="1"/>
  <c r="L4" i="1"/>
  <c r="K4" i="1"/>
  <c r="J4" i="1"/>
  <c r="I4" i="1"/>
  <c r="H4" i="1"/>
  <c r="G4" i="1"/>
  <c r="F4" i="1"/>
  <c r="E4" i="1"/>
  <c r="D4" i="1"/>
  <c r="C4" i="1"/>
  <c r="B4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<sst xmlns="http://schemas.openxmlformats.org/spreadsheetml/2006/main" count="22" uniqueCount="22">
  <si>
    <t>Ticker</t>
  </si>
  <si>
    <t>Symbol Name</t>
  </si>
  <si>
    <t>Last Trade time</t>
  </si>
  <si>
    <t>Last Price</t>
  </si>
  <si>
    <t>Previous Day Price</t>
  </si>
  <si>
    <t>Change</t>
  </si>
  <si>
    <t>Change Pct</t>
  </si>
  <si>
    <t>Volume</t>
  </si>
  <si>
    <t>Volume Avg</t>
  </si>
  <si>
    <t>Shares</t>
  </si>
  <si>
    <t>Day High</t>
  </si>
  <si>
    <t>Day Low</t>
  </si>
  <si>
    <t>Market Cap</t>
  </si>
  <si>
    <t>P/E Ratio</t>
  </si>
  <si>
    <t>EPS</t>
  </si>
  <si>
    <t>AAPL</t>
  </si>
  <si>
    <t>AMZN</t>
  </si>
  <si>
    <t>SNOW</t>
  </si>
  <si>
    <t>TSLA</t>
  </si>
  <si>
    <t>META</t>
  </si>
  <si>
    <t>MSFT</t>
  </si>
  <si>
    <t>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</si>
</sst>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9"/>
  <sheetViews>
    <sheetView tabSelected="1" topLeftCell="B1" workbookViewId="0">
      <selection activeCell="N5" sqref="N5"/>
    </sheetView>
  </sheetViews>
  <sheetFormatPr defaultColWidth="12.6328125" defaultRowHeight="15.75" customHeight="1" x14ac:dyDescent="0.25"/>
  <cols>
    <col min="1" max="1" width="13.7265625" customWidth="1"/>
    <col min="2" max="2" width="38.453125" customWidth="1"/>
    <col min="3" max="3" width="25" customWidth="1"/>
    <col min="4" max="4" width="19.6328125" customWidth="1"/>
    <col min="5" max="5" width="25" customWidth="1"/>
    <col min="6" max="6" width="16.453125" customWidth="1"/>
    <col min="10" max="10" width="12.7265625" customWidth="1"/>
    <col min="11" max="11" width="13.08984375" customWidth="1"/>
  </cols>
  <sheetData>
    <row r="1" spans="1:1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 x14ac:dyDescent="0.25">
      <c r="A2" s="1" t="s">
        <v>15</v>
      </c>
      <c r="B2" s="2" t="str">
        <f ca="1">IFERROR(__xludf.DUMMYFUNCTION("GOOGLEFINANCE(A2, ""name"")"),"Apple Inc")</f>
        <v>Apple Inc</v>
      </c>
      <c r="C2" s="3">
        <f ca="1">IFERROR(__xludf.DUMMYFUNCTION("GOOGLEFINANCE(A2, ""tradetime"")"),45401.6666782407)</f>
        <v>45401.666678240697</v>
      </c>
      <c r="D2" s="2">
        <f ca="1">IFERROR(__xludf.DUMMYFUNCTION("GOOGLEFINANCE(A2,""price"")"),165)</f>
        <v>165</v>
      </c>
      <c r="E2" s="2">
        <f ca="1">IFERROR(__xludf.DUMMYFUNCTION("GOOGLEFINANCE(A2,""closeyest"")"),167.04)</f>
        <v>167.04</v>
      </c>
      <c r="F2" s="2">
        <f ca="1">IFERROR(__xludf.DUMMYFUNCTION("GOOGLEFINANCE(A2, ""change"")"),-2.04)</f>
        <v>-2.04</v>
      </c>
      <c r="G2" s="2">
        <f ca="1">IFERROR(__xludf.DUMMYFUNCTION("GOOGLEFINANCE(A2, ""changepct"")"),-1.22)</f>
        <v>-1.22</v>
      </c>
      <c r="H2" s="2">
        <f ca="1">IFERROR(__xludf.DUMMYFUNCTION("GOOGLEFINANCE(A2, ""volume"")"),20787)</f>
        <v>20787</v>
      </c>
      <c r="I2" s="2">
        <f ca="1">IFERROR(__xludf.DUMMYFUNCTION("GOOGLEFINANCE(A2, ""volumeavg"")"),63900792)</f>
        <v>63900792</v>
      </c>
      <c r="J2" s="2">
        <f ca="1">IFERROR(__xludf.DUMMYFUNCTION("GOOGLEFINANCE(A2, ""shares"")"),15441880000)</f>
        <v>15441880000</v>
      </c>
      <c r="K2" s="2">
        <f ca="1">IFERROR(__xludf.DUMMYFUNCTION("GOOGLEFINANCE(A2, ""high"")"),166.4)</f>
        <v>166.4</v>
      </c>
      <c r="L2" s="2">
        <f ca="1">IFERROR(__xludf.DUMMYFUNCTION("GOOGLEFINANCE(A2, ""low"")"),164.08)</f>
        <v>164.08</v>
      </c>
      <c r="M2" s="1">
        <f ca="1">IFERROR(__xludf.DUMMYFUNCTION("GOOGLEFINANCE(A2,""marketcap"")"),2547910200000)</f>
        <v>2547910200000</v>
      </c>
      <c r="N2" s="2">
        <f ca="1">IFERROR(__xludf.DUMMYFUNCTION("GOOGLEFINANCE(A2, ""pe"")"),25.67)</f>
        <v>25.67</v>
      </c>
      <c r="O2" s="2">
        <f ca="1">IFERROR(__xludf.DUMMYFUNCTION("GOOGLEFINANCE(A2, ""eps"")"),6.43)</f>
        <v>6.43</v>
      </c>
    </row>
    <row r="3" spans="1:15" ht="15.75" customHeight="1" x14ac:dyDescent="0.25">
      <c r="A3" s="1" t="s">
        <v>16</v>
      </c>
      <c r="B3" s="2" t="str">
        <f ca="1">IFERROR(__xludf.DUMMYFUNCTION("GOOGLEFINANCE(A3, ""name"")"),"Amazon.com Inc")</f>
        <v>Amazon.com Inc</v>
      </c>
      <c r="C3" s="3">
        <f ca="1">IFERROR(__xludf.DUMMYFUNCTION("GOOGLEFINANCE(A3, ""tradetime"")"),45401.6666782407)</f>
        <v>45401.666678240697</v>
      </c>
      <c r="D3" s="2">
        <f ca="1">IFERROR(__xludf.DUMMYFUNCTION("GOOGLEFINANCE(A3,""price"")"),174.63)</f>
        <v>174.63</v>
      </c>
      <c r="E3" s="2">
        <f ca="1">IFERROR(__xludf.DUMMYFUNCTION("GOOGLEFINANCE(A3,""closeyest"")"),179.22)</f>
        <v>179.22</v>
      </c>
      <c r="F3" s="2">
        <f ca="1">IFERROR(__xludf.DUMMYFUNCTION("GOOGLEFINANCE(A3, ""change"")"),-4.59)</f>
        <v>-4.59</v>
      </c>
      <c r="G3" s="2">
        <f ca="1">IFERROR(__xludf.DUMMYFUNCTION("GOOGLEFINANCE(A3, ""changepct"")"),-2.56)</f>
        <v>-2.56</v>
      </c>
      <c r="H3" s="2">
        <f ca="1">IFERROR(__xludf.DUMMYFUNCTION("GOOGLEFINANCE(A3, ""volume"")"),18944)</f>
        <v>18944</v>
      </c>
      <c r="I3" s="2">
        <f ca="1">IFERROR(__xludf.DUMMYFUNCTION("GOOGLEFINANCE(A3, ""volumeavg"")"),35783660)</f>
        <v>35783660</v>
      </c>
      <c r="J3" s="2">
        <f ca="1">IFERROR(__xludf.DUMMYFUNCTION("GOOGLEFINANCE(A3, ""shares"")"),10397190000)</f>
        <v>10397190000</v>
      </c>
      <c r="K3" s="2">
        <f ca="1">IFERROR(__xludf.DUMMYFUNCTION("GOOGLEFINANCE(A3, ""high"")"),179)</f>
        <v>179</v>
      </c>
      <c r="L3" s="2">
        <f ca="1">IFERROR(__xludf.DUMMYFUNCTION("GOOGLEFINANCE(A3, ""low"")"),173.44)</f>
        <v>173.44</v>
      </c>
      <c r="M3" s="1">
        <f ca="1">IFERROR(__xludf.DUMMYFUNCTION("GOOGLEFINANCE(A3,""marketcap"")"),1815659594167)</f>
        <v>1815659594167</v>
      </c>
      <c r="N3" s="2">
        <f ca="1">IFERROR(__xludf.DUMMYFUNCTION("GOOGLEFINANCE(A3, ""pe"")"),60.22)</f>
        <v>60.22</v>
      </c>
      <c r="O3" s="2">
        <f ca="1">IFERROR(__xludf.DUMMYFUNCTION("GOOGLEFINANCE(A3, ""eps"")"),2.9)</f>
        <v>2.9</v>
      </c>
    </row>
    <row r="4" spans="1:15" ht="15.75" customHeight="1" x14ac:dyDescent="0.25">
      <c r="A4" s="1" t="s">
        <v>17</v>
      </c>
      <c r="B4" s="2" t="str">
        <f ca="1">IFERROR(__xludf.DUMMYFUNCTION("GOOGLEFINANCE(A4, ""name"")"),"Snowflake Inc")</f>
        <v>Snowflake Inc</v>
      </c>
      <c r="C4" s="3">
        <f ca="1">IFERROR(__xludf.DUMMYFUNCTION("GOOGLEFINANCE(A4, ""tradetime"")"),45401.6667013888)</f>
        <v>45401.6667013888</v>
      </c>
      <c r="D4" s="2">
        <f ca="1">IFERROR(__xludf.DUMMYFUNCTION("GOOGLEFINANCE(A4,""price"")"),145.45)</f>
        <v>145.44999999999999</v>
      </c>
      <c r="E4" s="2">
        <f ca="1">IFERROR(__xludf.DUMMYFUNCTION("GOOGLEFINANCE(A4,""closeyest"")"),148.41)</f>
        <v>148.41</v>
      </c>
      <c r="F4" s="2">
        <f ca="1">IFERROR(__xludf.DUMMYFUNCTION("GOOGLEFINANCE(A4, ""change"")"),-2.96)</f>
        <v>-2.96</v>
      </c>
      <c r="G4" s="2">
        <f ca="1">IFERROR(__xludf.DUMMYFUNCTION("GOOGLEFINANCE(A4, ""changepct"")"),-1.99)</f>
        <v>-1.99</v>
      </c>
      <c r="H4" s="2">
        <f ca="1">IFERROR(__xludf.DUMMYFUNCTION("GOOGLEFINANCE(A4, ""volume"")"),798)</f>
        <v>798</v>
      </c>
      <c r="I4" s="2">
        <f ca="1">IFERROR(__xludf.DUMMYFUNCTION("GOOGLEFINANCE(A4, ""volumeavg"")"),5872162)</f>
        <v>5872162</v>
      </c>
      <c r="J4" s="2">
        <f ca="1">IFERROR(__xludf.DUMMYFUNCTION("GOOGLEFINANCE(A4, ""shares"")"),334200000)</f>
        <v>334200000</v>
      </c>
      <c r="K4" s="2">
        <f ca="1">IFERROR(__xludf.DUMMYFUNCTION("GOOGLEFINANCE(A4, ""high"")"),150.09)</f>
        <v>150.09</v>
      </c>
      <c r="L4" s="2">
        <f ca="1">IFERROR(__xludf.DUMMYFUNCTION("GOOGLEFINANCE(A4, ""low"")"),144.55)</f>
        <v>144.55000000000001</v>
      </c>
      <c r="M4" s="1">
        <f ca="1">IFERROR(__xludf.DUMMYFUNCTION("GOOGLEFINANCE(A4,""marketcap"")"),48609374435)</f>
        <v>48609374435</v>
      </c>
      <c r="N4" s="2">
        <v>-43.4</v>
      </c>
      <c r="O4" s="2">
        <f ca="1">IFERROR(__xludf.DUMMYFUNCTION("GOOGLEFINANCE(A4, ""eps"")"),-2.55)</f>
        <v>-2.5499999999999998</v>
      </c>
    </row>
    <row r="5" spans="1:15" ht="15.75" customHeight="1" x14ac:dyDescent="0.25">
      <c r="A5" s="1" t="s">
        <v>18</v>
      </c>
      <c r="B5" s="2" t="str">
        <f ca="1">IFERROR(__xludf.DUMMYFUNCTION("GOOGLEFINANCE(A5, ""name"")"),"Tesla Inc")</f>
        <v>Tesla Inc</v>
      </c>
      <c r="C5" s="3">
        <f ca="1">IFERROR(__xludf.DUMMYFUNCTION("GOOGLEFINANCE(A5, ""tradetime"")"),45401.6666666666)</f>
        <v>45401.666666666599</v>
      </c>
      <c r="D5" s="2">
        <f ca="1">IFERROR(__xludf.DUMMYFUNCTION("GOOGLEFINANCE(A5,""price"")"),147.05)</f>
        <v>147.05000000000001</v>
      </c>
      <c r="E5" s="2">
        <f ca="1">IFERROR(__xludf.DUMMYFUNCTION("GOOGLEFINANCE(A5,""closeyest"")"),149.93)</f>
        <v>149.93</v>
      </c>
      <c r="F5" s="2">
        <f ca="1">IFERROR(__xludf.DUMMYFUNCTION("GOOGLEFINANCE(A5, ""change"")"),-2.88)</f>
        <v>-2.88</v>
      </c>
      <c r="G5" s="2">
        <f ca="1">IFERROR(__xludf.DUMMYFUNCTION("GOOGLEFINANCE(A5, ""changepct"")"),-1.92)</f>
        <v>-1.92</v>
      </c>
      <c r="H5" s="2">
        <f ca="1">IFERROR(__xludf.DUMMYFUNCTION("GOOGLEFINANCE(A5, ""volume"")"),261067)</f>
        <v>261067</v>
      </c>
      <c r="I5" s="2">
        <f ca="1">IFERROR(__xludf.DUMMYFUNCTION("GOOGLEFINANCE(A5, ""volumeavg"")"),94337070)</f>
        <v>94337070</v>
      </c>
      <c r="J5" s="2">
        <f ca="1">IFERROR(__xludf.DUMMYFUNCTION("GOOGLEFINANCE(A5, ""shares"")"),3188966000)</f>
        <v>3188966000</v>
      </c>
      <c r="K5" s="2">
        <f ca="1">IFERROR(__xludf.DUMMYFUNCTION("GOOGLEFINANCE(A5, ""high"")"),150.94)</f>
        <v>150.94</v>
      </c>
      <c r="L5" s="2">
        <f ca="1">IFERROR(__xludf.DUMMYFUNCTION("GOOGLEFINANCE(A5, ""low"")"),146.22)</f>
        <v>146.22</v>
      </c>
      <c r="M5" s="1">
        <f ca="1">IFERROR(__xludf.DUMMYFUNCTION("GOOGLEFINANCE(A5,""marketcap"")"),460776773062)</f>
        <v>460776773062</v>
      </c>
      <c r="N5" s="2">
        <f ca="1">IFERROR(__xludf.DUMMYFUNCTION("GOOGLEFINANCE(A5, ""pe"")"),34.17)</f>
        <v>34.17</v>
      </c>
      <c r="O5" s="2">
        <f ca="1">IFERROR(__xludf.DUMMYFUNCTION("GOOGLEFINANCE(A5, ""eps"")"),4.3)</f>
        <v>4.3</v>
      </c>
    </row>
    <row r="6" spans="1:15" ht="15.75" customHeight="1" x14ac:dyDescent="0.25">
      <c r="A6" s="1" t="s">
        <v>19</v>
      </c>
      <c r="B6" s="2" t="str">
        <f ca="1">IFERROR(__xludf.DUMMYFUNCTION("GOOGLEFINANCE(A6, ""name"")"),"Meta Platforms Inc")</f>
        <v>Meta Platforms Inc</v>
      </c>
      <c r="C6" s="3">
        <f ca="1">IFERROR(__xludf.DUMMYFUNCTION("GOOGLEFINANCE(A6, ""tradetime"")"),45401.6666898148)</f>
        <v>45401.666689814803</v>
      </c>
      <c r="D6" s="2">
        <f ca="1">IFERROR(__xludf.DUMMYFUNCTION("GOOGLEFINANCE(A6,""price"")"),481.07)</f>
        <v>481.07</v>
      </c>
      <c r="E6" s="2">
        <f ca="1">IFERROR(__xludf.DUMMYFUNCTION("GOOGLEFINANCE(A6,""closeyest"")"),501.8)</f>
        <v>501.8</v>
      </c>
      <c r="F6" s="2">
        <f ca="1">IFERROR(__xludf.DUMMYFUNCTION("GOOGLEFINANCE(A6, ""change"")"),-20.73)</f>
        <v>-20.73</v>
      </c>
      <c r="G6" s="2">
        <f ca="1">IFERROR(__xludf.DUMMYFUNCTION("GOOGLEFINANCE(A6, ""changepct"")"),-4.13)</f>
        <v>-4.13</v>
      </c>
      <c r="H6" s="2">
        <f ca="1">IFERROR(__xludf.DUMMYFUNCTION("GOOGLEFINANCE(A6, ""volume"")"),18646)</f>
        <v>18646</v>
      </c>
      <c r="I6" s="2">
        <f ca="1">IFERROR(__xludf.DUMMYFUNCTION("GOOGLEFINANCE(A6, ""volumeavg"")"),13678658)</f>
        <v>13678658</v>
      </c>
      <c r="J6" s="2">
        <f ca="1">IFERROR(__xludf.DUMMYFUNCTION("GOOGLEFINANCE(A6, ""shares"")"),2200049000)</f>
        <v>2200049000</v>
      </c>
      <c r="K6" s="2">
        <f ca="1">IFERROR(__xludf.DUMMYFUNCTION("GOOGLEFINANCE(A6, ""high"")"),502.8)</f>
        <v>502.8</v>
      </c>
      <c r="L6" s="2">
        <f ca="1">IFERROR(__xludf.DUMMYFUNCTION("GOOGLEFINANCE(A6, ""low"")"),475.73)</f>
        <v>475.73</v>
      </c>
      <c r="M6" s="1">
        <f ca="1">IFERROR(__xludf.DUMMYFUNCTION("GOOGLEFINANCE(A6,""marketcap"")"),1226442763092)</f>
        <v>1226442763092</v>
      </c>
      <c r="N6" s="2">
        <f ca="1">IFERROR(__xludf.DUMMYFUNCTION("GOOGLEFINANCE(A6, ""pe"")"),31.43)</f>
        <v>31.43</v>
      </c>
      <c r="O6" s="2">
        <f ca="1">IFERROR(__xludf.DUMMYFUNCTION("GOOGLEFINANCE(A6, ""eps"")"),15.31)</f>
        <v>15.31</v>
      </c>
    </row>
    <row r="7" spans="1:15" ht="15.75" customHeight="1" x14ac:dyDescent="0.25">
      <c r="A7" s="1" t="s">
        <v>20</v>
      </c>
      <c r="B7" s="2" t="str">
        <f ca="1">IFERROR(__xludf.DUMMYFUNCTION("GOOGLEFINANCE(A7, ""name"")"),"Microsoft Corp")</f>
        <v>Microsoft Corp</v>
      </c>
      <c r="C7" s="3">
        <f ca="1">IFERROR(__xludf.DUMMYFUNCTION("GOOGLEFINANCE(A7, ""tradetime"")"),45401.6666782407)</f>
        <v>45401.666678240697</v>
      </c>
      <c r="D7" s="2">
        <f ca="1">IFERROR(__xludf.DUMMYFUNCTION("GOOGLEFINANCE(A7,""price"")"),399.12)</f>
        <v>399.12</v>
      </c>
      <c r="E7" s="2">
        <f ca="1">IFERROR(__xludf.DUMMYFUNCTION("GOOGLEFINANCE(A7,""closeyest"")"),404.27)</f>
        <v>404.27</v>
      </c>
      <c r="F7" s="2">
        <f ca="1">IFERROR(__xludf.DUMMYFUNCTION("GOOGLEFINANCE(A7, ""change"")"),-5.15)</f>
        <v>-5.15</v>
      </c>
      <c r="G7" s="2">
        <f ca="1">IFERROR(__xludf.DUMMYFUNCTION("GOOGLEFINANCE(A7, ""changepct"")"),-1.27)</f>
        <v>-1.27</v>
      </c>
      <c r="H7" s="2">
        <f ca="1">IFERROR(__xludf.DUMMYFUNCTION("GOOGLEFINANCE(A7, ""volume"")"),16487)</f>
        <v>16487</v>
      </c>
      <c r="I7" s="2">
        <f ca="1">IFERROR(__xludf.DUMMYFUNCTION("GOOGLEFINANCE(A7, ""volumeavg"")"),19418810)</f>
        <v>19418810</v>
      </c>
      <c r="J7" s="2">
        <f ca="1">IFERROR(__xludf.DUMMYFUNCTION("GOOGLEFINANCE(A7, ""shares"")"),7430436000)</f>
        <v>7430436000</v>
      </c>
      <c r="K7" s="2">
        <f ca="1">IFERROR(__xludf.DUMMYFUNCTION("GOOGLEFINANCE(A7, ""high"")"),405.48)</f>
        <v>405.48</v>
      </c>
      <c r="L7" s="2">
        <f ca="1">IFERROR(__xludf.DUMMYFUNCTION("GOOGLEFINANCE(A7, ""low"")"),397.77)</f>
        <v>397.77</v>
      </c>
      <c r="M7" s="1">
        <f ca="1">IFERROR(__xludf.DUMMYFUNCTION("GOOGLEFINANCE(A7,""marketcap"")"),2965635979158)</f>
        <v>2965635979158</v>
      </c>
      <c r="N7" s="2">
        <f ca="1">IFERROR(__xludf.DUMMYFUNCTION("GOOGLEFINANCE(A7, ""pe"")"),36.1)</f>
        <v>36.1</v>
      </c>
      <c r="O7" s="2">
        <f ca="1">IFERROR(__xludf.DUMMYFUNCTION("GOOGLEFINANCE(A7, ""eps"")"),11.06)</f>
        <v>11.06</v>
      </c>
    </row>
    <row r="8" spans="1:15" ht="15.75" customHeight="1" x14ac:dyDescent="0.25">
      <c r="A8" s="1" t="s">
        <v>21</v>
      </c>
      <c r="B8" s="2" t="str">
        <f ca="1">IFERROR(__xludf.DUMMYFUNCTION("GOOGLEFINANCE(A8, ""name"")"),"Alphabet Inc Class C")</f>
        <v>Alphabet Inc Class C</v>
      </c>
      <c r="C8" s="3">
        <f ca="1">IFERROR(__xludf.DUMMYFUNCTION("GOOGLEFINANCE(A8, ""tradetime"")"),45401.6666898148)</f>
        <v>45401.666689814803</v>
      </c>
      <c r="D8" s="2">
        <f ca="1">IFERROR(__xludf.DUMMYFUNCTION("GOOGLEFINANCE(A8,""price"")"),155.72)</f>
        <v>155.72</v>
      </c>
      <c r="E8" s="2">
        <f ca="1">IFERROR(__xludf.DUMMYFUNCTION("GOOGLEFINANCE(A8,""closeyest"")"),157.46)</f>
        <v>157.46</v>
      </c>
      <c r="F8" s="2">
        <f ca="1">IFERROR(__xludf.DUMMYFUNCTION("GOOGLEFINANCE(A8, ""change"")"),-1.74)</f>
        <v>-1.74</v>
      </c>
      <c r="G8" s="2">
        <f ca="1">IFERROR(__xludf.DUMMYFUNCTION("GOOGLEFINANCE(A8, ""changepct"")"),-1.11)</f>
        <v>-1.1100000000000001</v>
      </c>
      <c r="H8" s="2">
        <f ca="1">IFERROR(__xludf.DUMMYFUNCTION("GOOGLEFINANCE(A8, ""volume"")"),11854)</f>
        <v>11854</v>
      </c>
      <c r="I8" s="2">
        <f ca="1">IFERROR(__xludf.DUMMYFUNCTION("GOOGLEFINANCE(A8, ""volumeavg"")"),21311144)</f>
        <v>21311144</v>
      </c>
      <c r="J8" s="2">
        <f ca="1">IFERROR(__xludf.DUMMYFUNCTION("GOOGLEFINANCE(A8, ""shares"")"),5671000000)</f>
        <v>5671000000</v>
      </c>
      <c r="K8" s="2">
        <f ca="1">IFERROR(__xludf.DUMMYFUNCTION("GOOGLEFINANCE(A8, ""high"")"),157.99)</f>
        <v>157.99</v>
      </c>
      <c r="L8" s="2">
        <f ca="1">IFERROR(__xludf.DUMMYFUNCTION("GOOGLEFINANCE(A8, ""low"")"),153.91)</f>
        <v>153.91</v>
      </c>
      <c r="M8" s="1">
        <f ca="1">IFERROR(__xludf.DUMMYFUNCTION("GOOGLEFINANCE(A8,""marketcap"")"),1923921467276)</f>
        <v>1923921467276</v>
      </c>
      <c r="N8" s="2">
        <f ca="1">IFERROR(__xludf.DUMMYFUNCTION("GOOGLEFINANCE(A8, ""pe"")"),28.7)</f>
        <v>28.7</v>
      </c>
      <c r="O8" s="2">
        <f ca="1">IFERROR(__xludf.DUMMYFUNCTION("GOOGLEFINANCE(A8, ""eps"")"),5.43)</f>
        <v>5.43</v>
      </c>
    </row>
    <row r="39" spans="12:12" ht="15.75" customHeight="1" x14ac:dyDescent="0.25">
      <c r="L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27"/>
  <sheetViews>
    <sheetView topLeftCell="A295" workbookViewId="0">
      <selection activeCell="C26" sqref="C26"/>
    </sheetView>
  </sheetViews>
  <sheetFormatPr defaultColWidth="12.6328125" defaultRowHeight="15.75" customHeight="1" x14ac:dyDescent="0.25"/>
  <cols>
    <col min="1" max="1" width="22.08984375" customWidth="1"/>
  </cols>
  <sheetData>
    <row r="1" spans="1:6" ht="15.75" customHeight="1" x14ac:dyDescent="0.25">
      <c r="A1" s="2" t="str">
        <f ca="1">IFERROR(__xludf.DUMMYFUNCTION("GOOGLEFINANCE(""AAPL"",""all"",DATE(2023,1,1), today())"),"Date")</f>
        <v>Date</v>
      </c>
      <c r="B1" s="2" t="str">
        <f ca="1">IFERROR(__xludf.DUMMYFUNCTION("""COMPUTED_VALUE"""),"Open")</f>
        <v>Open</v>
      </c>
      <c r="C1" s="2" t="str">
        <f ca="1">IFERROR(__xludf.DUMMYFUNCTION("""COMPUTED_VALUE"""),"High")</f>
        <v>High</v>
      </c>
      <c r="D1" s="2" t="str">
        <f ca="1">IFERROR(__xludf.DUMMYFUNCTION("""COMPUTED_VALUE"""),"Low")</f>
        <v>Low</v>
      </c>
      <c r="E1" s="2" t="str">
        <f ca="1">IFERROR(__xludf.DUMMYFUNCTION("""COMPUTED_VALUE"""),"Close")</f>
        <v>Close</v>
      </c>
      <c r="F1" s="2" t="str">
        <f ca="1">IFERROR(__xludf.DUMMYFUNCTION("""COMPUTED_VALUE"""),"Volume")</f>
        <v>Volume</v>
      </c>
    </row>
    <row r="2" spans="1:6" ht="15.75" customHeight="1" x14ac:dyDescent="0.25">
      <c r="A2" s="3">
        <f ca="1">IFERROR(__xludf.DUMMYFUNCTION("""COMPUTED_VALUE"""),44929.6666666666)</f>
        <v>44929.666666666599</v>
      </c>
      <c r="B2" s="2">
        <f ca="1">IFERROR(__xludf.DUMMYFUNCTION("""COMPUTED_VALUE"""),130.28)</f>
        <v>130.28</v>
      </c>
      <c r="C2" s="2">
        <f ca="1">IFERROR(__xludf.DUMMYFUNCTION("""COMPUTED_VALUE"""),130.9)</f>
        <v>130.9</v>
      </c>
      <c r="D2" s="2">
        <f ca="1">IFERROR(__xludf.DUMMYFUNCTION("""COMPUTED_VALUE"""),124.17)</f>
        <v>124.17</v>
      </c>
      <c r="E2" s="2">
        <f ca="1">IFERROR(__xludf.DUMMYFUNCTION("""COMPUTED_VALUE"""),125.07)</f>
        <v>125.07</v>
      </c>
      <c r="F2" s="2">
        <f ca="1">IFERROR(__xludf.DUMMYFUNCTION("""COMPUTED_VALUE"""),112117471)</f>
        <v>112117471</v>
      </c>
    </row>
    <row r="3" spans="1:6" ht="15.75" customHeight="1" x14ac:dyDescent="0.25">
      <c r="A3" s="3">
        <f ca="1">IFERROR(__xludf.DUMMYFUNCTION("""COMPUTED_VALUE"""),44930.6666666666)</f>
        <v>44930.666666666599</v>
      </c>
      <c r="B3" s="2">
        <f ca="1">IFERROR(__xludf.DUMMYFUNCTION("""COMPUTED_VALUE"""),126.89)</f>
        <v>126.89</v>
      </c>
      <c r="C3" s="2">
        <f ca="1">IFERROR(__xludf.DUMMYFUNCTION("""COMPUTED_VALUE"""),128.66)</f>
        <v>128.66</v>
      </c>
      <c r="D3" s="2">
        <f ca="1">IFERROR(__xludf.DUMMYFUNCTION("""COMPUTED_VALUE"""),125.08)</f>
        <v>125.08</v>
      </c>
      <c r="E3" s="2">
        <f ca="1">IFERROR(__xludf.DUMMYFUNCTION("""COMPUTED_VALUE"""),126.36)</f>
        <v>126.36</v>
      </c>
      <c r="F3" s="2">
        <f ca="1">IFERROR(__xludf.DUMMYFUNCTION("""COMPUTED_VALUE"""),89113633)</f>
        <v>89113633</v>
      </c>
    </row>
    <row r="4" spans="1:6" ht="15.75" customHeight="1" x14ac:dyDescent="0.25">
      <c r="A4" s="3">
        <f ca="1">IFERROR(__xludf.DUMMYFUNCTION("""COMPUTED_VALUE"""),44931.6666666666)</f>
        <v>44931.666666666599</v>
      </c>
      <c r="B4" s="2">
        <f ca="1">IFERROR(__xludf.DUMMYFUNCTION("""COMPUTED_VALUE"""),127.13)</f>
        <v>127.13</v>
      </c>
      <c r="C4" s="2">
        <f ca="1">IFERROR(__xludf.DUMMYFUNCTION("""COMPUTED_VALUE"""),127.77)</f>
        <v>127.77</v>
      </c>
      <c r="D4" s="2">
        <f ca="1">IFERROR(__xludf.DUMMYFUNCTION("""COMPUTED_VALUE"""),124.76)</f>
        <v>124.76</v>
      </c>
      <c r="E4" s="2">
        <f ca="1">IFERROR(__xludf.DUMMYFUNCTION("""COMPUTED_VALUE"""),125.02)</f>
        <v>125.02</v>
      </c>
      <c r="F4" s="2">
        <f ca="1">IFERROR(__xludf.DUMMYFUNCTION("""COMPUTED_VALUE"""),80962708)</f>
        <v>80962708</v>
      </c>
    </row>
    <row r="5" spans="1:6" ht="15.75" customHeight="1" x14ac:dyDescent="0.25">
      <c r="A5" s="3">
        <f ca="1">IFERROR(__xludf.DUMMYFUNCTION("""COMPUTED_VALUE"""),44932.6666666666)</f>
        <v>44932.666666666599</v>
      </c>
      <c r="B5" s="2">
        <f ca="1">IFERROR(__xludf.DUMMYFUNCTION("""COMPUTED_VALUE"""),126.01)</f>
        <v>126.01</v>
      </c>
      <c r="C5" s="2">
        <f ca="1">IFERROR(__xludf.DUMMYFUNCTION("""COMPUTED_VALUE"""),130.29)</f>
        <v>130.29</v>
      </c>
      <c r="D5" s="2">
        <f ca="1">IFERROR(__xludf.DUMMYFUNCTION("""COMPUTED_VALUE"""),124.89)</f>
        <v>124.89</v>
      </c>
      <c r="E5" s="2">
        <f ca="1">IFERROR(__xludf.DUMMYFUNCTION("""COMPUTED_VALUE"""),129.62)</f>
        <v>129.62</v>
      </c>
      <c r="F5" s="2">
        <f ca="1">IFERROR(__xludf.DUMMYFUNCTION("""COMPUTED_VALUE"""),87754715)</f>
        <v>87754715</v>
      </c>
    </row>
    <row r="6" spans="1:6" ht="15.75" customHeight="1" x14ac:dyDescent="0.25">
      <c r="A6" s="3">
        <f ca="1">IFERROR(__xludf.DUMMYFUNCTION("""COMPUTED_VALUE"""),44935.6666666666)</f>
        <v>44935.666666666599</v>
      </c>
      <c r="B6" s="2">
        <f ca="1">IFERROR(__xludf.DUMMYFUNCTION("""COMPUTED_VALUE"""),130.47)</f>
        <v>130.47</v>
      </c>
      <c r="C6" s="2">
        <f ca="1">IFERROR(__xludf.DUMMYFUNCTION("""COMPUTED_VALUE"""),133.41)</f>
        <v>133.41</v>
      </c>
      <c r="D6" s="2">
        <f ca="1">IFERROR(__xludf.DUMMYFUNCTION("""COMPUTED_VALUE"""),129.89)</f>
        <v>129.88999999999999</v>
      </c>
      <c r="E6" s="2">
        <f ca="1">IFERROR(__xludf.DUMMYFUNCTION("""COMPUTED_VALUE"""),130.15)</f>
        <v>130.15</v>
      </c>
      <c r="F6" s="2">
        <f ca="1">IFERROR(__xludf.DUMMYFUNCTION("""COMPUTED_VALUE"""),70790813)</f>
        <v>70790813</v>
      </c>
    </row>
    <row r="7" spans="1:6" ht="15.75" customHeight="1" x14ac:dyDescent="0.25">
      <c r="A7" s="3">
        <f ca="1">IFERROR(__xludf.DUMMYFUNCTION("""COMPUTED_VALUE"""),44936.6666666666)</f>
        <v>44936.666666666599</v>
      </c>
      <c r="B7" s="2">
        <f ca="1">IFERROR(__xludf.DUMMYFUNCTION("""COMPUTED_VALUE"""),130.26)</f>
        <v>130.26</v>
      </c>
      <c r="C7" s="2">
        <f ca="1">IFERROR(__xludf.DUMMYFUNCTION("""COMPUTED_VALUE"""),131.26)</f>
        <v>131.26</v>
      </c>
      <c r="D7" s="2">
        <f ca="1">IFERROR(__xludf.DUMMYFUNCTION("""COMPUTED_VALUE"""),128.12)</f>
        <v>128.12</v>
      </c>
      <c r="E7" s="2">
        <f ca="1">IFERROR(__xludf.DUMMYFUNCTION("""COMPUTED_VALUE"""),130.73)</f>
        <v>130.72999999999999</v>
      </c>
      <c r="F7" s="2">
        <f ca="1">IFERROR(__xludf.DUMMYFUNCTION("""COMPUTED_VALUE"""),63896155)</f>
        <v>63896155</v>
      </c>
    </row>
    <row r="8" spans="1:6" ht="15.75" customHeight="1" x14ac:dyDescent="0.25">
      <c r="A8" s="3">
        <f ca="1">IFERROR(__xludf.DUMMYFUNCTION("""COMPUTED_VALUE"""),44937.6666666666)</f>
        <v>44937.666666666599</v>
      </c>
      <c r="B8" s="2">
        <f ca="1">IFERROR(__xludf.DUMMYFUNCTION("""COMPUTED_VALUE"""),131.25)</f>
        <v>131.25</v>
      </c>
      <c r="C8" s="2">
        <f ca="1">IFERROR(__xludf.DUMMYFUNCTION("""COMPUTED_VALUE"""),133.51)</f>
        <v>133.51</v>
      </c>
      <c r="D8" s="2">
        <f ca="1">IFERROR(__xludf.DUMMYFUNCTION("""COMPUTED_VALUE"""),130.46)</f>
        <v>130.46</v>
      </c>
      <c r="E8" s="2">
        <f ca="1">IFERROR(__xludf.DUMMYFUNCTION("""COMPUTED_VALUE"""),133.49)</f>
        <v>133.49</v>
      </c>
      <c r="F8" s="2">
        <f ca="1">IFERROR(__xludf.DUMMYFUNCTION("""COMPUTED_VALUE"""),69458949)</f>
        <v>69458949</v>
      </c>
    </row>
    <row r="9" spans="1:6" ht="15.75" customHeight="1" x14ac:dyDescent="0.25">
      <c r="A9" s="3">
        <f ca="1">IFERROR(__xludf.DUMMYFUNCTION("""COMPUTED_VALUE"""),44938.6666666666)</f>
        <v>44938.666666666599</v>
      </c>
      <c r="B9" s="2">
        <f ca="1">IFERROR(__xludf.DUMMYFUNCTION("""COMPUTED_VALUE"""),133.88)</f>
        <v>133.88</v>
      </c>
      <c r="C9" s="2">
        <f ca="1">IFERROR(__xludf.DUMMYFUNCTION("""COMPUTED_VALUE"""),134.26)</f>
        <v>134.26</v>
      </c>
      <c r="D9" s="2">
        <f ca="1">IFERROR(__xludf.DUMMYFUNCTION("""COMPUTED_VALUE"""),131.44)</f>
        <v>131.44</v>
      </c>
      <c r="E9" s="2">
        <f ca="1">IFERROR(__xludf.DUMMYFUNCTION("""COMPUTED_VALUE"""),133.41)</f>
        <v>133.41</v>
      </c>
      <c r="F9" s="2">
        <f ca="1">IFERROR(__xludf.DUMMYFUNCTION("""COMPUTED_VALUE"""),71379648)</f>
        <v>71379648</v>
      </c>
    </row>
    <row r="10" spans="1:6" ht="15.75" customHeight="1" x14ac:dyDescent="0.25">
      <c r="A10" s="3">
        <f ca="1">IFERROR(__xludf.DUMMYFUNCTION("""COMPUTED_VALUE"""),44939.6666666666)</f>
        <v>44939.666666666599</v>
      </c>
      <c r="B10" s="2">
        <f ca="1">IFERROR(__xludf.DUMMYFUNCTION("""COMPUTED_VALUE"""),132.03)</f>
        <v>132.03</v>
      </c>
      <c r="C10" s="2">
        <f ca="1">IFERROR(__xludf.DUMMYFUNCTION("""COMPUTED_VALUE"""),134.92)</f>
        <v>134.91999999999999</v>
      </c>
      <c r="D10" s="2">
        <f ca="1">IFERROR(__xludf.DUMMYFUNCTION("""COMPUTED_VALUE"""),131.66)</f>
        <v>131.66</v>
      </c>
      <c r="E10" s="2">
        <f ca="1">IFERROR(__xludf.DUMMYFUNCTION("""COMPUTED_VALUE"""),134.76)</f>
        <v>134.76</v>
      </c>
      <c r="F10" s="2">
        <f ca="1">IFERROR(__xludf.DUMMYFUNCTION("""COMPUTED_VALUE"""),57809719)</f>
        <v>57809719</v>
      </c>
    </row>
    <row r="11" spans="1:6" ht="15.75" customHeight="1" x14ac:dyDescent="0.25">
      <c r="A11" s="3">
        <f ca="1">IFERROR(__xludf.DUMMYFUNCTION("""COMPUTED_VALUE"""),44943.6666666666)</f>
        <v>44943.666666666599</v>
      </c>
      <c r="B11" s="2">
        <f ca="1">IFERROR(__xludf.DUMMYFUNCTION("""COMPUTED_VALUE"""),134.83)</f>
        <v>134.83000000000001</v>
      </c>
      <c r="C11" s="2">
        <f ca="1">IFERROR(__xludf.DUMMYFUNCTION("""COMPUTED_VALUE"""),137.29)</f>
        <v>137.29</v>
      </c>
      <c r="D11" s="2">
        <f ca="1">IFERROR(__xludf.DUMMYFUNCTION("""COMPUTED_VALUE"""),134.13)</f>
        <v>134.13</v>
      </c>
      <c r="E11" s="2">
        <f ca="1">IFERROR(__xludf.DUMMYFUNCTION("""COMPUTED_VALUE"""),135.94)</f>
        <v>135.94</v>
      </c>
      <c r="F11" s="2">
        <f ca="1">IFERROR(__xludf.DUMMYFUNCTION("""COMPUTED_VALUE"""),63646627)</f>
        <v>63646627</v>
      </c>
    </row>
    <row r="12" spans="1:6" ht="15.75" customHeight="1" x14ac:dyDescent="0.25">
      <c r="A12" s="3">
        <f ca="1">IFERROR(__xludf.DUMMYFUNCTION("""COMPUTED_VALUE"""),44944.6666666666)</f>
        <v>44944.666666666599</v>
      </c>
      <c r="B12" s="2">
        <f ca="1">IFERROR(__xludf.DUMMYFUNCTION("""COMPUTED_VALUE"""),136.82)</f>
        <v>136.82</v>
      </c>
      <c r="C12" s="2">
        <f ca="1">IFERROR(__xludf.DUMMYFUNCTION("""COMPUTED_VALUE"""),138.61)</f>
        <v>138.61000000000001</v>
      </c>
      <c r="D12" s="2">
        <f ca="1">IFERROR(__xludf.DUMMYFUNCTION("""COMPUTED_VALUE"""),135.03)</f>
        <v>135.03</v>
      </c>
      <c r="E12" s="2">
        <f ca="1">IFERROR(__xludf.DUMMYFUNCTION("""COMPUTED_VALUE"""),135.21)</f>
        <v>135.21</v>
      </c>
      <c r="F12" s="2">
        <f ca="1">IFERROR(__xludf.DUMMYFUNCTION("""COMPUTED_VALUE"""),69672800)</f>
        <v>69672800</v>
      </c>
    </row>
    <row r="13" spans="1:6" ht="15.75" customHeight="1" x14ac:dyDescent="0.25">
      <c r="A13" s="3">
        <f ca="1">IFERROR(__xludf.DUMMYFUNCTION("""COMPUTED_VALUE"""),44945.6666666666)</f>
        <v>44945.666666666599</v>
      </c>
      <c r="B13" s="2">
        <f ca="1">IFERROR(__xludf.DUMMYFUNCTION("""COMPUTED_VALUE"""),134.08)</f>
        <v>134.08000000000001</v>
      </c>
      <c r="C13" s="2">
        <f ca="1">IFERROR(__xludf.DUMMYFUNCTION("""COMPUTED_VALUE"""),136.25)</f>
        <v>136.25</v>
      </c>
      <c r="D13" s="2">
        <f ca="1">IFERROR(__xludf.DUMMYFUNCTION("""COMPUTED_VALUE"""),133.77)</f>
        <v>133.77000000000001</v>
      </c>
      <c r="E13" s="2">
        <f ca="1">IFERROR(__xludf.DUMMYFUNCTION("""COMPUTED_VALUE"""),135.27)</f>
        <v>135.27000000000001</v>
      </c>
      <c r="F13" s="2">
        <f ca="1">IFERROR(__xludf.DUMMYFUNCTION("""COMPUTED_VALUE"""),58280413)</f>
        <v>58280413</v>
      </c>
    </row>
    <row r="14" spans="1:6" ht="15.75" customHeight="1" x14ac:dyDescent="0.25">
      <c r="A14" s="3">
        <f ca="1">IFERROR(__xludf.DUMMYFUNCTION("""COMPUTED_VALUE"""),44946.6666666666)</f>
        <v>44946.666666666599</v>
      </c>
      <c r="B14" s="2">
        <f ca="1">IFERROR(__xludf.DUMMYFUNCTION("""COMPUTED_VALUE"""),135.28)</f>
        <v>135.28</v>
      </c>
      <c r="C14" s="2">
        <f ca="1">IFERROR(__xludf.DUMMYFUNCTION("""COMPUTED_VALUE"""),138.02)</f>
        <v>138.02000000000001</v>
      </c>
      <c r="D14" s="2">
        <f ca="1">IFERROR(__xludf.DUMMYFUNCTION("""COMPUTED_VALUE"""),134.22)</f>
        <v>134.22</v>
      </c>
      <c r="E14" s="2">
        <f ca="1">IFERROR(__xludf.DUMMYFUNCTION("""COMPUTED_VALUE"""),137.87)</f>
        <v>137.87</v>
      </c>
      <c r="F14" s="2">
        <f ca="1">IFERROR(__xludf.DUMMYFUNCTION("""COMPUTED_VALUE"""),80223626)</f>
        <v>80223626</v>
      </c>
    </row>
    <row r="15" spans="1:6" ht="15.75" customHeight="1" x14ac:dyDescent="0.25">
      <c r="A15" s="3">
        <f ca="1">IFERROR(__xludf.DUMMYFUNCTION("""COMPUTED_VALUE"""),44949.6666666666)</f>
        <v>44949.666666666599</v>
      </c>
      <c r="B15" s="2">
        <f ca="1">IFERROR(__xludf.DUMMYFUNCTION("""COMPUTED_VALUE"""),138.12)</f>
        <v>138.12</v>
      </c>
      <c r="C15" s="2">
        <f ca="1">IFERROR(__xludf.DUMMYFUNCTION("""COMPUTED_VALUE"""),143.32)</f>
        <v>143.32</v>
      </c>
      <c r="D15" s="2">
        <f ca="1">IFERROR(__xludf.DUMMYFUNCTION("""COMPUTED_VALUE"""),137.9)</f>
        <v>137.9</v>
      </c>
      <c r="E15" s="2">
        <f ca="1">IFERROR(__xludf.DUMMYFUNCTION("""COMPUTED_VALUE"""),141.11)</f>
        <v>141.11000000000001</v>
      </c>
      <c r="F15" s="2">
        <f ca="1">IFERROR(__xludf.DUMMYFUNCTION("""COMPUTED_VALUE"""),81760313)</f>
        <v>81760313</v>
      </c>
    </row>
    <row r="16" spans="1:6" ht="15.75" customHeight="1" x14ac:dyDescent="0.25">
      <c r="A16" s="3">
        <f ca="1">IFERROR(__xludf.DUMMYFUNCTION("""COMPUTED_VALUE"""),44950.6666666666)</f>
        <v>44950.666666666599</v>
      </c>
      <c r="B16" s="2">
        <f ca="1">IFERROR(__xludf.DUMMYFUNCTION("""COMPUTED_VALUE"""),140.31)</f>
        <v>140.31</v>
      </c>
      <c r="C16" s="2">
        <f ca="1">IFERROR(__xludf.DUMMYFUNCTION("""COMPUTED_VALUE"""),143.16)</f>
        <v>143.16</v>
      </c>
      <c r="D16" s="2">
        <f ca="1">IFERROR(__xludf.DUMMYFUNCTION("""COMPUTED_VALUE"""),140.3)</f>
        <v>140.30000000000001</v>
      </c>
      <c r="E16" s="2">
        <f ca="1">IFERROR(__xludf.DUMMYFUNCTION("""COMPUTED_VALUE"""),142.53)</f>
        <v>142.53</v>
      </c>
      <c r="F16" s="2">
        <f ca="1">IFERROR(__xludf.DUMMYFUNCTION("""COMPUTED_VALUE"""),66435142)</f>
        <v>66435142</v>
      </c>
    </row>
    <row r="17" spans="1:6" ht="15.75" customHeight="1" x14ac:dyDescent="0.25">
      <c r="A17" s="3">
        <f ca="1">IFERROR(__xludf.DUMMYFUNCTION("""COMPUTED_VALUE"""),44951.6666666666)</f>
        <v>44951.666666666599</v>
      </c>
      <c r="B17" s="2">
        <f ca="1">IFERROR(__xludf.DUMMYFUNCTION("""COMPUTED_VALUE"""),140.89)</f>
        <v>140.88999999999999</v>
      </c>
      <c r="C17" s="2">
        <f ca="1">IFERROR(__xludf.DUMMYFUNCTION("""COMPUTED_VALUE"""),142.43)</f>
        <v>142.43</v>
      </c>
      <c r="D17" s="2">
        <f ca="1">IFERROR(__xludf.DUMMYFUNCTION("""COMPUTED_VALUE"""),138.81)</f>
        <v>138.81</v>
      </c>
      <c r="E17" s="2">
        <f ca="1">IFERROR(__xludf.DUMMYFUNCTION("""COMPUTED_VALUE"""),141.86)</f>
        <v>141.86000000000001</v>
      </c>
      <c r="F17" s="2">
        <f ca="1">IFERROR(__xludf.DUMMYFUNCTION("""COMPUTED_VALUE"""),65799349)</f>
        <v>65799349</v>
      </c>
    </row>
    <row r="18" spans="1:6" ht="15.75" customHeight="1" x14ac:dyDescent="0.25">
      <c r="A18" s="3">
        <f ca="1">IFERROR(__xludf.DUMMYFUNCTION("""COMPUTED_VALUE"""),44952.6666666666)</f>
        <v>44952.666666666599</v>
      </c>
      <c r="B18" s="2">
        <f ca="1">IFERROR(__xludf.DUMMYFUNCTION("""COMPUTED_VALUE"""),143.17)</f>
        <v>143.16999999999999</v>
      </c>
      <c r="C18" s="2">
        <f ca="1">IFERROR(__xludf.DUMMYFUNCTION("""COMPUTED_VALUE"""),144.25)</f>
        <v>144.25</v>
      </c>
      <c r="D18" s="2">
        <f ca="1">IFERROR(__xludf.DUMMYFUNCTION("""COMPUTED_VALUE"""),141.9)</f>
        <v>141.9</v>
      </c>
      <c r="E18" s="2">
        <f ca="1">IFERROR(__xludf.DUMMYFUNCTION("""COMPUTED_VALUE"""),143.96)</f>
        <v>143.96</v>
      </c>
      <c r="F18" s="2">
        <f ca="1">IFERROR(__xludf.DUMMYFUNCTION("""COMPUTED_VALUE"""),54105068)</f>
        <v>54105068</v>
      </c>
    </row>
    <row r="19" spans="1:6" ht="15.75" customHeight="1" x14ac:dyDescent="0.25">
      <c r="A19" s="3">
        <f ca="1">IFERROR(__xludf.DUMMYFUNCTION("""COMPUTED_VALUE"""),44953.6666666666)</f>
        <v>44953.666666666599</v>
      </c>
      <c r="B19" s="2">
        <f ca="1">IFERROR(__xludf.DUMMYFUNCTION("""COMPUTED_VALUE"""),143.16)</f>
        <v>143.16</v>
      </c>
      <c r="C19" s="2">
        <f ca="1">IFERROR(__xludf.DUMMYFUNCTION("""COMPUTED_VALUE"""),147.23)</f>
        <v>147.22999999999999</v>
      </c>
      <c r="D19" s="2">
        <f ca="1">IFERROR(__xludf.DUMMYFUNCTION("""COMPUTED_VALUE"""),143.08)</f>
        <v>143.08000000000001</v>
      </c>
      <c r="E19" s="2">
        <f ca="1">IFERROR(__xludf.DUMMYFUNCTION("""COMPUTED_VALUE"""),145.93)</f>
        <v>145.93</v>
      </c>
      <c r="F19" s="2">
        <f ca="1">IFERROR(__xludf.DUMMYFUNCTION("""COMPUTED_VALUE"""),70555843)</f>
        <v>70555843</v>
      </c>
    </row>
    <row r="20" spans="1:6" ht="15.75" customHeight="1" x14ac:dyDescent="0.25">
      <c r="A20" s="3">
        <f ca="1">IFERROR(__xludf.DUMMYFUNCTION("""COMPUTED_VALUE"""),44956.6666666666)</f>
        <v>44956.666666666599</v>
      </c>
      <c r="B20" s="2">
        <f ca="1">IFERROR(__xludf.DUMMYFUNCTION("""COMPUTED_VALUE"""),144.96)</f>
        <v>144.96</v>
      </c>
      <c r="C20" s="2">
        <f ca="1">IFERROR(__xludf.DUMMYFUNCTION("""COMPUTED_VALUE"""),145.55)</f>
        <v>145.55000000000001</v>
      </c>
      <c r="D20" s="2">
        <f ca="1">IFERROR(__xludf.DUMMYFUNCTION("""COMPUTED_VALUE"""),142.85)</f>
        <v>142.85</v>
      </c>
      <c r="E20" s="2">
        <f ca="1">IFERROR(__xludf.DUMMYFUNCTION("""COMPUTED_VALUE"""),143)</f>
        <v>143</v>
      </c>
      <c r="F20" s="2">
        <f ca="1">IFERROR(__xludf.DUMMYFUNCTION("""COMPUTED_VALUE"""),64015274)</f>
        <v>64015274</v>
      </c>
    </row>
    <row r="21" spans="1:6" ht="15.75" customHeight="1" x14ac:dyDescent="0.25">
      <c r="A21" s="3">
        <f ca="1">IFERROR(__xludf.DUMMYFUNCTION("""COMPUTED_VALUE"""),44957.6666666666)</f>
        <v>44957.666666666599</v>
      </c>
      <c r="B21" s="2">
        <f ca="1">IFERROR(__xludf.DUMMYFUNCTION("""COMPUTED_VALUE"""),142.7)</f>
        <v>142.69999999999999</v>
      </c>
      <c r="C21" s="2">
        <f ca="1">IFERROR(__xludf.DUMMYFUNCTION("""COMPUTED_VALUE"""),144.34)</f>
        <v>144.34</v>
      </c>
      <c r="D21" s="2">
        <f ca="1">IFERROR(__xludf.DUMMYFUNCTION("""COMPUTED_VALUE"""),142.28)</f>
        <v>142.28</v>
      </c>
      <c r="E21" s="2">
        <f ca="1">IFERROR(__xludf.DUMMYFUNCTION("""COMPUTED_VALUE"""),144.29)</f>
        <v>144.29</v>
      </c>
      <c r="F21" s="2">
        <f ca="1">IFERROR(__xludf.DUMMYFUNCTION("""COMPUTED_VALUE"""),65874459)</f>
        <v>65874459</v>
      </c>
    </row>
    <row r="22" spans="1:6" ht="15.75" customHeight="1" x14ac:dyDescent="0.25">
      <c r="A22" s="3">
        <f ca="1">IFERROR(__xludf.DUMMYFUNCTION("""COMPUTED_VALUE"""),44958.6666666666)</f>
        <v>44958.666666666599</v>
      </c>
      <c r="B22" s="2">
        <f ca="1">IFERROR(__xludf.DUMMYFUNCTION("""COMPUTED_VALUE"""),143.97)</f>
        <v>143.97</v>
      </c>
      <c r="C22" s="2">
        <f ca="1">IFERROR(__xludf.DUMMYFUNCTION("""COMPUTED_VALUE"""),146.61)</f>
        <v>146.61000000000001</v>
      </c>
      <c r="D22" s="2">
        <f ca="1">IFERROR(__xludf.DUMMYFUNCTION("""COMPUTED_VALUE"""),141.32)</f>
        <v>141.32</v>
      </c>
      <c r="E22" s="2">
        <f ca="1">IFERROR(__xludf.DUMMYFUNCTION("""COMPUTED_VALUE"""),145.43)</f>
        <v>145.43</v>
      </c>
      <c r="F22" s="2">
        <f ca="1">IFERROR(__xludf.DUMMYFUNCTION("""COMPUTED_VALUE"""),77663633)</f>
        <v>77663633</v>
      </c>
    </row>
    <row r="23" spans="1:6" ht="15.75" customHeight="1" x14ac:dyDescent="0.25">
      <c r="A23" s="3">
        <f ca="1">IFERROR(__xludf.DUMMYFUNCTION("""COMPUTED_VALUE"""),44959.6666666666)</f>
        <v>44959.666666666599</v>
      </c>
      <c r="B23" s="2">
        <f ca="1">IFERROR(__xludf.DUMMYFUNCTION("""COMPUTED_VALUE"""),148.9)</f>
        <v>148.9</v>
      </c>
      <c r="C23" s="2">
        <f ca="1">IFERROR(__xludf.DUMMYFUNCTION("""COMPUTED_VALUE"""),151.18)</f>
        <v>151.18</v>
      </c>
      <c r="D23" s="2">
        <f ca="1">IFERROR(__xludf.DUMMYFUNCTION("""COMPUTED_VALUE"""),148.17)</f>
        <v>148.16999999999999</v>
      </c>
      <c r="E23" s="2">
        <f ca="1">IFERROR(__xludf.DUMMYFUNCTION("""COMPUTED_VALUE"""),150.82)</f>
        <v>150.82</v>
      </c>
      <c r="F23" s="2">
        <f ca="1">IFERROR(__xludf.DUMMYFUNCTION("""COMPUTED_VALUE"""),118338980)</f>
        <v>118338980</v>
      </c>
    </row>
    <row r="24" spans="1:6" ht="15.75" customHeight="1" x14ac:dyDescent="0.25">
      <c r="A24" s="3">
        <f ca="1">IFERROR(__xludf.DUMMYFUNCTION("""COMPUTED_VALUE"""),44960.6666666666)</f>
        <v>44960.666666666599</v>
      </c>
      <c r="B24" s="2">
        <f ca="1">IFERROR(__xludf.DUMMYFUNCTION("""COMPUTED_VALUE"""),148.03)</f>
        <v>148.03</v>
      </c>
      <c r="C24" s="2">
        <f ca="1">IFERROR(__xludf.DUMMYFUNCTION("""COMPUTED_VALUE"""),157.38)</f>
        <v>157.38</v>
      </c>
      <c r="D24" s="2">
        <f ca="1">IFERROR(__xludf.DUMMYFUNCTION("""COMPUTED_VALUE"""),147.83)</f>
        <v>147.83000000000001</v>
      </c>
      <c r="E24" s="2">
        <f ca="1">IFERROR(__xludf.DUMMYFUNCTION("""COMPUTED_VALUE"""),154.5)</f>
        <v>154.5</v>
      </c>
      <c r="F24" s="2">
        <f ca="1">IFERROR(__xludf.DUMMYFUNCTION("""COMPUTED_VALUE"""),154357337)</f>
        <v>154357337</v>
      </c>
    </row>
    <row r="25" spans="1:6" ht="15.75" customHeight="1" x14ac:dyDescent="0.25">
      <c r="A25" s="3">
        <f ca="1">IFERROR(__xludf.DUMMYFUNCTION("""COMPUTED_VALUE"""),44963.6666666666)</f>
        <v>44963.666666666599</v>
      </c>
      <c r="B25" s="2">
        <f ca="1">IFERROR(__xludf.DUMMYFUNCTION("""COMPUTED_VALUE"""),152.57)</f>
        <v>152.57</v>
      </c>
      <c r="C25" s="2">
        <f ca="1">IFERROR(__xludf.DUMMYFUNCTION("""COMPUTED_VALUE"""),153.1)</f>
        <v>153.1</v>
      </c>
      <c r="D25" s="2">
        <f ca="1">IFERROR(__xludf.DUMMYFUNCTION("""COMPUTED_VALUE"""),150.78)</f>
        <v>150.78</v>
      </c>
      <c r="E25" s="2">
        <f ca="1">IFERROR(__xludf.DUMMYFUNCTION("""COMPUTED_VALUE"""),151.73)</f>
        <v>151.72999999999999</v>
      </c>
      <c r="F25" s="2">
        <f ca="1">IFERROR(__xludf.DUMMYFUNCTION("""COMPUTED_VALUE"""),69858306)</f>
        <v>69858306</v>
      </c>
    </row>
    <row r="26" spans="1:6" ht="15.75" customHeight="1" x14ac:dyDescent="0.25">
      <c r="A26" s="3">
        <f ca="1">IFERROR(__xludf.DUMMYFUNCTION("""COMPUTED_VALUE"""),44964.6666666666)</f>
        <v>44964.666666666599</v>
      </c>
      <c r="B26" s="2">
        <f ca="1">IFERROR(__xludf.DUMMYFUNCTION("""COMPUTED_VALUE"""),150.64)</f>
        <v>150.63999999999999</v>
      </c>
      <c r="C26" s="2">
        <f ca="1">IFERROR(__xludf.DUMMYFUNCTION("""COMPUTED_VALUE"""),155.23)</f>
        <v>155.22999999999999</v>
      </c>
      <c r="D26" s="2">
        <f ca="1">IFERROR(__xludf.DUMMYFUNCTION("""COMPUTED_VALUE"""),150.64)</f>
        <v>150.63999999999999</v>
      </c>
      <c r="E26" s="2">
        <f ca="1">IFERROR(__xludf.DUMMYFUNCTION("""COMPUTED_VALUE"""),154.65)</f>
        <v>154.65</v>
      </c>
      <c r="F26" s="2">
        <f ca="1">IFERROR(__xludf.DUMMYFUNCTION("""COMPUTED_VALUE"""),83322551)</f>
        <v>83322551</v>
      </c>
    </row>
    <row r="27" spans="1:6" ht="15.75" customHeight="1" x14ac:dyDescent="0.25">
      <c r="A27" s="3">
        <f ca="1">IFERROR(__xludf.DUMMYFUNCTION("""COMPUTED_VALUE"""),44965.6666666666)</f>
        <v>44965.666666666599</v>
      </c>
      <c r="B27" s="2">
        <f ca="1">IFERROR(__xludf.DUMMYFUNCTION("""COMPUTED_VALUE"""),153.88)</f>
        <v>153.88</v>
      </c>
      <c r="C27" s="2">
        <f ca="1">IFERROR(__xludf.DUMMYFUNCTION("""COMPUTED_VALUE"""),154.58)</f>
        <v>154.58000000000001</v>
      </c>
      <c r="D27" s="2">
        <f ca="1">IFERROR(__xludf.DUMMYFUNCTION("""COMPUTED_VALUE"""),151.17)</f>
        <v>151.16999999999999</v>
      </c>
      <c r="E27" s="2">
        <f ca="1">IFERROR(__xludf.DUMMYFUNCTION("""COMPUTED_VALUE"""),151.92)</f>
        <v>151.91999999999999</v>
      </c>
      <c r="F27" s="2">
        <f ca="1">IFERROR(__xludf.DUMMYFUNCTION("""COMPUTED_VALUE"""),64120079)</f>
        <v>64120079</v>
      </c>
    </row>
    <row r="28" spans="1:6" ht="15.75" customHeight="1" x14ac:dyDescent="0.25">
      <c r="A28" s="3">
        <f ca="1">IFERROR(__xludf.DUMMYFUNCTION("""COMPUTED_VALUE"""),44966.6666666666)</f>
        <v>44966.666666666599</v>
      </c>
      <c r="B28" s="2">
        <f ca="1">IFERROR(__xludf.DUMMYFUNCTION("""COMPUTED_VALUE"""),153.78)</f>
        <v>153.78</v>
      </c>
      <c r="C28" s="2">
        <f ca="1">IFERROR(__xludf.DUMMYFUNCTION("""COMPUTED_VALUE"""),154.33)</f>
        <v>154.33000000000001</v>
      </c>
      <c r="D28" s="2">
        <f ca="1">IFERROR(__xludf.DUMMYFUNCTION("""COMPUTED_VALUE"""),150.42)</f>
        <v>150.41999999999999</v>
      </c>
      <c r="E28" s="2">
        <f ca="1">IFERROR(__xludf.DUMMYFUNCTION("""COMPUTED_VALUE"""),150.87)</f>
        <v>150.87</v>
      </c>
      <c r="F28" s="2">
        <f ca="1">IFERROR(__xludf.DUMMYFUNCTION("""COMPUTED_VALUE"""),56007143)</f>
        <v>56007143</v>
      </c>
    </row>
    <row r="29" spans="1:6" ht="15.75" customHeight="1" x14ac:dyDescent="0.25">
      <c r="A29" s="3">
        <f ca="1">IFERROR(__xludf.DUMMYFUNCTION("""COMPUTED_VALUE"""),44967.6666666666)</f>
        <v>44967.666666666599</v>
      </c>
      <c r="B29" s="2">
        <f ca="1">IFERROR(__xludf.DUMMYFUNCTION("""COMPUTED_VALUE"""),149.46)</f>
        <v>149.46</v>
      </c>
      <c r="C29" s="2">
        <f ca="1">IFERROR(__xludf.DUMMYFUNCTION("""COMPUTED_VALUE"""),151.34)</f>
        <v>151.34</v>
      </c>
      <c r="D29" s="2">
        <f ca="1">IFERROR(__xludf.DUMMYFUNCTION("""COMPUTED_VALUE"""),149.22)</f>
        <v>149.22</v>
      </c>
      <c r="E29" s="2">
        <f ca="1">IFERROR(__xludf.DUMMYFUNCTION("""COMPUTED_VALUE"""),151.01)</f>
        <v>151.01</v>
      </c>
      <c r="F29" s="2">
        <f ca="1">IFERROR(__xludf.DUMMYFUNCTION("""COMPUTED_VALUE"""),57450708)</f>
        <v>57450708</v>
      </c>
    </row>
    <row r="30" spans="1:6" ht="15.75" customHeight="1" x14ac:dyDescent="0.25">
      <c r="A30" s="3">
        <f ca="1">IFERROR(__xludf.DUMMYFUNCTION("""COMPUTED_VALUE"""),44970.6666666666)</f>
        <v>44970.666666666599</v>
      </c>
      <c r="B30" s="2">
        <f ca="1">IFERROR(__xludf.DUMMYFUNCTION("""COMPUTED_VALUE"""),150.95)</f>
        <v>150.94999999999999</v>
      </c>
      <c r="C30" s="2">
        <f ca="1">IFERROR(__xludf.DUMMYFUNCTION("""COMPUTED_VALUE"""),154.26)</f>
        <v>154.26</v>
      </c>
      <c r="D30" s="2">
        <f ca="1">IFERROR(__xludf.DUMMYFUNCTION("""COMPUTED_VALUE"""),150.92)</f>
        <v>150.91999999999999</v>
      </c>
      <c r="E30" s="2">
        <f ca="1">IFERROR(__xludf.DUMMYFUNCTION("""COMPUTED_VALUE"""),153.85)</f>
        <v>153.85</v>
      </c>
      <c r="F30" s="2">
        <f ca="1">IFERROR(__xludf.DUMMYFUNCTION("""COMPUTED_VALUE"""),62199013)</f>
        <v>62199013</v>
      </c>
    </row>
    <row r="31" spans="1:6" ht="15.75" customHeight="1" x14ac:dyDescent="0.25">
      <c r="A31" s="3">
        <f ca="1">IFERROR(__xludf.DUMMYFUNCTION("""COMPUTED_VALUE"""),44971.6666666666)</f>
        <v>44971.666666666599</v>
      </c>
      <c r="B31" s="2">
        <f ca="1">IFERROR(__xludf.DUMMYFUNCTION("""COMPUTED_VALUE"""),152.12)</f>
        <v>152.12</v>
      </c>
      <c r="C31" s="2">
        <f ca="1">IFERROR(__xludf.DUMMYFUNCTION("""COMPUTED_VALUE"""),153.77)</f>
        <v>153.77000000000001</v>
      </c>
      <c r="D31" s="2">
        <f ca="1">IFERROR(__xludf.DUMMYFUNCTION("""COMPUTED_VALUE"""),150.86)</f>
        <v>150.86000000000001</v>
      </c>
      <c r="E31" s="2">
        <f ca="1">IFERROR(__xludf.DUMMYFUNCTION("""COMPUTED_VALUE"""),153.2)</f>
        <v>153.19999999999999</v>
      </c>
      <c r="F31" s="2">
        <f ca="1">IFERROR(__xludf.DUMMYFUNCTION("""COMPUTED_VALUE"""),61707573)</f>
        <v>61707573</v>
      </c>
    </row>
    <row r="32" spans="1:6" ht="15.75" customHeight="1" x14ac:dyDescent="0.25">
      <c r="A32" s="3">
        <f ca="1">IFERROR(__xludf.DUMMYFUNCTION("""COMPUTED_VALUE"""),44972.6666666666)</f>
        <v>44972.666666666599</v>
      </c>
      <c r="B32" s="2">
        <f ca="1">IFERROR(__xludf.DUMMYFUNCTION("""COMPUTED_VALUE"""),153.11)</f>
        <v>153.11000000000001</v>
      </c>
      <c r="C32" s="2">
        <f ca="1">IFERROR(__xludf.DUMMYFUNCTION("""COMPUTED_VALUE"""),155.5)</f>
        <v>155.5</v>
      </c>
      <c r="D32" s="2">
        <f ca="1">IFERROR(__xludf.DUMMYFUNCTION("""COMPUTED_VALUE"""),152.88)</f>
        <v>152.88</v>
      </c>
      <c r="E32" s="2">
        <f ca="1">IFERROR(__xludf.DUMMYFUNCTION("""COMPUTED_VALUE"""),155.33)</f>
        <v>155.33000000000001</v>
      </c>
      <c r="F32" s="2">
        <f ca="1">IFERROR(__xludf.DUMMYFUNCTION("""COMPUTED_VALUE"""),65669252)</f>
        <v>65669252</v>
      </c>
    </row>
    <row r="33" spans="1:6" ht="15.75" customHeight="1" x14ac:dyDescent="0.25">
      <c r="A33" s="3">
        <f ca="1">IFERROR(__xludf.DUMMYFUNCTION("""COMPUTED_VALUE"""),44973.6666666666)</f>
        <v>44973.666666666599</v>
      </c>
      <c r="B33" s="2">
        <f ca="1">IFERROR(__xludf.DUMMYFUNCTION("""COMPUTED_VALUE"""),153.51)</f>
        <v>153.51</v>
      </c>
      <c r="C33" s="2">
        <f ca="1">IFERROR(__xludf.DUMMYFUNCTION("""COMPUTED_VALUE"""),156.33)</f>
        <v>156.33000000000001</v>
      </c>
      <c r="D33" s="2">
        <f ca="1">IFERROR(__xludf.DUMMYFUNCTION("""COMPUTED_VALUE"""),153.35)</f>
        <v>153.35</v>
      </c>
      <c r="E33" s="2">
        <f ca="1">IFERROR(__xludf.DUMMYFUNCTION("""COMPUTED_VALUE"""),153.71)</f>
        <v>153.71</v>
      </c>
      <c r="F33" s="2">
        <f ca="1">IFERROR(__xludf.DUMMYFUNCTION("""COMPUTED_VALUE"""),68167942)</f>
        <v>68167942</v>
      </c>
    </row>
    <row r="34" spans="1:6" ht="15.75" customHeight="1" x14ac:dyDescent="0.25">
      <c r="A34" s="3">
        <f ca="1">IFERROR(__xludf.DUMMYFUNCTION("""COMPUTED_VALUE"""),44974.6666666666)</f>
        <v>44974.666666666599</v>
      </c>
      <c r="B34" s="2">
        <f ca="1">IFERROR(__xludf.DUMMYFUNCTION("""COMPUTED_VALUE"""),152.35)</f>
        <v>152.35</v>
      </c>
      <c r="C34" s="2">
        <f ca="1">IFERROR(__xludf.DUMMYFUNCTION("""COMPUTED_VALUE"""),153)</f>
        <v>153</v>
      </c>
      <c r="D34" s="2">
        <f ca="1">IFERROR(__xludf.DUMMYFUNCTION("""COMPUTED_VALUE"""),150.85)</f>
        <v>150.85</v>
      </c>
      <c r="E34" s="2">
        <f ca="1">IFERROR(__xludf.DUMMYFUNCTION("""COMPUTED_VALUE"""),152.55)</f>
        <v>152.55000000000001</v>
      </c>
      <c r="F34" s="2">
        <f ca="1">IFERROR(__xludf.DUMMYFUNCTION("""COMPUTED_VALUE"""),59144118)</f>
        <v>59144118</v>
      </c>
    </row>
    <row r="35" spans="1:6" ht="15.75" customHeight="1" x14ac:dyDescent="0.25">
      <c r="A35" s="3">
        <f ca="1">IFERROR(__xludf.DUMMYFUNCTION("""COMPUTED_VALUE"""),44978.6666666666)</f>
        <v>44978.666666666599</v>
      </c>
      <c r="B35" s="2">
        <f ca="1">IFERROR(__xludf.DUMMYFUNCTION("""COMPUTED_VALUE"""),150.2)</f>
        <v>150.19999999999999</v>
      </c>
      <c r="C35" s="2">
        <f ca="1">IFERROR(__xludf.DUMMYFUNCTION("""COMPUTED_VALUE"""),151.3)</f>
        <v>151.30000000000001</v>
      </c>
      <c r="D35" s="2">
        <f ca="1">IFERROR(__xludf.DUMMYFUNCTION("""COMPUTED_VALUE"""),148.41)</f>
        <v>148.41</v>
      </c>
      <c r="E35" s="2">
        <f ca="1">IFERROR(__xludf.DUMMYFUNCTION("""COMPUTED_VALUE"""),148.48)</f>
        <v>148.47999999999999</v>
      </c>
      <c r="F35" s="2">
        <f ca="1">IFERROR(__xludf.DUMMYFUNCTION("""COMPUTED_VALUE"""),58867230)</f>
        <v>58867230</v>
      </c>
    </row>
    <row r="36" spans="1:6" ht="15.75" customHeight="1" x14ac:dyDescent="0.25">
      <c r="A36" s="3">
        <f ca="1">IFERROR(__xludf.DUMMYFUNCTION("""COMPUTED_VALUE"""),44979.6666666666)</f>
        <v>44979.666666666599</v>
      </c>
      <c r="B36" s="2">
        <f ca="1">IFERROR(__xludf.DUMMYFUNCTION("""COMPUTED_VALUE"""),148.87)</f>
        <v>148.87</v>
      </c>
      <c r="C36" s="2">
        <f ca="1">IFERROR(__xludf.DUMMYFUNCTION("""COMPUTED_VALUE"""),149.95)</f>
        <v>149.94999999999999</v>
      </c>
      <c r="D36" s="2">
        <f ca="1">IFERROR(__xludf.DUMMYFUNCTION("""COMPUTED_VALUE"""),147.16)</f>
        <v>147.16</v>
      </c>
      <c r="E36" s="2">
        <f ca="1">IFERROR(__xludf.DUMMYFUNCTION("""COMPUTED_VALUE"""),148.91)</f>
        <v>148.91</v>
      </c>
      <c r="F36" s="2">
        <f ca="1">IFERROR(__xludf.DUMMYFUNCTION("""COMPUTED_VALUE"""),51011305)</f>
        <v>51011305</v>
      </c>
    </row>
    <row r="37" spans="1:6" ht="15.75" customHeight="1" x14ac:dyDescent="0.25">
      <c r="A37" s="3">
        <f ca="1">IFERROR(__xludf.DUMMYFUNCTION("""COMPUTED_VALUE"""),44980.6666666666)</f>
        <v>44980.666666666599</v>
      </c>
      <c r="B37" s="2">
        <f ca="1">IFERROR(__xludf.DUMMYFUNCTION("""COMPUTED_VALUE"""),150.09)</f>
        <v>150.09</v>
      </c>
      <c r="C37" s="2">
        <f ca="1">IFERROR(__xludf.DUMMYFUNCTION("""COMPUTED_VALUE"""),150.34)</f>
        <v>150.34</v>
      </c>
      <c r="D37" s="2">
        <f ca="1">IFERROR(__xludf.DUMMYFUNCTION("""COMPUTED_VALUE"""),147.24)</f>
        <v>147.24</v>
      </c>
      <c r="E37" s="2">
        <f ca="1">IFERROR(__xludf.DUMMYFUNCTION("""COMPUTED_VALUE"""),149.4)</f>
        <v>149.4</v>
      </c>
      <c r="F37" s="2">
        <f ca="1">IFERROR(__xludf.DUMMYFUNCTION("""COMPUTED_VALUE"""),48394249)</f>
        <v>48394249</v>
      </c>
    </row>
    <row r="38" spans="1:6" ht="15.75" customHeight="1" x14ac:dyDescent="0.25">
      <c r="A38" s="3">
        <f ca="1">IFERROR(__xludf.DUMMYFUNCTION("""COMPUTED_VALUE"""),44981.6666666666)</f>
        <v>44981.666666666599</v>
      </c>
      <c r="B38" s="2">
        <f ca="1">IFERROR(__xludf.DUMMYFUNCTION("""COMPUTED_VALUE"""),147.11)</f>
        <v>147.11000000000001</v>
      </c>
      <c r="C38" s="2">
        <f ca="1">IFERROR(__xludf.DUMMYFUNCTION("""COMPUTED_VALUE"""),147.19)</f>
        <v>147.19</v>
      </c>
      <c r="D38" s="2">
        <f ca="1">IFERROR(__xludf.DUMMYFUNCTION("""COMPUTED_VALUE"""),145.72)</f>
        <v>145.72</v>
      </c>
      <c r="E38" s="2">
        <f ca="1">IFERROR(__xludf.DUMMYFUNCTION("""COMPUTED_VALUE"""),146.71)</f>
        <v>146.71</v>
      </c>
      <c r="F38" s="2">
        <f ca="1">IFERROR(__xludf.DUMMYFUNCTION("""COMPUTED_VALUE"""),55469606)</f>
        <v>55469606</v>
      </c>
    </row>
    <row r="39" spans="1:6" ht="15.75" customHeight="1" x14ac:dyDescent="0.25">
      <c r="A39" s="3">
        <f ca="1">IFERROR(__xludf.DUMMYFUNCTION("""COMPUTED_VALUE"""),44984.6666666666)</f>
        <v>44984.666666666599</v>
      </c>
      <c r="B39" s="2">
        <f ca="1">IFERROR(__xludf.DUMMYFUNCTION("""COMPUTED_VALUE"""),147.71)</f>
        <v>147.71</v>
      </c>
      <c r="C39" s="2">
        <f ca="1">IFERROR(__xludf.DUMMYFUNCTION("""COMPUTED_VALUE"""),149.17)</f>
        <v>149.16999999999999</v>
      </c>
      <c r="D39" s="2">
        <f ca="1">IFERROR(__xludf.DUMMYFUNCTION("""COMPUTED_VALUE"""),147.45)</f>
        <v>147.44999999999999</v>
      </c>
      <c r="E39" s="2">
        <f ca="1">IFERROR(__xludf.DUMMYFUNCTION("""COMPUTED_VALUE"""),147.92)</f>
        <v>147.91999999999999</v>
      </c>
      <c r="F39" s="2">
        <f ca="1">IFERROR(__xludf.DUMMYFUNCTION("""COMPUTED_VALUE"""),44998470)</f>
        <v>44998470</v>
      </c>
    </row>
    <row r="40" spans="1:6" ht="12.5" x14ac:dyDescent="0.25">
      <c r="A40" s="3">
        <f ca="1">IFERROR(__xludf.DUMMYFUNCTION("""COMPUTED_VALUE"""),44985.6666666666)</f>
        <v>44985.666666666599</v>
      </c>
      <c r="B40" s="2">
        <f ca="1">IFERROR(__xludf.DUMMYFUNCTION("""COMPUTED_VALUE"""),147.05)</f>
        <v>147.05000000000001</v>
      </c>
      <c r="C40" s="2">
        <f ca="1">IFERROR(__xludf.DUMMYFUNCTION("""COMPUTED_VALUE"""),149.08)</f>
        <v>149.08000000000001</v>
      </c>
      <c r="D40" s="2">
        <f ca="1">IFERROR(__xludf.DUMMYFUNCTION("""COMPUTED_VALUE"""),146.83)</f>
        <v>146.83000000000001</v>
      </c>
      <c r="E40" s="2">
        <f ca="1">IFERROR(__xludf.DUMMYFUNCTION("""COMPUTED_VALUE"""),147.41)</f>
        <v>147.41</v>
      </c>
      <c r="F40" s="2">
        <f ca="1">IFERROR(__xludf.DUMMYFUNCTION("""COMPUTED_VALUE"""),50546998)</f>
        <v>50546998</v>
      </c>
    </row>
    <row r="41" spans="1:6" ht="12.5" x14ac:dyDescent="0.25">
      <c r="A41" s="3">
        <f ca="1">IFERROR(__xludf.DUMMYFUNCTION("""COMPUTED_VALUE"""),44986.6666666666)</f>
        <v>44986.666666666599</v>
      </c>
      <c r="B41" s="2">
        <f ca="1">IFERROR(__xludf.DUMMYFUNCTION("""COMPUTED_VALUE"""),146.83)</f>
        <v>146.83000000000001</v>
      </c>
      <c r="C41" s="2">
        <f ca="1">IFERROR(__xludf.DUMMYFUNCTION("""COMPUTED_VALUE"""),147.23)</f>
        <v>147.22999999999999</v>
      </c>
      <c r="D41" s="2">
        <f ca="1">IFERROR(__xludf.DUMMYFUNCTION("""COMPUTED_VALUE"""),145.01)</f>
        <v>145.01</v>
      </c>
      <c r="E41" s="2">
        <f ca="1">IFERROR(__xludf.DUMMYFUNCTION("""COMPUTED_VALUE"""),145.31)</f>
        <v>145.31</v>
      </c>
      <c r="F41" s="2">
        <f ca="1">IFERROR(__xludf.DUMMYFUNCTION("""COMPUTED_VALUE"""),55478991)</f>
        <v>55478991</v>
      </c>
    </row>
    <row r="42" spans="1:6" ht="12.5" x14ac:dyDescent="0.25">
      <c r="A42" s="3">
        <f ca="1">IFERROR(__xludf.DUMMYFUNCTION("""COMPUTED_VALUE"""),44987.6666666666)</f>
        <v>44987.666666666599</v>
      </c>
      <c r="B42" s="2">
        <f ca="1">IFERROR(__xludf.DUMMYFUNCTION("""COMPUTED_VALUE"""),144.38)</f>
        <v>144.38</v>
      </c>
      <c r="C42" s="2">
        <f ca="1">IFERROR(__xludf.DUMMYFUNCTION("""COMPUTED_VALUE"""),146.71)</f>
        <v>146.71</v>
      </c>
      <c r="D42" s="2">
        <f ca="1">IFERROR(__xludf.DUMMYFUNCTION("""COMPUTED_VALUE"""),143.9)</f>
        <v>143.9</v>
      </c>
      <c r="E42" s="2">
        <f ca="1">IFERROR(__xludf.DUMMYFUNCTION("""COMPUTED_VALUE"""),145.91)</f>
        <v>145.91</v>
      </c>
      <c r="F42" s="2">
        <f ca="1">IFERROR(__xludf.DUMMYFUNCTION("""COMPUTED_VALUE"""),52279761)</f>
        <v>52279761</v>
      </c>
    </row>
    <row r="43" spans="1:6" ht="12.5" x14ac:dyDescent="0.25">
      <c r="A43" s="3">
        <f ca="1">IFERROR(__xludf.DUMMYFUNCTION("""COMPUTED_VALUE"""),44988.6666666666)</f>
        <v>44988.666666666599</v>
      </c>
      <c r="B43" s="2">
        <f ca="1">IFERROR(__xludf.DUMMYFUNCTION("""COMPUTED_VALUE"""),148.04)</f>
        <v>148.04</v>
      </c>
      <c r="C43" s="2">
        <f ca="1">IFERROR(__xludf.DUMMYFUNCTION("""COMPUTED_VALUE"""),151.11)</f>
        <v>151.11000000000001</v>
      </c>
      <c r="D43" s="2">
        <f ca="1">IFERROR(__xludf.DUMMYFUNCTION("""COMPUTED_VALUE"""),147.33)</f>
        <v>147.33000000000001</v>
      </c>
      <c r="E43" s="2">
        <f ca="1">IFERROR(__xludf.DUMMYFUNCTION("""COMPUTED_VALUE"""),151.03)</f>
        <v>151.03</v>
      </c>
      <c r="F43" s="2">
        <f ca="1">IFERROR(__xludf.DUMMYFUNCTION("""COMPUTED_VALUE"""),70732297)</f>
        <v>70732297</v>
      </c>
    </row>
    <row r="44" spans="1:6" ht="12.5" x14ac:dyDescent="0.25">
      <c r="A44" s="3">
        <f ca="1">IFERROR(__xludf.DUMMYFUNCTION("""COMPUTED_VALUE"""),44991.6666666666)</f>
        <v>44991.666666666599</v>
      </c>
      <c r="B44" s="2">
        <f ca="1">IFERROR(__xludf.DUMMYFUNCTION("""COMPUTED_VALUE"""),153.79)</f>
        <v>153.79</v>
      </c>
      <c r="C44" s="2">
        <f ca="1">IFERROR(__xludf.DUMMYFUNCTION("""COMPUTED_VALUE"""),156.3)</f>
        <v>156.30000000000001</v>
      </c>
      <c r="D44" s="2">
        <f ca="1">IFERROR(__xludf.DUMMYFUNCTION("""COMPUTED_VALUE"""),153.46)</f>
        <v>153.46</v>
      </c>
      <c r="E44" s="2">
        <f ca="1">IFERROR(__xludf.DUMMYFUNCTION("""COMPUTED_VALUE"""),153.83)</f>
        <v>153.83000000000001</v>
      </c>
      <c r="F44" s="2">
        <f ca="1">IFERROR(__xludf.DUMMYFUNCTION("""COMPUTED_VALUE"""),87558028)</f>
        <v>87558028</v>
      </c>
    </row>
    <row r="45" spans="1:6" ht="12.5" x14ac:dyDescent="0.25">
      <c r="A45" s="3">
        <f ca="1">IFERROR(__xludf.DUMMYFUNCTION("""COMPUTED_VALUE"""),44992.6666666666)</f>
        <v>44992.666666666599</v>
      </c>
      <c r="B45" s="2">
        <f ca="1">IFERROR(__xludf.DUMMYFUNCTION("""COMPUTED_VALUE"""),153.7)</f>
        <v>153.69999999999999</v>
      </c>
      <c r="C45" s="2">
        <f ca="1">IFERROR(__xludf.DUMMYFUNCTION("""COMPUTED_VALUE"""),154.03)</f>
        <v>154.03</v>
      </c>
      <c r="D45" s="2">
        <f ca="1">IFERROR(__xludf.DUMMYFUNCTION("""COMPUTED_VALUE"""),151.13)</f>
        <v>151.13</v>
      </c>
      <c r="E45" s="2">
        <f ca="1">IFERROR(__xludf.DUMMYFUNCTION("""COMPUTED_VALUE"""),151.6)</f>
        <v>151.6</v>
      </c>
      <c r="F45" s="2">
        <f ca="1">IFERROR(__xludf.DUMMYFUNCTION("""COMPUTED_VALUE"""),56182028)</f>
        <v>56182028</v>
      </c>
    </row>
    <row r="46" spans="1:6" ht="12.5" x14ac:dyDescent="0.25">
      <c r="A46" s="3">
        <f ca="1">IFERROR(__xludf.DUMMYFUNCTION("""COMPUTED_VALUE"""),44993.6666666666)</f>
        <v>44993.666666666599</v>
      </c>
      <c r="B46" s="2">
        <f ca="1">IFERROR(__xludf.DUMMYFUNCTION("""COMPUTED_VALUE"""),152.81)</f>
        <v>152.81</v>
      </c>
      <c r="C46" s="2">
        <f ca="1">IFERROR(__xludf.DUMMYFUNCTION("""COMPUTED_VALUE"""),153.47)</f>
        <v>153.47</v>
      </c>
      <c r="D46" s="2">
        <f ca="1">IFERROR(__xludf.DUMMYFUNCTION("""COMPUTED_VALUE"""),151.83)</f>
        <v>151.83000000000001</v>
      </c>
      <c r="E46" s="2">
        <f ca="1">IFERROR(__xludf.DUMMYFUNCTION("""COMPUTED_VALUE"""),152.87)</f>
        <v>152.87</v>
      </c>
      <c r="F46" s="2">
        <f ca="1">IFERROR(__xludf.DUMMYFUNCTION("""COMPUTED_VALUE"""),47204791)</f>
        <v>47204791</v>
      </c>
    </row>
    <row r="47" spans="1:6" ht="12.5" x14ac:dyDescent="0.25">
      <c r="A47" s="3">
        <f ca="1">IFERROR(__xludf.DUMMYFUNCTION("""COMPUTED_VALUE"""),44994.6666666666)</f>
        <v>44994.666666666599</v>
      </c>
      <c r="B47" s="2">
        <f ca="1">IFERROR(__xludf.DUMMYFUNCTION("""COMPUTED_VALUE"""),153.56)</f>
        <v>153.56</v>
      </c>
      <c r="C47" s="2">
        <f ca="1">IFERROR(__xludf.DUMMYFUNCTION("""COMPUTED_VALUE"""),154.54)</f>
        <v>154.54</v>
      </c>
      <c r="D47" s="2">
        <f ca="1">IFERROR(__xludf.DUMMYFUNCTION("""COMPUTED_VALUE"""),150.23)</f>
        <v>150.22999999999999</v>
      </c>
      <c r="E47" s="2">
        <f ca="1">IFERROR(__xludf.DUMMYFUNCTION("""COMPUTED_VALUE"""),150.59)</f>
        <v>150.59</v>
      </c>
      <c r="F47" s="2">
        <f ca="1">IFERROR(__xludf.DUMMYFUNCTION("""COMPUTED_VALUE"""),53833582)</f>
        <v>53833582</v>
      </c>
    </row>
    <row r="48" spans="1:6" ht="12.5" x14ac:dyDescent="0.25">
      <c r="A48" s="3">
        <f ca="1">IFERROR(__xludf.DUMMYFUNCTION("""COMPUTED_VALUE"""),44995.6666666666)</f>
        <v>44995.666666666599</v>
      </c>
      <c r="B48" s="2">
        <f ca="1">IFERROR(__xludf.DUMMYFUNCTION("""COMPUTED_VALUE"""),150.21)</f>
        <v>150.21</v>
      </c>
      <c r="C48" s="2">
        <f ca="1">IFERROR(__xludf.DUMMYFUNCTION("""COMPUTED_VALUE"""),150.94)</f>
        <v>150.94</v>
      </c>
      <c r="D48" s="2">
        <f ca="1">IFERROR(__xludf.DUMMYFUNCTION("""COMPUTED_VALUE"""),147.61)</f>
        <v>147.61000000000001</v>
      </c>
      <c r="E48" s="2">
        <f ca="1">IFERROR(__xludf.DUMMYFUNCTION("""COMPUTED_VALUE"""),148.5)</f>
        <v>148.5</v>
      </c>
      <c r="F48" s="2">
        <f ca="1">IFERROR(__xludf.DUMMYFUNCTION("""COMPUTED_VALUE"""),68572400)</f>
        <v>68572400</v>
      </c>
    </row>
    <row r="49" spans="1:6" ht="12.5" x14ac:dyDescent="0.25">
      <c r="A49" s="3">
        <f ca="1">IFERROR(__xludf.DUMMYFUNCTION("""COMPUTED_VALUE"""),44998.6666666666)</f>
        <v>44998.666666666599</v>
      </c>
      <c r="B49" s="2">
        <f ca="1">IFERROR(__xludf.DUMMYFUNCTION("""COMPUTED_VALUE"""),147.81)</f>
        <v>147.81</v>
      </c>
      <c r="C49" s="2">
        <f ca="1">IFERROR(__xludf.DUMMYFUNCTION("""COMPUTED_VALUE"""),153.14)</f>
        <v>153.13999999999999</v>
      </c>
      <c r="D49" s="2">
        <f ca="1">IFERROR(__xludf.DUMMYFUNCTION("""COMPUTED_VALUE"""),147.7)</f>
        <v>147.69999999999999</v>
      </c>
      <c r="E49" s="2">
        <f ca="1">IFERROR(__xludf.DUMMYFUNCTION("""COMPUTED_VALUE"""),150.47)</f>
        <v>150.47</v>
      </c>
      <c r="F49" s="2">
        <f ca="1">IFERROR(__xludf.DUMMYFUNCTION("""COMPUTED_VALUE"""),84457122)</f>
        <v>84457122</v>
      </c>
    </row>
    <row r="50" spans="1:6" ht="12.5" x14ac:dyDescent="0.25">
      <c r="A50" s="3">
        <f ca="1">IFERROR(__xludf.DUMMYFUNCTION("""COMPUTED_VALUE"""),44999.6666666666)</f>
        <v>44999.666666666599</v>
      </c>
      <c r="B50" s="2">
        <f ca="1">IFERROR(__xludf.DUMMYFUNCTION("""COMPUTED_VALUE"""),151.28)</f>
        <v>151.28</v>
      </c>
      <c r="C50" s="2">
        <f ca="1">IFERROR(__xludf.DUMMYFUNCTION("""COMPUTED_VALUE"""),153.4)</f>
        <v>153.4</v>
      </c>
      <c r="D50" s="2">
        <f ca="1">IFERROR(__xludf.DUMMYFUNCTION("""COMPUTED_VALUE"""),150.1)</f>
        <v>150.1</v>
      </c>
      <c r="E50" s="2">
        <f ca="1">IFERROR(__xludf.DUMMYFUNCTION("""COMPUTED_VALUE"""),152.59)</f>
        <v>152.59</v>
      </c>
      <c r="F50" s="2">
        <f ca="1">IFERROR(__xludf.DUMMYFUNCTION("""COMPUTED_VALUE"""),73695893)</f>
        <v>73695893</v>
      </c>
    </row>
    <row r="51" spans="1:6" ht="12.5" x14ac:dyDescent="0.25">
      <c r="A51" s="3">
        <f ca="1">IFERROR(__xludf.DUMMYFUNCTION("""COMPUTED_VALUE"""),45000.6666666666)</f>
        <v>45000.666666666599</v>
      </c>
      <c r="B51" s="2">
        <f ca="1">IFERROR(__xludf.DUMMYFUNCTION("""COMPUTED_VALUE"""),151.19)</f>
        <v>151.19</v>
      </c>
      <c r="C51" s="2">
        <f ca="1">IFERROR(__xludf.DUMMYFUNCTION("""COMPUTED_VALUE"""),153.25)</f>
        <v>153.25</v>
      </c>
      <c r="D51" s="2">
        <f ca="1">IFERROR(__xludf.DUMMYFUNCTION("""COMPUTED_VALUE"""),149.92)</f>
        <v>149.91999999999999</v>
      </c>
      <c r="E51" s="2">
        <f ca="1">IFERROR(__xludf.DUMMYFUNCTION("""COMPUTED_VALUE"""),152.99)</f>
        <v>152.99</v>
      </c>
      <c r="F51" s="2">
        <f ca="1">IFERROR(__xludf.DUMMYFUNCTION("""COMPUTED_VALUE"""),77167866)</f>
        <v>77167866</v>
      </c>
    </row>
    <row r="52" spans="1:6" ht="12.5" x14ac:dyDescent="0.25">
      <c r="A52" s="3">
        <f ca="1">IFERROR(__xludf.DUMMYFUNCTION("""COMPUTED_VALUE"""),45001.6666666666)</f>
        <v>45001.666666666599</v>
      </c>
      <c r="B52" s="2">
        <f ca="1">IFERROR(__xludf.DUMMYFUNCTION("""COMPUTED_VALUE"""),152.16)</f>
        <v>152.16</v>
      </c>
      <c r="C52" s="2">
        <f ca="1">IFERROR(__xludf.DUMMYFUNCTION("""COMPUTED_VALUE"""),156.46)</f>
        <v>156.46</v>
      </c>
      <c r="D52" s="2">
        <f ca="1">IFERROR(__xludf.DUMMYFUNCTION("""COMPUTED_VALUE"""),151.64)</f>
        <v>151.63999999999999</v>
      </c>
      <c r="E52" s="2">
        <f ca="1">IFERROR(__xludf.DUMMYFUNCTION("""COMPUTED_VALUE"""),155.85)</f>
        <v>155.85</v>
      </c>
      <c r="F52" s="2">
        <f ca="1">IFERROR(__xludf.DUMMYFUNCTION("""COMPUTED_VALUE"""),76254419)</f>
        <v>76254419</v>
      </c>
    </row>
    <row r="53" spans="1:6" ht="12.5" x14ac:dyDescent="0.25">
      <c r="A53" s="3">
        <f ca="1">IFERROR(__xludf.DUMMYFUNCTION("""COMPUTED_VALUE"""),45002.6666666666)</f>
        <v>45002.666666666599</v>
      </c>
      <c r="B53" s="2">
        <f ca="1">IFERROR(__xludf.DUMMYFUNCTION("""COMPUTED_VALUE"""),156.08)</f>
        <v>156.08000000000001</v>
      </c>
      <c r="C53" s="2">
        <f ca="1">IFERROR(__xludf.DUMMYFUNCTION("""COMPUTED_VALUE"""),156.74)</f>
        <v>156.74</v>
      </c>
      <c r="D53" s="2">
        <f ca="1">IFERROR(__xludf.DUMMYFUNCTION("""COMPUTED_VALUE"""),154.28)</f>
        <v>154.28</v>
      </c>
      <c r="E53" s="2">
        <f ca="1">IFERROR(__xludf.DUMMYFUNCTION("""COMPUTED_VALUE"""),155)</f>
        <v>155</v>
      </c>
      <c r="F53" s="2">
        <f ca="1">IFERROR(__xludf.DUMMYFUNCTION("""COMPUTED_VALUE"""),98944633)</f>
        <v>98944633</v>
      </c>
    </row>
    <row r="54" spans="1:6" ht="12.5" x14ac:dyDescent="0.25">
      <c r="A54" s="3">
        <f ca="1">IFERROR(__xludf.DUMMYFUNCTION("""COMPUTED_VALUE"""),45005.6666666666)</f>
        <v>45005.666666666599</v>
      </c>
      <c r="B54" s="2">
        <f ca="1">IFERROR(__xludf.DUMMYFUNCTION("""COMPUTED_VALUE"""),155.07)</f>
        <v>155.07</v>
      </c>
      <c r="C54" s="2">
        <f ca="1">IFERROR(__xludf.DUMMYFUNCTION("""COMPUTED_VALUE"""),157.82)</f>
        <v>157.82</v>
      </c>
      <c r="D54" s="2">
        <f ca="1">IFERROR(__xludf.DUMMYFUNCTION("""COMPUTED_VALUE"""),154.15)</f>
        <v>154.15</v>
      </c>
      <c r="E54" s="2">
        <f ca="1">IFERROR(__xludf.DUMMYFUNCTION("""COMPUTED_VALUE"""),157.4)</f>
        <v>157.4</v>
      </c>
      <c r="F54" s="2">
        <f ca="1">IFERROR(__xludf.DUMMYFUNCTION("""COMPUTED_VALUE"""),73641415)</f>
        <v>73641415</v>
      </c>
    </row>
    <row r="55" spans="1:6" ht="12.5" x14ac:dyDescent="0.25">
      <c r="A55" s="3">
        <f ca="1">IFERROR(__xludf.DUMMYFUNCTION("""COMPUTED_VALUE"""),45006.6666666666)</f>
        <v>45006.666666666599</v>
      </c>
      <c r="B55" s="2">
        <f ca="1">IFERROR(__xludf.DUMMYFUNCTION("""COMPUTED_VALUE"""),157.32)</f>
        <v>157.32</v>
      </c>
      <c r="C55" s="2">
        <f ca="1">IFERROR(__xludf.DUMMYFUNCTION("""COMPUTED_VALUE"""),159.4)</f>
        <v>159.4</v>
      </c>
      <c r="D55" s="2">
        <f ca="1">IFERROR(__xludf.DUMMYFUNCTION("""COMPUTED_VALUE"""),156.54)</f>
        <v>156.54</v>
      </c>
      <c r="E55" s="2">
        <f ca="1">IFERROR(__xludf.DUMMYFUNCTION("""COMPUTED_VALUE"""),159.28)</f>
        <v>159.28</v>
      </c>
      <c r="F55" s="2">
        <f ca="1">IFERROR(__xludf.DUMMYFUNCTION("""COMPUTED_VALUE"""),73938285)</f>
        <v>73938285</v>
      </c>
    </row>
    <row r="56" spans="1:6" ht="12.5" x14ac:dyDescent="0.25">
      <c r="A56" s="3">
        <f ca="1">IFERROR(__xludf.DUMMYFUNCTION("""COMPUTED_VALUE"""),45007.6666666666)</f>
        <v>45007.666666666599</v>
      </c>
      <c r="B56" s="2">
        <f ca="1">IFERROR(__xludf.DUMMYFUNCTION("""COMPUTED_VALUE"""),159.3)</f>
        <v>159.30000000000001</v>
      </c>
      <c r="C56" s="2">
        <f ca="1">IFERROR(__xludf.DUMMYFUNCTION("""COMPUTED_VALUE"""),162.14)</f>
        <v>162.13999999999999</v>
      </c>
      <c r="D56" s="2">
        <f ca="1">IFERROR(__xludf.DUMMYFUNCTION("""COMPUTED_VALUE"""),157.81)</f>
        <v>157.81</v>
      </c>
      <c r="E56" s="2">
        <f ca="1">IFERROR(__xludf.DUMMYFUNCTION("""COMPUTED_VALUE"""),157.83)</f>
        <v>157.83000000000001</v>
      </c>
      <c r="F56" s="2">
        <f ca="1">IFERROR(__xludf.DUMMYFUNCTION("""COMPUTED_VALUE"""),75701811)</f>
        <v>75701811</v>
      </c>
    </row>
    <row r="57" spans="1:6" ht="12.5" x14ac:dyDescent="0.25">
      <c r="A57" s="3">
        <f ca="1">IFERROR(__xludf.DUMMYFUNCTION("""COMPUTED_VALUE"""),45008.6666666666)</f>
        <v>45008.666666666599</v>
      </c>
      <c r="B57" s="2">
        <f ca="1">IFERROR(__xludf.DUMMYFUNCTION("""COMPUTED_VALUE"""),158.83)</f>
        <v>158.83000000000001</v>
      </c>
      <c r="C57" s="2">
        <f ca="1">IFERROR(__xludf.DUMMYFUNCTION("""COMPUTED_VALUE"""),161.55)</f>
        <v>161.55000000000001</v>
      </c>
      <c r="D57" s="2">
        <f ca="1">IFERROR(__xludf.DUMMYFUNCTION("""COMPUTED_VALUE"""),157.68)</f>
        <v>157.68</v>
      </c>
      <c r="E57" s="2">
        <f ca="1">IFERROR(__xludf.DUMMYFUNCTION("""COMPUTED_VALUE"""),158.93)</f>
        <v>158.93</v>
      </c>
      <c r="F57" s="2">
        <f ca="1">IFERROR(__xludf.DUMMYFUNCTION("""COMPUTED_VALUE"""),67622060)</f>
        <v>67622060</v>
      </c>
    </row>
    <row r="58" spans="1:6" ht="12.5" x14ac:dyDescent="0.25">
      <c r="A58" s="3">
        <f ca="1">IFERROR(__xludf.DUMMYFUNCTION("""COMPUTED_VALUE"""),45009.6666666666)</f>
        <v>45009.666666666599</v>
      </c>
      <c r="B58" s="2">
        <f ca="1">IFERROR(__xludf.DUMMYFUNCTION("""COMPUTED_VALUE"""),158.86)</f>
        <v>158.86000000000001</v>
      </c>
      <c r="C58" s="2">
        <f ca="1">IFERROR(__xludf.DUMMYFUNCTION("""COMPUTED_VALUE"""),160.34)</f>
        <v>160.34</v>
      </c>
      <c r="D58" s="2">
        <f ca="1">IFERROR(__xludf.DUMMYFUNCTION("""COMPUTED_VALUE"""),157.85)</f>
        <v>157.85</v>
      </c>
      <c r="E58" s="2">
        <f ca="1">IFERROR(__xludf.DUMMYFUNCTION("""COMPUTED_VALUE"""),160.25)</f>
        <v>160.25</v>
      </c>
      <c r="F58" s="2">
        <f ca="1">IFERROR(__xludf.DUMMYFUNCTION("""COMPUTED_VALUE"""),59256343)</f>
        <v>59256343</v>
      </c>
    </row>
    <row r="59" spans="1:6" ht="12.5" x14ac:dyDescent="0.25">
      <c r="A59" s="3">
        <f ca="1">IFERROR(__xludf.DUMMYFUNCTION("""COMPUTED_VALUE"""),45012.6666666666)</f>
        <v>45012.666666666599</v>
      </c>
      <c r="B59" s="2">
        <f ca="1">IFERROR(__xludf.DUMMYFUNCTION("""COMPUTED_VALUE"""),159.94)</f>
        <v>159.94</v>
      </c>
      <c r="C59" s="2">
        <f ca="1">IFERROR(__xludf.DUMMYFUNCTION("""COMPUTED_VALUE"""),160.77)</f>
        <v>160.77000000000001</v>
      </c>
      <c r="D59" s="2">
        <f ca="1">IFERROR(__xludf.DUMMYFUNCTION("""COMPUTED_VALUE"""),157.87)</f>
        <v>157.87</v>
      </c>
      <c r="E59" s="2">
        <f ca="1">IFERROR(__xludf.DUMMYFUNCTION("""COMPUTED_VALUE"""),158.28)</f>
        <v>158.28</v>
      </c>
      <c r="F59" s="2">
        <f ca="1">IFERROR(__xludf.DUMMYFUNCTION("""COMPUTED_VALUE"""),52390266)</f>
        <v>52390266</v>
      </c>
    </row>
    <row r="60" spans="1:6" ht="12.5" x14ac:dyDescent="0.25">
      <c r="A60" s="3">
        <f ca="1">IFERROR(__xludf.DUMMYFUNCTION("""COMPUTED_VALUE"""),45013.6666666666)</f>
        <v>45013.666666666599</v>
      </c>
      <c r="B60" s="2">
        <f ca="1">IFERROR(__xludf.DUMMYFUNCTION("""COMPUTED_VALUE"""),157.97)</f>
        <v>157.97</v>
      </c>
      <c r="C60" s="2">
        <f ca="1">IFERROR(__xludf.DUMMYFUNCTION("""COMPUTED_VALUE"""),158.49)</f>
        <v>158.49</v>
      </c>
      <c r="D60" s="2">
        <f ca="1">IFERROR(__xludf.DUMMYFUNCTION("""COMPUTED_VALUE"""),155.98)</f>
        <v>155.97999999999999</v>
      </c>
      <c r="E60" s="2">
        <f ca="1">IFERROR(__xludf.DUMMYFUNCTION("""COMPUTED_VALUE"""),157.65)</f>
        <v>157.65</v>
      </c>
      <c r="F60" s="2">
        <f ca="1">IFERROR(__xludf.DUMMYFUNCTION("""COMPUTED_VALUE"""),45992152)</f>
        <v>45992152</v>
      </c>
    </row>
    <row r="61" spans="1:6" ht="12.5" x14ac:dyDescent="0.25">
      <c r="A61" s="3">
        <f ca="1">IFERROR(__xludf.DUMMYFUNCTION("""COMPUTED_VALUE"""),45014.6666666666)</f>
        <v>45014.666666666599</v>
      </c>
      <c r="B61" s="2">
        <f ca="1">IFERROR(__xludf.DUMMYFUNCTION("""COMPUTED_VALUE"""),159.37)</f>
        <v>159.37</v>
      </c>
      <c r="C61" s="2">
        <f ca="1">IFERROR(__xludf.DUMMYFUNCTION("""COMPUTED_VALUE"""),161.05)</f>
        <v>161.05000000000001</v>
      </c>
      <c r="D61" s="2">
        <f ca="1">IFERROR(__xludf.DUMMYFUNCTION("""COMPUTED_VALUE"""),159.35)</f>
        <v>159.35</v>
      </c>
      <c r="E61" s="2">
        <f ca="1">IFERROR(__xludf.DUMMYFUNCTION("""COMPUTED_VALUE"""),160.77)</f>
        <v>160.77000000000001</v>
      </c>
      <c r="F61" s="2">
        <f ca="1">IFERROR(__xludf.DUMMYFUNCTION("""COMPUTED_VALUE"""),51305691)</f>
        <v>51305691</v>
      </c>
    </row>
    <row r="62" spans="1:6" ht="12.5" x14ac:dyDescent="0.25">
      <c r="A62" s="3">
        <f ca="1">IFERROR(__xludf.DUMMYFUNCTION("""COMPUTED_VALUE"""),45015.6666666666)</f>
        <v>45015.666666666599</v>
      </c>
      <c r="B62" s="2">
        <f ca="1">IFERROR(__xludf.DUMMYFUNCTION("""COMPUTED_VALUE"""),161.53)</f>
        <v>161.53</v>
      </c>
      <c r="C62" s="2">
        <f ca="1">IFERROR(__xludf.DUMMYFUNCTION("""COMPUTED_VALUE"""),162.47)</f>
        <v>162.47</v>
      </c>
      <c r="D62" s="2">
        <f ca="1">IFERROR(__xludf.DUMMYFUNCTION("""COMPUTED_VALUE"""),161.27)</f>
        <v>161.27000000000001</v>
      </c>
      <c r="E62" s="2">
        <f ca="1">IFERROR(__xludf.DUMMYFUNCTION("""COMPUTED_VALUE"""),162.36)</f>
        <v>162.36000000000001</v>
      </c>
      <c r="F62" s="2">
        <f ca="1">IFERROR(__xludf.DUMMYFUNCTION("""COMPUTED_VALUE"""),49501689)</f>
        <v>49501689</v>
      </c>
    </row>
    <row r="63" spans="1:6" ht="12.5" x14ac:dyDescent="0.25">
      <c r="A63" s="3">
        <f ca="1">IFERROR(__xludf.DUMMYFUNCTION("""COMPUTED_VALUE"""),45016.6666666666)</f>
        <v>45016.666666666599</v>
      </c>
      <c r="B63" s="2">
        <f ca="1">IFERROR(__xludf.DUMMYFUNCTION("""COMPUTED_VALUE"""),162.44)</f>
        <v>162.44</v>
      </c>
      <c r="C63" s="2">
        <f ca="1">IFERROR(__xludf.DUMMYFUNCTION("""COMPUTED_VALUE"""),165)</f>
        <v>165</v>
      </c>
      <c r="D63" s="2">
        <f ca="1">IFERROR(__xludf.DUMMYFUNCTION("""COMPUTED_VALUE"""),161.91)</f>
        <v>161.91</v>
      </c>
      <c r="E63" s="2">
        <f ca="1">IFERROR(__xludf.DUMMYFUNCTION("""COMPUTED_VALUE"""),164.9)</f>
        <v>164.9</v>
      </c>
      <c r="F63" s="2">
        <f ca="1">IFERROR(__xludf.DUMMYFUNCTION("""COMPUTED_VALUE"""),68749792)</f>
        <v>68749792</v>
      </c>
    </row>
    <row r="64" spans="1:6" ht="12.5" x14ac:dyDescent="0.25">
      <c r="A64" s="3">
        <f ca="1">IFERROR(__xludf.DUMMYFUNCTION("""COMPUTED_VALUE"""),45019.6666666666)</f>
        <v>45019.666666666599</v>
      </c>
      <c r="B64" s="2">
        <f ca="1">IFERROR(__xludf.DUMMYFUNCTION("""COMPUTED_VALUE"""),164.27)</f>
        <v>164.27</v>
      </c>
      <c r="C64" s="2">
        <f ca="1">IFERROR(__xludf.DUMMYFUNCTION("""COMPUTED_VALUE"""),166.29)</f>
        <v>166.29</v>
      </c>
      <c r="D64" s="2">
        <f ca="1">IFERROR(__xludf.DUMMYFUNCTION("""COMPUTED_VALUE"""),164.22)</f>
        <v>164.22</v>
      </c>
      <c r="E64" s="2">
        <f ca="1">IFERROR(__xludf.DUMMYFUNCTION("""COMPUTED_VALUE"""),166.17)</f>
        <v>166.17</v>
      </c>
      <c r="F64" s="2">
        <f ca="1">IFERROR(__xludf.DUMMYFUNCTION("""COMPUTED_VALUE"""),56976187)</f>
        <v>56976187</v>
      </c>
    </row>
    <row r="65" spans="1:6" ht="12.5" x14ac:dyDescent="0.25">
      <c r="A65" s="3">
        <f ca="1">IFERROR(__xludf.DUMMYFUNCTION("""COMPUTED_VALUE"""),45020.6666666666)</f>
        <v>45020.666666666599</v>
      </c>
      <c r="B65" s="2">
        <f ca="1">IFERROR(__xludf.DUMMYFUNCTION("""COMPUTED_VALUE"""),166.6)</f>
        <v>166.6</v>
      </c>
      <c r="C65" s="2">
        <f ca="1">IFERROR(__xludf.DUMMYFUNCTION("""COMPUTED_VALUE"""),166.84)</f>
        <v>166.84</v>
      </c>
      <c r="D65" s="2">
        <f ca="1">IFERROR(__xludf.DUMMYFUNCTION("""COMPUTED_VALUE"""),165.11)</f>
        <v>165.11</v>
      </c>
      <c r="E65" s="2">
        <f ca="1">IFERROR(__xludf.DUMMYFUNCTION("""COMPUTED_VALUE"""),165.63)</f>
        <v>165.63</v>
      </c>
      <c r="F65" s="2">
        <f ca="1">IFERROR(__xludf.DUMMYFUNCTION("""COMPUTED_VALUE"""),46278295)</f>
        <v>46278295</v>
      </c>
    </row>
    <row r="66" spans="1:6" ht="12.5" x14ac:dyDescent="0.25">
      <c r="A66" s="3">
        <f ca="1">IFERROR(__xludf.DUMMYFUNCTION("""COMPUTED_VALUE"""),45021.6666666666)</f>
        <v>45021.666666666599</v>
      </c>
      <c r="B66" s="2">
        <f ca="1">IFERROR(__xludf.DUMMYFUNCTION("""COMPUTED_VALUE"""),164.74)</f>
        <v>164.74</v>
      </c>
      <c r="C66" s="2">
        <f ca="1">IFERROR(__xludf.DUMMYFUNCTION("""COMPUTED_VALUE"""),165.05)</f>
        <v>165.05</v>
      </c>
      <c r="D66" s="2">
        <f ca="1">IFERROR(__xludf.DUMMYFUNCTION("""COMPUTED_VALUE"""),161.8)</f>
        <v>161.80000000000001</v>
      </c>
      <c r="E66" s="2">
        <f ca="1">IFERROR(__xludf.DUMMYFUNCTION("""COMPUTED_VALUE"""),163.76)</f>
        <v>163.76</v>
      </c>
      <c r="F66" s="2">
        <f ca="1">IFERROR(__xludf.DUMMYFUNCTION("""COMPUTED_VALUE"""),51511744)</f>
        <v>51511744</v>
      </c>
    </row>
    <row r="67" spans="1:6" ht="12.5" x14ac:dyDescent="0.25">
      <c r="A67" s="3">
        <f ca="1">IFERROR(__xludf.DUMMYFUNCTION("""COMPUTED_VALUE"""),45022.6666666666)</f>
        <v>45022.666666666599</v>
      </c>
      <c r="B67" s="2">
        <f ca="1">IFERROR(__xludf.DUMMYFUNCTION("""COMPUTED_VALUE"""),162.43)</f>
        <v>162.43</v>
      </c>
      <c r="C67" s="2">
        <f ca="1">IFERROR(__xludf.DUMMYFUNCTION("""COMPUTED_VALUE"""),164.96)</f>
        <v>164.96</v>
      </c>
      <c r="D67" s="2">
        <f ca="1">IFERROR(__xludf.DUMMYFUNCTION("""COMPUTED_VALUE"""),162)</f>
        <v>162</v>
      </c>
      <c r="E67" s="2">
        <f ca="1">IFERROR(__xludf.DUMMYFUNCTION("""COMPUTED_VALUE"""),164.66)</f>
        <v>164.66</v>
      </c>
      <c r="F67" s="2">
        <f ca="1">IFERROR(__xludf.DUMMYFUNCTION("""COMPUTED_VALUE"""),45390123)</f>
        <v>45390123</v>
      </c>
    </row>
    <row r="68" spans="1:6" ht="12.5" x14ac:dyDescent="0.25">
      <c r="A68" s="3">
        <f ca="1">IFERROR(__xludf.DUMMYFUNCTION("""COMPUTED_VALUE"""),45026.6666666666)</f>
        <v>45026.666666666599</v>
      </c>
      <c r="B68" s="2">
        <f ca="1">IFERROR(__xludf.DUMMYFUNCTION("""COMPUTED_VALUE"""),161.42)</f>
        <v>161.41999999999999</v>
      </c>
      <c r="C68" s="2">
        <f ca="1">IFERROR(__xludf.DUMMYFUNCTION("""COMPUTED_VALUE"""),162.03)</f>
        <v>162.03</v>
      </c>
      <c r="D68" s="2">
        <f ca="1">IFERROR(__xludf.DUMMYFUNCTION("""COMPUTED_VALUE"""),160.08)</f>
        <v>160.08000000000001</v>
      </c>
      <c r="E68" s="2">
        <f ca="1">IFERROR(__xludf.DUMMYFUNCTION("""COMPUTED_VALUE"""),162.03)</f>
        <v>162.03</v>
      </c>
      <c r="F68" s="2">
        <f ca="1">IFERROR(__xludf.DUMMYFUNCTION("""COMPUTED_VALUE"""),47716882)</f>
        <v>47716882</v>
      </c>
    </row>
    <row r="69" spans="1:6" ht="12.5" x14ac:dyDescent="0.25">
      <c r="A69" s="3">
        <f ca="1">IFERROR(__xludf.DUMMYFUNCTION("""COMPUTED_VALUE"""),45027.6666666666)</f>
        <v>45027.666666666599</v>
      </c>
      <c r="B69" s="2">
        <f ca="1">IFERROR(__xludf.DUMMYFUNCTION("""COMPUTED_VALUE"""),162.35)</f>
        <v>162.35</v>
      </c>
      <c r="C69" s="2">
        <f ca="1">IFERROR(__xludf.DUMMYFUNCTION("""COMPUTED_VALUE"""),162.36)</f>
        <v>162.36000000000001</v>
      </c>
      <c r="D69" s="2">
        <f ca="1">IFERROR(__xludf.DUMMYFUNCTION("""COMPUTED_VALUE"""),160.51)</f>
        <v>160.51</v>
      </c>
      <c r="E69" s="2">
        <f ca="1">IFERROR(__xludf.DUMMYFUNCTION("""COMPUTED_VALUE"""),160.8)</f>
        <v>160.80000000000001</v>
      </c>
      <c r="F69" s="2">
        <f ca="1">IFERROR(__xludf.DUMMYFUNCTION("""COMPUTED_VALUE"""),47644217)</f>
        <v>47644217</v>
      </c>
    </row>
    <row r="70" spans="1:6" ht="12.5" x14ac:dyDescent="0.25">
      <c r="A70" s="3">
        <f ca="1">IFERROR(__xludf.DUMMYFUNCTION("""COMPUTED_VALUE"""),45028.6666666666)</f>
        <v>45028.666666666599</v>
      </c>
      <c r="B70" s="2">
        <f ca="1">IFERROR(__xludf.DUMMYFUNCTION("""COMPUTED_VALUE"""),161.22)</f>
        <v>161.22</v>
      </c>
      <c r="C70" s="2">
        <f ca="1">IFERROR(__xludf.DUMMYFUNCTION("""COMPUTED_VALUE"""),162.06)</f>
        <v>162.06</v>
      </c>
      <c r="D70" s="2">
        <f ca="1">IFERROR(__xludf.DUMMYFUNCTION("""COMPUTED_VALUE"""),159.78)</f>
        <v>159.78</v>
      </c>
      <c r="E70" s="2">
        <f ca="1">IFERROR(__xludf.DUMMYFUNCTION("""COMPUTED_VALUE"""),160.1)</f>
        <v>160.1</v>
      </c>
      <c r="F70" s="2">
        <f ca="1">IFERROR(__xludf.DUMMYFUNCTION("""COMPUTED_VALUE"""),50133062)</f>
        <v>50133062</v>
      </c>
    </row>
    <row r="71" spans="1:6" ht="12.5" x14ac:dyDescent="0.25">
      <c r="A71" s="3">
        <f ca="1">IFERROR(__xludf.DUMMYFUNCTION("""COMPUTED_VALUE"""),45029.6666666666)</f>
        <v>45029.666666666599</v>
      </c>
      <c r="B71" s="2">
        <f ca="1">IFERROR(__xludf.DUMMYFUNCTION("""COMPUTED_VALUE"""),161.63)</f>
        <v>161.63</v>
      </c>
      <c r="C71" s="2">
        <f ca="1">IFERROR(__xludf.DUMMYFUNCTION("""COMPUTED_VALUE"""),165.8)</f>
        <v>165.8</v>
      </c>
      <c r="D71" s="2">
        <f ca="1">IFERROR(__xludf.DUMMYFUNCTION("""COMPUTED_VALUE"""),161.42)</f>
        <v>161.41999999999999</v>
      </c>
      <c r="E71" s="2">
        <f ca="1">IFERROR(__xludf.DUMMYFUNCTION("""COMPUTED_VALUE"""),165.56)</f>
        <v>165.56</v>
      </c>
      <c r="F71" s="2">
        <f ca="1">IFERROR(__xludf.DUMMYFUNCTION("""COMPUTED_VALUE"""),68445649)</f>
        <v>68445649</v>
      </c>
    </row>
    <row r="72" spans="1:6" ht="12.5" x14ac:dyDescent="0.25">
      <c r="A72" s="3">
        <f ca="1">IFERROR(__xludf.DUMMYFUNCTION("""COMPUTED_VALUE"""),45030.6666666666)</f>
        <v>45030.666666666599</v>
      </c>
      <c r="B72" s="2">
        <f ca="1">IFERROR(__xludf.DUMMYFUNCTION("""COMPUTED_VALUE"""),164.59)</f>
        <v>164.59</v>
      </c>
      <c r="C72" s="2">
        <f ca="1">IFERROR(__xludf.DUMMYFUNCTION("""COMPUTED_VALUE"""),166.32)</f>
        <v>166.32</v>
      </c>
      <c r="D72" s="2">
        <f ca="1">IFERROR(__xludf.DUMMYFUNCTION("""COMPUTED_VALUE"""),163.82)</f>
        <v>163.82</v>
      </c>
      <c r="E72" s="2">
        <f ca="1">IFERROR(__xludf.DUMMYFUNCTION("""COMPUTED_VALUE"""),165.21)</f>
        <v>165.21</v>
      </c>
      <c r="F72" s="2">
        <f ca="1">IFERROR(__xludf.DUMMYFUNCTION("""COMPUTED_VALUE"""),49386480)</f>
        <v>49386480</v>
      </c>
    </row>
    <row r="73" spans="1:6" ht="12.5" x14ac:dyDescent="0.25">
      <c r="A73" s="3">
        <f ca="1">IFERROR(__xludf.DUMMYFUNCTION("""COMPUTED_VALUE"""),45033.6666666666)</f>
        <v>45033.666666666599</v>
      </c>
      <c r="B73" s="2">
        <f ca="1">IFERROR(__xludf.DUMMYFUNCTION("""COMPUTED_VALUE"""),165.09)</f>
        <v>165.09</v>
      </c>
      <c r="C73" s="2">
        <f ca="1">IFERROR(__xludf.DUMMYFUNCTION("""COMPUTED_VALUE"""),165.39)</f>
        <v>165.39</v>
      </c>
      <c r="D73" s="2">
        <f ca="1">IFERROR(__xludf.DUMMYFUNCTION("""COMPUTED_VALUE"""),164.03)</f>
        <v>164.03</v>
      </c>
      <c r="E73" s="2">
        <f ca="1">IFERROR(__xludf.DUMMYFUNCTION("""COMPUTED_VALUE"""),165.23)</f>
        <v>165.23</v>
      </c>
      <c r="F73" s="2">
        <f ca="1">IFERROR(__xludf.DUMMYFUNCTION("""COMPUTED_VALUE"""),41516217)</f>
        <v>41516217</v>
      </c>
    </row>
    <row r="74" spans="1:6" ht="12.5" x14ac:dyDescent="0.25">
      <c r="A74" s="3">
        <f ca="1">IFERROR(__xludf.DUMMYFUNCTION("""COMPUTED_VALUE"""),45034.6666666666)</f>
        <v>45034.666666666599</v>
      </c>
      <c r="B74" s="2">
        <f ca="1">IFERROR(__xludf.DUMMYFUNCTION("""COMPUTED_VALUE"""),166.1)</f>
        <v>166.1</v>
      </c>
      <c r="C74" s="2">
        <f ca="1">IFERROR(__xludf.DUMMYFUNCTION("""COMPUTED_VALUE"""),167.41)</f>
        <v>167.41</v>
      </c>
      <c r="D74" s="2">
        <f ca="1">IFERROR(__xludf.DUMMYFUNCTION("""COMPUTED_VALUE"""),165.65)</f>
        <v>165.65</v>
      </c>
      <c r="E74" s="2">
        <f ca="1">IFERROR(__xludf.DUMMYFUNCTION("""COMPUTED_VALUE"""),166.47)</f>
        <v>166.47</v>
      </c>
      <c r="F74" s="2">
        <f ca="1">IFERROR(__xludf.DUMMYFUNCTION("""COMPUTED_VALUE"""),49923008)</f>
        <v>49923008</v>
      </c>
    </row>
    <row r="75" spans="1:6" ht="12.5" x14ac:dyDescent="0.25">
      <c r="A75" s="3">
        <f ca="1">IFERROR(__xludf.DUMMYFUNCTION("""COMPUTED_VALUE"""),45035.6666666666)</f>
        <v>45035.666666666599</v>
      </c>
      <c r="B75" s="2">
        <f ca="1">IFERROR(__xludf.DUMMYFUNCTION("""COMPUTED_VALUE"""),165.8)</f>
        <v>165.8</v>
      </c>
      <c r="C75" s="2">
        <f ca="1">IFERROR(__xludf.DUMMYFUNCTION("""COMPUTED_VALUE"""),168.16)</f>
        <v>168.16</v>
      </c>
      <c r="D75" s="2">
        <f ca="1">IFERROR(__xludf.DUMMYFUNCTION("""COMPUTED_VALUE"""),165.54)</f>
        <v>165.54</v>
      </c>
      <c r="E75" s="2">
        <f ca="1">IFERROR(__xludf.DUMMYFUNCTION("""COMPUTED_VALUE"""),167.63)</f>
        <v>167.63</v>
      </c>
      <c r="F75" s="2">
        <f ca="1">IFERROR(__xludf.DUMMYFUNCTION("""COMPUTED_VALUE"""),47720166)</f>
        <v>47720166</v>
      </c>
    </row>
    <row r="76" spans="1:6" ht="12.5" x14ac:dyDescent="0.25">
      <c r="A76" s="3">
        <f ca="1">IFERROR(__xludf.DUMMYFUNCTION("""COMPUTED_VALUE"""),45036.6666666666)</f>
        <v>45036.666666666599</v>
      </c>
      <c r="B76" s="2">
        <f ca="1">IFERROR(__xludf.DUMMYFUNCTION("""COMPUTED_VALUE"""),166.09)</f>
        <v>166.09</v>
      </c>
      <c r="C76" s="2">
        <f ca="1">IFERROR(__xludf.DUMMYFUNCTION("""COMPUTED_VALUE"""),167.87)</f>
        <v>167.87</v>
      </c>
      <c r="D76" s="2">
        <f ca="1">IFERROR(__xludf.DUMMYFUNCTION("""COMPUTED_VALUE"""),165.56)</f>
        <v>165.56</v>
      </c>
      <c r="E76" s="2">
        <f ca="1">IFERROR(__xludf.DUMMYFUNCTION("""COMPUTED_VALUE"""),166.65)</f>
        <v>166.65</v>
      </c>
      <c r="F76" s="2">
        <f ca="1">IFERROR(__xludf.DUMMYFUNCTION("""COMPUTED_VALUE"""),52456377)</f>
        <v>52456377</v>
      </c>
    </row>
    <row r="77" spans="1:6" ht="12.5" x14ac:dyDescent="0.25">
      <c r="A77" s="3">
        <f ca="1">IFERROR(__xludf.DUMMYFUNCTION("""COMPUTED_VALUE"""),45037.6666666666)</f>
        <v>45037.666666666599</v>
      </c>
      <c r="B77" s="2">
        <f ca="1">IFERROR(__xludf.DUMMYFUNCTION("""COMPUTED_VALUE"""),165.05)</f>
        <v>165.05</v>
      </c>
      <c r="C77" s="2">
        <f ca="1">IFERROR(__xludf.DUMMYFUNCTION("""COMPUTED_VALUE"""),166.45)</f>
        <v>166.45</v>
      </c>
      <c r="D77" s="2">
        <f ca="1">IFERROR(__xludf.DUMMYFUNCTION("""COMPUTED_VALUE"""),164.49)</f>
        <v>164.49</v>
      </c>
      <c r="E77" s="2">
        <f ca="1">IFERROR(__xludf.DUMMYFUNCTION("""COMPUTED_VALUE"""),165.02)</f>
        <v>165.02</v>
      </c>
      <c r="F77" s="2">
        <f ca="1">IFERROR(__xludf.DUMMYFUNCTION("""COMPUTED_VALUE"""),58337341)</f>
        <v>58337341</v>
      </c>
    </row>
    <row r="78" spans="1:6" ht="12.5" x14ac:dyDescent="0.25">
      <c r="A78" s="3">
        <f ca="1">IFERROR(__xludf.DUMMYFUNCTION("""COMPUTED_VALUE"""),45040.6666666666)</f>
        <v>45040.666666666599</v>
      </c>
      <c r="B78" s="2">
        <f ca="1">IFERROR(__xludf.DUMMYFUNCTION("""COMPUTED_VALUE"""),165)</f>
        <v>165</v>
      </c>
      <c r="C78" s="2">
        <f ca="1">IFERROR(__xludf.DUMMYFUNCTION("""COMPUTED_VALUE"""),165.6)</f>
        <v>165.6</v>
      </c>
      <c r="D78" s="2">
        <f ca="1">IFERROR(__xludf.DUMMYFUNCTION("""COMPUTED_VALUE"""),163.89)</f>
        <v>163.89</v>
      </c>
      <c r="E78" s="2">
        <f ca="1">IFERROR(__xludf.DUMMYFUNCTION("""COMPUTED_VALUE"""),165.33)</f>
        <v>165.33</v>
      </c>
      <c r="F78" s="2">
        <f ca="1">IFERROR(__xludf.DUMMYFUNCTION("""COMPUTED_VALUE"""),41949581)</f>
        <v>41949581</v>
      </c>
    </row>
    <row r="79" spans="1:6" ht="12.5" x14ac:dyDescent="0.25">
      <c r="A79" s="3">
        <f ca="1">IFERROR(__xludf.DUMMYFUNCTION("""COMPUTED_VALUE"""),45041.6666666666)</f>
        <v>45041.666666666599</v>
      </c>
      <c r="B79" s="2">
        <f ca="1">IFERROR(__xludf.DUMMYFUNCTION("""COMPUTED_VALUE"""),165.19)</f>
        <v>165.19</v>
      </c>
      <c r="C79" s="2">
        <f ca="1">IFERROR(__xludf.DUMMYFUNCTION("""COMPUTED_VALUE"""),166.31)</f>
        <v>166.31</v>
      </c>
      <c r="D79" s="2">
        <f ca="1">IFERROR(__xludf.DUMMYFUNCTION("""COMPUTED_VALUE"""),163.73)</f>
        <v>163.72999999999999</v>
      </c>
      <c r="E79" s="2">
        <f ca="1">IFERROR(__xludf.DUMMYFUNCTION("""COMPUTED_VALUE"""),163.77)</f>
        <v>163.77000000000001</v>
      </c>
      <c r="F79" s="2">
        <f ca="1">IFERROR(__xludf.DUMMYFUNCTION("""COMPUTED_VALUE"""),48714063)</f>
        <v>48714063</v>
      </c>
    </row>
    <row r="80" spans="1:6" ht="12.5" x14ac:dyDescent="0.25">
      <c r="A80" s="3">
        <f ca="1">IFERROR(__xludf.DUMMYFUNCTION("""COMPUTED_VALUE"""),45042.6666666666)</f>
        <v>45042.666666666599</v>
      </c>
      <c r="B80" s="2">
        <f ca="1">IFERROR(__xludf.DUMMYFUNCTION("""COMPUTED_VALUE"""),163.06)</f>
        <v>163.06</v>
      </c>
      <c r="C80" s="2">
        <f ca="1">IFERROR(__xludf.DUMMYFUNCTION("""COMPUTED_VALUE"""),165.28)</f>
        <v>165.28</v>
      </c>
      <c r="D80" s="2">
        <f ca="1">IFERROR(__xludf.DUMMYFUNCTION("""COMPUTED_VALUE"""),162.8)</f>
        <v>162.80000000000001</v>
      </c>
      <c r="E80" s="2">
        <f ca="1">IFERROR(__xludf.DUMMYFUNCTION("""COMPUTED_VALUE"""),163.76)</f>
        <v>163.76</v>
      </c>
      <c r="F80" s="2">
        <f ca="1">IFERROR(__xludf.DUMMYFUNCTION("""COMPUTED_VALUE"""),45498796)</f>
        <v>45498796</v>
      </c>
    </row>
    <row r="81" spans="1:6" ht="12.5" x14ac:dyDescent="0.25">
      <c r="A81" s="3">
        <f ca="1">IFERROR(__xludf.DUMMYFUNCTION("""COMPUTED_VALUE"""),45043.6666666666)</f>
        <v>45043.666666666599</v>
      </c>
      <c r="B81" s="2">
        <f ca="1">IFERROR(__xludf.DUMMYFUNCTION("""COMPUTED_VALUE"""),165.19)</f>
        <v>165.19</v>
      </c>
      <c r="C81" s="2">
        <f ca="1">IFERROR(__xludf.DUMMYFUNCTION("""COMPUTED_VALUE"""),168.56)</f>
        <v>168.56</v>
      </c>
      <c r="D81" s="2">
        <f ca="1">IFERROR(__xludf.DUMMYFUNCTION("""COMPUTED_VALUE"""),165.19)</f>
        <v>165.19</v>
      </c>
      <c r="E81" s="2">
        <f ca="1">IFERROR(__xludf.DUMMYFUNCTION("""COMPUTED_VALUE"""),168.41)</f>
        <v>168.41</v>
      </c>
      <c r="F81" s="2">
        <f ca="1">IFERROR(__xludf.DUMMYFUNCTION("""COMPUTED_VALUE"""),64902329)</f>
        <v>64902329</v>
      </c>
    </row>
    <row r="82" spans="1:6" ht="12.5" x14ac:dyDescent="0.25">
      <c r="A82" s="3">
        <f ca="1">IFERROR(__xludf.DUMMYFUNCTION("""COMPUTED_VALUE"""),45044.6666666666)</f>
        <v>45044.666666666599</v>
      </c>
      <c r="B82" s="2">
        <f ca="1">IFERROR(__xludf.DUMMYFUNCTION("""COMPUTED_VALUE"""),168.49)</f>
        <v>168.49</v>
      </c>
      <c r="C82" s="2">
        <f ca="1">IFERROR(__xludf.DUMMYFUNCTION("""COMPUTED_VALUE"""),169.85)</f>
        <v>169.85</v>
      </c>
      <c r="D82" s="2">
        <f ca="1">IFERROR(__xludf.DUMMYFUNCTION("""COMPUTED_VALUE"""),167.88)</f>
        <v>167.88</v>
      </c>
      <c r="E82" s="2">
        <f ca="1">IFERROR(__xludf.DUMMYFUNCTION("""COMPUTED_VALUE"""),169.68)</f>
        <v>169.68</v>
      </c>
      <c r="F82" s="2">
        <f ca="1">IFERROR(__xludf.DUMMYFUNCTION("""COMPUTED_VALUE"""),55275851)</f>
        <v>55275851</v>
      </c>
    </row>
    <row r="83" spans="1:6" ht="12.5" x14ac:dyDescent="0.25">
      <c r="A83" s="3">
        <f ca="1">IFERROR(__xludf.DUMMYFUNCTION("""COMPUTED_VALUE"""),45047.6666666666)</f>
        <v>45047.666666666599</v>
      </c>
      <c r="B83" s="2">
        <f ca="1">IFERROR(__xludf.DUMMYFUNCTION("""COMPUTED_VALUE"""),169.28)</f>
        <v>169.28</v>
      </c>
      <c r="C83" s="2">
        <f ca="1">IFERROR(__xludf.DUMMYFUNCTION("""COMPUTED_VALUE"""),170.45)</f>
        <v>170.45</v>
      </c>
      <c r="D83" s="2">
        <f ca="1">IFERROR(__xludf.DUMMYFUNCTION("""COMPUTED_VALUE"""),168.64)</f>
        <v>168.64</v>
      </c>
      <c r="E83" s="2">
        <f ca="1">IFERROR(__xludf.DUMMYFUNCTION("""COMPUTED_VALUE"""),169.59)</f>
        <v>169.59</v>
      </c>
      <c r="F83" s="2">
        <f ca="1">IFERROR(__xludf.DUMMYFUNCTION("""COMPUTED_VALUE"""),52472936)</f>
        <v>52472936</v>
      </c>
    </row>
    <row r="84" spans="1:6" ht="12.5" x14ac:dyDescent="0.25">
      <c r="A84" s="3">
        <f ca="1">IFERROR(__xludf.DUMMYFUNCTION("""COMPUTED_VALUE"""),45048.6666666666)</f>
        <v>45048.666666666599</v>
      </c>
      <c r="B84" s="2">
        <f ca="1">IFERROR(__xludf.DUMMYFUNCTION("""COMPUTED_VALUE"""),170.09)</f>
        <v>170.09</v>
      </c>
      <c r="C84" s="2">
        <f ca="1">IFERROR(__xludf.DUMMYFUNCTION("""COMPUTED_VALUE"""),170.35)</f>
        <v>170.35</v>
      </c>
      <c r="D84" s="2">
        <f ca="1">IFERROR(__xludf.DUMMYFUNCTION("""COMPUTED_VALUE"""),167.54)</f>
        <v>167.54</v>
      </c>
      <c r="E84" s="2">
        <f ca="1">IFERROR(__xludf.DUMMYFUNCTION("""COMPUTED_VALUE"""),168.54)</f>
        <v>168.54</v>
      </c>
      <c r="F84" s="2">
        <f ca="1">IFERROR(__xludf.DUMMYFUNCTION("""COMPUTED_VALUE"""),48425696)</f>
        <v>48425696</v>
      </c>
    </row>
    <row r="85" spans="1:6" ht="12.5" x14ac:dyDescent="0.25">
      <c r="A85" s="3">
        <f ca="1">IFERROR(__xludf.DUMMYFUNCTION("""COMPUTED_VALUE"""),45049.6666666666)</f>
        <v>45049.666666666599</v>
      </c>
      <c r="B85" s="2">
        <f ca="1">IFERROR(__xludf.DUMMYFUNCTION("""COMPUTED_VALUE"""),169.5)</f>
        <v>169.5</v>
      </c>
      <c r="C85" s="2">
        <f ca="1">IFERROR(__xludf.DUMMYFUNCTION("""COMPUTED_VALUE"""),170.92)</f>
        <v>170.92</v>
      </c>
      <c r="D85" s="2">
        <f ca="1">IFERROR(__xludf.DUMMYFUNCTION("""COMPUTED_VALUE"""),167.16)</f>
        <v>167.16</v>
      </c>
      <c r="E85" s="2">
        <f ca="1">IFERROR(__xludf.DUMMYFUNCTION("""COMPUTED_VALUE"""),167.45)</f>
        <v>167.45</v>
      </c>
      <c r="F85" s="2">
        <f ca="1">IFERROR(__xludf.DUMMYFUNCTION("""COMPUTED_VALUE"""),65136018)</f>
        <v>65136018</v>
      </c>
    </row>
    <row r="86" spans="1:6" ht="12.5" x14ac:dyDescent="0.25">
      <c r="A86" s="3">
        <f ca="1">IFERROR(__xludf.DUMMYFUNCTION("""COMPUTED_VALUE"""),45050.6666666666)</f>
        <v>45050.666666666599</v>
      </c>
      <c r="B86" s="2">
        <f ca="1">IFERROR(__xludf.DUMMYFUNCTION("""COMPUTED_VALUE"""),164.89)</f>
        <v>164.89</v>
      </c>
      <c r="C86" s="2">
        <f ca="1">IFERROR(__xludf.DUMMYFUNCTION("""COMPUTED_VALUE"""),167.04)</f>
        <v>167.04</v>
      </c>
      <c r="D86" s="2">
        <f ca="1">IFERROR(__xludf.DUMMYFUNCTION("""COMPUTED_VALUE"""),164.31)</f>
        <v>164.31</v>
      </c>
      <c r="E86" s="2">
        <f ca="1">IFERROR(__xludf.DUMMYFUNCTION("""COMPUTED_VALUE"""),165.79)</f>
        <v>165.79</v>
      </c>
      <c r="F86" s="2">
        <f ca="1">IFERROR(__xludf.DUMMYFUNCTION("""COMPUTED_VALUE"""),81235427)</f>
        <v>81235427</v>
      </c>
    </row>
    <row r="87" spans="1:6" ht="12.5" x14ac:dyDescent="0.25">
      <c r="A87" s="3">
        <f ca="1">IFERROR(__xludf.DUMMYFUNCTION("""COMPUTED_VALUE"""),45051.6666666666)</f>
        <v>45051.666666666599</v>
      </c>
      <c r="B87" s="2">
        <f ca="1">IFERROR(__xludf.DUMMYFUNCTION("""COMPUTED_VALUE"""),170.98)</f>
        <v>170.98</v>
      </c>
      <c r="C87" s="2">
        <f ca="1">IFERROR(__xludf.DUMMYFUNCTION("""COMPUTED_VALUE"""),174.3)</f>
        <v>174.3</v>
      </c>
      <c r="D87" s="2">
        <f ca="1">IFERROR(__xludf.DUMMYFUNCTION("""COMPUTED_VALUE"""),170.76)</f>
        <v>170.76</v>
      </c>
      <c r="E87" s="2">
        <f ca="1">IFERROR(__xludf.DUMMYFUNCTION("""COMPUTED_VALUE"""),173.57)</f>
        <v>173.57</v>
      </c>
      <c r="F87" s="2">
        <f ca="1">IFERROR(__xludf.DUMMYFUNCTION("""COMPUTED_VALUE"""),113453171)</f>
        <v>113453171</v>
      </c>
    </row>
    <row r="88" spans="1:6" ht="12.5" x14ac:dyDescent="0.25">
      <c r="A88" s="3">
        <f ca="1">IFERROR(__xludf.DUMMYFUNCTION("""COMPUTED_VALUE"""),45054.6666666666)</f>
        <v>45054.666666666599</v>
      </c>
      <c r="B88" s="2">
        <f ca="1">IFERROR(__xludf.DUMMYFUNCTION("""COMPUTED_VALUE"""),172.48)</f>
        <v>172.48</v>
      </c>
      <c r="C88" s="2">
        <f ca="1">IFERROR(__xludf.DUMMYFUNCTION("""COMPUTED_VALUE"""),173.85)</f>
        <v>173.85</v>
      </c>
      <c r="D88" s="2">
        <f ca="1">IFERROR(__xludf.DUMMYFUNCTION("""COMPUTED_VALUE"""),172.11)</f>
        <v>172.11</v>
      </c>
      <c r="E88" s="2">
        <f ca="1">IFERROR(__xludf.DUMMYFUNCTION("""COMPUTED_VALUE"""),173.5)</f>
        <v>173.5</v>
      </c>
      <c r="F88" s="2">
        <f ca="1">IFERROR(__xludf.DUMMYFUNCTION("""COMPUTED_VALUE"""),55962793)</f>
        <v>55962793</v>
      </c>
    </row>
    <row r="89" spans="1:6" ht="12.5" x14ac:dyDescent="0.25">
      <c r="A89" s="3">
        <f ca="1">IFERROR(__xludf.DUMMYFUNCTION("""COMPUTED_VALUE"""),45055.6666666666)</f>
        <v>45055.666666666599</v>
      </c>
      <c r="B89" s="2">
        <f ca="1">IFERROR(__xludf.DUMMYFUNCTION("""COMPUTED_VALUE"""),173.05)</f>
        <v>173.05</v>
      </c>
      <c r="C89" s="2">
        <f ca="1">IFERROR(__xludf.DUMMYFUNCTION("""COMPUTED_VALUE"""),173.54)</f>
        <v>173.54</v>
      </c>
      <c r="D89" s="2">
        <f ca="1">IFERROR(__xludf.DUMMYFUNCTION("""COMPUTED_VALUE"""),171.6)</f>
        <v>171.6</v>
      </c>
      <c r="E89" s="2">
        <f ca="1">IFERROR(__xludf.DUMMYFUNCTION("""COMPUTED_VALUE"""),171.77)</f>
        <v>171.77</v>
      </c>
      <c r="F89" s="2">
        <f ca="1">IFERROR(__xludf.DUMMYFUNCTION("""COMPUTED_VALUE"""),45326874)</f>
        <v>45326874</v>
      </c>
    </row>
    <row r="90" spans="1:6" ht="12.5" x14ac:dyDescent="0.25">
      <c r="A90" s="3">
        <f ca="1">IFERROR(__xludf.DUMMYFUNCTION("""COMPUTED_VALUE"""),45056.6666666666)</f>
        <v>45056.666666666599</v>
      </c>
      <c r="B90" s="2">
        <f ca="1">IFERROR(__xludf.DUMMYFUNCTION("""COMPUTED_VALUE"""),173.02)</f>
        <v>173.02</v>
      </c>
      <c r="C90" s="2">
        <f ca="1">IFERROR(__xludf.DUMMYFUNCTION("""COMPUTED_VALUE"""),174.03)</f>
        <v>174.03</v>
      </c>
      <c r="D90" s="2">
        <f ca="1">IFERROR(__xludf.DUMMYFUNCTION("""COMPUTED_VALUE"""),171.9)</f>
        <v>171.9</v>
      </c>
      <c r="E90" s="2">
        <f ca="1">IFERROR(__xludf.DUMMYFUNCTION("""COMPUTED_VALUE"""),173.56)</f>
        <v>173.56</v>
      </c>
      <c r="F90" s="2">
        <f ca="1">IFERROR(__xludf.DUMMYFUNCTION("""COMPUTED_VALUE"""),53724501)</f>
        <v>53724501</v>
      </c>
    </row>
    <row r="91" spans="1:6" ht="12.5" x14ac:dyDescent="0.25">
      <c r="A91" s="3">
        <f ca="1">IFERROR(__xludf.DUMMYFUNCTION("""COMPUTED_VALUE"""),45057.6666666666)</f>
        <v>45057.666666666599</v>
      </c>
      <c r="B91" s="2">
        <f ca="1">IFERROR(__xludf.DUMMYFUNCTION("""COMPUTED_VALUE"""),173.85)</f>
        <v>173.85</v>
      </c>
      <c r="C91" s="2">
        <f ca="1">IFERROR(__xludf.DUMMYFUNCTION("""COMPUTED_VALUE"""),174.59)</f>
        <v>174.59</v>
      </c>
      <c r="D91" s="2">
        <f ca="1">IFERROR(__xludf.DUMMYFUNCTION("""COMPUTED_VALUE"""),172.17)</f>
        <v>172.17</v>
      </c>
      <c r="E91" s="2">
        <f ca="1">IFERROR(__xludf.DUMMYFUNCTION("""COMPUTED_VALUE"""),173.75)</f>
        <v>173.75</v>
      </c>
      <c r="F91" s="2">
        <f ca="1">IFERROR(__xludf.DUMMYFUNCTION("""COMPUTED_VALUE"""),49514676)</f>
        <v>49514676</v>
      </c>
    </row>
    <row r="92" spans="1:6" ht="12.5" x14ac:dyDescent="0.25">
      <c r="A92" s="3">
        <f ca="1">IFERROR(__xludf.DUMMYFUNCTION("""COMPUTED_VALUE"""),45058.6666666666)</f>
        <v>45058.666666666599</v>
      </c>
      <c r="B92" s="2">
        <f ca="1">IFERROR(__xludf.DUMMYFUNCTION("""COMPUTED_VALUE"""),173.62)</f>
        <v>173.62</v>
      </c>
      <c r="C92" s="2">
        <f ca="1">IFERROR(__xludf.DUMMYFUNCTION("""COMPUTED_VALUE"""),174.06)</f>
        <v>174.06</v>
      </c>
      <c r="D92" s="2">
        <f ca="1">IFERROR(__xludf.DUMMYFUNCTION("""COMPUTED_VALUE"""),171)</f>
        <v>171</v>
      </c>
      <c r="E92" s="2">
        <f ca="1">IFERROR(__xludf.DUMMYFUNCTION("""COMPUTED_VALUE"""),172.57)</f>
        <v>172.57</v>
      </c>
      <c r="F92" s="2">
        <f ca="1">IFERROR(__xludf.DUMMYFUNCTION("""COMPUTED_VALUE"""),45533138)</f>
        <v>45533138</v>
      </c>
    </row>
    <row r="93" spans="1:6" ht="12.5" x14ac:dyDescent="0.25">
      <c r="A93" s="3">
        <f ca="1">IFERROR(__xludf.DUMMYFUNCTION("""COMPUTED_VALUE"""),45061.6666666666)</f>
        <v>45061.666666666599</v>
      </c>
      <c r="B93" s="2">
        <f ca="1">IFERROR(__xludf.DUMMYFUNCTION("""COMPUTED_VALUE"""),173.16)</f>
        <v>173.16</v>
      </c>
      <c r="C93" s="2">
        <f ca="1">IFERROR(__xludf.DUMMYFUNCTION("""COMPUTED_VALUE"""),173.21)</f>
        <v>173.21</v>
      </c>
      <c r="D93" s="2">
        <f ca="1">IFERROR(__xludf.DUMMYFUNCTION("""COMPUTED_VALUE"""),171.47)</f>
        <v>171.47</v>
      </c>
      <c r="E93" s="2">
        <f ca="1">IFERROR(__xludf.DUMMYFUNCTION("""COMPUTED_VALUE"""),172.07)</f>
        <v>172.07</v>
      </c>
      <c r="F93" s="2">
        <f ca="1">IFERROR(__xludf.DUMMYFUNCTION("""COMPUTED_VALUE"""),37266659)</f>
        <v>37266659</v>
      </c>
    </row>
    <row r="94" spans="1:6" ht="12.5" x14ac:dyDescent="0.25">
      <c r="A94" s="3">
        <f ca="1">IFERROR(__xludf.DUMMYFUNCTION("""COMPUTED_VALUE"""),45062.6666666666)</f>
        <v>45062.666666666599</v>
      </c>
      <c r="B94" s="2">
        <f ca="1">IFERROR(__xludf.DUMMYFUNCTION("""COMPUTED_VALUE"""),171.99)</f>
        <v>171.99</v>
      </c>
      <c r="C94" s="2">
        <f ca="1">IFERROR(__xludf.DUMMYFUNCTION("""COMPUTED_VALUE"""),173.14)</f>
        <v>173.14</v>
      </c>
      <c r="D94" s="2">
        <f ca="1">IFERROR(__xludf.DUMMYFUNCTION("""COMPUTED_VALUE"""),171.8)</f>
        <v>171.8</v>
      </c>
      <c r="E94" s="2">
        <f ca="1">IFERROR(__xludf.DUMMYFUNCTION("""COMPUTED_VALUE"""),172.07)</f>
        <v>172.07</v>
      </c>
      <c r="F94" s="2">
        <f ca="1">IFERROR(__xludf.DUMMYFUNCTION("""COMPUTED_VALUE"""),42110293)</f>
        <v>42110293</v>
      </c>
    </row>
    <row r="95" spans="1:6" ht="12.5" x14ac:dyDescent="0.25">
      <c r="A95" s="3">
        <f ca="1">IFERROR(__xludf.DUMMYFUNCTION("""COMPUTED_VALUE"""),45063.6666666666)</f>
        <v>45063.666666666599</v>
      </c>
      <c r="B95" s="2">
        <f ca="1">IFERROR(__xludf.DUMMYFUNCTION("""COMPUTED_VALUE"""),171.71)</f>
        <v>171.71</v>
      </c>
      <c r="C95" s="2">
        <f ca="1">IFERROR(__xludf.DUMMYFUNCTION("""COMPUTED_VALUE"""),172.93)</f>
        <v>172.93</v>
      </c>
      <c r="D95" s="2">
        <f ca="1">IFERROR(__xludf.DUMMYFUNCTION("""COMPUTED_VALUE"""),170.42)</f>
        <v>170.42</v>
      </c>
      <c r="E95" s="2">
        <f ca="1">IFERROR(__xludf.DUMMYFUNCTION("""COMPUTED_VALUE"""),172.69)</f>
        <v>172.69</v>
      </c>
      <c r="F95" s="2">
        <f ca="1">IFERROR(__xludf.DUMMYFUNCTION("""COMPUTED_VALUE"""),57951604)</f>
        <v>57951604</v>
      </c>
    </row>
    <row r="96" spans="1:6" ht="12.5" x14ac:dyDescent="0.25">
      <c r="A96" s="3">
        <f ca="1">IFERROR(__xludf.DUMMYFUNCTION("""COMPUTED_VALUE"""),45064.6666666666)</f>
        <v>45064.666666666599</v>
      </c>
      <c r="B96" s="2">
        <f ca="1">IFERROR(__xludf.DUMMYFUNCTION("""COMPUTED_VALUE"""),173)</f>
        <v>173</v>
      </c>
      <c r="C96" s="2">
        <f ca="1">IFERROR(__xludf.DUMMYFUNCTION("""COMPUTED_VALUE"""),175.24)</f>
        <v>175.24</v>
      </c>
      <c r="D96" s="2">
        <f ca="1">IFERROR(__xludf.DUMMYFUNCTION("""COMPUTED_VALUE"""),172.58)</f>
        <v>172.58</v>
      </c>
      <c r="E96" s="2">
        <f ca="1">IFERROR(__xludf.DUMMYFUNCTION("""COMPUTED_VALUE"""),175.05)</f>
        <v>175.05</v>
      </c>
      <c r="F96" s="2">
        <f ca="1">IFERROR(__xludf.DUMMYFUNCTION("""COMPUTED_VALUE"""),65496657)</f>
        <v>65496657</v>
      </c>
    </row>
    <row r="97" spans="1:6" ht="12.5" x14ac:dyDescent="0.25">
      <c r="A97" s="3">
        <f ca="1">IFERROR(__xludf.DUMMYFUNCTION("""COMPUTED_VALUE"""),45065.6666666666)</f>
        <v>45065.666666666599</v>
      </c>
      <c r="B97" s="2">
        <f ca="1">IFERROR(__xludf.DUMMYFUNCTION("""COMPUTED_VALUE"""),176.39)</f>
        <v>176.39</v>
      </c>
      <c r="C97" s="2">
        <f ca="1">IFERROR(__xludf.DUMMYFUNCTION("""COMPUTED_VALUE"""),176.39)</f>
        <v>176.39</v>
      </c>
      <c r="D97" s="2">
        <f ca="1">IFERROR(__xludf.DUMMYFUNCTION("""COMPUTED_VALUE"""),174.94)</f>
        <v>174.94</v>
      </c>
      <c r="E97" s="2">
        <f ca="1">IFERROR(__xludf.DUMMYFUNCTION("""COMPUTED_VALUE"""),175.16)</f>
        <v>175.16</v>
      </c>
      <c r="F97" s="2">
        <f ca="1">IFERROR(__xludf.DUMMYFUNCTION("""COMPUTED_VALUE"""),55809475)</f>
        <v>55809475</v>
      </c>
    </row>
    <row r="98" spans="1:6" ht="12.5" x14ac:dyDescent="0.25">
      <c r="A98" s="3">
        <f ca="1">IFERROR(__xludf.DUMMYFUNCTION("""COMPUTED_VALUE"""),45068.6666666666)</f>
        <v>45068.666666666599</v>
      </c>
      <c r="B98" s="2">
        <f ca="1">IFERROR(__xludf.DUMMYFUNCTION("""COMPUTED_VALUE"""),173.98)</f>
        <v>173.98</v>
      </c>
      <c r="C98" s="2">
        <f ca="1">IFERROR(__xludf.DUMMYFUNCTION("""COMPUTED_VALUE"""),174.71)</f>
        <v>174.71</v>
      </c>
      <c r="D98" s="2">
        <f ca="1">IFERROR(__xludf.DUMMYFUNCTION("""COMPUTED_VALUE"""),173.45)</f>
        <v>173.45</v>
      </c>
      <c r="E98" s="2">
        <f ca="1">IFERROR(__xludf.DUMMYFUNCTION("""COMPUTED_VALUE"""),174.2)</f>
        <v>174.2</v>
      </c>
      <c r="F98" s="2">
        <f ca="1">IFERROR(__xludf.DUMMYFUNCTION("""COMPUTED_VALUE"""),43570932)</f>
        <v>43570932</v>
      </c>
    </row>
    <row r="99" spans="1:6" ht="12.5" x14ac:dyDescent="0.25">
      <c r="A99" s="3">
        <f ca="1">IFERROR(__xludf.DUMMYFUNCTION("""COMPUTED_VALUE"""),45069.6666666666)</f>
        <v>45069.666666666599</v>
      </c>
      <c r="B99" s="2">
        <f ca="1">IFERROR(__xludf.DUMMYFUNCTION("""COMPUTED_VALUE"""),173.13)</f>
        <v>173.13</v>
      </c>
      <c r="C99" s="2">
        <f ca="1">IFERROR(__xludf.DUMMYFUNCTION("""COMPUTED_VALUE"""),173.38)</f>
        <v>173.38</v>
      </c>
      <c r="D99" s="2">
        <f ca="1">IFERROR(__xludf.DUMMYFUNCTION("""COMPUTED_VALUE"""),171.28)</f>
        <v>171.28</v>
      </c>
      <c r="E99" s="2">
        <f ca="1">IFERROR(__xludf.DUMMYFUNCTION("""COMPUTED_VALUE"""),171.56)</f>
        <v>171.56</v>
      </c>
      <c r="F99" s="2">
        <f ca="1">IFERROR(__xludf.DUMMYFUNCTION("""COMPUTED_VALUE"""),50747263)</f>
        <v>50747263</v>
      </c>
    </row>
    <row r="100" spans="1:6" ht="12.5" x14ac:dyDescent="0.25">
      <c r="A100" s="3">
        <f ca="1">IFERROR(__xludf.DUMMYFUNCTION("""COMPUTED_VALUE"""),45070.6666666666)</f>
        <v>45070.666666666599</v>
      </c>
      <c r="B100" s="2">
        <f ca="1">IFERROR(__xludf.DUMMYFUNCTION("""COMPUTED_VALUE"""),171.09)</f>
        <v>171.09</v>
      </c>
      <c r="C100" s="2">
        <f ca="1">IFERROR(__xludf.DUMMYFUNCTION("""COMPUTED_VALUE"""),172.42)</f>
        <v>172.42</v>
      </c>
      <c r="D100" s="2">
        <f ca="1">IFERROR(__xludf.DUMMYFUNCTION("""COMPUTED_VALUE"""),170.52)</f>
        <v>170.52</v>
      </c>
      <c r="E100" s="2">
        <f ca="1">IFERROR(__xludf.DUMMYFUNCTION("""COMPUTED_VALUE"""),171.84)</f>
        <v>171.84</v>
      </c>
      <c r="F100" s="2">
        <f ca="1">IFERROR(__xludf.DUMMYFUNCTION("""COMPUTED_VALUE"""),45143488)</f>
        <v>45143488</v>
      </c>
    </row>
    <row r="101" spans="1:6" ht="12.5" x14ac:dyDescent="0.25">
      <c r="A101" s="3">
        <f ca="1">IFERROR(__xludf.DUMMYFUNCTION("""COMPUTED_VALUE"""),45071.6666666666)</f>
        <v>45071.666666666599</v>
      </c>
      <c r="B101" s="2">
        <f ca="1">IFERROR(__xludf.DUMMYFUNCTION("""COMPUTED_VALUE"""),172.41)</f>
        <v>172.41</v>
      </c>
      <c r="C101" s="2">
        <f ca="1">IFERROR(__xludf.DUMMYFUNCTION("""COMPUTED_VALUE"""),173.9)</f>
        <v>173.9</v>
      </c>
      <c r="D101" s="2">
        <f ca="1">IFERROR(__xludf.DUMMYFUNCTION("""COMPUTED_VALUE"""),171.69)</f>
        <v>171.69</v>
      </c>
      <c r="E101" s="2">
        <f ca="1">IFERROR(__xludf.DUMMYFUNCTION("""COMPUTED_VALUE"""),172.99)</f>
        <v>172.99</v>
      </c>
      <c r="F101" s="2">
        <f ca="1">IFERROR(__xludf.DUMMYFUNCTION("""COMPUTED_VALUE"""),56058258)</f>
        <v>56058258</v>
      </c>
    </row>
    <row r="102" spans="1:6" ht="12.5" x14ac:dyDescent="0.25">
      <c r="A102" s="3">
        <f ca="1">IFERROR(__xludf.DUMMYFUNCTION("""COMPUTED_VALUE"""),45072.6666666666)</f>
        <v>45072.666666666599</v>
      </c>
      <c r="B102" s="2">
        <f ca="1">IFERROR(__xludf.DUMMYFUNCTION("""COMPUTED_VALUE"""),173.32)</f>
        <v>173.32</v>
      </c>
      <c r="C102" s="2">
        <f ca="1">IFERROR(__xludf.DUMMYFUNCTION("""COMPUTED_VALUE"""),175.77)</f>
        <v>175.77</v>
      </c>
      <c r="D102" s="2">
        <f ca="1">IFERROR(__xludf.DUMMYFUNCTION("""COMPUTED_VALUE"""),173.11)</f>
        <v>173.11</v>
      </c>
      <c r="E102" s="2">
        <f ca="1">IFERROR(__xludf.DUMMYFUNCTION("""COMPUTED_VALUE"""),175.43)</f>
        <v>175.43</v>
      </c>
      <c r="F102" s="2">
        <f ca="1">IFERROR(__xludf.DUMMYFUNCTION("""COMPUTED_VALUE"""),54834975)</f>
        <v>54834975</v>
      </c>
    </row>
    <row r="103" spans="1:6" ht="12.5" x14ac:dyDescent="0.25">
      <c r="A103" s="3">
        <f ca="1">IFERROR(__xludf.DUMMYFUNCTION("""COMPUTED_VALUE"""),45076.6666666666)</f>
        <v>45076.666666666599</v>
      </c>
      <c r="B103" s="2">
        <f ca="1">IFERROR(__xludf.DUMMYFUNCTION("""COMPUTED_VALUE"""),176.96)</f>
        <v>176.96</v>
      </c>
      <c r="C103" s="2">
        <f ca="1">IFERROR(__xludf.DUMMYFUNCTION("""COMPUTED_VALUE"""),178.99)</f>
        <v>178.99</v>
      </c>
      <c r="D103" s="2">
        <f ca="1">IFERROR(__xludf.DUMMYFUNCTION("""COMPUTED_VALUE"""),176.57)</f>
        <v>176.57</v>
      </c>
      <c r="E103" s="2">
        <f ca="1">IFERROR(__xludf.DUMMYFUNCTION("""COMPUTED_VALUE"""),177.3)</f>
        <v>177.3</v>
      </c>
      <c r="F103" s="2">
        <f ca="1">IFERROR(__xludf.DUMMYFUNCTION("""COMPUTED_VALUE"""),55964401)</f>
        <v>55964401</v>
      </c>
    </row>
    <row r="104" spans="1:6" ht="12.5" x14ac:dyDescent="0.25">
      <c r="A104" s="3">
        <f ca="1">IFERROR(__xludf.DUMMYFUNCTION("""COMPUTED_VALUE"""),45077.6666666666)</f>
        <v>45077.666666666599</v>
      </c>
      <c r="B104" s="2">
        <f ca="1">IFERROR(__xludf.DUMMYFUNCTION("""COMPUTED_VALUE"""),177.33)</f>
        <v>177.33</v>
      </c>
      <c r="C104" s="2">
        <f ca="1">IFERROR(__xludf.DUMMYFUNCTION("""COMPUTED_VALUE"""),179.35)</f>
        <v>179.35</v>
      </c>
      <c r="D104" s="2">
        <f ca="1">IFERROR(__xludf.DUMMYFUNCTION("""COMPUTED_VALUE"""),176.76)</f>
        <v>176.76</v>
      </c>
      <c r="E104" s="2">
        <f ca="1">IFERROR(__xludf.DUMMYFUNCTION("""COMPUTED_VALUE"""),177.25)</f>
        <v>177.25</v>
      </c>
      <c r="F104" s="2">
        <f ca="1">IFERROR(__xludf.DUMMYFUNCTION("""COMPUTED_VALUE"""),99625288)</f>
        <v>99625288</v>
      </c>
    </row>
    <row r="105" spans="1:6" ht="12.5" x14ac:dyDescent="0.25">
      <c r="A105" s="3">
        <f ca="1">IFERROR(__xludf.DUMMYFUNCTION("""COMPUTED_VALUE"""),45078.6666666666)</f>
        <v>45078.666666666599</v>
      </c>
      <c r="B105" s="2">
        <f ca="1">IFERROR(__xludf.DUMMYFUNCTION("""COMPUTED_VALUE"""),177.7)</f>
        <v>177.7</v>
      </c>
      <c r="C105" s="2">
        <f ca="1">IFERROR(__xludf.DUMMYFUNCTION("""COMPUTED_VALUE"""),180.12)</f>
        <v>180.12</v>
      </c>
      <c r="D105" s="2">
        <f ca="1">IFERROR(__xludf.DUMMYFUNCTION("""COMPUTED_VALUE"""),176.93)</f>
        <v>176.93</v>
      </c>
      <c r="E105" s="2">
        <f ca="1">IFERROR(__xludf.DUMMYFUNCTION("""COMPUTED_VALUE"""),180.09)</f>
        <v>180.09</v>
      </c>
      <c r="F105" s="2">
        <f ca="1">IFERROR(__xludf.DUMMYFUNCTION("""COMPUTED_VALUE"""),68901809)</f>
        <v>68901809</v>
      </c>
    </row>
    <row r="106" spans="1:6" ht="12.5" x14ac:dyDescent="0.25">
      <c r="A106" s="3">
        <f ca="1">IFERROR(__xludf.DUMMYFUNCTION("""COMPUTED_VALUE"""),45079.6666666666)</f>
        <v>45079.666666666599</v>
      </c>
      <c r="B106" s="2">
        <f ca="1">IFERROR(__xludf.DUMMYFUNCTION("""COMPUTED_VALUE"""),181.03)</f>
        <v>181.03</v>
      </c>
      <c r="C106" s="2">
        <f ca="1">IFERROR(__xludf.DUMMYFUNCTION("""COMPUTED_VALUE"""),181.78)</f>
        <v>181.78</v>
      </c>
      <c r="D106" s="2">
        <f ca="1">IFERROR(__xludf.DUMMYFUNCTION("""COMPUTED_VALUE"""),179.26)</f>
        <v>179.26</v>
      </c>
      <c r="E106" s="2">
        <f ca="1">IFERROR(__xludf.DUMMYFUNCTION("""COMPUTED_VALUE"""),180.95)</f>
        <v>180.95</v>
      </c>
      <c r="F106" s="2">
        <f ca="1">IFERROR(__xludf.DUMMYFUNCTION("""COMPUTED_VALUE"""),61996913)</f>
        <v>61996913</v>
      </c>
    </row>
    <row r="107" spans="1:6" ht="12.5" x14ac:dyDescent="0.25">
      <c r="A107" s="3">
        <f ca="1">IFERROR(__xludf.DUMMYFUNCTION("""COMPUTED_VALUE"""),45082.6666666666)</f>
        <v>45082.666666666599</v>
      </c>
      <c r="B107" s="2">
        <f ca="1">IFERROR(__xludf.DUMMYFUNCTION("""COMPUTED_VALUE"""),182.63)</f>
        <v>182.63</v>
      </c>
      <c r="C107" s="2">
        <f ca="1">IFERROR(__xludf.DUMMYFUNCTION("""COMPUTED_VALUE"""),184.95)</f>
        <v>184.95</v>
      </c>
      <c r="D107" s="2">
        <f ca="1">IFERROR(__xludf.DUMMYFUNCTION("""COMPUTED_VALUE"""),178.04)</f>
        <v>178.04</v>
      </c>
      <c r="E107" s="2">
        <f ca="1">IFERROR(__xludf.DUMMYFUNCTION("""COMPUTED_VALUE"""),179.58)</f>
        <v>179.58</v>
      </c>
      <c r="F107" s="2">
        <f ca="1">IFERROR(__xludf.DUMMYFUNCTION("""COMPUTED_VALUE"""),121946497)</f>
        <v>121946497</v>
      </c>
    </row>
    <row r="108" spans="1:6" ht="12.5" x14ac:dyDescent="0.25">
      <c r="A108" s="3">
        <f ca="1">IFERROR(__xludf.DUMMYFUNCTION("""COMPUTED_VALUE"""),45083.6666666666)</f>
        <v>45083.666666666599</v>
      </c>
      <c r="B108" s="2">
        <f ca="1">IFERROR(__xludf.DUMMYFUNCTION("""COMPUTED_VALUE"""),179.97)</f>
        <v>179.97</v>
      </c>
      <c r="C108" s="2">
        <f ca="1">IFERROR(__xludf.DUMMYFUNCTION("""COMPUTED_VALUE"""),180.12)</f>
        <v>180.12</v>
      </c>
      <c r="D108" s="2">
        <f ca="1">IFERROR(__xludf.DUMMYFUNCTION("""COMPUTED_VALUE"""),177.43)</f>
        <v>177.43</v>
      </c>
      <c r="E108" s="2">
        <f ca="1">IFERROR(__xludf.DUMMYFUNCTION("""COMPUTED_VALUE"""),179.21)</f>
        <v>179.21</v>
      </c>
      <c r="F108" s="2">
        <f ca="1">IFERROR(__xludf.DUMMYFUNCTION("""COMPUTED_VALUE"""),64848374)</f>
        <v>64848374</v>
      </c>
    </row>
    <row r="109" spans="1:6" ht="12.5" x14ac:dyDescent="0.25">
      <c r="A109" s="3">
        <f ca="1">IFERROR(__xludf.DUMMYFUNCTION("""COMPUTED_VALUE"""),45084.6666666666)</f>
        <v>45084.666666666599</v>
      </c>
      <c r="B109" s="2">
        <f ca="1">IFERROR(__xludf.DUMMYFUNCTION("""COMPUTED_VALUE"""),178.44)</f>
        <v>178.44</v>
      </c>
      <c r="C109" s="2">
        <f ca="1">IFERROR(__xludf.DUMMYFUNCTION("""COMPUTED_VALUE"""),181.21)</f>
        <v>181.21</v>
      </c>
      <c r="D109" s="2">
        <f ca="1">IFERROR(__xludf.DUMMYFUNCTION("""COMPUTED_VALUE"""),177.32)</f>
        <v>177.32</v>
      </c>
      <c r="E109" s="2">
        <f ca="1">IFERROR(__xludf.DUMMYFUNCTION("""COMPUTED_VALUE"""),177.82)</f>
        <v>177.82</v>
      </c>
      <c r="F109" s="2">
        <f ca="1">IFERROR(__xludf.DUMMYFUNCTION("""COMPUTED_VALUE"""),61944615)</f>
        <v>61944615</v>
      </c>
    </row>
    <row r="110" spans="1:6" ht="12.5" x14ac:dyDescent="0.25">
      <c r="A110" s="3">
        <f ca="1">IFERROR(__xludf.DUMMYFUNCTION("""COMPUTED_VALUE"""),45085.6666666666)</f>
        <v>45085.666666666599</v>
      </c>
      <c r="B110" s="2">
        <f ca="1">IFERROR(__xludf.DUMMYFUNCTION("""COMPUTED_VALUE"""),177.9)</f>
        <v>177.9</v>
      </c>
      <c r="C110" s="2">
        <f ca="1">IFERROR(__xludf.DUMMYFUNCTION("""COMPUTED_VALUE"""),180.84)</f>
        <v>180.84</v>
      </c>
      <c r="D110" s="2">
        <f ca="1">IFERROR(__xludf.DUMMYFUNCTION("""COMPUTED_VALUE"""),177.46)</f>
        <v>177.46</v>
      </c>
      <c r="E110" s="2">
        <f ca="1">IFERROR(__xludf.DUMMYFUNCTION("""COMPUTED_VALUE"""),180.57)</f>
        <v>180.57</v>
      </c>
      <c r="F110" s="2">
        <f ca="1">IFERROR(__xludf.DUMMYFUNCTION("""COMPUTED_VALUE"""),50214881)</f>
        <v>50214881</v>
      </c>
    </row>
    <row r="111" spans="1:6" ht="12.5" x14ac:dyDescent="0.25">
      <c r="A111" s="3">
        <f ca="1">IFERROR(__xludf.DUMMYFUNCTION("""COMPUTED_VALUE"""),45086.6666666666)</f>
        <v>45086.666666666599</v>
      </c>
      <c r="B111" s="2">
        <f ca="1">IFERROR(__xludf.DUMMYFUNCTION("""COMPUTED_VALUE"""),181.5)</f>
        <v>181.5</v>
      </c>
      <c r="C111" s="2">
        <f ca="1">IFERROR(__xludf.DUMMYFUNCTION("""COMPUTED_VALUE"""),182.23)</f>
        <v>182.23</v>
      </c>
      <c r="D111" s="2">
        <f ca="1">IFERROR(__xludf.DUMMYFUNCTION("""COMPUTED_VALUE"""),180.63)</f>
        <v>180.63</v>
      </c>
      <c r="E111" s="2">
        <f ca="1">IFERROR(__xludf.DUMMYFUNCTION("""COMPUTED_VALUE"""),180.96)</f>
        <v>180.96</v>
      </c>
      <c r="F111" s="2">
        <f ca="1">IFERROR(__xludf.DUMMYFUNCTION("""COMPUTED_VALUE"""),48899973)</f>
        <v>48899973</v>
      </c>
    </row>
    <row r="112" spans="1:6" ht="12.5" x14ac:dyDescent="0.25">
      <c r="A112" s="3">
        <f ca="1">IFERROR(__xludf.DUMMYFUNCTION("""COMPUTED_VALUE"""),45089.6666666666)</f>
        <v>45089.666666666599</v>
      </c>
      <c r="B112" s="2">
        <f ca="1">IFERROR(__xludf.DUMMYFUNCTION("""COMPUTED_VALUE"""),181.27)</f>
        <v>181.27</v>
      </c>
      <c r="C112" s="2">
        <f ca="1">IFERROR(__xludf.DUMMYFUNCTION("""COMPUTED_VALUE"""),183.89)</f>
        <v>183.89</v>
      </c>
      <c r="D112" s="2">
        <f ca="1">IFERROR(__xludf.DUMMYFUNCTION("""COMPUTED_VALUE"""),180.97)</f>
        <v>180.97</v>
      </c>
      <c r="E112" s="2">
        <f ca="1">IFERROR(__xludf.DUMMYFUNCTION("""COMPUTED_VALUE"""),183.79)</f>
        <v>183.79</v>
      </c>
      <c r="F112" s="2">
        <f ca="1">IFERROR(__xludf.DUMMYFUNCTION("""COMPUTED_VALUE"""),54754995)</f>
        <v>54754995</v>
      </c>
    </row>
    <row r="113" spans="1:6" ht="12.5" x14ac:dyDescent="0.25">
      <c r="A113" s="3">
        <f ca="1">IFERROR(__xludf.DUMMYFUNCTION("""COMPUTED_VALUE"""),45090.6666666666)</f>
        <v>45090.666666666599</v>
      </c>
      <c r="B113" s="2">
        <f ca="1">IFERROR(__xludf.DUMMYFUNCTION("""COMPUTED_VALUE"""),182.8)</f>
        <v>182.8</v>
      </c>
      <c r="C113" s="2">
        <f ca="1">IFERROR(__xludf.DUMMYFUNCTION("""COMPUTED_VALUE"""),184.15)</f>
        <v>184.15</v>
      </c>
      <c r="D113" s="2">
        <f ca="1">IFERROR(__xludf.DUMMYFUNCTION("""COMPUTED_VALUE"""),182.44)</f>
        <v>182.44</v>
      </c>
      <c r="E113" s="2">
        <f ca="1">IFERROR(__xludf.DUMMYFUNCTION("""COMPUTED_VALUE"""),183.31)</f>
        <v>183.31</v>
      </c>
      <c r="F113" s="2">
        <f ca="1">IFERROR(__xludf.DUMMYFUNCTION("""COMPUTED_VALUE"""),54929129)</f>
        <v>54929129</v>
      </c>
    </row>
    <row r="114" spans="1:6" ht="12.5" x14ac:dyDescent="0.25">
      <c r="A114" s="3">
        <f ca="1">IFERROR(__xludf.DUMMYFUNCTION("""COMPUTED_VALUE"""),45091.6666666666)</f>
        <v>45091.666666666599</v>
      </c>
      <c r="B114" s="2">
        <f ca="1">IFERROR(__xludf.DUMMYFUNCTION("""COMPUTED_VALUE"""),183.37)</f>
        <v>183.37</v>
      </c>
      <c r="C114" s="2">
        <f ca="1">IFERROR(__xludf.DUMMYFUNCTION("""COMPUTED_VALUE"""),184.39)</f>
        <v>184.39</v>
      </c>
      <c r="D114" s="2">
        <f ca="1">IFERROR(__xludf.DUMMYFUNCTION("""COMPUTED_VALUE"""),182.02)</f>
        <v>182.02</v>
      </c>
      <c r="E114" s="2">
        <f ca="1">IFERROR(__xludf.DUMMYFUNCTION("""COMPUTED_VALUE"""),183.95)</f>
        <v>183.95</v>
      </c>
      <c r="F114" s="2">
        <f ca="1">IFERROR(__xludf.DUMMYFUNCTION("""COMPUTED_VALUE"""),57462882)</f>
        <v>57462882</v>
      </c>
    </row>
    <row r="115" spans="1:6" ht="12.5" x14ac:dyDescent="0.25">
      <c r="A115" s="3">
        <f ca="1">IFERROR(__xludf.DUMMYFUNCTION("""COMPUTED_VALUE"""),45092.6666666666)</f>
        <v>45092.666666666599</v>
      </c>
      <c r="B115" s="2">
        <f ca="1">IFERROR(__xludf.DUMMYFUNCTION("""COMPUTED_VALUE"""),183.96)</f>
        <v>183.96</v>
      </c>
      <c r="C115" s="2">
        <f ca="1">IFERROR(__xludf.DUMMYFUNCTION("""COMPUTED_VALUE"""),186.52)</f>
        <v>186.52</v>
      </c>
      <c r="D115" s="2">
        <f ca="1">IFERROR(__xludf.DUMMYFUNCTION("""COMPUTED_VALUE"""),183.78)</f>
        <v>183.78</v>
      </c>
      <c r="E115" s="2">
        <f ca="1">IFERROR(__xludf.DUMMYFUNCTION("""COMPUTED_VALUE"""),186.01)</f>
        <v>186.01</v>
      </c>
      <c r="F115" s="2">
        <f ca="1">IFERROR(__xludf.DUMMYFUNCTION("""COMPUTED_VALUE"""),65433166)</f>
        <v>65433166</v>
      </c>
    </row>
    <row r="116" spans="1:6" ht="12.5" x14ac:dyDescent="0.25">
      <c r="A116" s="3">
        <f ca="1">IFERROR(__xludf.DUMMYFUNCTION("""COMPUTED_VALUE"""),45093.6666666666)</f>
        <v>45093.666666666599</v>
      </c>
      <c r="B116" s="2">
        <f ca="1">IFERROR(__xludf.DUMMYFUNCTION("""COMPUTED_VALUE"""),186.73)</f>
        <v>186.73</v>
      </c>
      <c r="C116" s="2">
        <f ca="1">IFERROR(__xludf.DUMMYFUNCTION("""COMPUTED_VALUE"""),186.99)</f>
        <v>186.99</v>
      </c>
      <c r="D116" s="2">
        <f ca="1">IFERROR(__xludf.DUMMYFUNCTION("""COMPUTED_VALUE"""),184.27)</f>
        <v>184.27</v>
      </c>
      <c r="E116" s="2">
        <f ca="1">IFERROR(__xludf.DUMMYFUNCTION("""COMPUTED_VALUE"""),184.92)</f>
        <v>184.92</v>
      </c>
      <c r="F116" s="2">
        <f ca="1">IFERROR(__xludf.DUMMYFUNCTION("""COMPUTED_VALUE"""),101256225)</f>
        <v>101256225</v>
      </c>
    </row>
    <row r="117" spans="1:6" ht="12.5" x14ac:dyDescent="0.25">
      <c r="A117" s="3">
        <f ca="1">IFERROR(__xludf.DUMMYFUNCTION("""COMPUTED_VALUE"""),45097.6666666666)</f>
        <v>45097.666666666599</v>
      </c>
      <c r="B117" s="2">
        <f ca="1">IFERROR(__xludf.DUMMYFUNCTION("""COMPUTED_VALUE"""),184.41)</f>
        <v>184.41</v>
      </c>
      <c r="C117" s="2">
        <f ca="1">IFERROR(__xludf.DUMMYFUNCTION("""COMPUTED_VALUE"""),186.1)</f>
        <v>186.1</v>
      </c>
      <c r="D117" s="2">
        <f ca="1">IFERROR(__xludf.DUMMYFUNCTION("""COMPUTED_VALUE"""),184.41)</f>
        <v>184.41</v>
      </c>
      <c r="E117" s="2">
        <f ca="1">IFERROR(__xludf.DUMMYFUNCTION("""COMPUTED_VALUE"""),185.01)</f>
        <v>185.01</v>
      </c>
      <c r="F117" s="2">
        <f ca="1">IFERROR(__xludf.DUMMYFUNCTION("""COMPUTED_VALUE"""),49799092)</f>
        <v>49799092</v>
      </c>
    </row>
    <row r="118" spans="1:6" ht="12.5" x14ac:dyDescent="0.25">
      <c r="A118" s="3">
        <f ca="1">IFERROR(__xludf.DUMMYFUNCTION("""COMPUTED_VALUE"""),45098.6666666666)</f>
        <v>45098.666666666599</v>
      </c>
      <c r="B118" s="2">
        <f ca="1">IFERROR(__xludf.DUMMYFUNCTION("""COMPUTED_VALUE"""),184.9)</f>
        <v>184.9</v>
      </c>
      <c r="C118" s="2">
        <f ca="1">IFERROR(__xludf.DUMMYFUNCTION("""COMPUTED_VALUE"""),185.41)</f>
        <v>185.41</v>
      </c>
      <c r="D118" s="2">
        <f ca="1">IFERROR(__xludf.DUMMYFUNCTION("""COMPUTED_VALUE"""),182.59)</f>
        <v>182.59</v>
      </c>
      <c r="E118" s="2">
        <f ca="1">IFERROR(__xludf.DUMMYFUNCTION("""COMPUTED_VALUE"""),183.96)</f>
        <v>183.96</v>
      </c>
      <c r="F118" s="2">
        <f ca="1">IFERROR(__xludf.DUMMYFUNCTION("""COMPUTED_VALUE"""),49515697)</f>
        <v>49515697</v>
      </c>
    </row>
    <row r="119" spans="1:6" ht="12.5" x14ac:dyDescent="0.25">
      <c r="A119" s="3">
        <f ca="1">IFERROR(__xludf.DUMMYFUNCTION("""COMPUTED_VALUE"""),45099.6666666666)</f>
        <v>45099.666666666599</v>
      </c>
      <c r="B119" s="2">
        <f ca="1">IFERROR(__xludf.DUMMYFUNCTION("""COMPUTED_VALUE"""),183.74)</f>
        <v>183.74</v>
      </c>
      <c r="C119" s="2">
        <f ca="1">IFERROR(__xludf.DUMMYFUNCTION("""COMPUTED_VALUE"""),187.05)</f>
        <v>187.05</v>
      </c>
      <c r="D119" s="2">
        <f ca="1">IFERROR(__xludf.DUMMYFUNCTION("""COMPUTED_VALUE"""),183.67)</f>
        <v>183.67</v>
      </c>
      <c r="E119" s="2">
        <f ca="1">IFERROR(__xludf.DUMMYFUNCTION("""COMPUTED_VALUE"""),187)</f>
        <v>187</v>
      </c>
      <c r="F119" s="2">
        <f ca="1">IFERROR(__xludf.DUMMYFUNCTION("""COMPUTED_VALUE"""),51245327)</f>
        <v>51245327</v>
      </c>
    </row>
    <row r="120" spans="1:6" ht="12.5" x14ac:dyDescent="0.25">
      <c r="A120" s="3">
        <f ca="1">IFERROR(__xludf.DUMMYFUNCTION("""COMPUTED_VALUE"""),45100.6666666666)</f>
        <v>45100.666666666599</v>
      </c>
      <c r="B120" s="2">
        <f ca="1">IFERROR(__xludf.DUMMYFUNCTION("""COMPUTED_VALUE"""),185.55)</f>
        <v>185.55</v>
      </c>
      <c r="C120" s="2">
        <f ca="1">IFERROR(__xludf.DUMMYFUNCTION("""COMPUTED_VALUE"""),187.56)</f>
        <v>187.56</v>
      </c>
      <c r="D120" s="2">
        <f ca="1">IFERROR(__xludf.DUMMYFUNCTION("""COMPUTED_VALUE"""),185.01)</f>
        <v>185.01</v>
      </c>
      <c r="E120" s="2">
        <f ca="1">IFERROR(__xludf.DUMMYFUNCTION("""COMPUTED_VALUE"""),186.68)</f>
        <v>186.68</v>
      </c>
      <c r="F120" s="2">
        <f ca="1">IFERROR(__xludf.DUMMYFUNCTION("""COMPUTED_VALUE"""),53116996)</f>
        <v>53116996</v>
      </c>
    </row>
    <row r="121" spans="1:6" ht="12.5" x14ac:dyDescent="0.25">
      <c r="A121" s="3">
        <f ca="1">IFERROR(__xludf.DUMMYFUNCTION("""COMPUTED_VALUE"""),45103.6666666666)</f>
        <v>45103.666666666599</v>
      </c>
      <c r="B121" s="2">
        <f ca="1">IFERROR(__xludf.DUMMYFUNCTION("""COMPUTED_VALUE"""),186.83)</f>
        <v>186.83</v>
      </c>
      <c r="C121" s="2">
        <f ca="1">IFERROR(__xludf.DUMMYFUNCTION("""COMPUTED_VALUE"""),188.05)</f>
        <v>188.05</v>
      </c>
      <c r="D121" s="2">
        <f ca="1">IFERROR(__xludf.DUMMYFUNCTION("""COMPUTED_VALUE"""),185.23)</f>
        <v>185.23</v>
      </c>
      <c r="E121" s="2">
        <f ca="1">IFERROR(__xludf.DUMMYFUNCTION("""COMPUTED_VALUE"""),185.27)</f>
        <v>185.27</v>
      </c>
      <c r="F121" s="2">
        <f ca="1">IFERROR(__xludf.DUMMYFUNCTION("""COMPUTED_VALUE"""),48088661)</f>
        <v>48088661</v>
      </c>
    </row>
    <row r="122" spans="1:6" ht="12.5" x14ac:dyDescent="0.25">
      <c r="A122" s="3">
        <f ca="1">IFERROR(__xludf.DUMMYFUNCTION("""COMPUTED_VALUE"""),45104.6666666666)</f>
        <v>45104.666666666599</v>
      </c>
      <c r="B122" s="2">
        <f ca="1">IFERROR(__xludf.DUMMYFUNCTION("""COMPUTED_VALUE"""),185.89)</f>
        <v>185.89</v>
      </c>
      <c r="C122" s="2">
        <f ca="1">IFERROR(__xludf.DUMMYFUNCTION("""COMPUTED_VALUE"""),188.39)</f>
        <v>188.39</v>
      </c>
      <c r="D122" s="2">
        <f ca="1">IFERROR(__xludf.DUMMYFUNCTION("""COMPUTED_VALUE"""),185.67)</f>
        <v>185.67</v>
      </c>
      <c r="E122" s="2">
        <f ca="1">IFERROR(__xludf.DUMMYFUNCTION("""COMPUTED_VALUE"""),188.06)</f>
        <v>188.06</v>
      </c>
      <c r="F122" s="2">
        <f ca="1">IFERROR(__xludf.DUMMYFUNCTION("""COMPUTED_VALUE"""),50730846)</f>
        <v>50730846</v>
      </c>
    </row>
    <row r="123" spans="1:6" ht="12.5" x14ac:dyDescent="0.25">
      <c r="A123" s="3">
        <f ca="1">IFERROR(__xludf.DUMMYFUNCTION("""COMPUTED_VALUE"""),45105.6666666666)</f>
        <v>45105.666666666599</v>
      </c>
      <c r="B123" s="2">
        <f ca="1">IFERROR(__xludf.DUMMYFUNCTION("""COMPUTED_VALUE"""),187.93)</f>
        <v>187.93</v>
      </c>
      <c r="C123" s="2">
        <f ca="1">IFERROR(__xludf.DUMMYFUNCTION("""COMPUTED_VALUE"""),189.9)</f>
        <v>189.9</v>
      </c>
      <c r="D123" s="2">
        <f ca="1">IFERROR(__xludf.DUMMYFUNCTION("""COMPUTED_VALUE"""),187.6)</f>
        <v>187.6</v>
      </c>
      <c r="E123" s="2">
        <f ca="1">IFERROR(__xludf.DUMMYFUNCTION("""COMPUTED_VALUE"""),189.25)</f>
        <v>189.25</v>
      </c>
      <c r="F123" s="2">
        <f ca="1">IFERROR(__xludf.DUMMYFUNCTION("""COMPUTED_VALUE"""),51216801)</f>
        <v>51216801</v>
      </c>
    </row>
    <row r="124" spans="1:6" ht="12.5" x14ac:dyDescent="0.25">
      <c r="A124" s="3">
        <f ca="1">IFERROR(__xludf.DUMMYFUNCTION("""COMPUTED_VALUE"""),45106.6666666666)</f>
        <v>45106.666666666599</v>
      </c>
      <c r="B124" s="2">
        <f ca="1">IFERROR(__xludf.DUMMYFUNCTION("""COMPUTED_VALUE"""),189.08)</f>
        <v>189.08</v>
      </c>
      <c r="C124" s="2">
        <f ca="1">IFERROR(__xludf.DUMMYFUNCTION("""COMPUTED_VALUE"""),190.07)</f>
        <v>190.07</v>
      </c>
      <c r="D124" s="2">
        <f ca="1">IFERROR(__xludf.DUMMYFUNCTION("""COMPUTED_VALUE"""),188.94)</f>
        <v>188.94</v>
      </c>
      <c r="E124" s="2">
        <f ca="1">IFERROR(__xludf.DUMMYFUNCTION("""COMPUTED_VALUE"""),189.59)</f>
        <v>189.59</v>
      </c>
      <c r="F124" s="2">
        <f ca="1">IFERROR(__xludf.DUMMYFUNCTION("""COMPUTED_VALUE"""),46347308)</f>
        <v>46347308</v>
      </c>
    </row>
    <row r="125" spans="1:6" ht="12.5" x14ac:dyDescent="0.25">
      <c r="A125" s="3">
        <f ca="1">IFERROR(__xludf.DUMMYFUNCTION("""COMPUTED_VALUE"""),45107.6666666666)</f>
        <v>45107.666666666599</v>
      </c>
      <c r="B125" s="2">
        <f ca="1">IFERROR(__xludf.DUMMYFUNCTION("""COMPUTED_VALUE"""),191.63)</f>
        <v>191.63</v>
      </c>
      <c r="C125" s="2">
        <f ca="1">IFERROR(__xludf.DUMMYFUNCTION("""COMPUTED_VALUE"""),194.48)</f>
        <v>194.48</v>
      </c>
      <c r="D125" s="2">
        <f ca="1">IFERROR(__xludf.DUMMYFUNCTION("""COMPUTED_VALUE"""),191.26)</f>
        <v>191.26</v>
      </c>
      <c r="E125" s="2">
        <f ca="1">IFERROR(__xludf.DUMMYFUNCTION("""COMPUTED_VALUE"""),193.97)</f>
        <v>193.97</v>
      </c>
      <c r="F125" s="2">
        <f ca="1">IFERROR(__xludf.DUMMYFUNCTION("""COMPUTED_VALUE"""),85213216)</f>
        <v>85213216</v>
      </c>
    </row>
    <row r="126" spans="1:6" ht="12.5" x14ac:dyDescent="0.25">
      <c r="A126" s="3">
        <f ca="1">IFERROR(__xludf.DUMMYFUNCTION("""COMPUTED_VALUE"""),45110.5451388888)</f>
        <v>45110.545138888803</v>
      </c>
      <c r="B126" s="2">
        <f ca="1">IFERROR(__xludf.DUMMYFUNCTION("""COMPUTED_VALUE"""),193.78)</f>
        <v>193.78</v>
      </c>
      <c r="C126" s="2">
        <f ca="1">IFERROR(__xludf.DUMMYFUNCTION("""COMPUTED_VALUE"""),193.88)</f>
        <v>193.88</v>
      </c>
      <c r="D126" s="2">
        <f ca="1">IFERROR(__xludf.DUMMYFUNCTION("""COMPUTED_VALUE"""),191.76)</f>
        <v>191.76</v>
      </c>
      <c r="E126" s="2">
        <f ca="1">IFERROR(__xludf.DUMMYFUNCTION("""COMPUTED_VALUE"""),192.46)</f>
        <v>192.46</v>
      </c>
      <c r="F126" s="2">
        <f ca="1">IFERROR(__xludf.DUMMYFUNCTION("""COMPUTED_VALUE"""),31458198)</f>
        <v>31458198</v>
      </c>
    </row>
    <row r="127" spans="1:6" ht="12.5" x14ac:dyDescent="0.25">
      <c r="A127" s="3">
        <f ca="1">IFERROR(__xludf.DUMMYFUNCTION("""COMPUTED_VALUE"""),45112.6666666666)</f>
        <v>45112.666666666599</v>
      </c>
      <c r="B127" s="2">
        <f ca="1">IFERROR(__xludf.DUMMYFUNCTION("""COMPUTED_VALUE"""),191.57)</f>
        <v>191.57</v>
      </c>
      <c r="C127" s="2">
        <f ca="1">IFERROR(__xludf.DUMMYFUNCTION("""COMPUTED_VALUE"""),192.98)</f>
        <v>192.98</v>
      </c>
      <c r="D127" s="2">
        <f ca="1">IFERROR(__xludf.DUMMYFUNCTION("""COMPUTED_VALUE"""),190.62)</f>
        <v>190.62</v>
      </c>
      <c r="E127" s="2">
        <f ca="1">IFERROR(__xludf.DUMMYFUNCTION("""COMPUTED_VALUE"""),191.33)</f>
        <v>191.33</v>
      </c>
      <c r="F127" s="2">
        <f ca="1">IFERROR(__xludf.DUMMYFUNCTION("""COMPUTED_VALUE"""),46920261)</f>
        <v>46920261</v>
      </c>
    </row>
    <row r="128" spans="1:6" ht="12.5" x14ac:dyDescent="0.25">
      <c r="A128" s="3">
        <f ca="1">IFERROR(__xludf.DUMMYFUNCTION("""COMPUTED_VALUE"""),45113.6666666666)</f>
        <v>45113.666666666599</v>
      </c>
      <c r="B128" s="2">
        <f ca="1">IFERROR(__xludf.DUMMYFUNCTION("""COMPUTED_VALUE"""),189.84)</f>
        <v>189.84</v>
      </c>
      <c r="C128" s="2">
        <f ca="1">IFERROR(__xludf.DUMMYFUNCTION("""COMPUTED_VALUE"""),192.02)</f>
        <v>192.02</v>
      </c>
      <c r="D128" s="2">
        <f ca="1">IFERROR(__xludf.DUMMYFUNCTION("""COMPUTED_VALUE"""),189.2)</f>
        <v>189.2</v>
      </c>
      <c r="E128" s="2">
        <f ca="1">IFERROR(__xludf.DUMMYFUNCTION("""COMPUTED_VALUE"""),191.81)</f>
        <v>191.81</v>
      </c>
      <c r="F128" s="2">
        <f ca="1">IFERROR(__xludf.DUMMYFUNCTION("""COMPUTED_VALUE"""),45156009)</f>
        <v>45156009</v>
      </c>
    </row>
    <row r="129" spans="1:6" ht="12.5" x14ac:dyDescent="0.25">
      <c r="A129" s="3">
        <f ca="1">IFERROR(__xludf.DUMMYFUNCTION("""COMPUTED_VALUE"""),45114.6666666666)</f>
        <v>45114.666666666599</v>
      </c>
      <c r="B129" s="2">
        <f ca="1">IFERROR(__xludf.DUMMYFUNCTION("""COMPUTED_VALUE"""),191.41)</f>
        <v>191.41</v>
      </c>
      <c r="C129" s="2">
        <f ca="1">IFERROR(__xludf.DUMMYFUNCTION("""COMPUTED_VALUE"""),192.67)</f>
        <v>192.67</v>
      </c>
      <c r="D129" s="2">
        <f ca="1">IFERROR(__xludf.DUMMYFUNCTION("""COMPUTED_VALUE"""),190.24)</f>
        <v>190.24</v>
      </c>
      <c r="E129" s="2">
        <f ca="1">IFERROR(__xludf.DUMMYFUNCTION("""COMPUTED_VALUE"""),190.68)</f>
        <v>190.68</v>
      </c>
      <c r="F129" s="2">
        <f ca="1">IFERROR(__xludf.DUMMYFUNCTION("""COMPUTED_VALUE"""),46814998)</f>
        <v>46814998</v>
      </c>
    </row>
    <row r="130" spans="1:6" ht="12.5" x14ac:dyDescent="0.25">
      <c r="A130" s="3">
        <f ca="1">IFERROR(__xludf.DUMMYFUNCTION("""COMPUTED_VALUE"""),45117.6666666666)</f>
        <v>45117.666666666599</v>
      </c>
      <c r="B130" s="2">
        <f ca="1">IFERROR(__xludf.DUMMYFUNCTION("""COMPUTED_VALUE"""),189.26)</f>
        <v>189.26</v>
      </c>
      <c r="C130" s="2">
        <f ca="1">IFERROR(__xludf.DUMMYFUNCTION("""COMPUTED_VALUE"""),189.99)</f>
        <v>189.99</v>
      </c>
      <c r="D130" s="2">
        <f ca="1">IFERROR(__xludf.DUMMYFUNCTION("""COMPUTED_VALUE"""),187.04)</f>
        <v>187.04</v>
      </c>
      <c r="E130" s="2">
        <f ca="1">IFERROR(__xludf.DUMMYFUNCTION("""COMPUTED_VALUE"""),188.61)</f>
        <v>188.61</v>
      </c>
      <c r="F130" s="2">
        <f ca="1">IFERROR(__xludf.DUMMYFUNCTION("""COMPUTED_VALUE"""),59922163)</f>
        <v>59922163</v>
      </c>
    </row>
    <row r="131" spans="1:6" ht="12.5" x14ac:dyDescent="0.25">
      <c r="A131" s="3">
        <f ca="1">IFERROR(__xludf.DUMMYFUNCTION("""COMPUTED_VALUE"""),45118.6666666666)</f>
        <v>45118.666666666599</v>
      </c>
      <c r="B131" s="2">
        <f ca="1">IFERROR(__xludf.DUMMYFUNCTION("""COMPUTED_VALUE"""),189.16)</f>
        <v>189.16</v>
      </c>
      <c r="C131" s="2">
        <f ca="1">IFERROR(__xludf.DUMMYFUNCTION("""COMPUTED_VALUE"""),189.3)</f>
        <v>189.3</v>
      </c>
      <c r="D131" s="2">
        <f ca="1">IFERROR(__xludf.DUMMYFUNCTION("""COMPUTED_VALUE"""),186.6)</f>
        <v>186.6</v>
      </c>
      <c r="E131" s="2">
        <f ca="1">IFERROR(__xludf.DUMMYFUNCTION("""COMPUTED_VALUE"""),188.08)</f>
        <v>188.08</v>
      </c>
      <c r="F131" s="2">
        <f ca="1">IFERROR(__xludf.DUMMYFUNCTION("""COMPUTED_VALUE"""),46638119)</f>
        <v>46638119</v>
      </c>
    </row>
    <row r="132" spans="1:6" ht="12.5" x14ac:dyDescent="0.25">
      <c r="A132" s="3">
        <f ca="1">IFERROR(__xludf.DUMMYFUNCTION("""COMPUTED_VALUE"""),45119.6666666666)</f>
        <v>45119.666666666599</v>
      </c>
      <c r="B132" s="2">
        <f ca="1">IFERROR(__xludf.DUMMYFUNCTION("""COMPUTED_VALUE"""),189.68)</f>
        <v>189.68</v>
      </c>
      <c r="C132" s="2">
        <f ca="1">IFERROR(__xludf.DUMMYFUNCTION("""COMPUTED_VALUE"""),191.7)</f>
        <v>191.7</v>
      </c>
      <c r="D132" s="2">
        <f ca="1">IFERROR(__xludf.DUMMYFUNCTION("""COMPUTED_VALUE"""),188.47)</f>
        <v>188.47</v>
      </c>
      <c r="E132" s="2">
        <f ca="1">IFERROR(__xludf.DUMMYFUNCTION("""COMPUTED_VALUE"""),189.77)</f>
        <v>189.77</v>
      </c>
      <c r="F132" s="2">
        <f ca="1">IFERROR(__xludf.DUMMYFUNCTION("""COMPUTED_VALUE"""),60750248)</f>
        <v>60750248</v>
      </c>
    </row>
    <row r="133" spans="1:6" ht="12.5" x14ac:dyDescent="0.25">
      <c r="A133" s="3">
        <f ca="1">IFERROR(__xludf.DUMMYFUNCTION("""COMPUTED_VALUE"""),45120.6666666666)</f>
        <v>45120.666666666599</v>
      </c>
      <c r="B133" s="2">
        <f ca="1">IFERROR(__xludf.DUMMYFUNCTION("""COMPUTED_VALUE"""),190.5)</f>
        <v>190.5</v>
      </c>
      <c r="C133" s="2">
        <f ca="1">IFERROR(__xludf.DUMMYFUNCTION("""COMPUTED_VALUE"""),191.19)</f>
        <v>191.19</v>
      </c>
      <c r="D133" s="2">
        <f ca="1">IFERROR(__xludf.DUMMYFUNCTION("""COMPUTED_VALUE"""),189.78)</f>
        <v>189.78</v>
      </c>
      <c r="E133" s="2">
        <f ca="1">IFERROR(__xludf.DUMMYFUNCTION("""COMPUTED_VALUE"""),190.54)</f>
        <v>190.54</v>
      </c>
      <c r="F133" s="2">
        <f ca="1">IFERROR(__xludf.DUMMYFUNCTION("""COMPUTED_VALUE"""),41342338)</f>
        <v>41342338</v>
      </c>
    </row>
    <row r="134" spans="1:6" ht="12.5" x14ac:dyDescent="0.25">
      <c r="A134" s="3">
        <f ca="1">IFERROR(__xludf.DUMMYFUNCTION("""COMPUTED_VALUE"""),45121.6666666666)</f>
        <v>45121.666666666599</v>
      </c>
      <c r="B134" s="2">
        <f ca="1">IFERROR(__xludf.DUMMYFUNCTION("""COMPUTED_VALUE"""),190.23)</f>
        <v>190.23</v>
      </c>
      <c r="C134" s="2">
        <f ca="1">IFERROR(__xludf.DUMMYFUNCTION("""COMPUTED_VALUE"""),191.18)</f>
        <v>191.18</v>
      </c>
      <c r="D134" s="2">
        <f ca="1">IFERROR(__xludf.DUMMYFUNCTION("""COMPUTED_VALUE"""),189.63)</f>
        <v>189.63</v>
      </c>
      <c r="E134" s="2">
        <f ca="1">IFERROR(__xludf.DUMMYFUNCTION("""COMPUTED_VALUE"""),190.69)</f>
        <v>190.69</v>
      </c>
      <c r="F134" s="2">
        <f ca="1">IFERROR(__xludf.DUMMYFUNCTION("""COMPUTED_VALUE"""),41616242)</f>
        <v>41616242</v>
      </c>
    </row>
    <row r="135" spans="1:6" ht="12.5" x14ac:dyDescent="0.25">
      <c r="A135" s="3">
        <f ca="1">IFERROR(__xludf.DUMMYFUNCTION("""COMPUTED_VALUE"""),45124.6666666666)</f>
        <v>45124.666666666599</v>
      </c>
      <c r="B135" s="2">
        <f ca="1">IFERROR(__xludf.DUMMYFUNCTION("""COMPUTED_VALUE"""),191.9)</f>
        <v>191.9</v>
      </c>
      <c r="C135" s="2">
        <f ca="1">IFERROR(__xludf.DUMMYFUNCTION("""COMPUTED_VALUE"""),194.32)</f>
        <v>194.32</v>
      </c>
      <c r="D135" s="2">
        <f ca="1">IFERROR(__xludf.DUMMYFUNCTION("""COMPUTED_VALUE"""),191.81)</f>
        <v>191.81</v>
      </c>
      <c r="E135" s="2">
        <f ca="1">IFERROR(__xludf.DUMMYFUNCTION("""COMPUTED_VALUE"""),193.99)</f>
        <v>193.99</v>
      </c>
      <c r="F135" s="2">
        <f ca="1">IFERROR(__xludf.DUMMYFUNCTION("""COMPUTED_VALUE"""),50520159)</f>
        <v>50520159</v>
      </c>
    </row>
    <row r="136" spans="1:6" ht="12.5" x14ac:dyDescent="0.25">
      <c r="A136" s="3">
        <f ca="1">IFERROR(__xludf.DUMMYFUNCTION("""COMPUTED_VALUE"""),45125.6666666666)</f>
        <v>45125.666666666599</v>
      </c>
      <c r="B136" s="2">
        <f ca="1">IFERROR(__xludf.DUMMYFUNCTION("""COMPUTED_VALUE"""),193.35)</f>
        <v>193.35</v>
      </c>
      <c r="C136" s="2">
        <f ca="1">IFERROR(__xludf.DUMMYFUNCTION("""COMPUTED_VALUE"""),194.33)</f>
        <v>194.33</v>
      </c>
      <c r="D136" s="2">
        <f ca="1">IFERROR(__xludf.DUMMYFUNCTION("""COMPUTED_VALUE"""),192.42)</f>
        <v>192.42</v>
      </c>
      <c r="E136" s="2">
        <f ca="1">IFERROR(__xludf.DUMMYFUNCTION("""COMPUTED_VALUE"""),193.73)</f>
        <v>193.73</v>
      </c>
      <c r="F136" s="2">
        <f ca="1">IFERROR(__xludf.DUMMYFUNCTION("""COMPUTED_VALUE"""),48353774)</f>
        <v>48353774</v>
      </c>
    </row>
    <row r="137" spans="1:6" ht="12.5" x14ac:dyDescent="0.25">
      <c r="A137" s="3">
        <f ca="1">IFERROR(__xludf.DUMMYFUNCTION("""COMPUTED_VALUE"""),45126.6666666666)</f>
        <v>45126.666666666599</v>
      </c>
      <c r="B137" s="2">
        <f ca="1">IFERROR(__xludf.DUMMYFUNCTION("""COMPUTED_VALUE"""),193.1)</f>
        <v>193.1</v>
      </c>
      <c r="C137" s="2">
        <f ca="1">IFERROR(__xludf.DUMMYFUNCTION("""COMPUTED_VALUE"""),198.23)</f>
        <v>198.23</v>
      </c>
      <c r="D137" s="2">
        <f ca="1">IFERROR(__xludf.DUMMYFUNCTION("""COMPUTED_VALUE"""),192.65)</f>
        <v>192.65</v>
      </c>
      <c r="E137" s="2">
        <f ca="1">IFERROR(__xludf.DUMMYFUNCTION("""COMPUTED_VALUE"""),195.1)</f>
        <v>195.1</v>
      </c>
      <c r="F137" s="2">
        <f ca="1">IFERROR(__xludf.DUMMYFUNCTION("""COMPUTED_VALUE"""),80507323)</f>
        <v>80507323</v>
      </c>
    </row>
    <row r="138" spans="1:6" ht="12.5" x14ac:dyDescent="0.25">
      <c r="A138" s="3">
        <f ca="1">IFERROR(__xludf.DUMMYFUNCTION("""COMPUTED_VALUE"""),45127.6666666666)</f>
        <v>45127.666666666599</v>
      </c>
      <c r="B138" s="2">
        <f ca="1">IFERROR(__xludf.DUMMYFUNCTION("""COMPUTED_VALUE"""),195.09)</f>
        <v>195.09</v>
      </c>
      <c r="C138" s="2">
        <f ca="1">IFERROR(__xludf.DUMMYFUNCTION("""COMPUTED_VALUE"""),196.47)</f>
        <v>196.47</v>
      </c>
      <c r="D138" s="2">
        <f ca="1">IFERROR(__xludf.DUMMYFUNCTION("""COMPUTED_VALUE"""),192.5)</f>
        <v>192.5</v>
      </c>
      <c r="E138" s="2">
        <f ca="1">IFERROR(__xludf.DUMMYFUNCTION("""COMPUTED_VALUE"""),193.13)</f>
        <v>193.13</v>
      </c>
      <c r="F138" s="2">
        <f ca="1">IFERROR(__xludf.DUMMYFUNCTION("""COMPUTED_VALUE"""),59581196)</f>
        <v>59581196</v>
      </c>
    </row>
    <row r="139" spans="1:6" ht="12.5" x14ac:dyDescent="0.25">
      <c r="A139" s="3">
        <f ca="1">IFERROR(__xludf.DUMMYFUNCTION("""COMPUTED_VALUE"""),45128.6666666666)</f>
        <v>45128.666666666599</v>
      </c>
      <c r="B139" s="2">
        <f ca="1">IFERROR(__xludf.DUMMYFUNCTION("""COMPUTED_VALUE"""),194.1)</f>
        <v>194.1</v>
      </c>
      <c r="C139" s="2">
        <f ca="1">IFERROR(__xludf.DUMMYFUNCTION("""COMPUTED_VALUE"""),194.97)</f>
        <v>194.97</v>
      </c>
      <c r="D139" s="2">
        <f ca="1">IFERROR(__xludf.DUMMYFUNCTION("""COMPUTED_VALUE"""),191.23)</f>
        <v>191.23</v>
      </c>
      <c r="E139" s="2">
        <f ca="1">IFERROR(__xludf.DUMMYFUNCTION("""COMPUTED_VALUE"""),191.94)</f>
        <v>191.94</v>
      </c>
      <c r="F139" s="2">
        <f ca="1">IFERROR(__xludf.DUMMYFUNCTION("""COMPUTED_VALUE"""),71951683)</f>
        <v>71951683</v>
      </c>
    </row>
    <row r="140" spans="1:6" ht="12.5" x14ac:dyDescent="0.25">
      <c r="A140" s="3">
        <f ca="1">IFERROR(__xludf.DUMMYFUNCTION("""COMPUTED_VALUE"""),45131.6666666666)</f>
        <v>45131.666666666599</v>
      </c>
      <c r="B140" s="2">
        <f ca="1">IFERROR(__xludf.DUMMYFUNCTION("""COMPUTED_VALUE"""),193.41)</f>
        <v>193.41</v>
      </c>
      <c r="C140" s="2">
        <f ca="1">IFERROR(__xludf.DUMMYFUNCTION("""COMPUTED_VALUE"""),194.91)</f>
        <v>194.91</v>
      </c>
      <c r="D140" s="2">
        <f ca="1">IFERROR(__xludf.DUMMYFUNCTION("""COMPUTED_VALUE"""),192.25)</f>
        <v>192.25</v>
      </c>
      <c r="E140" s="2">
        <f ca="1">IFERROR(__xludf.DUMMYFUNCTION("""COMPUTED_VALUE"""),192.75)</f>
        <v>192.75</v>
      </c>
      <c r="F140" s="2">
        <f ca="1">IFERROR(__xludf.DUMMYFUNCTION("""COMPUTED_VALUE"""),45505097)</f>
        <v>45505097</v>
      </c>
    </row>
    <row r="141" spans="1:6" ht="12.5" x14ac:dyDescent="0.25">
      <c r="A141" s="3">
        <f ca="1">IFERROR(__xludf.DUMMYFUNCTION("""COMPUTED_VALUE"""),45132.6666666666)</f>
        <v>45132.666666666599</v>
      </c>
      <c r="B141" s="2">
        <f ca="1">IFERROR(__xludf.DUMMYFUNCTION("""COMPUTED_VALUE"""),193.33)</f>
        <v>193.33</v>
      </c>
      <c r="C141" s="2">
        <f ca="1">IFERROR(__xludf.DUMMYFUNCTION("""COMPUTED_VALUE"""),194.44)</f>
        <v>194.44</v>
      </c>
      <c r="D141" s="2">
        <f ca="1">IFERROR(__xludf.DUMMYFUNCTION("""COMPUTED_VALUE"""),192.92)</f>
        <v>192.92</v>
      </c>
      <c r="E141" s="2">
        <f ca="1">IFERROR(__xludf.DUMMYFUNCTION("""COMPUTED_VALUE"""),193.62)</f>
        <v>193.62</v>
      </c>
      <c r="F141" s="2">
        <f ca="1">IFERROR(__xludf.DUMMYFUNCTION("""COMPUTED_VALUE"""),37283201)</f>
        <v>37283201</v>
      </c>
    </row>
    <row r="142" spans="1:6" ht="12.5" x14ac:dyDescent="0.25">
      <c r="A142" s="3">
        <f ca="1">IFERROR(__xludf.DUMMYFUNCTION("""COMPUTED_VALUE"""),45133.6666666666)</f>
        <v>45133.666666666599</v>
      </c>
      <c r="B142" s="2">
        <f ca="1">IFERROR(__xludf.DUMMYFUNCTION("""COMPUTED_VALUE"""),193.67)</f>
        <v>193.67</v>
      </c>
      <c r="C142" s="2">
        <f ca="1">IFERROR(__xludf.DUMMYFUNCTION("""COMPUTED_VALUE"""),195.64)</f>
        <v>195.64</v>
      </c>
      <c r="D142" s="2">
        <f ca="1">IFERROR(__xludf.DUMMYFUNCTION("""COMPUTED_VALUE"""),193.32)</f>
        <v>193.32</v>
      </c>
      <c r="E142" s="2">
        <f ca="1">IFERROR(__xludf.DUMMYFUNCTION("""COMPUTED_VALUE"""),194.5)</f>
        <v>194.5</v>
      </c>
      <c r="F142" s="2">
        <f ca="1">IFERROR(__xludf.DUMMYFUNCTION("""COMPUTED_VALUE"""),47471868)</f>
        <v>47471868</v>
      </c>
    </row>
    <row r="143" spans="1:6" ht="12.5" x14ac:dyDescent="0.25">
      <c r="A143" s="3">
        <f ca="1">IFERROR(__xludf.DUMMYFUNCTION("""COMPUTED_VALUE"""),45134.6666666666)</f>
        <v>45134.666666666599</v>
      </c>
      <c r="B143" s="2">
        <f ca="1">IFERROR(__xludf.DUMMYFUNCTION("""COMPUTED_VALUE"""),196.02)</f>
        <v>196.02</v>
      </c>
      <c r="C143" s="2">
        <f ca="1">IFERROR(__xludf.DUMMYFUNCTION("""COMPUTED_VALUE"""),197.2)</f>
        <v>197.2</v>
      </c>
      <c r="D143" s="2">
        <f ca="1">IFERROR(__xludf.DUMMYFUNCTION("""COMPUTED_VALUE"""),192.55)</f>
        <v>192.55</v>
      </c>
      <c r="E143" s="2">
        <f ca="1">IFERROR(__xludf.DUMMYFUNCTION("""COMPUTED_VALUE"""),193.22)</f>
        <v>193.22</v>
      </c>
      <c r="F143" s="2">
        <f ca="1">IFERROR(__xludf.DUMMYFUNCTION("""COMPUTED_VALUE"""),47460180)</f>
        <v>47460180</v>
      </c>
    </row>
    <row r="144" spans="1:6" ht="12.5" x14ac:dyDescent="0.25">
      <c r="A144" s="3">
        <f ca="1">IFERROR(__xludf.DUMMYFUNCTION("""COMPUTED_VALUE"""),45135.6666666666)</f>
        <v>45135.666666666599</v>
      </c>
      <c r="B144" s="2">
        <f ca="1">IFERROR(__xludf.DUMMYFUNCTION("""COMPUTED_VALUE"""),194.67)</f>
        <v>194.67</v>
      </c>
      <c r="C144" s="2">
        <f ca="1">IFERROR(__xludf.DUMMYFUNCTION("""COMPUTED_VALUE"""),196.63)</f>
        <v>196.63</v>
      </c>
      <c r="D144" s="2">
        <f ca="1">IFERROR(__xludf.DUMMYFUNCTION("""COMPUTED_VALUE"""),194.14)</f>
        <v>194.14</v>
      </c>
      <c r="E144" s="2">
        <f ca="1">IFERROR(__xludf.DUMMYFUNCTION("""COMPUTED_VALUE"""),195.83)</f>
        <v>195.83</v>
      </c>
      <c r="F144" s="2">
        <f ca="1">IFERROR(__xludf.DUMMYFUNCTION("""COMPUTED_VALUE"""),48291443)</f>
        <v>48291443</v>
      </c>
    </row>
    <row r="145" spans="1:6" ht="12.5" x14ac:dyDescent="0.25">
      <c r="A145" s="3">
        <f ca="1">IFERROR(__xludf.DUMMYFUNCTION("""COMPUTED_VALUE"""),45138.6666666666)</f>
        <v>45138.666666666599</v>
      </c>
      <c r="B145" s="2">
        <f ca="1">IFERROR(__xludf.DUMMYFUNCTION("""COMPUTED_VALUE"""),196.06)</f>
        <v>196.06</v>
      </c>
      <c r="C145" s="2">
        <f ca="1">IFERROR(__xludf.DUMMYFUNCTION("""COMPUTED_VALUE"""),196.49)</f>
        <v>196.49</v>
      </c>
      <c r="D145" s="2">
        <f ca="1">IFERROR(__xludf.DUMMYFUNCTION("""COMPUTED_VALUE"""),195.26)</f>
        <v>195.26</v>
      </c>
      <c r="E145" s="2">
        <f ca="1">IFERROR(__xludf.DUMMYFUNCTION("""COMPUTED_VALUE"""),196.45)</f>
        <v>196.45</v>
      </c>
      <c r="F145" s="2">
        <f ca="1">IFERROR(__xludf.DUMMYFUNCTION("""COMPUTED_VALUE"""),38824113)</f>
        <v>38824113</v>
      </c>
    </row>
    <row r="146" spans="1:6" ht="12.5" x14ac:dyDescent="0.25">
      <c r="A146" s="3">
        <f ca="1">IFERROR(__xludf.DUMMYFUNCTION("""COMPUTED_VALUE"""),45139.6666666666)</f>
        <v>45139.666666666599</v>
      </c>
      <c r="B146" s="2">
        <f ca="1">IFERROR(__xludf.DUMMYFUNCTION("""COMPUTED_VALUE"""),196.24)</f>
        <v>196.24</v>
      </c>
      <c r="C146" s="2">
        <f ca="1">IFERROR(__xludf.DUMMYFUNCTION("""COMPUTED_VALUE"""),196.73)</f>
        <v>196.73</v>
      </c>
      <c r="D146" s="2">
        <f ca="1">IFERROR(__xludf.DUMMYFUNCTION("""COMPUTED_VALUE"""),195.28)</f>
        <v>195.28</v>
      </c>
      <c r="E146" s="2">
        <f ca="1">IFERROR(__xludf.DUMMYFUNCTION("""COMPUTED_VALUE"""),195.61)</f>
        <v>195.61</v>
      </c>
      <c r="F146" s="2">
        <f ca="1">IFERROR(__xludf.DUMMYFUNCTION("""COMPUTED_VALUE"""),35281426)</f>
        <v>35281426</v>
      </c>
    </row>
    <row r="147" spans="1:6" ht="12.5" x14ac:dyDescent="0.25">
      <c r="A147" s="3">
        <f ca="1">IFERROR(__xludf.DUMMYFUNCTION("""COMPUTED_VALUE"""),45140.6666666666)</f>
        <v>45140.666666666599</v>
      </c>
      <c r="B147" s="2">
        <f ca="1">IFERROR(__xludf.DUMMYFUNCTION("""COMPUTED_VALUE"""),195.04)</f>
        <v>195.04</v>
      </c>
      <c r="C147" s="2">
        <f ca="1">IFERROR(__xludf.DUMMYFUNCTION("""COMPUTED_VALUE"""),195.18)</f>
        <v>195.18</v>
      </c>
      <c r="D147" s="2">
        <f ca="1">IFERROR(__xludf.DUMMYFUNCTION("""COMPUTED_VALUE"""),191.85)</f>
        <v>191.85</v>
      </c>
      <c r="E147" s="2">
        <f ca="1">IFERROR(__xludf.DUMMYFUNCTION("""COMPUTED_VALUE"""),192.58)</f>
        <v>192.58</v>
      </c>
      <c r="F147" s="2">
        <f ca="1">IFERROR(__xludf.DUMMYFUNCTION("""COMPUTED_VALUE"""),50389327)</f>
        <v>50389327</v>
      </c>
    </row>
    <row r="148" spans="1:6" ht="12.5" x14ac:dyDescent="0.25">
      <c r="A148" s="3">
        <f ca="1">IFERROR(__xludf.DUMMYFUNCTION("""COMPUTED_VALUE"""),45141.6666666666)</f>
        <v>45141.666666666599</v>
      </c>
      <c r="B148" s="2">
        <f ca="1">IFERROR(__xludf.DUMMYFUNCTION("""COMPUTED_VALUE"""),191.57)</f>
        <v>191.57</v>
      </c>
      <c r="C148" s="2">
        <f ca="1">IFERROR(__xludf.DUMMYFUNCTION("""COMPUTED_VALUE"""),192.37)</f>
        <v>192.37</v>
      </c>
      <c r="D148" s="2">
        <f ca="1">IFERROR(__xludf.DUMMYFUNCTION("""COMPUTED_VALUE"""),190.69)</f>
        <v>190.69</v>
      </c>
      <c r="E148" s="2">
        <f ca="1">IFERROR(__xludf.DUMMYFUNCTION("""COMPUTED_VALUE"""),191.17)</f>
        <v>191.17</v>
      </c>
      <c r="F148" s="2">
        <f ca="1">IFERROR(__xludf.DUMMYFUNCTION("""COMPUTED_VALUE"""),62243282)</f>
        <v>62243282</v>
      </c>
    </row>
    <row r="149" spans="1:6" ht="12.5" x14ac:dyDescent="0.25">
      <c r="A149" s="3">
        <f ca="1">IFERROR(__xludf.DUMMYFUNCTION("""COMPUTED_VALUE"""),45142.6666666666)</f>
        <v>45142.666666666599</v>
      </c>
      <c r="B149" s="2">
        <f ca="1">IFERROR(__xludf.DUMMYFUNCTION("""COMPUTED_VALUE"""),185.52)</f>
        <v>185.52</v>
      </c>
      <c r="C149" s="2">
        <f ca="1">IFERROR(__xludf.DUMMYFUNCTION("""COMPUTED_VALUE"""),187.38)</f>
        <v>187.38</v>
      </c>
      <c r="D149" s="2">
        <f ca="1">IFERROR(__xludf.DUMMYFUNCTION("""COMPUTED_VALUE"""),181.92)</f>
        <v>181.92</v>
      </c>
      <c r="E149" s="2">
        <f ca="1">IFERROR(__xludf.DUMMYFUNCTION("""COMPUTED_VALUE"""),181.99)</f>
        <v>181.99</v>
      </c>
      <c r="F149" s="2">
        <f ca="1">IFERROR(__xludf.DUMMYFUNCTION("""COMPUTED_VALUE"""),115956841)</f>
        <v>115956841</v>
      </c>
    </row>
    <row r="150" spans="1:6" ht="12.5" x14ac:dyDescent="0.25">
      <c r="A150" s="3">
        <f ca="1">IFERROR(__xludf.DUMMYFUNCTION("""COMPUTED_VALUE"""),45145.6666666666)</f>
        <v>45145.666666666599</v>
      </c>
      <c r="B150" s="2">
        <f ca="1">IFERROR(__xludf.DUMMYFUNCTION("""COMPUTED_VALUE"""),182.13)</f>
        <v>182.13</v>
      </c>
      <c r="C150" s="2">
        <f ca="1">IFERROR(__xludf.DUMMYFUNCTION("""COMPUTED_VALUE"""),183.13)</f>
        <v>183.13</v>
      </c>
      <c r="D150" s="2">
        <f ca="1">IFERROR(__xludf.DUMMYFUNCTION("""COMPUTED_VALUE"""),177.35)</f>
        <v>177.35</v>
      </c>
      <c r="E150" s="2">
        <f ca="1">IFERROR(__xludf.DUMMYFUNCTION("""COMPUTED_VALUE"""),178.85)</f>
        <v>178.85</v>
      </c>
      <c r="F150" s="2">
        <f ca="1">IFERROR(__xludf.DUMMYFUNCTION("""COMPUTED_VALUE"""),97576069)</f>
        <v>97576069</v>
      </c>
    </row>
    <row r="151" spans="1:6" ht="12.5" x14ac:dyDescent="0.25">
      <c r="A151" s="3">
        <f ca="1">IFERROR(__xludf.DUMMYFUNCTION("""COMPUTED_VALUE"""),45146.6666666666)</f>
        <v>45146.666666666599</v>
      </c>
      <c r="B151" s="2">
        <f ca="1">IFERROR(__xludf.DUMMYFUNCTION("""COMPUTED_VALUE"""),179.69)</f>
        <v>179.69</v>
      </c>
      <c r="C151" s="2">
        <f ca="1">IFERROR(__xludf.DUMMYFUNCTION("""COMPUTED_VALUE"""),180.27)</f>
        <v>180.27</v>
      </c>
      <c r="D151" s="2">
        <f ca="1">IFERROR(__xludf.DUMMYFUNCTION("""COMPUTED_VALUE"""),177.58)</f>
        <v>177.58</v>
      </c>
      <c r="E151" s="2">
        <f ca="1">IFERROR(__xludf.DUMMYFUNCTION("""COMPUTED_VALUE"""),179.8)</f>
        <v>179.8</v>
      </c>
      <c r="F151" s="2">
        <f ca="1">IFERROR(__xludf.DUMMYFUNCTION("""COMPUTED_VALUE"""),67823003)</f>
        <v>67823003</v>
      </c>
    </row>
    <row r="152" spans="1:6" ht="12.5" x14ac:dyDescent="0.25">
      <c r="A152" s="3">
        <f ca="1">IFERROR(__xludf.DUMMYFUNCTION("""COMPUTED_VALUE"""),45147.6666666666)</f>
        <v>45147.666666666599</v>
      </c>
      <c r="B152" s="2">
        <f ca="1">IFERROR(__xludf.DUMMYFUNCTION("""COMPUTED_VALUE"""),180.87)</f>
        <v>180.87</v>
      </c>
      <c r="C152" s="2">
        <f ca="1">IFERROR(__xludf.DUMMYFUNCTION("""COMPUTED_VALUE"""),180.93)</f>
        <v>180.93</v>
      </c>
      <c r="D152" s="2">
        <f ca="1">IFERROR(__xludf.DUMMYFUNCTION("""COMPUTED_VALUE"""),177.01)</f>
        <v>177.01</v>
      </c>
      <c r="E152" s="2">
        <f ca="1">IFERROR(__xludf.DUMMYFUNCTION("""COMPUTED_VALUE"""),178.19)</f>
        <v>178.19</v>
      </c>
      <c r="F152" s="2">
        <f ca="1">IFERROR(__xludf.DUMMYFUNCTION("""COMPUTED_VALUE"""),60378492)</f>
        <v>60378492</v>
      </c>
    </row>
    <row r="153" spans="1:6" ht="12.5" x14ac:dyDescent="0.25">
      <c r="A153" s="3">
        <f ca="1">IFERROR(__xludf.DUMMYFUNCTION("""COMPUTED_VALUE"""),45148.6666666666)</f>
        <v>45148.666666666599</v>
      </c>
      <c r="B153" s="2">
        <f ca="1">IFERROR(__xludf.DUMMYFUNCTION("""COMPUTED_VALUE"""),179.48)</f>
        <v>179.48</v>
      </c>
      <c r="C153" s="2">
        <f ca="1">IFERROR(__xludf.DUMMYFUNCTION("""COMPUTED_VALUE"""),180.75)</f>
        <v>180.75</v>
      </c>
      <c r="D153" s="2">
        <f ca="1">IFERROR(__xludf.DUMMYFUNCTION("""COMPUTED_VALUE"""),177.6)</f>
        <v>177.6</v>
      </c>
      <c r="E153" s="2">
        <f ca="1">IFERROR(__xludf.DUMMYFUNCTION("""COMPUTED_VALUE"""),177.97)</f>
        <v>177.97</v>
      </c>
      <c r="F153" s="2">
        <f ca="1">IFERROR(__xludf.DUMMYFUNCTION("""COMPUTED_VALUE"""),54686851)</f>
        <v>54686851</v>
      </c>
    </row>
    <row r="154" spans="1:6" ht="12.5" x14ac:dyDescent="0.25">
      <c r="A154" s="3">
        <f ca="1">IFERROR(__xludf.DUMMYFUNCTION("""COMPUTED_VALUE"""),45149.6666666666)</f>
        <v>45149.666666666599</v>
      </c>
      <c r="B154" s="2">
        <f ca="1">IFERROR(__xludf.DUMMYFUNCTION("""COMPUTED_VALUE"""),177.32)</f>
        <v>177.32</v>
      </c>
      <c r="C154" s="2">
        <f ca="1">IFERROR(__xludf.DUMMYFUNCTION("""COMPUTED_VALUE"""),178.62)</f>
        <v>178.62</v>
      </c>
      <c r="D154" s="2">
        <f ca="1">IFERROR(__xludf.DUMMYFUNCTION("""COMPUTED_VALUE"""),176.55)</f>
        <v>176.55</v>
      </c>
      <c r="E154" s="2">
        <f ca="1">IFERROR(__xludf.DUMMYFUNCTION("""COMPUTED_VALUE"""),177.79)</f>
        <v>177.79</v>
      </c>
      <c r="F154" s="2">
        <f ca="1">IFERROR(__xludf.DUMMYFUNCTION("""COMPUTED_VALUE"""),52036672)</f>
        <v>52036672</v>
      </c>
    </row>
    <row r="155" spans="1:6" ht="12.5" x14ac:dyDescent="0.25">
      <c r="A155" s="3">
        <f ca="1">IFERROR(__xludf.DUMMYFUNCTION("""COMPUTED_VALUE"""),45152.6666666666)</f>
        <v>45152.666666666599</v>
      </c>
      <c r="B155" s="2">
        <f ca="1">IFERROR(__xludf.DUMMYFUNCTION("""COMPUTED_VALUE"""),177.97)</f>
        <v>177.97</v>
      </c>
      <c r="C155" s="2">
        <f ca="1">IFERROR(__xludf.DUMMYFUNCTION("""COMPUTED_VALUE"""),179.69)</f>
        <v>179.69</v>
      </c>
      <c r="D155" s="2">
        <f ca="1">IFERROR(__xludf.DUMMYFUNCTION("""COMPUTED_VALUE"""),177.31)</f>
        <v>177.31</v>
      </c>
      <c r="E155" s="2">
        <f ca="1">IFERROR(__xludf.DUMMYFUNCTION("""COMPUTED_VALUE"""),179.46)</f>
        <v>179.46</v>
      </c>
      <c r="F155" s="2">
        <f ca="1">IFERROR(__xludf.DUMMYFUNCTION("""COMPUTED_VALUE"""),43675627)</f>
        <v>43675627</v>
      </c>
    </row>
    <row r="156" spans="1:6" ht="12.5" x14ac:dyDescent="0.25">
      <c r="A156" s="3">
        <f ca="1">IFERROR(__xludf.DUMMYFUNCTION("""COMPUTED_VALUE"""),45153.6666666666)</f>
        <v>45153.666666666599</v>
      </c>
      <c r="B156" s="2">
        <f ca="1">IFERROR(__xludf.DUMMYFUNCTION("""COMPUTED_VALUE"""),178.88)</f>
        <v>178.88</v>
      </c>
      <c r="C156" s="2">
        <f ca="1">IFERROR(__xludf.DUMMYFUNCTION("""COMPUTED_VALUE"""),179.48)</f>
        <v>179.48</v>
      </c>
      <c r="D156" s="2">
        <f ca="1">IFERROR(__xludf.DUMMYFUNCTION("""COMPUTED_VALUE"""),177.05)</f>
        <v>177.05</v>
      </c>
      <c r="E156" s="2">
        <f ca="1">IFERROR(__xludf.DUMMYFUNCTION("""COMPUTED_VALUE"""),177.45)</f>
        <v>177.45</v>
      </c>
      <c r="F156" s="2">
        <f ca="1">IFERROR(__xludf.DUMMYFUNCTION("""COMPUTED_VALUE"""),43622593)</f>
        <v>43622593</v>
      </c>
    </row>
    <row r="157" spans="1:6" ht="12.5" x14ac:dyDescent="0.25">
      <c r="A157" s="3">
        <f ca="1">IFERROR(__xludf.DUMMYFUNCTION("""COMPUTED_VALUE"""),45154.6666666666)</f>
        <v>45154.666666666599</v>
      </c>
      <c r="B157" s="2">
        <f ca="1">IFERROR(__xludf.DUMMYFUNCTION("""COMPUTED_VALUE"""),177.13)</f>
        <v>177.13</v>
      </c>
      <c r="C157" s="2">
        <f ca="1">IFERROR(__xludf.DUMMYFUNCTION("""COMPUTED_VALUE"""),178.54)</f>
        <v>178.54</v>
      </c>
      <c r="D157" s="2">
        <f ca="1">IFERROR(__xludf.DUMMYFUNCTION("""COMPUTED_VALUE"""),176.5)</f>
        <v>176.5</v>
      </c>
      <c r="E157" s="2">
        <f ca="1">IFERROR(__xludf.DUMMYFUNCTION("""COMPUTED_VALUE"""),176.57)</f>
        <v>176.57</v>
      </c>
      <c r="F157" s="2">
        <f ca="1">IFERROR(__xludf.DUMMYFUNCTION("""COMPUTED_VALUE"""),46964857)</f>
        <v>46964857</v>
      </c>
    </row>
    <row r="158" spans="1:6" ht="12.5" x14ac:dyDescent="0.25">
      <c r="A158" s="3">
        <f ca="1">IFERROR(__xludf.DUMMYFUNCTION("""COMPUTED_VALUE"""),45155.6666666666)</f>
        <v>45155.666666666599</v>
      </c>
      <c r="B158" s="2">
        <f ca="1">IFERROR(__xludf.DUMMYFUNCTION("""COMPUTED_VALUE"""),177.14)</f>
        <v>177.14</v>
      </c>
      <c r="C158" s="2">
        <f ca="1">IFERROR(__xludf.DUMMYFUNCTION("""COMPUTED_VALUE"""),177.51)</f>
        <v>177.51</v>
      </c>
      <c r="D158" s="2">
        <f ca="1">IFERROR(__xludf.DUMMYFUNCTION("""COMPUTED_VALUE"""),173.48)</f>
        <v>173.48</v>
      </c>
      <c r="E158" s="2">
        <f ca="1">IFERROR(__xludf.DUMMYFUNCTION("""COMPUTED_VALUE"""),174)</f>
        <v>174</v>
      </c>
      <c r="F158" s="2">
        <f ca="1">IFERROR(__xludf.DUMMYFUNCTION("""COMPUTED_VALUE"""),66062882)</f>
        <v>66062882</v>
      </c>
    </row>
    <row r="159" spans="1:6" ht="12.5" x14ac:dyDescent="0.25">
      <c r="A159" s="3">
        <f ca="1">IFERROR(__xludf.DUMMYFUNCTION("""COMPUTED_VALUE"""),45156.6666666666)</f>
        <v>45156.666666666599</v>
      </c>
      <c r="B159" s="2">
        <f ca="1">IFERROR(__xludf.DUMMYFUNCTION("""COMPUTED_VALUE"""),172.3)</f>
        <v>172.3</v>
      </c>
      <c r="C159" s="2">
        <f ca="1">IFERROR(__xludf.DUMMYFUNCTION("""COMPUTED_VALUE"""),175.1)</f>
        <v>175.1</v>
      </c>
      <c r="D159" s="2">
        <f ca="1">IFERROR(__xludf.DUMMYFUNCTION("""COMPUTED_VALUE"""),171.96)</f>
        <v>171.96</v>
      </c>
      <c r="E159" s="2">
        <f ca="1">IFERROR(__xludf.DUMMYFUNCTION("""COMPUTED_VALUE"""),174.49)</f>
        <v>174.49</v>
      </c>
      <c r="F159" s="2">
        <f ca="1">IFERROR(__xludf.DUMMYFUNCTION("""COMPUTED_VALUE"""),61172150)</f>
        <v>61172150</v>
      </c>
    </row>
    <row r="160" spans="1:6" ht="12.5" x14ac:dyDescent="0.25">
      <c r="A160" s="3">
        <f ca="1">IFERROR(__xludf.DUMMYFUNCTION("""COMPUTED_VALUE"""),45159.6666666666)</f>
        <v>45159.666666666599</v>
      </c>
      <c r="B160" s="2">
        <f ca="1">IFERROR(__xludf.DUMMYFUNCTION("""COMPUTED_VALUE"""),175.07)</f>
        <v>175.07</v>
      </c>
      <c r="C160" s="2">
        <f ca="1">IFERROR(__xludf.DUMMYFUNCTION("""COMPUTED_VALUE"""),176.13)</f>
        <v>176.13</v>
      </c>
      <c r="D160" s="2">
        <f ca="1">IFERROR(__xludf.DUMMYFUNCTION("""COMPUTED_VALUE"""),173.74)</f>
        <v>173.74</v>
      </c>
      <c r="E160" s="2">
        <f ca="1">IFERROR(__xludf.DUMMYFUNCTION("""COMPUTED_VALUE"""),175.84)</f>
        <v>175.84</v>
      </c>
      <c r="F160" s="2">
        <f ca="1">IFERROR(__xludf.DUMMYFUNCTION("""COMPUTED_VALUE"""),46311879)</f>
        <v>46311879</v>
      </c>
    </row>
    <row r="161" spans="1:6" ht="12.5" x14ac:dyDescent="0.25">
      <c r="A161" s="3">
        <f ca="1">IFERROR(__xludf.DUMMYFUNCTION("""COMPUTED_VALUE"""),45160.6666666666)</f>
        <v>45160.666666666599</v>
      </c>
      <c r="B161" s="2">
        <f ca="1">IFERROR(__xludf.DUMMYFUNCTION("""COMPUTED_VALUE"""),177.06)</f>
        <v>177.06</v>
      </c>
      <c r="C161" s="2">
        <f ca="1">IFERROR(__xludf.DUMMYFUNCTION("""COMPUTED_VALUE"""),177.68)</f>
        <v>177.68</v>
      </c>
      <c r="D161" s="2">
        <f ca="1">IFERROR(__xludf.DUMMYFUNCTION("""COMPUTED_VALUE"""),176.25)</f>
        <v>176.25</v>
      </c>
      <c r="E161" s="2">
        <f ca="1">IFERROR(__xludf.DUMMYFUNCTION("""COMPUTED_VALUE"""),177.23)</f>
        <v>177.23</v>
      </c>
      <c r="F161" s="2">
        <f ca="1">IFERROR(__xludf.DUMMYFUNCTION("""COMPUTED_VALUE"""),42084245)</f>
        <v>42084245</v>
      </c>
    </row>
    <row r="162" spans="1:6" ht="12.5" x14ac:dyDescent="0.25">
      <c r="A162" s="3">
        <f ca="1">IFERROR(__xludf.DUMMYFUNCTION("""COMPUTED_VALUE"""),45161.6666666666)</f>
        <v>45161.666666666599</v>
      </c>
      <c r="B162" s="2">
        <f ca="1">IFERROR(__xludf.DUMMYFUNCTION("""COMPUTED_VALUE"""),178.52)</f>
        <v>178.52</v>
      </c>
      <c r="C162" s="2">
        <f ca="1">IFERROR(__xludf.DUMMYFUNCTION("""COMPUTED_VALUE"""),181.55)</f>
        <v>181.55</v>
      </c>
      <c r="D162" s="2">
        <f ca="1">IFERROR(__xludf.DUMMYFUNCTION("""COMPUTED_VALUE"""),178.33)</f>
        <v>178.33</v>
      </c>
      <c r="E162" s="2">
        <f ca="1">IFERROR(__xludf.DUMMYFUNCTION("""COMPUTED_VALUE"""),181.12)</f>
        <v>181.12</v>
      </c>
      <c r="F162" s="2">
        <f ca="1">IFERROR(__xludf.DUMMYFUNCTION("""COMPUTED_VALUE"""),52722752)</f>
        <v>52722752</v>
      </c>
    </row>
    <row r="163" spans="1:6" ht="12.5" x14ac:dyDescent="0.25">
      <c r="A163" s="3">
        <f ca="1">IFERROR(__xludf.DUMMYFUNCTION("""COMPUTED_VALUE"""),45162.6666666666)</f>
        <v>45162.666666666599</v>
      </c>
      <c r="B163" s="2">
        <f ca="1">IFERROR(__xludf.DUMMYFUNCTION("""COMPUTED_VALUE"""),180.67)</f>
        <v>180.67</v>
      </c>
      <c r="C163" s="2">
        <f ca="1">IFERROR(__xludf.DUMMYFUNCTION("""COMPUTED_VALUE"""),181.1)</f>
        <v>181.1</v>
      </c>
      <c r="D163" s="2">
        <f ca="1">IFERROR(__xludf.DUMMYFUNCTION("""COMPUTED_VALUE"""),176.01)</f>
        <v>176.01</v>
      </c>
      <c r="E163" s="2">
        <f ca="1">IFERROR(__xludf.DUMMYFUNCTION("""COMPUTED_VALUE"""),176.38)</f>
        <v>176.38</v>
      </c>
      <c r="F163" s="2">
        <f ca="1">IFERROR(__xludf.DUMMYFUNCTION("""COMPUTED_VALUE"""),54945798)</f>
        <v>54945798</v>
      </c>
    </row>
    <row r="164" spans="1:6" ht="12.5" x14ac:dyDescent="0.25">
      <c r="A164" s="3">
        <f ca="1">IFERROR(__xludf.DUMMYFUNCTION("""COMPUTED_VALUE"""),45163.6666666666)</f>
        <v>45163.666666666599</v>
      </c>
      <c r="B164" s="2">
        <f ca="1">IFERROR(__xludf.DUMMYFUNCTION("""COMPUTED_VALUE"""),177.38)</f>
        <v>177.38</v>
      </c>
      <c r="C164" s="2">
        <f ca="1">IFERROR(__xludf.DUMMYFUNCTION("""COMPUTED_VALUE"""),179.15)</f>
        <v>179.15</v>
      </c>
      <c r="D164" s="2">
        <f ca="1">IFERROR(__xludf.DUMMYFUNCTION("""COMPUTED_VALUE"""),175.82)</f>
        <v>175.82</v>
      </c>
      <c r="E164" s="2">
        <f ca="1">IFERROR(__xludf.DUMMYFUNCTION("""COMPUTED_VALUE"""),178.61)</f>
        <v>178.61</v>
      </c>
      <c r="F164" s="2">
        <f ca="1">IFERROR(__xludf.DUMMYFUNCTION("""COMPUTED_VALUE"""),51449594)</f>
        <v>51449594</v>
      </c>
    </row>
    <row r="165" spans="1:6" ht="12.5" x14ac:dyDescent="0.25">
      <c r="A165" s="3">
        <f ca="1">IFERROR(__xludf.DUMMYFUNCTION("""COMPUTED_VALUE"""),45166.6666666666)</f>
        <v>45166.666666666599</v>
      </c>
      <c r="B165" s="2">
        <f ca="1">IFERROR(__xludf.DUMMYFUNCTION("""COMPUTED_VALUE"""),180.09)</f>
        <v>180.09</v>
      </c>
      <c r="C165" s="2">
        <f ca="1">IFERROR(__xludf.DUMMYFUNCTION("""COMPUTED_VALUE"""),180.59)</f>
        <v>180.59</v>
      </c>
      <c r="D165" s="2">
        <f ca="1">IFERROR(__xludf.DUMMYFUNCTION("""COMPUTED_VALUE"""),178.55)</f>
        <v>178.55</v>
      </c>
      <c r="E165" s="2">
        <f ca="1">IFERROR(__xludf.DUMMYFUNCTION("""COMPUTED_VALUE"""),180.19)</f>
        <v>180.19</v>
      </c>
      <c r="F165" s="2">
        <f ca="1">IFERROR(__xludf.DUMMYFUNCTION("""COMPUTED_VALUE"""),43820697)</f>
        <v>43820697</v>
      </c>
    </row>
    <row r="166" spans="1:6" ht="12.5" x14ac:dyDescent="0.25">
      <c r="A166" s="3">
        <f ca="1">IFERROR(__xludf.DUMMYFUNCTION("""COMPUTED_VALUE"""),45167.6666666666)</f>
        <v>45167.666666666599</v>
      </c>
      <c r="B166" s="2">
        <f ca="1">IFERROR(__xludf.DUMMYFUNCTION("""COMPUTED_VALUE"""),179.7)</f>
        <v>179.7</v>
      </c>
      <c r="C166" s="2">
        <f ca="1">IFERROR(__xludf.DUMMYFUNCTION("""COMPUTED_VALUE"""),184.9)</f>
        <v>184.9</v>
      </c>
      <c r="D166" s="2">
        <f ca="1">IFERROR(__xludf.DUMMYFUNCTION("""COMPUTED_VALUE"""),179.5)</f>
        <v>179.5</v>
      </c>
      <c r="E166" s="2">
        <f ca="1">IFERROR(__xludf.DUMMYFUNCTION("""COMPUTED_VALUE"""),184.12)</f>
        <v>184.12</v>
      </c>
      <c r="F166" s="2">
        <f ca="1">IFERROR(__xludf.DUMMYFUNCTION("""COMPUTED_VALUE"""),53003948)</f>
        <v>53003948</v>
      </c>
    </row>
    <row r="167" spans="1:6" ht="12.5" x14ac:dyDescent="0.25">
      <c r="A167" s="3">
        <f ca="1">IFERROR(__xludf.DUMMYFUNCTION("""COMPUTED_VALUE"""),45168.6666666666)</f>
        <v>45168.666666666599</v>
      </c>
      <c r="B167" s="2">
        <f ca="1">IFERROR(__xludf.DUMMYFUNCTION("""COMPUTED_VALUE"""),184.94)</f>
        <v>184.94</v>
      </c>
      <c r="C167" s="2">
        <f ca="1">IFERROR(__xludf.DUMMYFUNCTION("""COMPUTED_VALUE"""),187.85)</f>
        <v>187.85</v>
      </c>
      <c r="D167" s="2">
        <f ca="1">IFERROR(__xludf.DUMMYFUNCTION("""COMPUTED_VALUE"""),184.74)</f>
        <v>184.74</v>
      </c>
      <c r="E167" s="2">
        <f ca="1">IFERROR(__xludf.DUMMYFUNCTION("""COMPUTED_VALUE"""),187.65)</f>
        <v>187.65</v>
      </c>
      <c r="F167" s="2">
        <f ca="1">IFERROR(__xludf.DUMMYFUNCTION("""COMPUTED_VALUE"""),60813888)</f>
        <v>60813888</v>
      </c>
    </row>
    <row r="168" spans="1:6" ht="12.5" x14ac:dyDescent="0.25">
      <c r="A168" s="3">
        <f ca="1">IFERROR(__xludf.DUMMYFUNCTION("""COMPUTED_VALUE"""),45169.6666666666)</f>
        <v>45169.666666666599</v>
      </c>
      <c r="B168" s="2">
        <f ca="1">IFERROR(__xludf.DUMMYFUNCTION("""COMPUTED_VALUE"""),187.84)</f>
        <v>187.84</v>
      </c>
      <c r="C168" s="2">
        <f ca="1">IFERROR(__xludf.DUMMYFUNCTION("""COMPUTED_VALUE"""),189.12)</f>
        <v>189.12</v>
      </c>
      <c r="D168" s="2">
        <f ca="1">IFERROR(__xludf.DUMMYFUNCTION("""COMPUTED_VALUE"""),187.48)</f>
        <v>187.48</v>
      </c>
      <c r="E168" s="2">
        <f ca="1">IFERROR(__xludf.DUMMYFUNCTION("""COMPUTED_VALUE"""),187.87)</f>
        <v>187.87</v>
      </c>
      <c r="F168" s="2">
        <f ca="1">IFERROR(__xludf.DUMMYFUNCTION("""COMPUTED_VALUE"""),60794467)</f>
        <v>60794467</v>
      </c>
    </row>
    <row r="169" spans="1:6" ht="12.5" x14ac:dyDescent="0.25">
      <c r="A169" s="3">
        <f ca="1">IFERROR(__xludf.DUMMYFUNCTION("""COMPUTED_VALUE"""),45170.6666666666)</f>
        <v>45170.666666666599</v>
      </c>
      <c r="B169" s="2">
        <f ca="1">IFERROR(__xludf.DUMMYFUNCTION("""COMPUTED_VALUE"""),189.49)</f>
        <v>189.49</v>
      </c>
      <c r="C169" s="2">
        <f ca="1">IFERROR(__xludf.DUMMYFUNCTION("""COMPUTED_VALUE"""),189.92)</f>
        <v>189.92</v>
      </c>
      <c r="D169" s="2">
        <f ca="1">IFERROR(__xludf.DUMMYFUNCTION("""COMPUTED_VALUE"""),188.28)</f>
        <v>188.28</v>
      </c>
      <c r="E169" s="2">
        <f ca="1">IFERROR(__xludf.DUMMYFUNCTION("""COMPUTED_VALUE"""),189.46)</f>
        <v>189.46</v>
      </c>
      <c r="F169" s="2">
        <f ca="1">IFERROR(__xludf.DUMMYFUNCTION("""COMPUTED_VALUE"""),45766503)</f>
        <v>45766503</v>
      </c>
    </row>
    <row r="170" spans="1:6" ht="12.5" x14ac:dyDescent="0.25">
      <c r="A170" s="3">
        <f ca="1">IFERROR(__xludf.DUMMYFUNCTION("""COMPUTED_VALUE"""),45174.6666666666)</f>
        <v>45174.666666666599</v>
      </c>
      <c r="B170" s="2">
        <f ca="1">IFERROR(__xludf.DUMMYFUNCTION("""COMPUTED_VALUE"""),188.28)</f>
        <v>188.28</v>
      </c>
      <c r="C170" s="2">
        <f ca="1">IFERROR(__xludf.DUMMYFUNCTION("""COMPUTED_VALUE"""),189.98)</f>
        <v>189.98</v>
      </c>
      <c r="D170" s="2">
        <f ca="1">IFERROR(__xludf.DUMMYFUNCTION("""COMPUTED_VALUE"""),187.61)</f>
        <v>187.61</v>
      </c>
      <c r="E170" s="2">
        <f ca="1">IFERROR(__xludf.DUMMYFUNCTION("""COMPUTED_VALUE"""),189.7)</f>
        <v>189.7</v>
      </c>
      <c r="F170" s="2">
        <f ca="1">IFERROR(__xludf.DUMMYFUNCTION("""COMPUTED_VALUE"""),45280027)</f>
        <v>45280027</v>
      </c>
    </row>
    <row r="171" spans="1:6" ht="12.5" x14ac:dyDescent="0.25">
      <c r="A171" s="3">
        <f ca="1">IFERROR(__xludf.DUMMYFUNCTION("""COMPUTED_VALUE"""),45175.6666666666)</f>
        <v>45175.666666666599</v>
      </c>
      <c r="B171" s="2">
        <f ca="1">IFERROR(__xludf.DUMMYFUNCTION("""COMPUTED_VALUE"""),188.4)</f>
        <v>188.4</v>
      </c>
      <c r="C171" s="2">
        <f ca="1">IFERROR(__xludf.DUMMYFUNCTION("""COMPUTED_VALUE"""),188.85)</f>
        <v>188.85</v>
      </c>
      <c r="D171" s="2">
        <f ca="1">IFERROR(__xludf.DUMMYFUNCTION("""COMPUTED_VALUE"""),181.47)</f>
        <v>181.47</v>
      </c>
      <c r="E171" s="2">
        <f ca="1">IFERROR(__xludf.DUMMYFUNCTION("""COMPUTED_VALUE"""),182.91)</f>
        <v>182.91</v>
      </c>
      <c r="F171" s="2">
        <f ca="1">IFERROR(__xludf.DUMMYFUNCTION("""COMPUTED_VALUE"""),81755816)</f>
        <v>81755816</v>
      </c>
    </row>
    <row r="172" spans="1:6" ht="12.5" x14ac:dyDescent="0.25">
      <c r="A172" s="3">
        <f ca="1">IFERROR(__xludf.DUMMYFUNCTION("""COMPUTED_VALUE"""),45176.6666666666)</f>
        <v>45176.666666666599</v>
      </c>
      <c r="B172" s="2">
        <f ca="1">IFERROR(__xludf.DUMMYFUNCTION("""COMPUTED_VALUE"""),175.18)</f>
        <v>175.18</v>
      </c>
      <c r="C172" s="2">
        <f ca="1">IFERROR(__xludf.DUMMYFUNCTION("""COMPUTED_VALUE"""),178.21)</f>
        <v>178.21</v>
      </c>
      <c r="D172" s="2">
        <f ca="1">IFERROR(__xludf.DUMMYFUNCTION("""COMPUTED_VALUE"""),173.54)</f>
        <v>173.54</v>
      </c>
      <c r="E172" s="2">
        <f ca="1">IFERROR(__xludf.DUMMYFUNCTION("""COMPUTED_VALUE"""),177.56)</f>
        <v>177.56</v>
      </c>
      <c r="F172" s="2">
        <f ca="1">IFERROR(__xludf.DUMMYFUNCTION("""COMPUTED_VALUE"""),112488803)</f>
        <v>112488803</v>
      </c>
    </row>
    <row r="173" spans="1:6" ht="12.5" x14ac:dyDescent="0.25">
      <c r="A173" s="3">
        <f ca="1">IFERROR(__xludf.DUMMYFUNCTION("""COMPUTED_VALUE"""),45177.6666666666)</f>
        <v>45177.666666666599</v>
      </c>
      <c r="B173" s="2">
        <f ca="1">IFERROR(__xludf.DUMMYFUNCTION("""COMPUTED_VALUE"""),178.35)</f>
        <v>178.35</v>
      </c>
      <c r="C173" s="2">
        <f ca="1">IFERROR(__xludf.DUMMYFUNCTION("""COMPUTED_VALUE"""),180.24)</f>
        <v>180.24</v>
      </c>
      <c r="D173" s="2">
        <f ca="1">IFERROR(__xludf.DUMMYFUNCTION("""COMPUTED_VALUE"""),177.79)</f>
        <v>177.79</v>
      </c>
      <c r="E173" s="2">
        <f ca="1">IFERROR(__xludf.DUMMYFUNCTION("""COMPUTED_VALUE"""),178.18)</f>
        <v>178.18</v>
      </c>
      <c r="F173" s="2">
        <f ca="1">IFERROR(__xludf.DUMMYFUNCTION("""COMPUTED_VALUE"""),65602066)</f>
        <v>65602066</v>
      </c>
    </row>
    <row r="174" spans="1:6" ht="12.5" x14ac:dyDescent="0.25">
      <c r="A174" s="3">
        <f ca="1">IFERROR(__xludf.DUMMYFUNCTION("""COMPUTED_VALUE"""),45180.6666666666)</f>
        <v>45180.666666666599</v>
      </c>
      <c r="B174" s="2">
        <f ca="1">IFERROR(__xludf.DUMMYFUNCTION("""COMPUTED_VALUE"""),180.07)</f>
        <v>180.07</v>
      </c>
      <c r="C174" s="2">
        <f ca="1">IFERROR(__xludf.DUMMYFUNCTION("""COMPUTED_VALUE"""),180.3)</f>
        <v>180.3</v>
      </c>
      <c r="D174" s="2">
        <f ca="1">IFERROR(__xludf.DUMMYFUNCTION("""COMPUTED_VALUE"""),177.34)</f>
        <v>177.34</v>
      </c>
      <c r="E174" s="2">
        <f ca="1">IFERROR(__xludf.DUMMYFUNCTION("""COMPUTED_VALUE"""),179.36)</f>
        <v>179.36</v>
      </c>
      <c r="F174" s="2">
        <f ca="1">IFERROR(__xludf.DUMMYFUNCTION("""COMPUTED_VALUE"""),58953052)</f>
        <v>58953052</v>
      </c>
    </row>
    <row r="175" spans="1:6" ht="12.5" x14ac:dyDescent="0.25">
      <c r="A175" s="3">
        <f ca="1">IFERROR(__xludf.DUMMYFUNCTION("""COMPUTED_VALUE"""),45181.6666666666)</f>
        <v>45181.666666666599</v>
      </c>
      <c r="B175" s="2">
        <f ca="1">IFERROR(__xludf.DUMMYFUNCTION("""COMPUTED_VALUE"""),179.49)</f>
        <v>179.49</v>
      </c>
      <c r="C175" s="2">
        <f ca="1">IFERROR(__xludf.DUMMYFUNCTION("""COMPUTED_VALUE"""),180.13)</f>
        <v>180.13</v>
      </c>
      <c r="D175" s="2">
        <f ca="1">IFERROR(__xludf.DUMMYFUNCTION("""COMPUTED_VALUE"""),174.82)</f>
        <v>174.82</v>
      </c>
      <c r="E175" s="2">
        <f ca="1">IFERROR(__xludf.DUMMYFUNCTION("""COMPUTED_VALUE"""),176.3)</f>
        <v>176.3</v>
      </c>
      <c r="F175" s="2">
        <f ca="1">IFERROR(__xludf.DUMMYFUNCTION("""COMPUTED_VALUE"""),90370192)</f>
        <v>90370192</v>
      </c>
    </row>
    <row r="176" spans="1:6" ht="12.5" x14ac:dyDescent="0.25">
      <c r="A176" s="3">
        <f ca="1">IFERROR(__xludf.DUMMYFUNCTION("""COMPUTED_VALUE"""),45182.6666666666)</f>
        <v>45182.666666666599</v>
      </c>
      <c r="B176" s="2">
        <f ca="1">IFERROR(__xludf.DUMMYFUNCTION("""COMPUTED_VALUE"""),176.51)</f>
        <v>176.51</v>
      </c>
      <c r="C176" s="2">
        <f ca="1">IFERROR(__xludf.DUMMYFUNCTION("""COMPUTED_VALUE"""),177.3)</f>
        <v>177.3</v>
      </c>
      <c r="D176" s="2">
        <f ca="1">IFERROR(__xludf.DUMMYFUNCTION("""COMPUTED_VALUE"""),173.98)</f>
        <v>173.98</v>
      </c>
      <c r="E176" s="2">
        <f ca="1">IFERROR(__xludf.DUMMYFUNCTION("""COMPUTED_VALUE"""),174.21)</f>
        <v>174.21</v>
      </c>
      <c r="F176" s="2">
        <f ca="1">IFERROR(__xludf.DUMMYFUNCTION("""COMPUTED_VALUE"""),84267928)</f>
        <v>84267928</v>
      </c>
    </row>
    <row r="177" spans="1:6" ht="12.5" x14ac:dyDescent="0.25">
      <c r="A177" s="3">
        <f ca="1">IFERROR(__xludf.DUMMYFUNCTION("""COMPUTED_VALUE"""),45183.6666666666)</f>
        <v>45183.666666666599</v>
      </c>
      <c r="B177" s="2">
        <f ca="1">IFERROR(__xludf.DUMMYFUNCTION("""COMPUTED_VALUE"""),174)</f>
        <v>174</v>
      </c>
      <c r="C177" s="2">
        <f ca="1">IFERROR(__xludf.DUMMYFUNCTION("""COMPUTED_VALUE"""),176.1)</f>
        <v>176.1</v>
      </c>
      <c r="D177" s="2">
        <f ca="1">IFERROR(__xludf.DUMMYFUNCTION("""COMPUTED_VALUE"""),173.58)</f>
        <v>173.58</v>
      </c>
      <c r="E177" s="2">
        <f ca="1">IFERROR(__xludf.DUMMYFUNCTION("""COMPUTED_VALUE"""),175.74)</f>
        <v>175.74</v>
      </c>
      <c r="F177" s="2">
        <f ca="1">IFERROR(__xludf.DUMMYFUNCTION("""COMPUTED_VALUE"""),60895757)</f>
        <v>60895757</v>
      </c>
    </row>
    <row r="178" spans="1:6" ht="12.5" x14ac:dyDescent="0.25">
      <c r="A178" s="3">
        <f ca="1">IFERROR(__xludf.DUMMYFUNCTION("""COMPUTED_VALUE"""),45184.6666666666)</f>
        <v>45184.666666666599</v>
      </c>
      <c r="B178" s="2">
        <f ca="1">IFERROR(__xludf.DUMMYFUNCTION("""COMPUTED_VALUE"""),176.48)</f>
        <v>176.48</v>
      </c>
      <c r="C178" s="2">
        <f ca="1">IFERROR(__xludf.DUMMYFUNCTION("""COMPUTED_VALUE"""),176.5)</f>
        <v>176.5</v>
      </c>
      <c r="D178" s="2">
        <f ca="1">IFERROR(__xludf.DUMMYFUNCTION("""COMPUTED_VALUE"""),173.82)</f>
        <v>173.82</v>
      </c>
      <c r="E178" s="2">
        <f ca="1">IFERROR(__xludf.DUMMYFUNCTION("""COMPUTED_VALUE"""),175.01)</f>
        <v>175.01</v>
      </c>
      <c r="F178" s="2">
        <f ca="1">IFERROR(__xludf.DUMMYFUNCTION("""COMPUTED_VALUE"""),109259461)</f>
        <v>109259461</v>
      </c>
    </row>
    <row r="179" spans="1:6" ht="12.5" x14ac:dyDescent="0.25">
      <c r="A179" s="3">
        <f ca="1">IFERROR(__xludf.DUMMYFUNCTION("""COMPUTED_VALUE"""),45187.6666666666)</f>
        <v>45187.666666666599</v>
      </c>
      <c r="B179" s="2">
        <f ca="1">IFERROR(__xludf.DUMMYFUNCTION("""COMPUTED_VALUE"""),176.48)</f>
        <v>176.48</v>
      </c>
      <c r="C179" s="2">
        <f ca="1">IFERROR(__xludf.DUMMYFUNCTION("""COMPUTED_VALUE"""),179.38)</f>
        <v>179.38</v>
      </c>
      <c r="D179" s="2">
        <f ca="1">IFERROR(__xludf.DUMMYFUNCTION("""COMPUTED_VALUE"""),176.17)</f>
        <v>176.17</v>
      </c>
      <c r="E179" s="2">
        <f ca="1">IFERROR(__xludf.DUMMYFUNCTION("""COMPUTED_VALUE"""),177.97)</f>
        <v>177.97</v>
      </c>
      <c r="F179" s="2">
        <f ca="1">IFERROR(__xludf.DUMMYFUNCTION("""COMPUTED_VALUE"""),67257573)</f>
        <v>67257573</v>
      </c>
    </row>
    <row r="180" spans="1:6" ht="12.5" x14ac:dyDescent="0.25">
      <c r="A180" s="3">
        <f ca="1">IFERROR(__xludf.DUMMYFUNCTION("""COMPUTED_VALUE"""),45188.6666666666)</f>
        <v>45188.666666666599</v>
      </c>
      <c r="B180" s="2">
        <f ca="1">IFERROR(__xludf.DUMMYFUNCTION("""COMPUTED_VALUE"""),177.52)</f>
        <v>177.52</v>
      </c>
      <c r="C180" s="2">
        <f ca="1">IFERROR(__xludf.DUMMYFUNCTION("""COMPUTED_VALUE"""),179.63)</f>
        <v>179.63</v>
      </c>
      <c r="D180" s="2">
        <f ca="1">IFERROR(__xludf.DUMMYFUNCTION("""COMPUTED_VALUE"""),177.13)</f>
        <v>177.13</v>
      </c>
      <c r="E180" s="2">
        <f ca="1">IFERROR(__xludf.DUMMYFUNCTION("""COMPUTED_VALUE"""),179.07)</f>
        <v>179.07</v>
      </c>
      <c r="F180" s="2">
        <f ca="1">IFERROR(__xludf.DUMMYFUNCTION("""COMPUTED_VALUE"""),51826941)</f>
        <v>51826941</v>
      </c>
    </row>
    <row r="181" spans="1:6" ht="12.5" x14ac:dyDescent="0.25">
      <c r="A181" s="3">
        <f ca="1">IFERROR(__xludf.DUMMYFUNCTION("""COMPUTED_VALUE"""),45189.6666666666)</f>
        <v>45189.666666666599</v>
      </c>
      <c r="B181" s="2">
        <f ca="1">IFERROR(__xludf.DUMMYFUNCTION("""COMPUTED_VALUE"""),179.26)</f>
        <v>179.26</v>
      </c>
      <c r="C181" s="2">
        <f ca="1">IFERROR(__xludf.DUMMYFUNCTION("""COMPUTED_VALUE"""),179.7)</f>
        <v>179.7</v>
      </c>
      <c r="D181" s="2">
        <f ca="1">IFERROR(__xludf.DUMMYFUNCTION("""COMPUTED_VALUE"""),175.4)</f>
        <v>175.4</v>
      </c>
      <c r="E181" s="2">
        <f ca="1">IFERROR(__xludf.DUMMYFUNCTION("""COMPUTED_VALUE"""),175.49)</f>
        <v>175.49</v>
      </c>
      <c r="F181" s="2">
        <f ca="1">IFERROR(__xludf.DUMMYFUNCTION("""COMPUTED_VALUE"""),58436181)</f>
        <v>58436181</v>
      </c>
    </row>
    <row r="182" spans="1:6" ht="12.5" x14ac:dyDescent="0.25">
      <c r="A182" s="3">
        <f ca="1">IFERROR(__xludf.DUMMYFUNCTION("""COMPUTED_VALUE"""),45190.6666666666)</f>
        <v>45190.666666666599</v>
      </c>
      <c r="B182" s="2">
        <f ca="1">IFERROR(__xludf.DUMMYFUNCTION("""COMPUTED_VALUE"""),174.55)</f>
        <v>174.55</v>
      </c>
      <c r="C182" s="2">
        <f ca="1">IFERROR(__xludf.DUMMYFUNCTION("""COMPUTED_VALUE"""),176.3)</f>
        <v>176.3</v>
      </c>
      <c r="D182" s="2">
        <f ca="1">IFERROR(__xludf.DUMMYFUNCTION("""COMPUTED_VALUE"""),173.86)</f>
        <v>173.86</v>
      </c>
      <c r="E182" s="2">
        <f ca="1">IFERROR(__xludf.DUMMYFUNCTION("""COMPUTED_VALUE"""),173.93)</f>
        <v>173.93</v>
      </c>
      <c r="F182" s="2">
        <f ca="1">IFERROR(__xludf.DUMMYFUNCTION("""COMPUTED_VALUE"""),63149116)</f>
        <v>63149116</v>
      </c>
    </row>
    <row r="183" spans="1:6" ht="12.5" x14ac:dyDescent="0.25">
      <c r="A183" s="3">
        <f ca="1">IFERROR(__xludf.DUMMYFUNCTION("""COMPUTED_VALUE"""),45191.6666666666)</f>
        <v>45191.666666666599</v>
      </c>
      <c r="B183" s="2">
        <f ca="1">IFERROR(__xludf.DUMMYFUNCTION("""COMPUTED_VALUE"""),174.67)</f>
        <v>174.67</v>
      </c>
      <c r="C183" s="2">
        <f ca="1">IFERROR(__xludf.DUMMYFUNCTION("""COMPUTED_VALUE"""),177.08)</f>
        <v>177.08</v>
      </c>
      <c r="D183" s="2">
        <f ca="1">IFERROR(__xludf.DUMMYFUNCTION("""COMPUTED_VALUE"""),174.05)</f>
        <v>174.05</v>
      </c>
      <c r="E183" s="2">
        <f ca="1">IFERROR(__xludf.DUMMYFUNCTION("""COMPUTED_VALUE"""),174.79)</f>
        <v>174.79</v>
      </c>
      <c r="F183" s="2">
        <f ca="1">IFERROR(__xludf.DUMMYFUNCTION("""COMPUTED_VALUE"""),56725385)</f>
        <v>56725385</v>
      </c>
    </row>
    <row r="184" spans="1:6" ht="12.5" x14ac:dyDescent="0.25">
      <c r="A184" s="3">
        <f ca="1">IFERROR(__xludf.DUMMYFUNCTION("""COMPUTED_VALUE"""),45194.6666666666)</f>
        <v>45194.666666666599</v>
      </c>
      <c r="B184" s="2">
        <f ca="1">IFERROR(__xludf.DUMMYFUNCTION("""COMPUTED_VALUE"""),174.2)</f>
        <v>174.2</v>
      </c>
      <c r="C184" s="2">
        <f ca="1">IFERROR(__xludf.DUMMYFUNCTION("""COMPUTED_VALUE"""),176.97)</f>
        <v>176.97</v>
      </c>
      <c r="D184" s="2">
        <f ca="1">IFERROR(__xludf.DUMMYFUNCTION("""COMPUTED_VALUE"""),174.15)</f>
        <v>174.15</v>
      </c>
      <c r="E184" s="2">
        <f ca="1">IFERROR(__xludf.DUMMYFUNCTION("""COMPUTED_VALUE"""),176.08)</f>
        <v>176.08</v>
      </c>
      <c r="F184" s="2">
        <f ca="1">IFERROR(__xludf.DUMMYFUNCTION("""COMPUTED_VALUE"""),46172740)</f>
        <v>46172740</v>
      </c>
    </row>
    <row r="185" spans="1:6" ht="12.5" x14ac:dyDescent="0.25">
      <c r="A185" s="3">
        <f ca="1">IFERROR(__xludf.DUMMYFUNCTION("""COMPUTED_VALUE"""),45195.6666666666)</f>
        <v>45195.666666666599</v>
      </c>
      <c r="B185" s="2">
        <f ca="1">IFERROR(__xludf.DUMMYFUNCTION("""COMPUTED_VALUE"""),174.82)</f>
        <v>174.82</v>
      </c>
      <c r="C185" s="2">
        <f ca="1">IFERROR(__xludf.DUMMYFUNCTION("""COMPUTED_VALUE"""),175.2)</f>
        <v>175.2</v>
      </c>
      <c r="D185" s="2">
        <f ca="1">IFERROR(__xludf.DUMMYFUNCTION("""COMPUTED_VALUE"""),171.66)</f>
        <v>171.66</v>
      </c>
      <c r="E185" s="2">
        <f ca="1">IFERROR(__xludf.DUMMYFUNCTION("""COMPUTED_VALUE"""),171.96)</f>
        <v>171.96</v>
      </c>
      <c r="F185" s="2">
        <f ca="1">IFERROR(__xludf.DUMMYFUNCTION("""COMPUTED_VALUE"""),64588945)</f>
        <v>64588945</v>
      </c>
    </row>
    <row r="186" spans="1:6" ht="12.5" x14ac:dyDescent="0.25">
      <c r="A186" s="3">
        <f ca="1">IFERROR(__xludf.DUMMYFUNCTION("""COMPUTED_VALUE"""),45196.6666666666)</f>
        <v>45196.666666666599</v>
      </c>
      <c r="B186" s="2">
        <f ca="1">IFERROR(__xludf.DUMMYFUNCTION("""COMPUTED_VALUE"""),172.62)</f>
        <v>172.62</v>
      </c>
      <c r="C186" s="2">
        <f ca="1">IFERROR(__xludf.DUMMYFUNCTION("""COMPUTED_VALUE"""),173.04)</f>
        <v>173.04</v>
      </c>
      <c r="D186" s="2">
        <f ca="1">IFERROR(__xludf.DUMMYFUNCTION("""COMPUTED_VALUE"""),169.05)</f>
        <v>169.05</v>
      </c>
      <c r="E186" s="2">
        <f ca="1">IFERROR(__xludf.DUMMYFUNCTION("""COMPUTED_VALUE"""),170.43)</f>
        <v>170.43</v>
      </c>
      <c r="F186" s="2">
        <f ca="1">IFERROR(__xludf.DUMMYFUNCTION("""COMPUTED_VALUE"""),66921808)</f>
        <v>66921808</v>
      </c>
    </row>
    <row r="187" spans="1:6" ht="12.5" x14ac:dyDescent="0.25">
      <c r="A187" s="3">
        <f ca="1">IFERROR(__xludf.DUMMYFUNCTION("""COMPUTED_VALUE"""),45197.6666666666)</f>
        <v>45197.666666666599</v>
      </c>
      <c r="B187" s="2">
        <f ca="1">IFERROR(__xludf.DUMMYFUNCTION("""COMPUTED_VALUE"""),169.34)</f>
        <v>169.34</v>
      </c>
      <c r="C187" s="2">
        <f ca="1">IFERROR(__xludf.DUMMYFUNCTION("""COMPUTED_VALUE"""),172.03)</f>
        <v>172.03</v>
      </c>
      <c r="D187" s="2">
        <f ca="1">IFERROR(__xludf.DUMMYFUNCTION("""COMPUTED_VALUE"""),167.62)</f>
        <v>167.62</v>
      </c>
      <c r="E187" s="2">
        <f ca="1">IFERROR(__xludf.DUMMYFUNCTION("""COMPUTED_VALUE"""),170.69)</f>
        <v>170.69</v>
      </c>
      <c r="F187" s="2">
        <f ca="1">IFERROR(__xludf.DUMMYFUNCTION("""COMPUTED_VALUE"""),56294419)</f>
        <v>56294419</v>
      </c>
    </row>
    <row r="188" spans="1:6" ht="12.5" x14ac:dyDescent="0.25">
      <c r="A188" s="3">
        <f ca="1">IFERROR(__xludf.DUMMYFUNCTION("""COMPUTED_VALUE"""),45198.6666666666)</f>
        <v>45198.666666666599</v>
      </c>
      <c r="B188" s="2">
        <f ca="1">IFERROR(__xludf.DUMMYFUNCTION("""COMPUTED_VALUE"""),172.02)</f>
        <v>172.02</v>
      </c>
      <c r="C188" s="2">
        <f ca="1">IFERROR(__xludf.DUMMYFUNCTION("""COMPUTED_VALUE"""),173.07)</f>
        <v>173.07</v>
      </c>
      <c r="D188" s="2">
        <f ca="1">IFERROR(__xludf.DUMMYFUNCTION("""COMPUTED_VALUE"""),170.34)</f>
        <v>170.34</v>
      </c>
      <c r="E188" s="2">
        <f ca="1">IFERROR(__xludf.DUMMYFUNCTION("""COMPUTED_VALUE"""),171.21)</f>
        <v>171.21</v>
      </c>
      <c r="F188" s="2">
        <f ca="1">IFERROR(__xludf.DUMMYFUNCTION("""COMPUTED_VALUE"""),51861083)</f>
        <v>51861083</v>
      </c>
    </row>
    <row r="189" spans="1:6" ht="12.5" x14ac:dyDescent="0.25">
      <c r="A189" s="3">
        <f ca="1">IFERROR(__xludf.DUMMYFUNCTION("""COMPUTED_VALUE"""),45201.6666666666)</f>
        <v>45201.666666666599</v>
      </c>
      <c r="B189" s="2">
        <f ca="1">IFERROR(__xludf.DUMMYFUNCTION("""COMPUTED_VALUE"""),171.22)</f>
        <v>171.22</v>
      </c>
      <c r="C189" s="2">
        <f ca="1">IFERROR(__xludf.DUMMYFUNCTION("""COMPUTED_VALUE"""),174.3)</f>
        <v>174.3</v>
      </c>
      <c r="D189" s="2">
        <f ca="1">IFERROR(__xludf.DUMMYFUNCTION("""COMPUTED_VALUE"""),170.93)</f>
        <v>170.93</v>
      </c>
      <c r="E189" s="2">
        <f ca="1">IFERROR(__xludf.DUMMYFUNCTION("""COMPUTED_VALUE"""),173.75)</f>
        <v>173.75</v>
      </c>
      <c r="F189" s="2">
        <f ca="1">IFERROR(__xludf.DUMMYFUNCTION("""COMPUTED_VALUE"""),52164535)</f>
        <v>52164535</v>
      </c>
    </row>
    <row r="190" spans="1:6" ht="12.5" x14ac:dyDescent="0.25">
      <c r="A190" s="3">
        <f ca="1">IFERROR(__xludf.DUMMYFUNCTION("""COMPUTED_VALUE"""),45202.6666666666)</f>
        <v>45202.666666666599</v>
      </c>
      <c r="B190" s="2">
        <f ca="1">IFERROR(__xludf.DUMMYFUNCTION("""COMPUTED_VALUE"""),172.26)</f>
        <v>172.26</v>
      </c>
      <c r="C190" s="2">
        <f ca="1">IFERROR(__xludf.DUMMYFUNCTION("""COMPUTED_VALUE"""),173.63)</f>
        <v>173.63</v>
      </c>
      <c r="D190" s="2">
        <f ca="1">IFERROR(__xludf.DUMMYFUNCTION("""COMPUTED_VALUE"""),170.82)</f>
        <v>170.82</v>
      </c>
      <c r="E190" s="2">
        <f ca="1">IFERROR(__xludf.DUMMYFUNCTION("""COMPUTED_VALUE"""),172.4)</f>
        <v>172.4</v>
      </c>
      <c r="F190" s="2">
        <f ca="1">IFERROR(__xludf.DUMMYFUNCTION("""COMPUTED_VALUE"""),49594613)</f>
        <v>49594613</v>
      </c>
    </row>
    <row r="191" spans="1:6" ht="12.5" x14ac:dyDescent="0.25">
      <c r="A191" s="3">
        <f ca="1">IFERROR(__xludf.DUMMYFUNCTION("""COMPUTED_VALUE"""),45203.6666666666)</f>
        <v>45203.666666666599</v>
      </c>
      <c r="B191" s="2">
        <f ca="1">IFERROR(__xludf.DUMMYFUNCTION("""COMPUTED_VALUE"""),171.09)</f>
        <v>171.09</v>
      </c>
      <c r="C191" s="2">
        <f ca="1">IFERROR(__xludf.DUMMYFUNCTION("""COMPUTED_VALUE"""),174.21)</f>
        <v>174.21</v>
      </c>
      <c r="D191" s="2">
        <f ca="1">IFERROR(__xludf.DUMMYFUNCTION("""COMPUTED_VALUE"""),170.97)</f>
        <v>170.97</v>
      </c>
      <c r="E191" s="2">
        <f ca="1">IFERROR(__xludf.DUMMYFUNCTION("""COMPUTED_VALUE"""),173.66)</f>
        <v>173.66</v>
      </c>
      <c r="F191" s="2">
        <f ca="1">IFERROR(__xludf.DUMMYFUNCTION("""COMPUTED_VALUE"""),53020286)</f>
        <v>53020286</v>
      </c>
    </row>
    <row r="192" spans="1:6" ht="12.5" x14ac:dyDescent="0.25">
      <c r="A192" s="3">
        <f ca="1">IFERROR(__xludf.DUMMYFUNCTION("""COMPUTED_VALUE"""),45204.6666666666)</f>
        <v>45204.666666666599</v>
      </c>
      <c r="B192" s="2">
        <f ca="1">IFERROR(__xludf.DUMMYFUNCTION("""COMPUTED_VALUE"""),173.79)</f>
        <v>173.79</v>
      </c>
      <c r="C192" s="2">
        <f ca="1">IFERROR(__xludf.DUMMYFUNCTION("""COMPUTED_VALUE"""),175.45)</f>
        <v>175.45</v>
      </c>
      <c r="D192" s="2">
        <f ca="1">IFERROR(__xludf.DUMMYFUNCTION("""COMPUTED_VALUE"""),172.68)</f>
        <v>172.68</v>
      </c>
      <c r="E192" s="2">
        <f ca="1">IFERROR(__xludf.DUMMYFUNCTION("""COMPUTED_VALUE"""),174.91)</f>
        <v>174.91</v>
      </c>
      <c r="F192" s="2">
        <f ca="1">IFERROR(__xludf.DUMMYFUNCTION("""COMPUTED_VALUE"""),48527918)</f>
        <v>48527918</v>
      </c>
    </row>
    <row r="193" spans="1:6" ht="12.5" x14ac:dyDescent="0.25">
      <c r="A193" s="3">
        <f ca="1">IFERROR(__xludf.DUMMYFUNCTION("""COMPUTED_VALUE"""),45205.6666666666)</f>
        <v>45205.666666666599</v>
      </c>
      <c r="B193" s="2">
        <f ca="1">IFERROR(__xludf.DUMMYFUNCTION("""COMPUTED_VALUE"""),173.8)</f>
        <v>173.8</v>
      </c>
      <c r="C193" s="2">
        <f ca="1">IFERROR(__xludf.DUMMYFUNCTION("""COMPUTED_VALUE"""),177.99)</f>
        <v>177.99</v>
      </c>
      <c r="D193" s="2">
        <f ca="1">IFERROR(__xludf.DUMMYFUNCTION("""COMPUTED_VALUE"""),173.18)</f>
        <v>173.18</v>
      </c>
      <c r="E193" s="2">
        <f ca="1">IFERROR(__xludf.DUMMYFUNCTION("""COMPUTED_VALUE"""),177.49)</f>
        <v>177.49</v>
      </c>
      <c r="F193" s="2">
        <f ca="1">IFERROR(__xludf.DUMMYFUNCTION("""COMPUTED_VALUE"""),57266675)</f>
        <v>57266675</v>
      </c>
    </row>
    <row r="194" spans="1:6" ht="12.5" x14ac:dyDescent="0.25">
      <c r="A194" s="3">
        <f ca="1">IFERROR(__xludf.DUMMYFUNCTION("""COMPUTED_VALUE"""),45208.6666666666)</f>
        <v>45208.666666666599</v>
      </c>
      <c r="B194" s="2">
        <f ca="1">IFERROR(__xludf.DUMMYFUNCTION("""COMPUTED_VALUE"""),176.81)</f>
        <v>176.81</v>
      </c>
      <c r="C194" s="2">
        <f ca="1">IFERROR(__xludf.DUMMYFUNCTION("""COMPUTED_VALUE"""),179.05)</f>
        <v>179.05</v>
      </c>
      <c r="D194" s="2">
        <f ca="1">IFERROR(__xludf.DUMMYFUNCTION("""COMPUTED_VALUE"""),175.8)</f>
        <v>175.8</v>
      </c>
      <c r="E194" s="2">
        <f ca="1">IFERROR(__xludf.DUMMYFUNCTION("""COMPUTED_VALUE"""),178.99)</f>
        <v>178.99</v>
      </c>
      <c r="F194" s="2">
        <f ca="1">IFERROR(__xludf.DUMMYFUNCTION("""COMPUTED_VALUE"""),42390772)</f>
        <v>42390772</v>
      </c>
    </row>
    <row r="195" spans="1:6" ht="12.5" x14ac:dyDescent="0.25">
      <c r="A195" s="3">
        <f ca="1">IFERROR(__xludf.DUMMYFUNCTION("""COMPUTED_VALUE"""),45209.6666666666)</f>
        <v>45209.666666666599</v>
      </c>
      <c r="B195" s="2">
        <f ca="1">IFERROR(__xludf.DUMMYFUNCTION("""COMPUTED_VALUE"""),178.1)</f>
        <v>178.1</v>
      </c>
      <c r="C195" s="2">
        <f ca="1">IFERROR(__xludf.DUMMYFUNCTION("""COMPUTED_VALUE"""),179.72)</f>
        <v>179.72</v>
      </c>
      <c r="D195" s="2">
        <f ca="1">IFERROR(__xludf.DUMMYFUNCTION("""COMPUTED_VALUE"""),177.95)</f>
        <v>177.95</v>
      </c>
      <c r="E195" s="2">
        <f ca="1">IFERROR(__xludf.DUMMYFUNCTION("""COMPUTED_VALUE"""),178.39)</f>
        <v>178.39</v>
      </c>
      <c r="F195" s="2">
        <f ca="1">IFERROR(__xludf.DUMMYFUNCTION("""COMPUTED_VALUE"""),43698019)</f>
        <v>43698019</v>
      </c>
    </row>
    <row r="196" spans="1:6" ht="12.5" x14ac:dyDescent="0.25">
      <c r="A196" s="3">
        <f ca="1">IFERROR(__xludf.DUMMYFUNCTION("""COMPUTED_VALUE"""),45210.6666666666)</f>
        <v>45210.666666666599</v>
      </c>
      <c r="B196" s="2">
        <f ca="1">IFERROR(__xludf.DUMMYFUNCTION("""COMPUTED_VALUE"""),178.2)</f>
        <v>178.2</v>
      </c>
      <c r="C196" s="2">
        <f ca="1">IFERROR(__xludf.DUMMYFUNCTION("""COMPUTED_VALUE"""),179.85)</f>
        <v>179.85</v>
      </c>
      <c r="D196" s="2">
        <f ca="1">IFERROR(__xludf.DUMMYFUNCTION("""COMPUTED_VALUE"""),177.6)</f>
        <v>177.6</v>
      </c>
      <c r="E196" s="2">
        <f ca="1">IFERROR(__xludf.DUMMYFUNCTION("""COMPUTED_VALUE"""),179.8)</f>
        <v>179.8</v>
      </c>
      <c r="F196" s="2">
        <f ca="1">IFERROR(__xludf.DUMMYFUNCTION("""COMPUTED_VALUE"""),47551098)</f>
        <v>47551098</v>
      </c>
    </row>
    <row r="197" spans="1:6" ht="12.5" x14ac:dyDescent="0.25">
      <c r="A197" s="3">
        <f ca="1">IFERROR(__xludf.DUMMYFUNCTION("""COMPUTED_VALUE"""),45211.6666666666)</f>
        <v>45211.666666666599</v>
      </c>
      <c r="B197" s="2">
        <f ca="1">IFERROR(__xludf.DUMMYFUNCTION("""COMPUTED_VALUE"""),180.07)</f>
        <v>180.07</v>
      </c>
      <c r="C197" s="2">
        <f ca="1">IFERROR(__xludf.DUMMYFUNCTION("""COMPUTED_VALUE"""),182.34)</f>
        <v>182.34</v>
      </c>
      <c r="D197" s="2">
        <f ca="1">IFERROR(__xludf.DUMMYFUNCTION("""COMPUTED_VALUE"""),179.04)</f>
        <v>179.04</v>
      </c>
      <c r="E197" s="2">
        <f ca="1">IFERROR(__xludf.DUMMYFUNCTION("""COMPUTED_VALUE"""),180.71)</f>
        <v>180.71</v>
      </c>
      <c r="F197" s="2">
        <f ca="1">IFERROR(__xludf.DUMMYFUNCTION("""COMPUTED_VALUE"""),56743119)</f>
        <v>56743119</v>
      </c>
    </row>
    <row r="198" spans="1:6" ht="12.5" x14ac:dyDescent="0.25">
      <c r="A198" s="3">
        <f ca="1">IFERROR(__xludf.DUMMYFUNCTION("""COMPUTED_VALUE"""),45212.6666666666)</f>
        <v>45212.666666666599</v>
      </c>
      <c r="B198" s="2">
        <f ca="1">IFERROR(__xludf.DUMMYFUNCTION("""COMPUTED_VALUE"""),181.42)</f>
        <v>181.42</v>
      </c>
      <c r="C198" s="2">
        <f ca="1">IFERROR(__xludf.DUMMYFUNCTION("""COMPUTED_VALUE"""),181.93)</f>
        <v>181.93</v>
      </c>
      <c r="D198" s="2">
        <f ca="1">IFERROR(__xludf.DUMMYFUNCTION("""COMPUTED_VALUE"""),178.14)</f>
        <v>178.14</v>
      </c>
      <c r="E198" s="2">
        <f ca="1">IFERROR(__xludf.DUMMYFUNCTION("""COMPUTED_VALUE"""),178.85)</f>
        <v>178.85</v>
      </c>
      <c r="F198" s="2">
        <f ca="1">IFERROR(__xludf.DUMMYFUNCTION("""COMPUTED_VALUE"""),51456082)</f>
        <v>51456082</v>
      </c>
    </row>
    <row r="199" spans="1:6" ht="12.5" x14ac:dyDescent="0.25">
      <c r="A199" s="3">
        <f ca="1">IFERROR(__xludf.DUMMYFUNCTION("""COMPUTED_VALUE"""),45215.6666666666)</f>
        <v>45215.666666666599</v>
      </c>
      <c r="B199" s="2">
        <f ca="1">IFERROR(__xludf.DUMMYFUNCTION("""COMPUTED_VALUE"""),176.75)</f>
        <v>176.75</v>
      </c>
      <c r="C199" s="2">
        <f ca="1">IFERROR(__xludf.DUMMYFUNCTION("""COMPUTED_VALUE"""),179.08)</f>
        <v>179.08</v>
      </c>
      <c r="D199" s="2">
        <f ca="1">IFERROR(__xludf.DUMMYFUNCTION("""COMPUTED_VALUE"""),176.51)</f>
        <v>176.51</v>
      </c>
      <c r="E199" s="2">
        <f ca="1">IFERROR(__xludf.DUMMYFUNCTION("""COMPUTED_VALUE"""),178.72)</f>
        <v>178.72</v>
      </c>
      <c r="F199" s="2">
        <f ca="1">IFERROR(__xludf.DUMMYFUNCTION("""COMPUTED_VALUE"""),52516984)</f>
        <v>52516984</v>
      </c>
    </row>
    <row r="200" spans="1:6" ht="12.5" x14ac:dyDescent="0.25">
      <c r="A200" s="3">
        <f ca="1">IFERROR(__xludf.DUMMYFUNCTION("""COMPUTED_VALUE"""),45216.6666666666)</f>
        <v>45216.666666666599</v>
      </c>
      <c r="B200" s="2">
        <f ca="1">IFERROR(__xludf.DUMMYFUNCTION("""COMPUTED_VALUE"""),176.65)</f>
        <v>176.65</v>
      </c>
      <c r="C200" s="2">
        <f ca="1">IFERROR(__xludf.DUMMYFUNCTION("""COMPUTED_VALUE"""),178.42)</f>
        <v>178.42</v>
      </c>
      <c r="D200" s="2">
        <f ca="1">IFERROR(__xludf.DUMMYFUNCTION("""COMPUTED_VALUE"""),174.8)</f>
        <v>174.8</v>
      </c>
      <c r="E200" s="2">
        <f ca="1">IFERROR(__xludf.DUMMYFUNCTION("""COMPUTED_VALUE"""),177.15)</f>
        <v>177.15</v>
      </c>
      <c r="F200" s="2">
        <f ca="1">IFERROR(__xludf.DUMMYFUNCTION("""COMPUTED_VALUE"""),57549350)</f>
        <v>57549350</v>
      </c>
    </row>
    <row r="201" spans="1:6" ht="12.5" x14ac:dyDescent="0.25">
      <c r="A201" s="3">
        <f ca="1">IFERROR(__xludf.DUMMYFUNCTION("""COMPUTED_VALUE"""),45217.6666666666)</f>
        <v>45217.666666666599</v>
      </c>
      <c r="B201" s="2">
        <f ca="1">IFERROR(__xludf.DUMMYFUNCTION("""COMPUTED_VALUE"""),175.58)</f>
        <v>175.58</v>
      </c>
      <c r="C201" s="2">
        <f ca="1">IFERROR(__xludf.DUMMYFUNCTION("""COMPUTED_VALUE"""),177.58)</f>
        <v>177.58</v>
      </c>
      <c r="D201" s="2">
        <f ca="1">IFERROR(__xludf.DUMMYFUNCTION("""COMPUTED_VALUE"""),175.11)</f>
        <v>175.11</v>
      </c>
      <c r="E201" s="2">
        <f ca="1">IFERROR(__xludf.DUMMYFUNCTION("""COMPUTED_VALUE"""),175.84)</f>
        <v>175.84</v>
      </c>
      <c r="F201" s="2">
        <f ca="1">IFERROR(__xludf.DUMMYFUNCTION("""COMPUTED_VALUE"""),54764375)</f>
        <v>54764375</v>
      </c>
    </row>
    <row r="202" spans="1:6" ht="12.5" x14ac:dyDescent="0.25">
      <c r="A202" s="3">
        <f ca="1">IFERROR(__xludf.DUMMYFUNCTION("""COMPUTED_VALUE"""),45218.6666666666)</f>
        <v>45218.666666666599</v>
      </c>
      <c r="B202" s="2">
        <f ca="1">IFERROR(__xludf.DUMMYFUNCTION("""COMPUTED_VALUE"""),176.04)</f>
        <v>176.04</v>
      </c>
      <c r="C202" s="2">
        <f ca="1">IFERROR(__xludf.DUMMYFUNCTION("""COMPUTED_VALUE"""),177.84)</f>
        <v>177.84</v>
      </c>
      <c r="D202" s="2">
        <f ca="1">IFERROR(__xludf.DUMMYFUNCTION("""COMPUTED_VALUE"""),175.19)</f>
        <v>175.19</v>
      </c>
      <c r="E202" s="2">
        <f ca="1">IFERROR(__xludf.DUMMYFUNCTION("""COMPUTED_VALUE"""),175.46)</f>
        <v>175.46</v>
      </c>
      <c r="F202" s="2">
        <f ca="1">IFERROR(__xludf.DUMMYFUNCTION("""COMPUTED_VALUE"""),59302863)</f>
        <v>59302863</v>
      </c>
    </row>
    <row r="203" spans="1:6" ht="12.5" x14ac:dyDescent="0.25">
      <c r="A203" s="3">
        <f ca="1">IFERROR(__xludf.DUMMYFUNCTION("""COMPUTED_VALUE"""),45219.6666666666)</f>
        <v>45219.666666666599</v>
      </c>
      <c r="B203" s="2">
        <f ca="1">IFERROR(__xludf.DUMMYFUNCTION("""COMPUTED_VALUE"""),175.31)</f>
        <v>175.31</v>
      </c>
      <c r="C203" s="2">
        <f ca="1">IFERROR(__xludf.DUMMYFUNCTION("""COMPUTED_VALUE"""),175.42)</f>
        <v>175.42</v>
      </c>
      <c r="D203" s="2">
        <f ca="1">IFERROR(__xludf.DUMMYFUNCTION("""COMPUTED_VALUE"""),172.64)</f>
        <v>172.64</v>
      </c>
      <c r="E203" s="2">
        <f ca="1">IFERROR(__xludf.DUMMYFUNCTION("""COMPUTED_VALUE"""),172.88)</f>
        <v>172.88</v>
      </c>
      <c r="F203" s="2">
        <f ca="1">IFERROR(__xludf.DUMMYFUNCTION("""COMPUTED_VALUE"""),64244028)</f>
        <v>64244028</v>
      </c>
    </row>
    <row r="204" spans="1:6" ht="12.5" x14ac:dyDescent="0.25">
      <c r="A204" s="3">
        <f ca="1">IFERROR(__xludf.DUMMYFUNCTION("""COMPUTED_VALUE"""),45222.6666666666)</f>
        <v>45222.666666666599</v>
      </c>
      <c r="B204" s="2">
        <f ca="1">IFERROR(__xludf.DUMMYFUNCTION("""COMPUTED_VALUE"""),170.91)</f>
        <v>170.91</v>
      </c>
      <c r="C204" s="2">
        <f ca="1">IFERROR(__xludf.DUMMYFUNCTION("""COMPUTED_VALUE"""),174.01)</f>
        <v>174.01</v>
      </c>
      <c r="D204" s="2">
        <f ca="1">IFERROR(__xludf.DUMMYFUNCTION("""COMPUTED_VALUE"""),169.93)</f>
        <v>169.93</v>
      </c>
      <c r="E204" s="2">
        <f ca="1">IFERROR(__xludf.DUMMYFUNCTION("""COMPUTED_VALUE"""),173)</f>
        <v>173</v>
      </c>
      <c r="F204" s="2">
        <f ca="1">IFERROR(__xludf.DUMMYFUNCTION("""COMPUTED_VALUE"""),55980109)</f>
        <v>55980109</v>
      </c>
    </row>
    <row r="205" spans="1:6" ht="12.5" x14ac:dyDescent="0.25">
      <c r="A205" s="3">
        <f ca="1">IFERROR(__xludf.DUMMYFUNCTION("""COMPUTED_VALUE"""),45223.6666666666)</f>
        <v>45223.666666666599</v>
      </c>
      <c r="B205" s="2">
        <f ca="1">IFERROR(__xludf.DUMMYFUNCTION("""COMPUTED_VALUE"""),173.05)</f>
        <v>173.05</v>
      </c>
      <c r="C205" s="2">
        <f ca="1">IFERROR(__xludf.DUMMYFUNCTION("""COMPUTED_VALUE"""),173.67)</f>
        <v>173.67</v>
      </c>
      <c r="D205" s="2">
        <f ca="1">IFERROR(__xludf.DUMMYFUNCTION("""COMPUTED_VALUE"""),171.45)</f>
        <v>171.45</v>
      </c>
      <c r="E205" s="2">
        <f ca="1">IFERROR(__xludf.DUMMYFUNCTION("""COMPUTED_VALUE"""),173.44)</f>
        <v>173.44</v>
      </c>
      <c r="F205" s="2">
        <f ca="1">IFERROR(__xludf.DUMMYFUNCTION("""COMPUTED_VALUE"""),43816644)</f>
        <v>43816644</v>
      </c>
    </row>
    <row r="206" spans="1:6" ht="12.5" x14ac:dyDescent="0.25">
      <c r="A206" s="3">
        <f ca="1">IFERROR(__xludf.DUMMYFUNCTION("""COMPUTED_VALUE"""),45224.6666666666)</f>
        <v>45224.666666666599</v>
      </c>
      <c r="B206" s="2">
        <f ca="1">IFERROR(__xludf.DUMMYFUNCTION("""COMPUTED_VALUE"""),171.88)</f>
        <v>171.88</v>
      </c>
      <c r="C206" s="2">
        <f ca="1">IFERROR(__xludf.DUMMYFUNCTION("""COMPUTED_VALUE"""),173.06)</f>
        <v>173.06</v>
      </c>
      <c r="D206" s="2">
        <f ca="1">IFERROR(__xludf.DUMMYFUNCTION("""COMPUTED_VALUE"""),170.65)</f>
        <v>170.65</v>
      </c>
      <c r="E206" s="2">
        <f ca="1">IFERROR(__xludf.DUMMYFUNCTION("""COMPUTED_VALUE"""),171.1)</f>
        <v>171.1</v>
      </c>
      <c r="F206" s="2">
        <f ca="1">IFERROR(__xludf.DUMMYFUNCTION("""COMPUTED_VALUE"""),57156962)</f>
        <v>57156962</v>
      </c>
    </row>
    <row r="207" spans="1:6" ht="12.5" x14ac:dyDescent="0.25">
      <c r="A207" s="3">
        <f ca="1">IFERROR(__xludf.DUMMYFUNCTION("""COMPUTED_VALUE"""),45225.6666666666)</f>
        <v>45225.666666666599</v>
      </c>
      <c r="B207" s="2">
        <f ca="1">IFERROR(__xludf.DUMMYFUNCTION("""COMPUTED_VALUE"""),170.37)</f>
        <v>170.37</v>
      </c>
      <c r="C207" s="2">
        <f ca="1">IFERROR(__xludf.DUMMYFUNCTION("""COMPUTED_VALUE"""),171.38)</f>
        <v>171.38</v>
      </c>
      <c r="D207" s="2">
        <f ca="1">IFERROR(__xludf.DUMMYFUNCTION("""COMPUTED_VALUE"""),165.67)</f>
        <v>165.67</v>
      </c>
      <c r="E207" s="2">
        <f ca="1">IFERROR(__xludf.DUMMYFUNCTION("""COMPUTED_VALUE"""),166.89)</f>
        <v>166.89</v>
      </c>
      <c r="F207" s="2">
        <f ca="1">IFERROR(__xludf.DUMMYFUNCTION("""COMPUTED_VALUE"""),70625258)</f>
        <v>70625258</v>
      </c>
    </row>
    <row r="208" spans="1:6" ht="12.5" x14ac:dyDescent="0.25">
      <c r="A208" s="3">
        <f ca="1">IFERROR(__xludf.DUMMYFUNCTION("""COMPUTED_VALUE"""),45226.6666666666)</f>
        <v>45226.666666666599</v>
      </c>
      <c r="B208" s="2">
        <f ca="1">IFERROR(__xludf.DUMMYFUNCTION("""COMPUTED_VALUE"""),166.91)</f>
        <v>166.91</v>
      </c>
      <c r="C208" s="2">
        <f ca="1">IFERROR(__xludf.DUMMYFUNCTION("""COMPUTED_VALUE"""),168.96)</f>
        <v>168.96</v>
      </c>
      <c r="D208" s="2">
        <f ca="1">IFERROR(__xludf.DUMMYFUNCTION("""COMPUTED_VALUE"""),166.83)</f>
        <v>166.83</v>
      </c>
      <c r="E208" s="2">
        <f ca="1">IFERROR(__xludf.DUMMYFUNCTION("""COMPUTED_VALUE"""),168.22)</f>
        <v>168.22</v>
      </c>
      <c r="F208" s="2">
        <f ca="1">IFERROR(__xludf.DUMMYFUNCTION("""COMPUTED_VALUE"""),58499129)</f>
        <v>58499129</v>
      </c>
    </row>
    <row r="209" spans="1:6" ht="12.5" x14ac:dyDescent="0.25">
      <c r="A209" s="3">
        <f ca="1">IFERROR(__xludf.DUMMYFUNCTION("""COMPUTED_VALUE"""),45229.6666666666)</f>
        <v>45229.666666666599</v>
      </c>
      <c r="B209" s="2">
        <f ca="1">IFERROR(__xludf.DUMMYFUNCTION("""COMPUTED_VALUE"""),169.02)</f>
        <v>169.02</v>
      </c>
      <c r="C209" s="2">
        <f ca="1">IFERROR(__xludf.DUMMYFUNCTION("""COMPUTED_VALUE"""),171.17)</f>
        <v>171.17</v>
      </c>
      <c r="D209" s="2">
        <f ca="1">IFERROR(__xludf.DUMMYFUNCTION("""COMPUTED_VALUE"""),168.87)</f>
        <v>168.87</v>
      </c>
      <c r="E209" s="2">
        <f ca="1">IFERROR(__xludf.DUMMYFUNCTION("""COMPUTED_VALUE"""),170.29)</f>
        <v>170.29</v>
      </c>
      <c r="F209" s="2">
        <f ca="1">IFERROR(__xludf.DUMMYFUNCTION("""COMPUTED_VALUE"""),51130955)</f>
        <v>51130955</v>
      </c>
    </row>
    <row r="210" spans="1:6" ht="12.5" x14ac:dyDescent="0.25">
      <c r="A210" s="3">
        <f ca="1">IFERROR(__xludf.DUMMYFUNCTION("""COMPUTED_VALUE"""),45230.6666666666)</f>
        <v>45230.666666666599</v>
      </c>
      <c r="B210" s="2">
        <f ca="1">IFERROR(__xludf.DUMMYFUNCTION("""COMPUTED_VALUE"""),169.35)</f>
        <v>169.35</v>
      </c>
      <c r="C210" s="2">
        <f ca="1">IFERROR(__xludf.DUMMYFUNCTION("""COMPUTED_VALUE"""),170.9)</f>
        <v>170.9</v>
      </c>
      <c r="D210" s="2">
        <f ca="1">IFERROR(__xludf.DUMMYFUNCTION("""COMPUTED_VALUE"""),167.9)</f>
        <v>167.9</v>
      </c>
      <c r="E210" s="2">
        <f ca="1">IFERROR(__xludf.DUMMYFUNCTION("""COMPUTED_VALUE"""),170.77)</f>
        <v>170.77</v>
      </c>
      <c r="F210" s="2">
        <f ca="1">IFERROR(__xludf.DUMMYFUNCTION("""COMPUTED_VALUE"""),44846017)</f>
        <v>44846017</v>
      </c>
    </row>
    <row r="211" spans="1:6" ht="12.5" x14ac:dyDescent="0.25">
      <c r="A211" s="3">
        <f ca="1">IFERROR(__xludf.DUMMYFUNCTION("""COMPUTED_VALUE"""),45231.6666666666)</f>
        <v>45231.666666666599</v>
      </c>
      <c r="B211" s="2">
        <f ca="1">IFERROR(__xludf.DUMMYFUNCTION("""COMPUTED_VALUE"""),171)</f>
        <v>171</v>
      </c>
      <c r="C211" s="2">
        <f ca="1">IFERROR(__xludf.DUMMYFUNCTION("""COMPUTED_VALUE"""),174.23)</f>
        <v>174.23</v>
      </c>
      <c r="D211" s="2">
        <f ca="1">IFERROR(__xludf.DUMMYFUNCTION("""COMPUTED_VALUE"""),170.12)</f>
        <v>170.12</v>
      </c>
      <c r="E211" s="2">
        <f ca="1">IFERROR(__xludf.DUMMYFUNCTION("""COMPUTED_VALUE"""),173.97)</f>
        <v>173.97</v>
      </c>
      <c r="F211" s="2">
        <f ca="1">IFERROR(__xludf.DUMMYFUNCTION("""COMPUTED_VALUE"""),56934906)</f>
        <v>56934906</v>
      </c>
    </row>
    <row r="212" spans="1:6" ht="12.5" x14ac:dyDescent="0.25">
      <c r="A212" s="3">
        <f ca="1">IFERROR(__xludf.DUMMYFUNCTION("""COMPUTED_VALUE"""),45232.6666666666)</f>
        <v>45232.666666666599</v>
      </c>
      <c r="B212" s="2">
        <f ca="1">IFERROR(__xludf.DUMMYFUNCTION("""COMPUTED_VALUE"""),175.52)</f>
        <v>175.52</v>
      </c>
      <c r="C212" s="2">
        <f ca="1">IFERROR(__xludf.DUMMYFUNCTION("""COMPUTED_VALUE"""),177.78)</f>
        <v>177.78</v>
      </c>
      <c r="D212" s="2">
        <f ca="1">IFERROR(__xludf.DUMMYFUNCTION("""COMPUTED_VALUE"""),175.46)</f>
        <v>175.46</v>
      </c>
      <c r="E212" s="2">
        <f ca="1">IFERROR(__xludf.DUMMYFUNCTION("""COMPUTED_VALUE"""),177.57)</f>
        <v>177.57</v>
      </c>
      <c r="F212" s="2">
        <f ca="1">IFERROR(__xludf.DUMMYFUNCTION("""COMPUTED_VALUE"""),77334752)</f>
        <v>77334752</v>
      </c>
    </row>
    <row r="213" spans="1:6" ht="12.5" x14ac:dyDescent="0.25">
      <c r="A213" s="3">
        <f ca="1">IFERROR(__xludf.DUMMYFUNCTION("""COMPUTED_VALUE"""),45233.6666666666)</f>
        <v>45233.666666666599</v>
      </c>
      <c r="B213" s="2">
        <f ca="1">IFERROR(__xludf.DUMMYFUNCTION("""COMPUTED_VALUE"""),174.24)</f>
        <v>174.24</v>
      </c>
      <c r="C213" s="2">
        <f ca="1">IFERROR(__xludf.DUMMYFUNCTION("""COMPUTED_VALUE"""),176.82)</f>
        <v>176.82</v>
      </c>
      <c r="D213" s="2">
        <f ca="1">IFERROR(__xludf.DUMMYFUNCTION("""COMPUTED_VALUE"""),173.35)</f>
        <v>173.35</v>
      </c>
      <c r="E213" s="2">
        <f ca="1">IFERROR(__xludf.DUMMYFUNCTION("""COMPUTED_VALUE"""),176.65)</f>
        <v>176.65</v>
      </c>
      <c r="F213" s="2">
        <f ca="1">IFERROR(__xludf.DUMMYFUNCTION("""COMPUTED_VALUE"""),79829246)</f>
        <v>79829246</v>
      </c>
    </row>
    <row r="214" spans="1:6" ht="12.5" x14ac:dyDescent="0.25">
      <c r="A214" s="3">
        <f ca="1">IFERROR(__xludf.DUMMYFUNCTION("""COMPUTED_VALUE"""),45236.6666666666)</f>
        <v>45236.666666666599</v>
      </c>
      <c r="B214" s="2">
        <f ca="1">IFERROR(__xludf.DUMMYFUNCTION("""COMPUTED_VALUE"""),176.38)</f>
        <v>176.38</v>
      </c>
      <c r="C214" s="2">
        <f ca="1">IFERROR(__xludf.DUMMYFUNCTION("""COMPUTED_VALUE"""),179.43)</f>
        <v>179.43</v>
      </c>
      <c r="D214" s="2">
        <f ca="1">IFERROR(__xludf.DUMMYFUNCTION("""COMPUTED_VALUE"""),176.21)</f>
        <v>176.21</v>
      </c>
      <c r="E214" s="2">
        <f ca="1">IFERROR(__xludf.DUMMYFUNCTION("""COMPUTED_VALUE"""),179.23)</f>
        <v>179.23</v>
      </c>
      <c r="F214" s="2">
        <f ca="1">IFERROR(__xludf.DUMMYFUNCTION("""COMPUTED_VALUE"""),63841310)</f>
        <v>63841310</v>
      </c>
    </row>
    <row r="215" spans="1:6" ht="12.5" x14ac:dyDescent="0.25">
      <c r="A215" s="3">
        <f ca="1">IFERROR(__xludf.DUMMYFUNCTION("""COMPUTED_VALUE"""),45237.6666666666)</f>
        <v>45237.666666666599</v>
      </c>
      <c r="B215" s="2">
        <f ca="1">IFERROR(__xludf.DUMMYFUNCTION("""COMPUTED_VALUE"""),179.18)</f>
        <v>179.18</v>
      </c>
      <c r="C215" s="2">
        <f ca="1">IFERROR(__xludf.DUMMYFUNCTION("""COMPUTED_VALUE"""),182.44)</f>
        <v>182.44</v>
      </c>
      <c r="D215" s="2">
        <f ca="1">IFERROR(__xludf.DUMMYFUNCTION("""COMPUTED_VALUE"""),178.97)</f>
        <v>178.97</v>
      </c>
      <c r="E215" s="2">
        <f ca="1">IFERROR(__xludf.DUMMYFUNCTION("""COMPUTED_VALUE"""),181.82)</f>
        <v>181.82</v>
      </c>
      <c r="F215" s="2">
        <f ca="1">IFERROR(__xludf.DUMMYFUNCTION("""COMPUTED_VALUE"""),70529966)</f>
        <v>70529966</v>
      </c>
    </row>
    <row r="216" spans="1:6" ht="12.5" x14ac:dyDescent="0.25">
      <c r="A216" s="3">
        <f ca="1">IFERROR(__xludf.DUMMYFUNCTION("""COMPUTED_VALUE"""),45238.6666666666)</f>
        <v>45238.666666666599</v>
      </c>
      <c r="B216" s="2">
        <f ca="1">IFERROR(__xludf.DUMMYFUNCTION("""COMPUTED_VALUE"""),182.35)</f>
        <v>182.35</v>
      </c>
      <c r="C216" s="2">
        <f ca="1">IFERROR(__xludf.DUMMYFUNCTION("""COMPUTED_VALUE"""),183.45)</f>
        <v>183.45</v>
      </c>
      <c r="D216" s="2">
        <f ca="1">IFERROR(__xludf.DUMMYFUNCTION("""COMPUTED_VALUE"""),181.59)</f>
        <v>181.59</v>
      </c>
      <c r="E216" s="2">
        <f ca="1">IFERROR(__xludf.DUMMYFUNCTION("""COMPUTED_VALUE"""),182.89)</f>
        <v>182.89</v>
      </c>
      <c r="F216" s="2">
        <f ca="1">IFERROR(__xludf.DUMMYFUNCTION("""COMPUTED_VALUE"""),49340282)</f>
        <v>49340282</v>
      </c>
    </row>
    <row r="217" spans="1:6" ht="12.5" x14ac:dyDescent="0.25">
      <c r="A217" s="3">
        <f ca="1">IFERROR(__xludf.DUMMYFUNCTION("""COMPUTED_VALUE"""),45239.6666666666)</f>
        <v>45239.666666666599</v>
      </c>
      <c r="B217" s="2">
        <f ca="1">IFERROR(__xludf.DUMMYFUNCTION("""COMPUTED_VALUE"""),182.96)</f>
        <v>182.96</v>
      </c>
      <c r="C217" s="2">
        <f ca="1">IFERROR(__xludf.DUMMYFUNCTION("""COMPUTED_VALUE"""),184.12)</f>
        <v>184.12</v>
      </c>
      <c r="D217" s="2">
        <f ca="1">IFERROR(__xludf.DUMMYFUNCTION("""COMPUTED_VALUE"""),181.81)</f>
        <v>181.81</v>
      </c>
      <c r="E217" s="2">
        <f ca="1">IFERROR(__xludf.DUMMYFUNCTION("""COMPUTED_VALUE"""),182.41)</f>
        <v>182.41</v>
      </c>
      <c r="F217" s="2">
        <f ca="1">IFERROR(__xludf.DUMMYFUNCTION("""COMPUTED_VALUE"""),53763540)</f>
        <v>53763540</v>
      </c>
    </row>
    <row r="218" spans="1:6" ht="12.5" x14ac:dyDescent="0.25">
      <c r="A218" s="3">
        <f ca="1">IFERROR(__xludf.DUMMYFUNCTION("""COMPUTED_VALUE"""),45240.6666666666)</f>
        <v>45240.666666666599</v>
      </c>
      <c r="B218" s="2">
        <f ca="1">IFERROR(__xludf.DUMMYFUNCTION("""COMPUTED_VALUE"""),183.97)</f>
        <v>183.97</v>
      </c>
      <c r="C218" s="2">
        <f ca="1">IFERROR(__xludf.DUMMYFUNCTION("""COMPUTED_VALUE"""),186.57)</f>
        <v>186.57</v>
      </c>
      <c r="D218" s="2">
        <f ca="1">IFERROR(__xludf.DUMMYFUNCTION("""COMPUTED_VALUE"""),183.53)</f>
        <v>183.53</v>
      </c>
      <c r="E218" s="2">
        <f ca="1">IFERROR(__xludf.DUMMYFUNCTION("""COMPUTED_VALUE"""),186.4)</f>
        <v>186.4</v>
      </c>
      <c r="F218" s="2">
        <f ca="1">IFERROR(__xludf.DUMMYFUNCTION("""COMPUTED_VALUE"""),66177922)</f>
        <v>66177922</v>
      </c>
    </row>
    <row r="219" spans="1:6" ht="12.5" x14ac:dyDescent="0.25">
      <c r="A219" s="3">
        <f ca="1">IFERROR(__xludf.DUMMYFUNCTION("""COMPUTED_VALUE"""),45243.6666666666)</f>
        <v>45243.666666666599</v>
      </c>
      <c r="B219" s="2">
        <f ca="1">IFERROR(__xludf.DUMMYFUNCTION("""COMPUTED_VALUE"""),185.82)</f>
        <v>185.82</v>
      </c>
      <c r="C219" s="2">
        <f ca="1">IFERROR(__xludf.DUMMYFUNCTION("""COMPUTED_VALUE"""),186.03)</f>
        <v>186.03</v>
      </c>
      <c r="D219" s="2">
        <f ca="1">IFERROR(__xludf.DUMMYFUNCTION("""COMPUTED_VALUE"""),184.21)</f>
        <v>184.21</v>
      </c>
      <c r="E219" s="2">
        <f ca="1">IFERROR(__xludf.DUMMYFUNCTION("""COMPUTED_VALUE"""),184.8)</f>
        <v>184.8</v>
      </c>
      <c r="F219" s="2">
        <f ca="1">IFERROR(__xludf.DUMMYFUNCTION("""COMPUTED_VALUE"""),43627519)</f>
        <v>43627519</v>
      </c>
    </row>
    <row r="220" spans="1:6" ht="12.5" x14ac:dyDescent="0.25">
      <c r="A220" s="3">
        <f ca="1">IFERROR(__xludf.DUMMYFUNCTION("""COMPUTED_VALUE"""),45244.6666666666)</f>
        <v>45244.666666666599</v>
      </c>
      <c r="B220" s="2">
        <f ca="1">IFERROR(__xludf.DUMMYFUNCTION("""COMPUTED_VALUE"""),187.7)</f>
        <v>187.7</v>
      </c>
      <c r="C220" s="2">
        <f ca="1">IFERROR(__xludf.DUMMYFUNCTION("""COMPUTED_VALUE"""),188.11)</f>
        <v>188.11</v>
      </c>
      <c r="D220" s="2">
        <f ca="1">IFERROR(__xludf.DUMMYFUNCTION("""COMPUTED_VALUE"""),186.3)</f>
        <v>186.3</v>
      </c>
      <c r="E220" s="2">
        <f ca="1">IFERROR(__xludf.DUMMYFUNCTION("""COMPUTED_VALUE"""),187.44)</f>
        <v>187.44</v>
      </c>
      <c r="F220" s="2">
        <f ca="1">IFERROR(__xludf.DUMMYFUNCTION("""COMPUTED_VALUE"""),60108378)</f>
        <v>60108378</v>
      </c>
    </row>
    <row r="221" spans="1:6" ht="12.5" x14ac:dyDescent="0.25">
      <c r="A221" s="3">
        <f ca="1">IFERROR(__xludf.DUMMYFUNCTION("""COMPUTED_VALUE"""),45245.6666666666)</f>
        <v>45245.666666666599</v>
      </c>
      <c r="B221" s="2">
        <f ca="1">IFERROR(__xludf.DUMMYFUNCTION("""COMPUTED_VALUE"""),187.85)</f>
        <v>187.85</v>
      </c>
      <c r="C221" s="2">
        <f ca="1">IFERROR(__xludf.DUMMYFUNCTION("""COMPUTED_VALUE"""),189.5)</f>
        <v>189.5</v>
      </c>
      <c r="D221" s="2">
        <f ca="1">IFERROR(__xludf.DUMMYFUNCTION("""COMPUTED_VALUE"""),187.78)</f>
        <v>187.78</v>
      </c>
      <c r="E221" s="2">
        <f ca="1">IFERROR(__xludf.DUMMYFUNCTION("""COMPUTED_VALUE"""),188.01)</f>
        <v>188.01</v>
      </c>
      <c r="F221" s="2">
        <f ca="1">IFERROR(__xludf.DUMMYFUNCTION("""COMPUTED_VALUE"""),53790499)</f>
        <v>53790499</v>
      </c>
    </row>
    <row r="222" spans="1:6" ht="12.5" x14ac:dyDescent="0.25">
      <c r="A222" s="3">
        <f ca="1">IFERROR(__xludf.DUMMYFUNCTION("""COMPUTED_VALUE"""),45246.6666666666)</f>
        <v>45246.666666666599</v>
      </c>
      <c r="B222" s="2">
        <f ca="1">IFERROR(__xludf.DUMMYFUNCTION("""COMPUTED_VALUE"""),189.57)</f>
        <v>189.57</v>
      </c>
      <c r="C222" s="2">
        <f ca="1">IFERROR(__xludf.DUMMYFUNCTION("""COMPUTED_VALUE"""),190.96)</f>
        <v>190.96</v>
      </c>
      <c r="D222" s="2">
        <f ca="1">IFERROR(__xludf.DUMMYFUNCTION("""COMPUTED_VALUE"""),188.65)</f>
        <v>188.65</v>
      </c>
      <c r="E222" s="2">
        <f ca="1">IFERROR(__xludf.DUMMYFUNCTION("""COMPUTED_VALUE"""),189.71)</f>
        <v>189.71</v>
      </c>
      <c r="F222" s="2">
        <f ca="1">IFERROR(__xludf.DUMMYFUNCTION("""COMPUTED_VALUE"""),54412915)</f>
        <v>54412915</v>
      </c>
    </row>
    <row r="223" spans="1:6" ht="12.5" x14ac:dyDescent="0.25">
      <c r="A223" s="3">
        <f ca="1">IFERROR(__xludf.DUMMYFUNCTION("""COMPUTED_VALUE"""),45247.6666666666)</f>
        <v>45247.666666666599</v>
      </c>
      <c r="B223" s="2">
        <f ca="1">IFERROR(__xludf.DUMMYFUNCTION("""COMPUTED_VALUE"""),190.25)</f>
        <v>190.25</v>
      </c>
      <c r="C223" s="2">
        <f ca="1">IFERROR(__xludf.DUMMYFUNCTION("""COMPUTED_VALUE"""),190.38)</f>
        <v>190.38</v>
      </c>
      <c r="D223" s="2">
        <f ca="1">IFERROR(__xludf.DUMMYFUNCTION("""COMPUTED_VALUE"""),188.57)</f>
        <v>188.57</v>
      </c>
      <c r="E223" s="2">
        <f ca="1">IFERROR(__xludf.DUMMYFUNCTION("""COMPUTED_VALUE"""),189.69)</f>
        <v>189.69</v>
      </c>
      <c r="F223" s="2">
        <f ca="1">IFERROR(__xludf.DUMMYFUNCTION("""COMPUTED_VALUE"""),50941404)</f>
        <v>50941404</v>
      </c>
    </row>
    <row r="224" spans="1:6" ht="12.5" x14ac:dyDescent="0.25">
      <c r="A224" s="3">
        <f ca="1">IFERROR(__xludf.DUMMYFUNCTION("""COMPUTED_VALUE"""),45250.6666666666)</f>
        <v>45250.666666666599</v>
      </c>
      <c r="B224" s="2">
        <f ca="1">IFERROR(__xludf.DUMMYFUNCTION("""COMPUTED_VALUE"""),189.89)</f>
        <v>189.89</v>
      </c>
      <c r="C224" s="2">
        <f ca="1">IFERROR(__xludf.DUMMYFUNCTION("""COMPUTED_VALUE"""),191.91)</f>
        <v>191.91</v>
      </c>
      <c r="D224" s="2">
        <f ca="1">IFERROR(__xludf.DUMMYFUNCTION("""COMPUTED_VALUE"""),189.88)</f>
        <v>189.88</v>
      </c>
      <c r="E224" s="2">
        <f ca="1">IFERROR(__xludf.DUMMYFUNCTION("""COMPUTED_VALUE"""),191.45)</f>
        <v>191.45</v>
      </c>
      <c r="F224" s="2">
        <f ca="1">IFERROR(__xludf.DUMMYFUNCTION("""COMPUTED_VALUE"""),46538614)</f>
        <v>46538614</v>
      </c>
    </row>
    <row r="225" spans="1:6" ht="12.5" x14ac:dyDescent="0.25">
      <c r="A225" s="3">
        <f ca="1">IFERROR(__xludf.DUMMYFUNCTION("""COMPUTED_VALUE"""),45251.6666666666)</f>
        <v>45251.666666666599</v>
      </c>
      <c r="B225" s="2">
        <f ca="1">IFERROR(__xludf.DUMMYFUNCTION("""COMPUTED_VALUE"""),191.41)</f>
        <v>191.41</v>
      </c>
      <c r="C225" s="2">
        <f ca="1">IFERROR(__xludf.DUMMYFUNCTION("""COMPUTED_VALUE"""),191.52)</f>
        <v>191.52</v>
      </c>
      <c r="D225" s="2">
        <f ca="1">IFERROR(__xludf.DUMMYFUNCTION("""COMPUTED_VALUE"""),189.74)</f>
        <v>189.74</v>
      </c>
      <c r="E225" s="2">
        <f ca="1">IFERROR(__xludf.DUMMYFUNCTION("""COMPUTED_VALUE"""),190.64)</f>
        <v>190.64</v>
      </c>
      <c r="F225" s="2">
        <f ca="1">IFERROR(__xludf.DUMMYFUNCTION("""COMPUTED_VALUE"""),38134485)</f>
        <v>38134485</v>
      </c>
    </row>
    <row r="226" spans="1:6" ht="12.5" x14ac:dyDescent="0.25">
      <c r="A226" s="3">
        <f ca="1">IFERROR(__xludf.DUMMYFUNCTION("""COMPUTED_VALUE"""),45252.6666666666)</f>
        <v>45252.666666666599</v>
      </c>
      <c r="B226" s="2">
        <f ca="1">IFERROR(__xludf.DUMMYFUNCTION("""COMPUTED_VALUE"""),191.49)</f>
        <v>191.49</v>
      </c>
      <c r="C226" s="2">
        <f ca="1">IFERROR(__xludf.DUMMYFUNCTION("""COMPUTED_VALUE"""),192.93)</f>
        <v>192.93</v>
      </c>
      <c r="D226" s="2">
        <f ca="1">IFERROR(__xludf.DUMMYFUNCTION("""COMPUTED_VALUE"""),190.83)</f>
        <v>190.83</v>
      </c>
      <c r="E226" s="2">
        <f ca="1">IFERROR(__xludf.DUMMYFUNCTION("""COMPUTED_VALUE"""),191.31)</f>
        <v>191.31</v>
      </c>
      <c r="F226" s="2">
        <f ca="1">IFERROR(__xludf.DUMMYFUNCTION("""COMPUTED_VALUE"""),39630011)</f>
        <v>39630011</v>
      </c>
    </row>
    <row r="227" spans="1:6" ht="12.5" x14ac:dyDescent="0.25">
      <c r="A227" s="3">
        <f ca="1">IFERROR(__xludf.DUMMYFUNCTION("""COMPUTED_VALUE"""),45254.5451388888)</f>
        <v>45254.545138888803</v>
      </c>
      <c r="B227" s="2">
        <f ca="1">IFERROR(__xludf.DUMMYFUNCTION("""COMPUTED_VALUE"""),190.87)</f>
        <v>190.87</v>
      </c>
      <c r="C227" s="2">
        <f ca="1">IFERROR(__xludf.DUMMYFUNCTION("""COMPUTED_VALUE"""),190.9)</f>
        <v>190.9</v>
      </c>
      <c r="D227" s="2">
        <f ca="1">IFERROR(__xludf.DUMMYFUNCTION("""COMPUTED_VALUE"""),189.25)</f>
        <v>189.25</v>
      </c>
      <c r="E227" s="2">
        <f ca="1">IFERROR(__xludf.DUMMYFUNCTION("""COMPUTED_VALUE"""),189.97)</f>
        <v>189.97</v>
      </c>
      <c r="F227" s="2">
        <f ca="1">IFERROR(__xludf.DUMMYFUNCTION("""COMPUTED_VALUE"""),24048344)</f>
        <v>24048344</v>
      </c>
    </row>
    <row r="228" spans="1:6" ht="12.5" x14ac:dyDescent="0.25">
      <c r="A228" s="3">
        <f ca="1">IFERROR(__xludf.DUMMYFUNCTION("""COMPUTED_VALUE"""),45257.6666666666)</f>
        <v>45257.666666666599</v>
      </c>
      <c r="B228" s="2">
        <f ca="1">IFERROR(__xludf.DUMMYFUNCTION("""COMPUTED_VALUE"""),189.92)</f>
        <v>189.92</v>
      </c>
      <c r="C228" s="2">
        <f ca="1">IFERROR(__xludf.DUMMYFUNCTION("""COMPUTED_VALUE"""),190.67)</f>
        <v>190.67</v>
      </c>
      <c r="D228" s="2">
        <f ca="1">IFERROR(__xludf.DUMMYFUNCTION("""COMPUTED_VALUE"""),188.9)</f>
        <v>188.9</v>
      </c>
      <c r="E228" s="2">
        <f ca="1">IFERROR(__xludf.DUMMYFUNCTION("""COMPUTED_VALUE"""),189.79)</f>
        <v>189.79</v>
      </c>
      <c r="F228" s="2">
        <f ca="1">IFERROR(__xludf.DUMMYFUNCTION("""COMPUTED_VALUE"""),40552609)</f>
        <v>40552609</v>
      </c>
    </row>
    <row r="229" spans="1:6" ht="12.5" x14ac:dyDescent="0.25">
      <c r="A229" s="3">
        <f ca="1">IFERROR(__xludf.DUMMYFUNCTION("""COMPUTED_VALUE"""),45258.6666666666)</f>
        <v>45258.666666666599</v>
      </c>
      <c r="B229" s="2">
        <f ca="1">IFERROR(__xludf.DUMMYFUNCTION("""COMPUTED_VALUE"""),189.78)</f>
        <v>189.78</v>
      </c>
      <c r="C229" s="2">
        <f ca="1">IFERROR(__xludf.DUMMYFUNCTION("""COMPUTED_VALUE"""),191.08)</f>
        <v>191.08</v>
      </c>
      <c r="D229" s="2">
        <f ca="1">IFERROR(__xludf.DUMMYFUNCTION("""COMPUTED_VALUE"""),189.4)</f>
        <v>189.4</v>
      </c>
      <c r="E229" s="2">
        <f ca="1">IFERROR(__xludf.DUMMYFUNCTION("""COMPUTED_VALUE"""),190.4)</f>
        <v>190.4</v>
      </c>
      <c r="F229" s="2">
        <f ca="1">IFERROR(__xludf.DUMMYFUNCTION("""COMPUTED_VALUE"""),38415419)</f>
        <v>38415419</v>
      </c>
    </row>
    <row r="230" spans="1:6" ht="12.5" x14ac:dyDescent="0.25">
      <c r="A230" s="3">
        <f ca="1">IFERROR(__xludf.DUMMYFUNCTION("""COMPUTED_VALUE"""),45259.6666666666)</f>
        <v>45259.666666666599</v>
      </c>
      <c r="B230" s="2">
        <f ca="1">IFERROR(__xludf.DUMMYFUNCTION("""COMPUTED_VALUE"""),190.9)</f>
        <v>190.9</v>
      </c>
      <c r="C230" s="2">
        <f ca="1">IFERROR(__xludf.DUMMYFUNCTION("""COMPUTED_VALUE"""),192.09)</f>
        <v>192.09</v>
      </c>
      <c r="D230" s="2">
        <f ca="1">IFERROR(__xludf.DUMMYFUNCTION("""COMPUTED_VALUE"""),188.97)</f>
        <v>188.97</v>
      </c>
      <c r="E230" s="2">
        <f ca="1">IFERROR(__xludf.DUMMYFUNCTION("""COMPUTED_VALUE"""),189.37)</f>
        <v>189.37</v>
      </c>
      <c r="F230" s="2">
        <f ca="1">IFERROR(__xludf.DUMMYFUNCTION("""COMPUTED_VALUE"""),43014224)</f>
        <v>43014224</v>
      </c>
    </row>
    <row r="231" spans="1:6" ht="12.5" x14ac:dyDescent="0.25">
      <c r="A231" s="3">
        <f ca="1">IFERROR(__xludf.DUMMYFUNCTION("""COMPUTED_VALUE"""),45260.6666666666)</f>
        <v>45260.666666666599</v>
      </c>
      <c r="B231" s="2">
        <f ca="1">IFERROR(__xludf.DUMMYFUNCTION("""COMPUTED_VALUE"""),189.84)</f>
        <v>189.84</v>
      </c>
      <c r="C231" s="2">
        <f ca="1">IFERROR(__xludf.DUMMYFUNCTION("""COMPUTED_VALUE"""),190.32)</f>
        <v>190.32</v>
      </c>
      <c r="D231" s="2">
        <f ca="1">IFERROR(__xludf.DUMMYFUNCTION("""COMPUTED_VALUE"""),188.19)</f>
        <v>188.19</v>
      </c>
      <c r="E231" s="2">
        <f ca="1">IFERROR(__xludf.DUMMYFUNCTION("""COMPUTED_VALUE"""),189.95)</f>
        <v>189.95</v>
      </c>
      <c r="F231" s="2">
        <f ca="1">IFERROR(__xludf.DUMMYFUNCTION("""COMPUTED_VALUE"""),48794366)</f>
        <v>48794366</v>
      </c>
    </row>
    <row r="232" spans="1:6" ht="12.5" x14ac:dyDescent="0.25">
      <c r="A232" s="3">
        <f ca="1">IFERROR(__xludf.DUMMYFUNCTION("""COMPUTED_VALUE"""),45261.6666666666)</f>
        <v>45261.666666666599</v>
      </c>
      <c r="B232" s="2">
        <f ca="1">IFERROR(__xludf.DUMMYFUNCTION("""COMPUTED_VALUE"""),190.33)</f>
        <v>190.33</v>
      </c>
      <c r="C232" s="2">
        <f ca="1">IFERROR(__xludf.DUMMYFUNCTION("""COMPUTED_VALUE"""),191.56)</f>
        <v>191.56</v>
      </c>
      <c r="D232" s="2">
        <f ca="1">IFERROR(__xludf.DUMMYFUNCTION("""COMPUTED_VALUE"""),189.23)</f>
        <v>189.23</v>
      </c>
      <c r="E232" s="2">
        <f ca="1">IFERROR(__xludf.DUMMYFUNCTION("""COMPUTED_VALUE"""),191.24)</f>
        <v>191.24</v>
      </c>
      <c r="F232" s="2">
        <f ca="1">IFERROR(__xludf.DUMMYFUNCTION("""COMPUTED_VALUE"""),45704823)</f>
        <v>45704823</v>
      </c>
    </row>
    <row r="233" spans="1:6" ht="12.5" x14ac:dyDescent="0.25">
      <c r="A233" s="3">
        <f ca="1">IFERROR(__xludf.DUMMYFUNCTION("""COMPUTED_VALUE"""),45264.6666666666)</f>
        <v>45264.666666666599</v>
      </c>
      <c r="B233" s="2">
        <f ca="1">IFERROR(__xludf.DUMMYFUNCTION("""COMPUTED_VALUE"""),189.98)</f>
        <v>189.98</v>
      </c>
      <c r="C233" s="2">
        <f ca="1">IFERROR(__xludf.DUMMYFUNCTION("""COMPUTED_VALUE"""),190.05)</f>
        <v>190.05</v>
      </c>
      <c r="D233" s="2">
        <f ca="1">IFERROR(__xludf.DUMMYFUNCTION("""COMPUTED_VALUE"""),187.45)</f>
        <v>187.45</v>
      </c>
      <c r="E233" s="2">
        <f ca="1">IFERROR(__xludf.DUMMYFUNCTION("""COMPUTED_VALUE"""),189.43)</f>
        <v>189.43</v>
      </c>
      <c r="F233" s="2">
        <f ca="1">IFERROR(__xludf.DUMMYFUNCTION("""COMPUTED_VALUE"""),43389519)</f>
        <v>43389519</v>
      </c>
    </row>
    <row r="234" spans="1:6" ht="12.5" x14ac:dyDescent="0.25">
      <c r="A234" s="3">
        <f ca="1">IFERROR(__xludf.DUMMYFUNCTION("""COMPUTED_VALUE"""),45265.6666666666)</f>
        <v>45265.666666666599</v>
      </c>
      <c r="B234" s="2">
        <f ca="1">IFERROR(__xludf.DUMMYFUNCTION("""COMPUTED_VALUE"""),190.21)</f>
        <v>190.21</v>
      </c>
      <c r="C234" s="2">
        <f ca="1">IFERROR(__xludf.DUMMYFUNCTION("""COMPUTED_VALUE"""),194.4)</f>
        <v>194.4</v>
      </c>
      <c r="D234" s="2">
        <f ca="1">IFERROR(__xludf.DUMMYFUNCTION("""COMPUTED_VALUE"""),190.18)</f>
        <v>190.18</v>
      </c>
      <c r="E234" s="2">
        <f ca="1">IFERROR(__xludf.DUMMYFUNCTION("""COMPUTED_VALUE"""),193.42)</f>
        <v>193.42</v>
      </c>
      <c r="F234" s="2">
        <f ca="1">IFERROR(__xludf.DUMMYFUNCTION("""COMPUTED_VALUE"""),66628398)</f>
        <v>66628398</v>
      </c>
    </row>
    <row r="235" spans="1:6" ht="12.5" x14ac:dyDescent="0.25">
      <c r="A235" s="3">
        <f ca="1">IFERROR(__xludf.DUMMYFUNCTION("""COMPUTED_VALUE"""),45266.6666666666)</f>
        <v>45266.666666666599</v>
      </c>
      <c r="B235" s="2">
        <f ca="1">IFERROR(__xludf.DUMMYFUNCTION("""COMPUTED_VALUE"""),194.45)</f>
        <v>194.45</v>
      </c>
      <c r="C235" s="2">
        <f ca="1">IFERROR(__xludf.DUMMYFUNCTION("""COMPUTED_VALUE"""),194.76)</f>
        <v>194.76</v>
      </c>
      <c r="D235" s="2">
        <f ca="1">IFERROR(__xludf.DUMMYFUNCTION("""COMPUTED_VALUE"""),192.11)</f>
        <v>192.11</v>
      </c>
      <c r="E235" s="2">
        <f ca="1">IFERROR(__xludf.DUMMYFUNCTION("""COMPUTED_VALUE"""),192.32)</f>
        <v>192.32</v>
      </c>
      <c r="F235" s="2">
        <f ca="1">IFERROR(__xludf.DUMMYFUNCTION("""COMPUTED_VALUE"""),41089737)</f>
        <v>41089737</v>
      </c>
    </row>
    <row r="236" spans="1:6" ht="12.5" x14ac:dyDescent="0.25">
      <c r="A236" s="3">
        <f ca="1">IFERROR(__xludf.DUMMYFUNCTION("""COMPUTED_VALUE"""),45267.6666666666)</f>
        <v>45267.666666666599</v>
      </c>
      <c r="B236" s="2">
        <f ca="1">IFERROR(__xludf.DUMMYFUNCTION("""COMPUTED_VALUE"""),193.63)</f>
        <v>193.63</v>
      </c>
      <c r="C236" s="2">
        <f ca="1">IFERROR(__xludf.DUMMYFUNCTION("""COMPUTED_VALUE"""),195)</f>
        <v>195</v>
      </c>
      <c r="D236" s="2">
        <f ca="1">IFERROR(__xludf.DUMMYFUNCTION("""COMPUTED_VALUE"""),193.59)</f>
        <v>193.59</v>
      </c>
      <c r="E236" s="2">
        <f ca="1">IFERROR(__xludf.DUMMYFUNCTION("""COMPUTED_VALUE"""),194.27)</f>
        <v>194.27</v>
      </c>
      <c r="F236" s="2">
        <f ca="1">IFERROR(__xludf.DUMMYFUNCTION("""COMPUTED_VALUE"""),47477655)</f>
        <v>47477655</v>
      </c>
    </row>
    <row r="237" spans="1:6" ht="12.5" x14ac:dyDescent="0.25">
      <c r="A237" s="3">
        <f ca="1">IFERROR(__xludf.DUMMYFUNCTION("""COMPUTED_VALUE"""),45268.6666666666)</f>
        <v>45268.666666666599</v>
      </c>
      <c r="B237" s="2">
        <f ca="1">IFERROR(__xludf.DUMMYFUNCTION("""COMPUTED_VALUE"""),194.2)</f>
        <v>194.2</v>
      </c>
      <c r="C237" s="2">
        <f ca="1">IFERROR(__xludf.DUMMYFUNCTION("""COMPUTED_VALUE"""),195.99)</f>
        <v>195.99</v>
      </c>
      <c r="D237" s="2">
        <f ca="1">IFERROR(__xludf.DUMMYFUNCTION("""COMPUTED_VALUE"""),193.67)</f>
        <v>193.67</v>
      </c>
      <c r="E237" s="2">
        <f ca="1">IFERROR(__xludf.DUMMYFUNCTION("""COMPUTED_VALUE"""),195.71)</f>
        <v>195.71</v>
      </c>
      <c r="F237" s="2">
        <f ca="1">IFERROR(__xludf.DUMMYFUNCTION("""COMPUTED_VALUE"""),53406358)</f>
        <v>53406358</v>
      </c>
    </row>
    <row r="238" spans="1:6" ht="12.5" x14ac:dyDescent="0.25">
      <c r="A238" s="3">
        <f ca="1">IFERROR(__xludf.DUMMYFUNCTION("""COMPUTED_VALUE"""),45271.6666666666)</f>
        <v>45271.666666666599</v>
      </c>
      <c r="B238" s="2">
        <f ca="1">IFERROR(__xludf.DUMMYFUNCTION("""COMPUTED_VALUE"""),193.11)</f>
        <v>193.11</v>
      </c>
      <c r="C238" s="2">
        <f ca="1">IFERROR(__xludf.DUMMYFUNCTION("""COMPUTED_VALUE"""),193.49)</f>
        <v>193.49</v>
      </c>
      <c r="D238" s="2">
        <f ca="1">IFERROR(__xludf.DUMMYFUNCTION("""COMPUTED_VALUE"""),191.42)</f>
        <v>191.42</v>
      </c>
      <c r="E238" s="2">
        <f ca="1">IFERROR(__xludf.DUMMYFUNCTION("""COMPUTED_VALUE"""),193.18)</f>
        <v>193.18</v>
      </c>
      <c r="F238" s="2">
        <f ca="1">IFERROR(__xludf.DUMMYFUNCTION("""COMPUTED_VALUE"""),60943699)</f>
        <v>60943699</v>
      </c>
    </row>
    <row r="239" spans="1:6" ht="12.5" x14ac:dyDescent="0.25">
      <c r="A239" s="3">
        <f ca="1">IFERROR(__xludf.DUMMYFUNCTION("""COMPUTED_VALUE"""),45272.6666666666)</f>
        <v>45272.666666666599</v>
      </c>
      <c r="B239" s="2">
        <f ca="1">IFERROR(__xludf.DUMMYFUNCTION("""COMPUTED_VALUE"""),193.08)</f>
        <v>193.08</v>
      </c>
      <c r="C239" s="2">
        <f ca="1">IFERROR(__xludf.DUMMYFUNCTION("""COMPUTED_VALUE"""),194.72)</f>
        <v>194.72</v>
      </c>
      <c r="D239" s="2">
        <f ca="1">IFERROR(__xludf.DUMMYFUNCTION("""COMPUTED_VALUE"""),191.72)</f>
        <v>191.72</v>
      </c>
      <c r="E239" s="2">
        <f ca="1">IFERROR(__xludf.DUMMYFUNCTION("""COMPUTED_VALUE"""),194.71)</f>
        <v>194.71</v>
      </c>
      <c r="F239" s="2">
        <f ca="1">IFERROR(__xludf.DUMMYFUNCTION("""COMPUTED_VALUE"""),52696900)</f>
        <v>52696900</v>
      </c>
    </row>
    <row r="240" spans="1:6" ht="12.5" x14ac:dyDescent="0.25">
      <c r="A240" s="3">
        <f ca="1">IFERROR(__xludf.DUMMYFUNCTION("""COMPUTED_VALUE"""),45273.6666666666)</f>
        <v>45273.666666666599</v>
      </c>
      <c r="B240" s="2">
        <f ca="1">IFERROR(__xludf.DUMMYFUNCTION("""COMPUTED_VALUE"""),195.09)</f>
        <v>195.09</v>
      </c>
      <c r="C240" s="2">
        <f ca="1">IFERROR(__xludf.DUMMYFUNCTION("""COMPUTED_VALUE"""),198)</f>
        <v>198</v>
      </c>
      <c r="D240" s="2">
        <f ca="1">IFERROR(__xludf.DUMMYFUNCTION("""COMPUTED_VALUE"""),194.85)</f>
        <v>194.85</v>
      </c>
      <c r="E240" s="2">
        <f ca="1">IFERROR(__xludf.DUMMYFUNCTION("""COMPUTED_VALUE"""),197.96)</f>
        <v>197.96</v>
      </c>
      <c r="F240" s="2">
        <f ca="1">IFERROR(__xludf.DUMMYFUNCTION("""COMPUTED_VALUE"""),70404183)</f>
        <v>70404183</v>
      </c>
    </row>
    <row r="241" spans="1:6" ht="12.5" x14ac:dyDescent="0.25">
      <c r="A241" s="3">
        <f ca="1">IFERROR(__xludf.DUMMYFUNCTION("""COMPUTED_VALUE"""),45274.6666666666)</f>
        <v>45274.666666666599</v>
      </c>
      <c r="B241" s="2">
        <f ca="1">IFERROR(__xludf.DUMMYFUNCTION("""COMPUTED_VALUE"""),198.02)</f>
        <v>198.02</v>
      </c>
      <c r="C241" s="2">
        <f ca="1">IFERROR(__xludf.DUMMYFUNCTION("""COMPUTED_VALUE"""),199.62)</f>
        <v>199.62</v>
      </c>
      <c r="D241" s="2">
        <f ca="1">IFERROR(__xludf.DUMMYFUNCTION("""COMPUTED_VALUE"""),196.16)</f>
        <v>196.16</v>
      </c>
      <c r="E241" s="2">
        <f ca="1">IFERROR(__xludf.DUMMYFUNCTION("""COMPUTED_VALUE"""),198.11)</f>
        <v>198.11</v>
      </c>
      <c r="F241" s="2">
        <f ca="1">IFERROR(__xludf.DUMMYFUNCTION("""COMPUTED_VALUE"""),66831572)</f>
        <v>66831572</v>
      </c>
    </row>
    <row r="242" spans="1:6" ht="12.5" x14ac:dyDescent="0.25">
      <c r="A242" s="3">
        <f ca="1">IFERROR(__xludf.DUMMYFUNCTION("""COMPUTED_VALUE"""),45275.6666666666)</f>
        <v>45275.666666666599</v>
      </c>
      <c r="B242" s="2">
        <f ca="1">IFERROR(__xludf.DUMMYFUNCTION("""COMPUTED_VALUE"""),197.53)</f>
        <v>197.53</v>
      </c>
      <c r="C242" s="2">
        <f ca="1">IFERROR(__xludf.DUMMYFUNCTION("""COMPUTED_VALUE"""),198.4)</f>
        <v>198.4</v>
      </c>
      <c r="D242" s="2">
        <f ca="1">IFERROR(__xludf.DUMMYFUNCTION("""COMPUTED_VALUE"""),197)</f>
        <v>197</v>
      </c>
      <c r="E242" s="2">
        <f ca="1">IFERROR(__xludf.DUMMYFUNCTION("""COMPUTED_VALUE"""),197.57)</f>
        <v>197.57</v>
      </c>
      <c r="F242" s="2">
        <f ca="1">IFERROR(__xludf.DUMMYFUNCTION("""COMPUTED_VALUE"""),128538401)</f>
        <v>128538401</v>
      </c>
    </row>
    <row r="243" spans="1:6" ht="12.5" x14ac:dyDescent="0.25">
      <c r="A243" s="3">
        <f ca="1">IFERROR(__xludf.DUMMYFUNCTION("""COMPUTED_VALUE"""),45278.6666666666)</f>
        <v>45278.666666666599</v>
      </c>
      <c r="B243" s="2">
        <f ca="1">IFERROR(__xludf.DUMMYFUNCTION("""COMPUTED_VALUE"""),196.09)</f>
        <v>196.09</v>
      </c>
      <c r="C243" s="2">
        <f ca="1">IFERROR(__xludf.DUMMYFUNCTION("""COMPUTED_VALUE"""),196.63)</f>
        <v>196.63</v>
      </c>
      <c r="D243" s="2">
        <f ca="1">IFERROR(__xludf.DUMMYFUNCTION("""COMPUTED_VALUE"""),194.39)</f>
        <v>194.39</v>
      </c>
      <c r="E243" s="2">
        <f ca="1">IFERROR(__xludf.DUMMYFUNCTION("""COMPUTED_VALUE"""),195.89)</f>
        <v>195.89</v>
      </c>
      <c r="F243" s="2">
        <f ca="1">IFERROR(__xludf.DUMMYFUNCTION("""COMPUTED_VALUE"""),55751861)</f>
        <v>55751861</v>
      </c>
    </row>
    <row r="244" spans="1:6" ht="12.5" x14ac:dyDescent="0.25">
      <c r="A244" s="3">
        <f ca="1">IFERROR(__xludf.DUMMYFUNCTION("""COMPUTED_VALUE"""),45279.6666666666)</f>
        <v>45279.666666666599</v>
      </c>
      <c r="B244" s="2">
        <f ca="1">IFERROR(__xludf.DUMMYFUNCTION("""COMPUTED_VALUE"""),196.16)</f>
        <v>196.16</v>
      </c>
      <c r="C244" s="2">
        <f ca="1">IFERROR(__xludf.DUMMYFUNCTION("""COMPUTED_VALUE"""),196.95)</f>
        <v>196.95</v>
      </c>
      <c r="D244" s="2">
        <f ca="1">IFERROR(__xludf.DUMMYFUNCTION("""COMPUTED_VALUE"""),195.89)</f>
        <v>195.89</v>
      </c>
      <c r="E244" s="2">
        <f ca="1">IFERROR(__xludf.DUMMYFUNCTION("""COMPUTED_VALUE"""),196.94)</f>
        <v>196.94</v>
      </c>
      <c r="F244" s="2">
        <f ca="1">IFERROR(__xludf.DUMMYFUNCTION("""COMPUTED_VALUE"""),40714051)</f>
        <v>40714051</v>
      </c>
    </row>
    <row r="245" spans="1:6" ht="12.5" x14ac:dyDescent="0.25">
      <c r="A245" s="3">
        <f ca="1">IFERROR(__xludf.DUMMYFUNCTION("""COMPUTED_VALUE"""),45280.6666666666)</f>
        <v>45280.666666666599</v>
      </c>
      <c r="B245" s="2">
        <f ca="1">IFERROR(__xludf.DUMMYFUNCTION("""COMPUTED_VALUE"""),196.9)</f>
        <v>196.9</v>
      </c>
      <c r="C245" s="2">
        <f ca="1">IFERROR(__xludf.DUMMYFUNCTION("""COMPUTED_VALUE"""),197.68)</f>
        <v>197.68</v>
      </c>
      <c r="D245" s="2">
        <f ca="1">IFERROR(__xludf.DUMMYFUNCTION("""COMPUTED_VALUE"""),194.83)</f>
        <v>194.83</v>
      </c>
      <c r="E245" s="2">
        <f ca="1">IFERROR(__xludf.DUMMYFUNCTION("""COMPUTED_VALUE"""),194.83)</f>
        <v>194.83</v>
      </c>
      <c r="F245" s="2">
        <f ca="1">IFERROR(__xludf.DUMMYFUNCTION("""COMPUTED_VALUE"""),52242815)</f>
        <v>52242815</v>
      </c>
    </row>
    <row r="246" spans="1:6" ht="12.5" x14ac:dyDescent="0.25">
      <c r="A246" s="3">
        <f ca="1">IFERROR(__xludf.DUMMYFUNCTION("""COMPUTED_VALUE"""),45281.6666666666)</f>
        <v>45281.666666666599</v>
      </c>
      <c r="B246" s="2">
        <f ca="1">IFERROR(__xludf.DUMMYFUNCTION("""COMPUTED_VALUE"""),196.1)</f>
        <v>196.1</v>
      </c>
      <c r="C246" s="2">
        <f ca="1">IFERROR(__xludf.DUMMYFUNCTION("""COMPUTED_VALUE"""),197.08)</f>
        <v>197.08</v>
      </c>
      <c r="D246" s="2">
        <f ca="1">IFERROR(__xludf.DUMMYFUNCTION("""COMPUTED_VALUE"""),193.5)</f>
        <v>193.5</v>
      </c>
      <c r="E246" s="2">
        <f ca="1">IFERROR(__xludf.DUMMYFUNCTION("""COMPUTED_VALUE"""),194.68)</f>
        <v>194.68</v>
      </c>
      <c r="F246" s="2">
        <f ca="1">IFERROR(__xludf.DUMMYFUNCTION("""COMPUTED_VALUE"""),46482549)</f>
        <v>46482549</v>
      </c>
    </row>
    <row r="247" spans="1:6" ht="12.5" x14ac:dyDescent="0.25">
      <c r="A247" s="3">
        <f ca="1">IFERROR(__xludf.DUMMYFUNCTION("""COMPUTED_VALUE"""),45282.6666666666)</f>
        <v>45282.666666666599</v>
      </c>
      <c r="B247" s="2">
        <f ca="1">IFERROR(__xludf.DUMMYFUNCTION("""COMPUTED_VALUE"""),195.18)</f>
        <v>195.18</v>
      </c>
      <c r="C247" s="2">
        <f ca="1">IFERROR(__xludf.DUMMYFUNCTION("""COMPUTED_VALUE"""),195.41)</f>
        <v>195.41</v>
      </c>
      <c r="D247" s="2">
        <f ca="1">IFERROR(__xludf.DUMMYFUNCTION("""COMPUTED_VALUE"""),192.97)</f>
        <v>192.97</v>
      </c>
      <c r="E247" s="2">
        <f ca="1">IFERROR(__xludf.DUMMYFUNCTION("""COMPUTED_VALUE"""),193.6)</f>
        <v>193.6</v>
      </c>
      <c r="F247" s="2">
        <f ca="1">IFERROR(__xludf.DUMMYFUNCTION("""COMPUTED_VALUE"""),37149570)</f>
        <v>37149570</v>
      </c>
    </row>
    <row r="248" spans="1:6" ht="12.5" x14ac:dyDescent="0.25">
      <c r="A248" s="3">
        <f ca="1">IFERROR(__xludf.DUMMYFUNCTION("""COMPUTED_VALUE"""),45286.6666666666)</f>
        <v>45286.666666666599</v>
      </c>
      <c r="B248" s="2">
        <f ca="1">IFERROR(__xludf.DUMMYFUNCTION("""COMPUTED_VALUE"""),193.61)</f>
        <v>193.61</v>
      </c>
      <c r="C248" s="2">
        <f ca="1">IFERROR(__xludf.DUMMYFUNCTION("""COMPUTED_VALUE"""),193.89)</f>
        <v>193.89</v>
      </c>
      <c r="D248" s="2">
        <f ca="1">IFERROR(__xludf.DUMMYFUNCTION("""COMPUTED_VALUE"""),192.83)</f>
        <v>192.83</v>
      </c>
      <c r="E248" s="2">
        <f ca="1">IFERROR(__xludf.DUMMYFUNCTION("""COMPUTED_VALUE"""),193.05)</f>
        <v>193.05</v>
      </c>
      <c r="F248" s="2">
        <f ca="1">IFERROR(__xludf.DUMMYFUNCTION("""COMPUTED_VALUE"""),28919310)</f>
        <v>28919310</v>
      </c>
    </row>
    <row r="249" spans="1:6" ht="12.5" x14ac:dyDescent="0.25">
      <c r="A249" s="3">
        <f ca="1">IFERROR(__xludf.DUMMYFUNCTION("""COMPUTED_VALUE"""),45287.6666666666)</f>
        <v>45287.666666666599</v>
      </c>
      <c r="B249" s="2">
        <f ca="1">IFERROR(__xludf.DUMMYFUNCTION("""COMPUTED_VALUE"""),192.49)</f>
        <v>192.49</v>
      </c>
      <c r="C249" s="2">
        <f ca="1">IFERROR(__xludf.DUMMYFUNCTION("""COMPUTED_VALUE"""),193.5)</f>
        <v>193.5</v>
      </c>
      <c r="D249" s="2">
        <f ca="1">IFERROR(__xludf.DUMMYFUNCTION("""COMPUTED_VALUE"""),191.09)</f>
        <v>191.09</v>
      </c>
      <c r="E249" s="2">
        <f ca="1">IFERROR(__xludf.DUMMYFUNCTION("""COMPUTED_VALUE"""),193.15)</f>
        <v>193.15</v>
      </c>
      <c r="F249" s="2">
        <f ca="1">IFERROR(__xludf.DUMMYFUNCTION("""COMPUTED_VALUE"""),48087681)</f>
        <v>48087681</v>
      </c>
    </row>
    <row r="250" spans="1:6" ht="12.5" x14ac:dyDescent="0.25">
      <c r="A250" s="3">
        <f ca="1">IFERROR(__xludf.DUMMYFUNCTION("""COMPUTED_VALUE"""),45288.6666666666)</f>
        <v>45288.666666666599</v>
      </c>
      <c r="B250" s="2">
        <f ca="1">IFERROR(__xludf.DUMMYFUNCTION("""COMPUTED_VALUE"""),194.14)</f>
        <v>194.14</v>
      </c>
      <c r="C250" s="2">
        <f ca="1">IFERROR(__xludf.DUMMYFUNCTION("""COMPUTED_VALUE"""),194.66)</f>
        <v>194.66</v>
      </c>
      <c r="D250" s="2">
        <f ca="1">IFERROR(__xludf.DUMMYFUNCTION("""COMPUTED_VALUE"""),193.17)</f>
        <v>193.17</v>
      </c>
      <c r="E250" s="2">
        <f ca="1">IFERROR(__xludf.DUMMYFUNCTION("""COMPUTED_VALUE"""),193.58)</f>
        <v>193.58</v>
      </c>
      <c r="F250" s="2">
        <f ca="1">IFERROR(__xludf.DUMMYFUNCTION("""COMPUTED_VALUE"""),34049898)</f>
        <v>34049898</v>
      </c>
    </row>
    <row r="251" spans="1:6" ht="12.5" x14ac:dyDescent="0.25">
      <c r="A251" s="3">
        <f ca="1">IFERROR(__xludf.DUMMYFUNCTION("""COMPUTED_VALUE"""),45289.6666666666)</f>
        <v>45289.666666666599</v>
      </c>
      <c r="B251" s="2">
        <f ca="1">IFERROR(__xludf.DUMMYFUNCTION("""COMPUTED_VALUE"""),193.9)</f>
        <v>193.9</v>
      </c>
      <c r="C251" s="2">
        <f ca="1">IFERROR(__xludf.DUMMYFUNCTION("""COMPUTED_VALUE"""),194.4)</f>
        <v>194.4</v>
      </c>
      <c r="D251" s="2">
        <f ca="1">IFERROR(__xludf.DUMMYFUNCTION("""COMPUTED_VALUE"""),191.73)</f>
        <v>191.73</v>
      </c>
      <c r="E251" s="2">
        <f ca="1">IFERROR(__xludf.DUMMYFUNCTION("""COMPUTED_VALUE"""),192.53)</f>
        <v>192.53</v>
      </c>
      <c r="F251" s="2">
        <f ca="1">IFERROR(__xludf.DUMMYFUNCTION("""COMPUTED_VALUE"""),42672148)</f>
        <v>42672148</v>
      </c>
    </row>
    <row r="252" spans="1:6" ht="12.5" x14ac:dyDescent="0.25">
      <c r="A252" s="3">
        <f ca="1">IFERROR(__xludf.DUMMYFUNCTION("""COMPUTED_VALUE"""),45293.6666666666)</f>
        <v>45293.666666666599</v>
      </c>
      <c r="B252" s="2">
        <f ca="1">IFERROR(__xludf.DUMMYFUNCTION("""COMPUTED_VALUE"""),187.15)</f>
        <v>187.15</v>
      </c>
      <c r="C252" s="2">
        <f ca="1">IFERROR(__xludf.DUMMYFUNCTION("""COMPUTED_VALUE"""),188.44)</f>
        <v>188.44</v>
      </c>
      <c r="D252" s="2">
        <f ca="1">IFERROR(__xludf.DUMMYFUNCTION("""COMPUTED_VALUE"""),183.89)</f>
        <v>183.89</v>
      </c>
      <c r="E252" s="2">
        <f ca="1">IFERROR(__xludf.DUMMYFUNCTION("""COMPUTED_VALUE"""),185.64)</f>
        <v>185.64</v>
      </c>
      <c r="F252" s="2">
        <f ca="1">IFERROR(__xludf.DUMMYFUNCTION("""COMPUTED_VALUE"""),82488674)</f>
        <v>82488674</v>
      </c>
    </row>
    <row r="253" spans="1:6" ht="12.5" x14ac:dyDescent="0.25">
      <c r="A253" s="3">
        <f ca="1">IFERROR(__xludf.DUMMYFUNCTION("""COMPUTED_VALUE"""),45294.6666666666)</f>
        <v>45294.666666666599</v>
      </c>
      <c r="B253" s="2">
        <f ca="1">IFERROR(__xludf.DUMMYFUNCTION("""COMPUTED_VALUE"""),184.22)</f>
        <v>184.22</v>
      </c>
      <c r="C253" s="2">
        <f ca="1">IFERROR(__xludf.DUMMYFUNCTION("""COMPUTED_VALUE"""),185.88)</f>
        <v>185.88</v>
      </c>
      <c r="D253" s="2">
        <f ca="1">IFERROR(__xludf.DUMMYFUNCTION("""COMPUTED_VALUE"""),183.43)</f>
        <v>183.43</v>
      </c>
      <c r="E253" s="2">
        <f ca="1">IFERROR(__xludf.DUMMYFUNCTION("""COMPUTED_VALUE"""),184.25)</f>
        <v>184.25</v>
      </c>
      <c r="F253" s="2">
        <f ca="1">IFERROR(__xludf.DUMMYFUNCTION("""COMPUTED_VALUE"""),58414460)</f>
        <v>58414460</v>
      </c>
    </row>
    <row r="254" spans="1:6" ht="12.5" x14ac:dyDescent="0.25">
      <c r="A254" s="3">
        <f ca="1">IFERROR(__xludf.DUMMYFUNCTION("""COMPUTED_VALUE"""),45295.6666666666)</f>
        <v>45295.666666666599</v>
      </c>
      <c r="B254" s="2">
        <f ca="1">IFERROR(__xludf.DUMMYFUNCTION("""COMPUTED_VALUE"""),182.15)</f>
        <v>182.15</v>
      </c>
      <c r="C254" s="2">
        <f ca="1">IFERROR(__xludf.DUMMYFUNCTION("""COMPUTED_VALUE"""),183.09)</f>
        <v>183.09</v>
      </c>
      <c r="D254" s="2">
        <f ca="1">IFERROR(__xludf.DUMMYFUNCTION("""COMPUTED_VALUE"""),180.88)</f>
        <v>180.88</v>
      </c>
      <c r="E254" s="2">
        <f ca="1">IFERROR(__xludf.DUMMYFUNCTION("""COMPUTED_VALUE"""),181.91)</f>
        <v>181.91</v>
      </c>
      <c r="F254" s="2">
        <f ca="1">IFERROR(__xludf.DUMMYFUNCTION("""COMPUTED_VALUE"""),71983570)</f>
        <v>71983570</v>
      </c>
    </row>
    <row r="255" spans="1:6" ht="12.5" x14ac:dyDescent="0.25">
      <c r="A255" s="3">
        <f ca="1">IFERROR(__xludf.DUMMYFUNCTION("""COMPUTED_VALUE"""),45296.6666666666)</f>
        <v>45296.666666666599</v>
      </c>
      <c r="B255" s="2">
        <f ca="1">IFERROR(__xludf.DUMMYFUNCTION("""COMPUTED_VALUE"""),181.99)</f>
        <v>181.99</v>
      </c>
      <c r="C255" s="2">
        <f ca="1">IFERROR(__xludf.DUMMYFUNCTION("""COMPUTED_VALUE"""),182.76)</f>
        <v>182.76</v>
      </c>
      <c r="D255" s="2">
        <f ca="1">IFERROR(__xludf.DUMMYFUNCTION("""COMPUTED_VALUE"""),180.17)</f>
        <v>180.17</v>
      </c>
      <c r="E255" s="2">
        <f ca="1">IFERROR(__xludf.DUMMYFUNCTION("""COMPUTED_VALUE"""),181.18)</f>
        <v>181.18</v>
      </c>
      <c r="F255" s="2">
        <f ca="1">IFERROR(__xludf.DUMMYFUNCTION("""COMPUTED_VALUE"""),62379661)</f>
        <v>62379661</v>
      </c>
    </row>
    <row r="256" spans="1:6" ht="12.5" x14ac:dyDescent="0.25">
      <c r="A256" s="3">
        <f ca="1">IFERROR(__xludf.DUMMYFUNCTION("""COMPUTED_VALUE"""),45299.6666666666)</f>
        <v>45299.666666666599</v>
      </c>
      <c r="B256" s="2">
        <f ca="1">IFERROR(__xludf.DUMMYFUNCTION("""COMPUTED_VALUE"""),182.09)</f>
        <v>182.09</v>
      </c>
      <c r="C256" s="2">
        <f ca="1">IFERROR(__xludf.DUMMYFUNCTION("""COMPUTED_VALUE"""),185.6)</f>
        <v>185.6</v>
      </c>
      <c r="D256" s="2">
        <f ca="1">IFERROR(__xludf.DUMMYFUNCTION("""COMPUTED_VALUE"""),181.5)</f>
        <v>181.5</v>
      </c>
      <c r="E256" s="2">
        <f ca="1">IFERROR(__xludf.DUMMYFUNCTION("""COMPUTED_VALUE"""),185.56)</f>
        <v>185.56</v>
      </c>
      <c r="F256" s="2">
        <f ca="1">IFERROR(__xludf.DUMMYFUNCTION("""COMPUTED_VALUE"""),59144470)</f>
        <v>59144470</v>
      </c>
    </row>
    <row r="257" spans="1:6" ht="12.5" x14ac:dyDescent="0.25">
      <c r="A257" s="3">
        <f ca="1">IFERROR(__xludf.DUMMYFUNCTION("""COMPUTED_VALUE"""),45300.6666666666)</f>
        <v>45300.666666666599</v>
      </c>
      <c r="B257" s="2">
        <f ca="1">IFERROR(__xludf.DUMMYFUNCTION("""COMPUTED_VALUE"""),183.92)</f>
        <v>183.92</v>
      </c>
      <c r="C257" s="2">
        <f ca="1">IFERROR(__xludf.DUMMYFUNCTION("""COMPUTED_VALUE"""),185.15)</f>
        <v>185.15</v>
      </c>
      <c r="D257" s="2">
        <f ca="1">IFERROR(__xludf.DUMMYFUNCTION("""COMPUTED_VALUE"""),182.73)</f>
        <v>182.73</v>
      </c>
      <c r="E257" s="2">
        <f ca="1">IFERROR(__xludf.DUMMYFUNCTION("""COMPUTED_VALUE"""),185.14)</f>
        <v>185.14</v>
      </c>
      <c r="F257" s="2">
        <f ca="1">IFERROR(__xludf.DUMMYFUNCTION("""COMPUTED_VALUE"""),42841809)</f>
        <v>42841809</v>
      </c>
    </row>
    <row r="258" spans="1:6" ht="12.5" x14ac:dyDescent="0.25">
      <c r="A258" s="3">
        <f ca="1">IFERROR(__xludf.DUMMYFUNCTION("""COMPUTED_VALUE"""),45301.6666666666)</f>
        <v>45301.666666666599</v>
      </c>
      <c r="B258" s="2">
        <f ca="1">IFERROR(__xludf.DUMMYFUNCTION("""COMPUTED_VALUE"""),184.35)</f>
        <v>184.35</v>
      </c>
      <c r="C258" s="2">
        <f ca="1">IFERROR(__xludf.DUMMYFUNCTION("""COMPUTED_VALUE"""),186.4)</f>
        <v>186.4</v>
      </c>
      <c r="D258" s="2">
        <f ca="1">IFERROR(__xludf.DUMMYFUNCTION("""COMPUTED_VALUE"""),183.92)</f>
        <v>183.92</v>
      </c>
      <c r="E258" s="2">
        <f ca="1">IFERROR(__xludf.DUMMYFUNCTION("""COMPUTED_VALUE"""),186.19)</f>
        <v>186.19</v>
      </c>
      <c r="F258" s="2">
        <f ca="1">IFERROR(__xludf.DUMMYFUNCTION("""COMPUTED_VALUE"""),46792908)</f>
        <v>46792908</v>
      </c>
    </row>
    <row r="259" spans="1:6" ht="12.5" x14ac:dyDescent="0.25">
      <c r="A259" s="3">
        <f ca="1">IFERROR(__xludf.DUMMYFUNCTION("""COMPUTED_VALUE"""),45302.6666666666)</f>
        <v>45302.666666666599</v>
      </c>
      <c r="B259" s="2">
        <f ca="1">IFERROR(__xludf.DUMMYFUNCTION("""COMPUTED_VALUE"""),186.54)</f>
        <v>186.54</v>
      </c>
      <c r="C259" s="2">
        <f ca="1">IFERROR(__xludf.DUMMYFUNCTION("""COMPUTED_VALUE"""),187.05)</f>
        <v>187.05</v>
      </c>
      <c r="D259" s="2">
        <f ca="1">IFERROR(__xludf.DUMMYFUNCTION("""COMPUTED_VALUE"""),183.62)</f>
        <v>183.62</v>
      </c>
      <c r="E259" s="2">
        <f ca="1">IFERROR(__xludf.DUMMYFUNCTION("""COMPUTED_VALUE"""),185.59)</f>
        <v>185.59</v>
      </c>
      <c r="F259" s="2">
        <f ca="1">IFERROR(__xludf.DUMMYFUNCTION("""COMPUTED_VALUE"""),49128408)</f>
        <v>49128408</v>
      </c>
    </row>
    <row r="260" spans="1:6" ht="12.5" x14ac:dyDescent="0.25">
      <c r="A260" s="3">
        <f ca="1">IFERROR(__xludf.DUMMYFUNCTION("""COMPUTED_VALUE"""),45303.6666666666)</f>
        <v>45303.666666666599</v>
      </c>
      <c r="B260" s="2">
        <f ca="1">IFERROR(__xludf.DUMMYFUNCTION("""COMPUTED_VALUE"""),186.06)</f>
        <v>186.06</v>
      </c>
      <c r="C260" s="2">
        <f ca="1">IFERROR(__xludf.DUMMYFUNCTION("""COMPUTED_VALUE"""),186.74)</f>
        <v>186.74</v>
      </c>
      <c r="D260" s="2">
        <f ca="1">IFERROR(__xludf.DUMMYFUNCTION("""COMPUTED_VALUE"""),185.19)</f>
        <v>185.19</v>
      </c>
      <c r="E260" s="2">
        <f ca="1">IFERROR(__xludf.DUMMYFUNCTION("""COMPUTED_VALUE"""),185.92)</f>
        <v>185.92</v>
      </c>
      <c r="F260" s="2">
        <f ca="1">IFERROR(__xludf.DUMMYFUNCTION("""COMPUTED_VALUE"""),40477782)</f>
        <v>40477782</v>
      </c>
    </row>
    <row r="261" spans="1:6" ht="12.5" x14ac:dyDescent="0.25">
      <c r="A261" s="3">
        <f ca="1">IFERROR(__xludf.DUMMYFUNCTION("""COMPUTED_VALUE"""),45307.6666666666)</f>
        <v>45307.666666666599</v>
      </c>
      <c r="B261" s="2">
        <f ca="1">IFERROR(__xludf.DUMMYFUNCTION("""COMPUTED_VALUE"""),182.16)</f>
        <v>182.16</v>
      </c>
      <c r="C261" s="2">
        <f ca="1">IFERROR(__xludf.DUMMYFUNCTION("""COMPUTED_VALUE"""),184.26)</f>
        <v>184.26</v>
      </c>
      <c r="D261" s="2">
        <f ca="1">IFERROR(__xludf.DUMMYFUNCTION("""COMPUTED_VALUE"""),180.93)</f>
        <v>180.93</v>
      </c>
      <c r="E261" s="2">
        <f ca="1">IFERROR(__xludf.DUMMYFUNCTION("""COMPUTED_VALUE"""),183.63)</f>
        <v>183.63</v>
      </c>
      <c r="F261" s="2">
        <f ca="1">IFERROR(__xludf.DUMMYFUNCTION("""COMPUTED_VALUE"""),65603041)</f>
        <v>65603041</v>
      </c>
    </row>
    <row r="262" spans="1:6" ht="12.5" x14ac:dyDescent="0.25">
      <c r="A262" s="3">
        <f ca="1">IFERROR(__xludf.DUMMYFUNCTION("""COMPUTED_VALUE"""),45308.6666666666)</f>
        <v>45308.666666666599</v>
      </c>
      <c r="B262" s="2">
        <f ca="1">IFERROR(__xludf.DUMMYFUNCTION("""COMPUTED_VALUE"""),181.27)</f>
        <v>181.27</v>
      </c>
      <c r="C262" s="2">
        <f ca="1">IFERROR(__xludf.DUMMYFUNCTION("""COMPUTED_VALUE"""),182.93)</f>
        <v>182.93</v>
      </c>
      <c r="D262" s="2">
        <f ca="1">IFERROR(__xludf.DUMMYFUNCTION("""COMPUTED_VALUE"""),180.3)</f>
        <v>180.3</v>
      </c>
      <c r="E262" s="2">
        <f ca="1">IFERROR(__xludf.DUMMYFUNCTION("""COMPUTED_VALUE"""),182.68)</f>
        <v>182.68</v>
      </c>
      <c r="F262" s="2">
        <f ca="1">IFERROR(__xludf.DUMMYFUNCTION("""COMPUTED_VALUE"""),47317433)</f>
        <v>47317433</v>
      </c>
    </row>
    <row r="263" spans="1:6" ht="12.5" x14ac:dyDescent="0.25">
      <c r="A263" s="3">
        <f ca="1">IFERROR(__xludf.DUMMYFUNCTION("""COMPUTED_VALUE"""),45309.6666666666)</f>
        <v>45309.666666666599</v>
      </c>
      <c r="B263" s="2">
        <f ca="1">IFERROR(__xludf.DUMMYFUNCTION("""COMPUTED_VALUE"""),186.09)</f>
        <v>186.09</v>
      </c>
      <c r="C263" s="2">
        <f ca="1">IFERROR(__xludf.DUMMYFUNCTION("""COMPUTED_VALUE"""),189.14)</f>
        <v>189.14</v>
      </c>
      <c r="D263" s="2">
        <f ca="1">IFERROR(__xludf.DUMMYFUNCTION("""COMPUTED_VALUE"""),185.83)</f>
        <v>185.83</v>
      </c>
      <c r="E263" s="2">
        <f ca="1">IFERROR(__xludf.DUMMYFUNCTION("""COMPUTED_VALUE"""),188.63)</f>
        <v>188.63</v>
      </c>
      <c r="F263" s="2">
        <f ca="1">IFERROR(__xludf.DUMMYFUNCTION("""COMPUTED_VALUE"""),78005754)</f>
        <v>78005754</v>
      </c>
    </row>
    <row r="264" spans="1:6" ht="12.5" x14ac:dyDescent="0.25">
      <c r="A264" s="3">
        <f ca="1">IFERROR(__xludf.DUMMYFUNCTION("""COMPUTED_VALUE"""),45310.6666666666)</f>
        <v>45310.666666666599</v>
      </c>
      <c r="B264" s="2">
        <f ca="1">IFERROR(__xludf.DUMMYFUNCTION("""COMPUTED_VALUE"""),189.33)</f>
        <v>189.33</v>
      </c>
      <c r="C264" s="2">
        <f ca="1">IFERROR(__xludf.DUMMYFUNCTION("""COMPUTED_VALUE"""),191.95)</f>
        <v>191.95</v>
      </c>
      <c r="D264" s="2">
        <f ca="1">IFERROR(__xludf.DUMMYFUNCTION("""COMPUTED_VALUE"""),188.82)</f>
        <v>188.82</v>
      </c>
      <c r="E264" s="2">
        <f ca="1">IFERROR(__xludf.DUMMYFUNCTION("""COMPUTED_VALUE"""),191.56)</f>
        <v>191.56</v>
      </c>
      <c r="F264" s="2">
        <f ca="1">IFERROR(__xludf.DUMMYFUNCTION("""COMPUTED_VALUE"""),68902985)</f>
        <v>68902985</v>
      </c>
    </row>
    <row r="265" spans="1:6" ht="12.5" x14ac:dyDescent="0.25">
      <c r="A265" s="3">
        <f ca="1">IFERROR(__xludf.DUMMYFUNCTION("""COMPUTED_VALUE"""),45313.6666666666)</f>
        <v>45313.666666666599</v>
      </c>
      <c r="B265" s="2">
        <f ca="1">IFERROR(__xludf.DUMMYFUNCTION("""COMPUTED_VALUE"""),192.3)</f>
        <v>192.3</v>
      </c>
      <c r="C265" s="2">
        <f ca="1">IFERROR(__xludf.DUMMYFUNCTION("""COMPUTED_VALUE"""),195.33)</f>
        <v>195.33</v>
      </c>
      <c r="D265" s="2">
        <f ca="1">IFERROR(__xludf.DUMMYFUNCTION("""COMPUTED_VALUE"""),192.26)</f>
        <v>192.26</v>
      </c>
      <c r="E265" s="2">
        <f ca="1">IFERROR(__xludf.DUMMYFUNCTION("""COMPUTED_VALUE"""),193.89)</f>
        <v>193.89</v>
      </c>
      <c r="F265" s="2">
        <f ca="1">IFERROR(__xludf.DUMMYFUNCTION("""COMPUTED_VALUE"""),60133852)</f>
        <v>60133852</v>
      </c>
    </row>
    <row r="266" spans="1:6" ht="12.5" x14ac:dyDescent="0.25">
      <c r="A266" s="3">
        <f ca="1">IFERROR(__xludf.DUMMYFUNCTION("""COMPUTED_VALUE"""),45314.6666666666)</f>
        <v>45314.666666666599</v>
      </c>
      <c r="B266" s="2">
        <f ca="1">IFERROR(__xludf.DUMMYFUNCTION("""COMPUTED_VALUE"""),195.02)</f>
        <v>195.02</v>
      </c>
      <c r="C266" s="2">
        <f ca="1">IFERROR(__xludf.DUMMYFUNCTION("""COMPUTED_VALUE"""),195.75)</f>
        <v>195.75</v>
      </c>
      <c r="D266" s="2">
        <f ca="1">IFERROR(__xludf.DUMMYFUNCTION("""COMPUTED_VALUE"""),193.83)</f>
        <v>193.83</v>
      </c>
      <c r="E266" s="2">
        <f ca="1">IFERROR(__xludf.DUMMYFUNCTION("""COMPUTED_VALUE"""),195.18)</f>
        <v>195.18</v>
      </c>
      <c r="F266" s="2">
        <f ca="1">IFERROR(__xludf.DUMMYFUNCTION("""COMPUTED_VALUE"""),42355590)</f>
        <v>42355590</v>
      </c>
    </row>
    <row r="267" spans="1:6" ht="12.5" x14ac:dyDescent="0.25">
      <c r="A267" s="3">
        <f ca="1">IFERROR(__xludf.DUMMYFUNCTION("""COMPUTED_VALUE"""),45315.6666666666)</f>
        <v>45315.666666666599</v>
      </c>
      <c r="B267" s="2">
        <f ca="1">IFERROR(__xludf.DUMMYFUNCTION("""COMPUTED_VALUE"""),195.42)</f>
        <v>195.42</v>
      </c>
      <c r="C267" s="2">
        <f ca="1">IFERROR(__xludf.DUMMYFUNCTION("""COMPUTED_VALUE"""),196.38)</f>
        <v>196.38</v>
      </c>
      <c r="D267" s="2">
        <f ca="1">IFERROR(__xludf.DUMMYFUNCTION("""COMPUTED_VALUE"""),194.34)</f>
        <v>194.34</v>
      </c>
      <c r="E267" s="2">
        <f ca="1">IFERROR(__xludf.DUMMYFUNCTION("""COMPUTED_VALUE"""),194.5)</f>
        <v>194.5</v>
      </c>
      <c r="F267" s="2">
        <f ca="1">IFERROR(__xludf.DUMMYFUNCTION("""COMPUTED_VALUE"""),53631316)</f>
        <v>53631316</v>
      </c>
    </row>
    <row r="268" spans="1:6" ht="12.5" x14ac:dyDescent="0.25">
      <c r="A268" s="3">
        <f ca="1">IFERROR(__xludf.DUMMYFUNCTION("""COMPUTED_VALUE"""),45316.6666666666)</f>
        <v>45316.666666666599</v>
      </c>
      <c r="B268" s="2">
        <f ca="1">IFERROR(__xludf.DUMMYFUNCTION("""COMPUTED_VALUE"""),195.22)</f>
        <v>195.22</v>
      </c>
      <c r="C268" s="2">
        <f ca="1">IFERROR(__xludf.DUMMYFUNCTION("""COMPUTED_VALUE"""),196.27)</f>
        <v>196.27</v>
      </c>
      <c r="D268" s="2">
        <f ca="1">IFERROR(__xludf.DUMMYFUNCTION("""COMPUTED_VALUE"""),193.11)</f>
        <v>193.11</v>
      </c>
      <c r="E268" s="2">
        <f ca="1">IFERROR(__xludf.DUMMYFUNCTION("""COMPUTED_VALUE"""),194.17)</f>
        <v>194.17</v>
      </c>
      <c r="F268" s="2">
        <f ca="1">IFERROR(__xludf.DUMMYFUNCTION("""COMPUTED_VALUE"""),54822126)</f>
        <v>54822126</v>
      </c>
    </row>
    <row r="269" spans="1:6" ht="12.5" x14ac:dyDescent="0.25">
      <c r="A269" s="3">
        <f ca="1">IFERROR(__xludf.DUMMYFUNCTION("""COMPUTED_VALUE"""),45317.6666666666)</f>
        <v>45317.666666666599</v>
      </c>
      <c r="B269" s="2">
        <f ca="1">IFERROR(__xludf.DUMMYFUNCTION("""COMPUTED_VALUE"""),194.27)</f>
        <v>194.27</v>
      </c>
      <c r="C269" s="2">
        <f ca="1">IFERROR(__xludf.DUMMYFUNCTION("""COMPUTED_VALUE"""),194.76)</f>
        <v>194.76</v>
      </c>
      <c r="D269" s="2">
        <f ca="1">IFERROR(__xludf.DUMMYFUNCTION("""COMPUTED_VALUE"""),191.94)</f>
        <v>191.94</v>
      </c>
      <c r="E269" s="2">
        <f ca="1">IFERROR(__xludf.DUMMYFUNCTION("""COMPUTED_VALUE"""),192.42)</f>
        <v>192.42</v>
      </c>
      <c r="F269" s="2">
        <f ca="1">IFERROR(__xludf.DUMMYFUNCTION("""COMPUTED_VALUE"""),44594011)</f>
        <v>44594011</v>
      </c>
    </row>
    <row r="270" spans="1:6" ht="12.5" x14ac:dyDescent="0.25">
      <c r="A270" s="3">
        <f ca="1">IFERROR(__xludf.DUMMYFUNCTION("""COMPUTED_VALUE"""),45320.6666666666)</f>
        <v>45320.666666666599</v>
      </c>
      <c r="B270" s="2">
        <f ca="1">IFERROR(__xludf.DUMMYFUNCTION("""COMPUTED_VALUE"""),192.01)</f>
        <v>192.01</v>
      </c>
      <c r="C270" s="2">
        <f ca="1">IFERROR(__xludf.DUMMYFUNCTION("""COMPUTED_VALUE"""),192.2)</f>
        <v>192.2</v>
      </c>
      <c r="D270" s="2">
        <f ca="1">IFERROR(__xludf.DUMMYFUNCTION("""COMPUTED_VALUE"""),189.58)</f>
        <v>189.58</v>
      </c>
      <c r="E270" s="2">
        <f ca="1">IFERROR(__xludf.DUMMYFUNCTION("""COMPUTED_VALUE"""),191.73)</f>
        <v>191.73</v>
      </c>
      <c r="F270" s="2">
        <f ca="1">IFERROR(__xludf.DUMMYFUNCTION("""COMPUTED_VALUE"""),47145622)</f>
        <v>47145622</v>
      </c>
    </row>
    <row r="271" spans="1:6" ht="12.5" x14ac:dyDescent="0.25">
      <c r="A271" s="3">
        <f ca="1">IFERROR(__xludf.DUMMYFUNCTION("""COMPUTED_VALUE"""),45321.6666666666)</f>
        <v>45321.666666666599</v>
      </c>
      <c r="B271" s="2">
        <f ca="1">IFERROR(__xludf.DUMMYFUNCTION("""COMPUTED_VALUE"""),190.94)</f>
        <v>190.94</v>
      </c>
      <c r="C271" s="2">
        <f ca="1">IFERROR(__xludf.DUMMYFUNCTION("""COMPUTED_VALUE"""),191.8)</f>
        <v>191.8</v>
      </c>
      <c r="D271" s="2">
        <f ca="1">IFERROR(__xludf.DUMMYFUNCTION("""COMPUTED_VALUE"""),187.47)</f>
        <v>187.47</v>
      </c>
      <c r="E271" s="2">
        <f ca="1">IFERROR(__xludf.DUMMYFUNCTION("""COMPUTED_VALUE"""),188.04)</f>
        <v>188.04</v>
      </c>
      <c r="F271" s="2">
        <f ca="1">IFERROR(__xludf.DUMMYFUNCTION("""COMPUTED_VALUE"""),55859370)</f>
        <v>55859370</v>
      </c>
    </row>
    <row r="272" spans="1:6" ht="12.5" x14ac:dyDescent="0.25">
      <c r="A272" s="3">
        <f ca="1">IFERROR(__xludf.DUMMYFUNCTION("""COMPUTED_VALUE"""),45322.6666666666)</f>
        <v>45322.666666666599</v>
      </c>
      <c r="B272" s="2">
        <f ca="1">IFERROR(__xludf.DUMMYFUNCTION("""COMPUTED_VALUE"""),187.04)</f>
        <v>187.04</v>
      </c>
      <c r="C272" s="2">
        <f ca="1">IFERROR(__xludf.DUMMYFUNCTION("""COMPUTED_VALUE"""),187.1)</f>
        <v>187.1</v>
      </c>
      <c r="D272" s="2">
        <f ca="1">IFERROR(__xludf.DUMMYFUNCTION("""COMPUTED_VALUE"""),184.35)</f>
        <v>184.35</v>
      </c>
      <c r="E272" s="2">
        <f ca="1">IFERROR(__xludf.DUMMYFUNCTION("""COMPUTED_VALUE"""),184.4)</f>
        <v>184.4</v>
      </c>
      <c r="F272" s="2">
        <f ca="1">IFERROR(__xludf.DUMMYFUNCTION("""COMPUTED_VALUE"""),55467803)</f>
        <v>55467803</v>
      </c>
    </row>
    <row r="273" spans="1:6" ht="12.5" x14ac:dyDescent="0.25">
      <c r="A273" s="3">
        <f ca="1">IFERROR(__xludf.DUMMYFUNCTION("""COMPUTED_VALUE"""),45323.6666666666)</f>
        <v>45323.666666666599</v>
      </c>
      <c r="B273" s="2">
        <f ca="1">IFERROR(__xludf.DUMMYFUNCTION("""COMPUTED_VALUE"""),183.99)</f>
        <v>183.99</v>
      </c>
      <c r="C273" s="2">
        <f ca="1">IFERROR(__xludf.DUMMYFUNCTION("""COMPUTED_VALUE"""),186.95)</f>
        <v>186.95</v>
      </c>
      <c r="D273" s="2">
        <f ca="1">IFERROR(__xludf.DUMMYFUNCTION("""COMPUTED_VALUE"""),183.82)</f>
        <v>183.82</v>
      </c>
      <c r="E273" s="2">
        <f ca="1">IFERROR(__xludf.DUMMYFUNCTION("""COMPUTED_VALUE"""),186.86)</f>
        <v>186.86</v>
      </c>
      <c r="F273" s="2">
        <f ca="1">IFERROR(__xludf.DUMMYFUNCTION("""COMPUTED_VALUE"""),64885408)</f>
        <v>64885408</v>
      </c>
    </row>
    <row r="274" spans="1:6" ht="12.5" x14ac:dyDescent="0.25">
      <c r="A274" s="3">
        <f ca="1">IFERROR(__xludf.DUMMYFUNCTION("""COMPUTED_VALUE"""),45324.6666666666)</f>
        <v>45324.666666666599</v>
      </c>
      <c r="B274" s="2">
        <f ca="1">IFERROR(__xludf.DUMMYFUNCTION("""COMPUTED_VALUE"""),179.86)</f>
        <v>179.86</v>
      </c>
      <c r="C274" s="2">
        <f ca="1">IFERROR(__xludf.DUMMYFUNCTION("""COMPUTED_VALUE"""),187.33)</f>
        <v>187.33</v>
      </c>
      <c r="D274" s="2">
        <f ca="1">IFERROR(__xludf.DUMMYFUNCTION("""COMPUTED_VALUE"""),179.25)</f>
        <v>179.25</v>
      </c>
      <c r="E274" s="2">
        <f ca="1">IFERROR(__xludf.DUMMYFUNCTION("""COMPUTED_VALUE"""),185.85)</f>
        <v>185.85</v>
      </c>
      <c r="F274" s="2">
        <f ca="1">IFERROR(__xludf.DUMMYFUNCTION("""COMPUTED_VALUE"""),102551680)</f>
        <v>102551680</v>
      </c>
    </row>
    <row r="275" spans="1:6" ht="12.5" x14ac:dyDescent="0.25">
      <c r="A275" s="3">
        <f ca="1">IFERROR(__xludf.DUMMYFUNCTION("""COMPUTED_VALUE"""),45327.6666666666)</f>
        <v>45327.666666666599</v>
      </c>
      <c r="B275" s="2">
        <f ca="1">IFERROR(__xludf.DUMMYFUNCTION("""COMPUTED_VALUE"""),188.15)</f>
        <v>188.15</v>
      </c>
      <c r="C275" s="2">
        <f ca="1">IFERROR(__xludf.DUMMYFUNCTION("""COMPUTED_VALUE"""),189.25)</f>
        <v>189.25</v>
      </c>
      <c r="D275" s="2">
        <f ca="1">IFERROR(__xludf.DUMMYFUNCTION("""COMPUTED_VALUE"""),185.84)</f>
        <v>185.84</v>
      </c>
      <c r="E275" s="2">
        <f ca="1">IFERROR(__xludf.DUMMYFUNCTION("""COMPUTED_VALUE"""),187.68)</f>
        <v>187.68</v>
      </c>
      <c r="F275" s="2">
        <f ca="1">IFERROR(__xludf.DUMMYFUNCTION("""COMPUTED_VALUE"""),69668820)</f>
        <v>69668820</v>
      </c>
    </row>
    <row r="276" spans="1:6" ht="12.5" x14ac:dyDescent="0.25">
      <c r="A276" s="3">
        <f ca="1">IFERROR(__xludf.DUMMYFUNCTION("""COMPUTED_VALUE"""),45328.6666666666)</f>
        <v>45328.666666666599</v>
      </c>
      <c r="B276" s="2">
        <f ca="1">IFERROR(__xludf.DUMMYFUNCTION("""COMPUTED_VALUE"""),186.86)</f>
        <v>186.86</v>
      </c>
      <c r="C276" s="2">
        <f ca="1">IFERROR(__xludf.DUMMYFUNCTION("""COMPUTED_VALUE"""),189.31)</f>
        <v>189.31</v>
      </c>
      <c r="D276" s="2">
        <f ca="1">IFERROR(__xludf.DUMMYFUNCTION("""COMPUTED_VALUE"""),186.77)</f>
        <v>186.77</v>
      </c>
      <c r="E276" s="2">
        <f ca="1">IFERROR(__xludf.DUMMYFUNCTION("""COMPUTED_VALUE"""),189.3)</f>
        <v>189.3</v>
      </c>
      <c r="F276" s="2">
        <f ca="1">IFERROR(__xludf.DUMMYFUNCTION("""COMPUTED_VALUE"""),43490759)</f>
        <v>43490759</v>
      </c>
    </row>
    <row r="277" spans="1:6" ht="12.5" x14ac:dyDescent="0.25">
      <c r="A277" s="3">
        <f ca="1">IFERROR(__xludf.DUMMYFUNCTION("""COMPUTED_VALUE"""),45329.6666666666)</f>
        <v>45329.666666666599</v>
      </c>
      <c r="B277" s="2">
        <f ca="1">IFERROR(__xludf.DUMMYFUNCTION("""COMPUTED_VALUE"""),190.64)</f>
        <v>190.64</v>
      </c>
      <c r="C277" s="2">
        <f ca="1">IFERROR(__xludf.DUMMYFUNCTION("""COMPUTED_VALUE"""),191.05)</f>
        <v>191.05</v>
      </c>
      <c r="D277" s="2">
        <f ca="1">IFERROR(__xludf.DUMMYFUNCTION("""COMPUTED_VALUE"""),188.61)</f>
        <v>188.61</v>
      </c>
      <c r="E277" s="2">
        <f ca="1">IFERROR(__xludf.DUMMYFUNCTION("""COMPUTED_VALUE"""),189.41)</f>
        <v>189.41</v>
      </c>
      <c r="F277" s="2">
        <f ca="1">IFERROR(__xludf.DUMMYFUNCTION("""COMPUTED_VALUE"""),53438955)</f>
        <v>53438955</v>
      </c>
    </row>
    <row r="278" spans="1:6" ht="12.5" x14ac:dyDescent="0.25">
      <c r="A278" s="3">
        <f ca="1">IFERROR(__xludf.DUMMYFUNCTION("""COMPUTED_VALUE"""),45330.6666666666)</f>
        <v>45330.666666666599</v>
      </c>
      <c r="B278" s="2">
        <f ca="1">IFERROR(__xludf.DUMMYFUNCTION("""COMPUTED_VALUE"""),189.39)</f>
        <v>189.39</v>
      </c>
      <c r="C278" s="2">
        <f ca="1">IFERROR(__xludf.DUMMYFUNCTION("""COMPUTED_VALUE"""),189.54)</f>
        <v>189.54</v>
      </c>
      <c r="D278" s="2">
        <f ca="1">IFERROR(__xludf.DUMMYFUNCTION("""COMPUTED_VALUE"""),187.35)</f>
        <v>187.35</v>
      </c>
      <c r="E278" s="2">
        <f ca="1">IFERROR(__xludf.DUMMYFUNCTION("""COMPUTED_VALUE"""),188.32)</f>
        <v>188.32</v>
      </c>
      <c r="F278" s="2">
        <f ca="1">IFERROR(__xludf.DUMMYFUNCTION("""COMPUTED_VALUE"""),40962046)</f>
        <v>40962046</v>
      </c>
    </row>
    <row r="279" spans="1:6" ht="12.5" x14ac:dyDescent="0.25">
      <c r="A279" s="3">
        <f ca="1">IFERROR(__xludf.DUMMYFUNCTION("""COMPUTED_VALUE"""),45331.6666666666)</f>
        <v>45331.666666666599</v>
      </c>
      <c r="B279" s="2">
        <f ca="1">IFERROR(__xludf.DUMMYFUNCTION("""COMPUTED_VALUE"""),188.65)</f>
        <v>188.65</v>
      </c>
      <c r="C279" s="2">
        <f ca="1">IFERROR(__xludf.DUMMYFUNCTION("""COMPUTED_VALUE"""),189.99)</f>
        <v>189.99</v>
      </c>
      <c r="D279" s="2">
        <f ca="1">IFERROR(__xludf.DUMMYFUNCTION("""COMPUTED_VALUE"""),188)</f>
        <v>188</v>
      </c>
      <c r="E279" s="2">
        <f ca="1">IFERROR(__xludf.DUMMYFUNCTION("""COMPUTED_VALUE"""),188.85)</f>
        <v>188.85</v>
      </c>
      <c r="F279" s="2">
        <f ca="1">IFERROR(__xludf.DUMMYFUNCTION("""COMPUTED_VALUE"""),45155216)</f>
        <v>45155216</v>
      </c>
    </row>
    <row r="280" spans="1:6" ht="12.5" x14ac:dyDescent="0.25">
      <c r="A280" s="3">
        <f ca="1">IFERROR(__xludf.DUMMYFUNCTION("""COMPUTED_VALUE"""),45334.6666666666)</f>
        <v>45334.666666666599</v>
      </c>
      <c r="B280" s="2">
        <f ca="1">IFERROR(__xludf.DUMMYFUNCTION("""COMPUTED_VALUE"""),188.42)</f>
        <v>188.42</v>
      </c>
      <c r="C280" s="2">
        <f ca="1">IFERROR(__xludf.DUMMYFUNCTION("""COMPUTED_VALUE"""),188.67)</f>
        <v>188.67</v>
      </c>
      <c r="D280" s="2">
        <f ca="1">IFERROR(__xludf.DUMMYFUNCTION("""COMPUTED_VALUE"""),186.79)</f>
        <v>186.79</v>
      </c>
      <c r="E280" s="2">
        <f ca="1">IFERROR(__xludf.DUMMYFUNCTION("""COMPUTED_VALUE"""),187.15)</f>
        <v>187.15</v>
      </c>
      <c r="F280" s="2">
        <f ca="1">IFERROR(__xludf.DUMMYFUNCTION("""COMPUTED_VALUE"""),41781934)</f>
        <v>41781934</v>
      </c>
    </row>
    <row r="281" spans="1:6" ht="12.5" x14ac:dyDescent="0.25">
      <c r="A281" s="3">
        <f ca="1">IFERROR(__xludf.DUMMYFUNCTION("""COMPUTED_VALUE"""),45335.6666666666)</f>
        <v>45335.666666666599</v>
      </c>
      <c r="B281" s="2">
        <f ca="1">IFERROR(__xludf.DUMMYFUNCTION("""COMPUTED_VALUE"""),185.77)</f>
        <v>185.77</v>
      </c>
      <c r="C281" s="2">
        <f ca="1">IFERROR(__xludf.DUMMYFUNCTION("""COMPUTED_VALUE"""),186.21)</f>
        <v>186.21</v>
      </c>
      <c r="D281" s="2">
        <f ca="1">IFERROR(__xludf.DUMMYFUNCTION("""COMPUTED_VALUE"""),183.51)</f>
        <v>183.51</v>
      </c>
      <c r="E281" s="2">
        <f ca="1">IFERROR(__xludf.DUMMYFUNCTION("""COMPUTED_VALUE"""),185.04)</f>
        <v>185.04</v>
      </c>
      <c r="F281" s="2">
        <f ca="1">IFERROR(__xludf.DUMMYFUNCTION("""COMPUTED_VALUE"""),56529529)</f>
        <v>56529529</v>
      </c>
    </row>
    <row r="282" spans="1:6" ht="12.5" x14ac:dyDescent="0.25">
      <c r="A282" s="3">
        <f ca="1">IFERROR(__xludf.DUMMYFUNCTION("""COMPUTED_VALUE"""),45336.6666666666)</f>
        <v>45336.666666666599</v>
      </c>
      <c r="B282" s="2">
        <f ca="1">IFERROR(__xludf.DUMMYFUNCTION("""COMPUTED_VALUE"""),185.32)</f>
        <v>185.32</v>
      </c>
      <c r="C282" s="2">
        <f ca="1">IFERROR(__xludf.DUMMYFUNCTION("""COMPUTED_VALUE"""),185.53)</f>
        <v>185.53</v>
      </c>
      <c r="D282" s="2">
        <f ca="1">IFERROR(__xludf.DUMMYFUNCTION("""COMPUTED_VALUE"""),182.44)</f>
        <v>182.44</v>
      </c>
      <c r="E282" s="2">
        <f ca="1">IFERROR(__xludf.DUMMYFUNCTION("""COMPUTED_VALUE"""),184.15)</f>
        <v>184.15</v>
      </c>
      <c r="F282" s="2">
        <f ca="1">IFERROR(__xludf.DUMMYFUNCTION("""COMPUTED_VALUE"""),54630517)</f>
        <v>54630517</v>
      </c>
    </row>
    <row r="283" spans="1:6" ht="12.5" x14ac:dyDescent="0.25">
      <c r="A283" s="3">
        <f ca="1">IFERROR(__xludf.DUMMYFUNCTION("""COMPUTED_VALUE"""),45337.6666666666)</f>
        <v>45337.666666666599</v>
      </c>
      <c r="B283" s="2">
        <f ca="1">IFERROR(__xludf.DUMMYFUNCTION("""COMPUTED_VALUE"""),183.55)</f>
        <v>183.55</v>
      </c>
      <c r="C283" s="2">
        <f ca="1">IFERROR(__xludf.DUMMYFUNCTION("""COMPUTED_VALUE"""),184.49)</f>
        <v>184.49</v>
      </c>
      <c r="D283" s="2">
        <f ca="1">IFERROR(__xludf.DUMMYFUNCTION("""COMPUTED_VALUE"""),181.35)</f>
        <v>181.35</v>
      </c>
      <c r="E283" s="2">
        <f ca="1">IFERROR(__xludf.DUMMYFUNCTION("""COMPUTED_VALUE"""),183.86)</f>
        <v>183.86</v>
      </c>
      <c r="F283" s="2">
        <f ca="1">IFERROR(__xludf.DUMMYFUNCTION("""COMPUTED_VALUE"""),65434496)</f>
        <v>65434496</v>
      </c>
    </row>
    <row r="284" spans="1:6" ht="12.5" x14ac:dyDescent="0.25">
      <c r="A284" s="3">
        <f ca="1">IFERROR(__xludf.DUMMYFUNCTION("""COMPUTED_VALUE"""),45338.6666666666)</f>
        <v>45338.666666666599</v>
      </c>
      <c r="B284" s="2">
        <f ca="1">IFERROR(__xludf.DUMMYFUNCTION("""COMPUTED_VALUE"""),183.42)</f>
        <v>183.42</v>
      </c>
      <c r="C284" s="2">
        <f ca="1">IFERROR(__xludf.DUMMYFUNCTION("""COMPUTED_VALUE"""),184.85)</f>
        <v>184.85</v>
      </c>
      <c r="D284" s="2">
        <f ca="1">IFERROR(__xludf.DUMMYFUNCTION("""COMPUTED_VALUE"""),181.67)</f>
        <v>181.67</v>
      </c>
      <c r="E284" s="2">
        <f ca="1">IFERROR(__xludf.DUMMYFUNCTION("""COMPUTED_VALUE"""),182.31)</f>
        <v>182.31</v>
      </c>
      <c r="F284" s="2">
        <f ca="1">IFERROR(__xludf.DUMMYFUNCTION("""COMPUTED_VALUE"""),49752465)</f>
        <v>49752465</v>
      </c>
    </row>
    <row r="285" spans="1:6" ht="12.5" x14ac:dyDescent="0.25">
      <c r="A285" s="3">
        <f ca="1">IFERROR(__xludf.DUMMYFUNCTION("""COMPUTED_VALUE"""),45342.6666666666)</f>
        <v>45342.666666666599</v>
      </c>
      <c r="B285" s="2">
        <f ca="1">IFERROR(__xludf.DUMMYFUNCTION("""COMPUTED_VALUE"""),181.79)</f>
        <v>181.79</v>
      </c>
      <c r="C285" s="2">
        <f ca="1">IFERROR(__xludf.DUMMYFUNCTION("""COMPUTED_VALUE"""),182.43)</f>
        <v>182.43</v>
      </c>
      <c r="D285" s="2">
        <f ca="1">IFERROR(__xludf.DUMMYFUNCTION("""COMPUTED_VALUE"""),180)</f>
        <v>180</v>
      </c>
      <c r="E285" s="2">
        <f ca="1">IFERROR(__xludf.DUMMYFUNCTION("""COMPUTED_VALUE"""),181.56)</f>
        <v>181.56</v>
      </c>
      <c r="F285" s="2">
        <f ca="1">IFERROR(__xludf.DUMMYFUNCTION("""COMPUTED_VALUE"""),53665553)</f>
        <v>53665553</v>
      </c>
    </row>
    <row r="286" spans="1:6" ht="12.5" x14ac:dyDescent="0.25">
      <c r="A286" s="3">
        <f ca="1">IFERROR(__xludf.DUMMYFUNCTION("""COMPUTED_VALUE"""),45343.6666666666)</f>
        <v>45343.666666666599</v>
      </c>
      <c r="B286" s="2">
        <f ca="1">IFERROR(__xludf.DUMMYFUNCTION("""COMPUTED_VALUE"""),181.94)</f>
        <v>181.94</v>
      </c>
      <c r="C286" s="2">
        <f ca="1">IFERROR(__xludf.DUMMYFUNCTION("""COMPUTED_VALUE"""),182.89)</f>
        <v>182.89</v>
      </c>
      <c r="D286" s="2">
        <f ca="1">IFERROR(__xludf.DUMMYFUNCTION("""COMPUTED_VALUE"""),180.66)</f>
        <v>180.66</v>
      </c>
      <c r="E286" s="2">
        <f ca="1">IFERROR(__xludf.DUMMYFUNCTION("""COMPUTED_VALUE"""),182.32)</f>
        <v>182.32</v>
      </c>
      <c r="F286" s="2">
        <f ca="1">IFERROR(__xludf.DUMMYFUNCTION("""COMPUTED_VALUE"""),41529674)</f>
        <v>41529674</v>
      </c>
    </row>
    <row r="287" spans="1:6" ht="12.5" x14ac:dyDescent="0.25">
      <c r="A287" s="3">
        <f ca="1">IFERROR(__xludf.DUMMYFUNCTION("""COMPUTED_VALUE"""),45344.6666666666)</f>
        <v>45344.666666666599</v>
      </c>
      <c r="B287" s="2">
        <f ca="1">IFERROR(__xludf.DUMMYFUNCTION("""COMPUTED_VALUE"""),183.48)</f>
        <v>183.48</v>
      </c>
      <c r="C287" s="2">
        <f ca="1">IFERROR(__xludf.DUMMYFUNCTION("""COMPUTED_VALUE"""),184.96)</f>
        <v>184.96</v>
      </c>
      <c r="D287" s="2">
        <f ca="1">IFERROR(__xludf.DUMMYFUNCTION("""COMPUTED_VALUE"""),182.46)</f>
        <v>182.46</v>
      </c>
      <c r="E287" s="2">
        <f ca="1">IFERROR(__xludf.DUMMYFUNCTION("""COMPUTED_VALUE"""),184.37)</f>
        <v>184.37</v>
      </c>
      <c r="F287" s="2">
        <f ca="1">IFERROR(__xludf.DUMMYFUNCTION("""COMPUTED_VALUE"""),52292208)</f>
        <v>52292208</v>
      </c>
    </row>
    <row r="288" spans="1:6" ht="12.5" x14ac:dyDescent="0.25">
      <c r="A288" s="3">
        <f ca="1">IFERROR(__xludf.DUMMYFUNCTION("""COMPUTED_VALUE"""),45345.6666666666)</f>
        <v>45345.666666666599</v>
      </c>
      <c r="B288" s="2">
        <f ca="1">IFERROR(__xludf.DUMMYFUNCTION("""COMPUTED_VALUE"""),185.01)</f>
        <v>185.01</v>
      </c>
      <c r="C288" s="2">
        <f ca="1">IFERROR(__xludf.DUMMYFUNCTION("""COMPUTED_VALUE"""),185.04)</f>
        <v>185.04</v>
      </c>
      <c r="D288" s="2">
        <f ca="1">IFERROR(__xludf.DUMMYFUNCTION("""COMPUTED_VALUE"""),182.23)</f>
        <v>182.23</v>
      </c>
      <c r="E288" s="2">
        <f ca="1">IFERROR(__xludf.DUMMYFUNCTION("""COMPUTED_VALUE"""),182.52)</f>
        <v>182.52</v>
      </c>
      <c r="F288" s="2">
        <f ca="1">IFERROR(__xludf.DUMMYFUNCTION("""COMPUTED_VALUE"""),45119677)</f>
        <v>45119677</v>
      </c>
    </row>
    <row r="289" spans="1:6" ht="12.5" x14ac:dyDescent="0.25">
      <c r="A289" s="3">
        <f ca="1">IFERROR(__xludf.DUMMYFUNCTION("""COMPUTED_VALUE"""),45348.6666666666)</f>
        <v>45348.666666666599</v>
      </c>
      <c r="B289" s="2">
        <f ca="1">IFERROR(__xludf.DUMMYFUNCTION("""COMPUTED_VALUE"""),182.24)</f>
        <v>182.24</v>
      </c>
      <c r="C289" s="2">
        <f ca="1">IFERROR(__xludf.DUMMYFUNCTION("""COMPUTED_VALUE"""),182.76)</f>
        <v>182.76</v>
      </c>
      <c r="D289" s="2">
        <f ca="1">IFERROR(__xludf.DUMMYFUNCTION("""COMPUTED_VALUE"""),180.65)</f>
        <v>180.65</v>
      </c>
      <c r="E289" s="2">
        <f ca="1">IFERROR(__xludf.DUMMYFUNCTION("""COMPUTED_VALUE"""),181.16)</f>
        <v>181.16</v>
      </c>
      <c r="F289" s="2">
        <f ca="1">IFERROR(__xludf.DUMMYFUNCTION("""COMPUTED_VALUE"""),40867421)</f>
        <v>40867421</v>
      </c>
    </row>
    <row r="290" spans="1:6" ht="12.5" x14ac:dyDescent="0.25">
      <c r="A290" s="3">
        <f ca="1">IFERROR(__xludf.DUMMYFUNCTION("""COMPUTED_VALUE"""),45349.6666666666)</f>
        <v>45349.666666666599</v>
      </c>
      <c r="B290" s="2">
        <f ca="1">IFERROR(__xludf.DUMMYFUNCTION("""COMPUTED_VALUE"""),181.1)</f>
        <v>181.1</v>
      </c>
      <c r="C290" s="2">
        <f ca="1">IFERROR(__xludf.DUMMYFUNCTION("""COMPUTED_VALUE"""),183.92)</f>
        <v>183.92</v>
      </c>
      <c r="D290" s="2">
        <f ca="1">IFERROR(__xludf.DUMMYFUNCTION("""COMPUTED_VALUE"""),179.56)</f>
        <v>179.56</v>
      </c>
      <c r="E290" s="2">
        <f ca="1">IFERROR(__xludf.DUMMYFUNCTION("""COMPUTED_VALUE"""),182.63)</f>
        <v>182.63</v>
      </c>
      <c r="F290" s="2">
        <f ca="1">IFERROR(__xludf.DUMMYFUNCTION("""COMPUTED_VALUE"""),54318851)</f>
        <v>54318851</v>
      </c>
    </row>
    <row r="291" spans="1:6" ht="12.5" x14ac:dyDescent="0.25">
      <c r="A291" s="3">
        <f ca="1">IFERROR(__xludf.DUMMYFUNCTION("""COMPUTED_VALUE"""),45350.6666666666)</f>
        <v>45350.666666666599</v>
      </c>
      <c r="B291" s="2">
        <f ca="1">IFERROR(__xludf.DUMMYFUNCTION("""COMPUTED_VALUE"""),182.51)</f>
        <v>182.51</v>
      </c>
      <c r="C291" s="2">
        <f ca="1">IFERROR(__xludf.DUMMYFUNCTION("""COMPUTED_VALUE"""),183.12)</f>
        <v>183.12</v>
      </c>
      <c r="D291" s="2">
        <f ca="1">IFERROR(__xludf.DUMMYFUNCTION("""COMPUTED_VALUE"""),180.13)</f>
        <v>180.13</v>
      </c>
      <c r="E291" s="2">
        <f ca="1">IFERROR(__xludf.DUMMYFUNCTION("""COMPUTED_VALUE"""),181.42)</f>
        <v>181.42</v>
      </c>
      <c r="F291" s="2">
        <f ca="1">IFERROR(__xludf.DUMMYFUNCTION("""COMPUTED_VALUE"""),48953939)</f>
        <v>48953939</v>
      </c>
    </row>
    <row r="292" spans="1:6" ht="12.5" x14ac:dyDescent="0.25">
      <c r="A292" s="3">
        <f ca="1">IFERROR(__xludf.DUMMYFUNCTION("""COMPUTED_VALUE"""),45351.6666666666)</f>
        <v>45351.666666666599</v>
      </c>
      <c r="B292" s="2">
        <f ca="1">IFERROR(__xludf.DUMMYFUNCTION("""COMPUTED_VALUE"""),181.27)</f>
        <v>181.27</v>
      </c>
      <c r="C292" s="2">
        <f ca="1">IFERROR(__xludf.DUMMYFUNCTION("""COMPUTED_VALUE"""),182.57)</f>
        <v>182.57</v>
      </c>
      <c r="D292" s="2">
        <f ca="1">IFERROR(__xludf.DUMMYFUNCTION("""COMPUTED_VALUE"""),179.53)</f>
        <v>179.53</v>
      </c>
      <c r="E292" s="2">
        <f ca="1">IFERROR(__xludf.DUMMYFUNCTION("""COMPUTED_VALUE"""),180.75)</f>
        <v>180.75</v>
      </c>
      <c r="F292" s="2">
        <f ca="1">IFERROR(__xludf.DUMMYFUNCTION("""COMPUTED_VALUE"""),136682597)</f>
        <v>136682597</v>
      </c>
    </row>
    <row r="293" spans="1:6" ht="12.5" x14ac:dyDescent="0.25">
      <c r="A293" s="3">
        <f ca="1">IFERROR(__xludf.DUMMYFUNCTION("""COMPUTED_VALUE"""),45352.6666666666)</f>
        <v>45352.666666666599</v>
      </c>
      <c r="B293" s="2">
        <f ca="1">IFERROR(__xludf.DUMMYFUNCTION("""COMPUTED_VALUE"""),179.55)</f>
        <v>179.55</v>
      </c>
      <c r="C293" s="2">
        <f ca="1">IFERROR(__xludf.DUMMYFUNCTION("""COMPUTED_VALUE"""),180.53)</f>
        <v>180.53</v>
      </c>
      <c r="D293" s="2">
        <f ca="1">IFERROR(__xludf.DUMMYFUNCTION("""COMPUTED_VALUE"""),177.38)</f>
        <v>177.38</v>
      </c>
      <c r="E293" s="2">
        <f ca="1">IFERROR(__xludf.DUMMYFUNCTION("""COMPUTED_VALUE"""),179.66)</f>
        <v>179.66</v>
      </c>
      <c r="F293" s="2">
        <f ca="1">IFERROR(__xludf.DUMMYFUNCTION("""COMPUTED_VALUE"""),73563082)</f>
        <v>73563082</v>
      </c>
    </row>
    <row r="294" spans="1:6" ht="12.5" x14ac:dyDescent="0.25">
      <c r="A294" s="3">
        <f ca="1">IFERROR(__xludf.DUMMYFUNCTION("""COMPUTED_VALUE"""),45355.6666666666)</f>
        <v>45355.666666666599</v>
      </c>
      <c r="B294" s="2">
        <f ca="1">IFERROR(__xludf.DUMMYFUNCTION("""COMPUTED_VALUE"""),176.15)</f>
        <v>176.15</v>
      </c>
      <c r="C294" s="2">
        <f ca="1">IFERROR(__xludf.DUMMYFUNCTION("""COMPUTED_VALUE"""),176.9)</f>
        <v>176.9</v>
      </c>
      <c r="D294" s="2">
        <f ca="1">IFERROR(__xludf.DUMMYFUNCTION("""COMPUTED_VALUE"""),173.79)</f>
        <v>173.79</v>
      </c>
      <c r="E294" s="2">
        <f ca="1">IFERROR(__xludf.DUMMYFUNCTION("""COMPUTED_VALUE"""),175.1)</f>
        <v>175.1</v>
      </c>
      <c r="F294" s="2">
        <f ca="1">IFERROR(__xludf.DUMMYFUNCTION("""COMPUTED_VALUE"""),81510101)</f>
        <v>81510101</v>
      </c>
    </row>
    <row r="295" spans="1:6" ht="12.5" x14ac:dyDescent="0.25">
      <c r="A295" s="3">
        <f ca="1">IFERROR(__xludf.DUMMYFUNCTION("""COMPUTED_VALUE"""),45356.6666666666)</f>
        <v>45356.666666666599</v>
      </c>
      <c r="B295" s="2">
        <f ca="1">IFERROR(__xludf.DUMMYFUNCTION("""COMPUTED_VALUE"""),170.76)</f>
        <v>170.76</v>
      </c>
      <c r="C295" s="2">
        <f ca="1">IFERROR(__xludf.DUMMYFUNCTION("""COMPUTED_VALUE"""),172.04)</f>
        <v>172.04</v>
      </c>
      <c r="D295" s="2">
        <f ca="1">IFERROR(__xludf.DUMMYFUNCTION("""COMPUTED_VALUE"""),169.62)</f>
        <v>169.62</v>
      </c>
      <c r="E295" s="2">
        <f ca="1">IFERROR(__xludf.DUMMYFUNCTION("""COMPUTED_VALUE"""),170.12)</f>
        <v>170.12</v>
      </c>
      <c r="F295" s="2">
        <f ca="1">IFERROR(__xludf.DUMMYFUNCTION("""COMPUTED_VALUE"""),95132355)</f>
        <v>95132355</v>
      </c>
    </row>
    <row r="296" spans="1:6" ht="12.5" x14ac:dyDescent="0.25">
      <c r="A296" s="3">
        <f ca="1">IFERROR(__xludf.DUMMYFUNCTION("""COMPUTED_VALUE"""),45357.6666666666)</f>
        <v>45357.666666666599</v>
      </c>
      <c r="B296" s="2">
        <f ca="1">IFERROR(__xludf.DUMMYFUNCTION("""COMPUTED_VALUE"""),171.06)</f>
        <v>171.06</v>
      </c>
      <c r="C296" s="2">
        <f ca="1">IFERROR(__xludf.DUMMYFUNCTION("""COMPUTED_VALUE"""),171.24)</f>
        <v>171.24</v>
      </c>
      <c r="D296" s="2">
        <f ca="1">IFERROR(__xludf.DUMMYFUNCTION("""COMPUTED_VALUE"""),168.68)</f>
        <v>168.68</v>
      </c>
      <c r="E296" s="2">
        <f ca="1">IFERROR(__xludf.DUMMYFUNCTION("""COMPUTED_VALUE"""),169.12)</f>
        <v>169.12</v>
      </c>
      <c r="F296" s="2">
        <f ca="1">IFERROR(__xludf.DUMMYFUNCTION("""COMPUTED_VALUE"""),68587707)</f>
        <v>68587707</v>
      </c>
    </row>
    <row r="297" spans="1:6" ht="12.5" x14ac:dyDescent="0.25">
      <c r="A297" s="3">
        <f ca="1">IFERROR(__xludf.DUMMYFUNCTION("""COMPUTED_VALUE"""),45358.6666666666)</f>
        <v>45358.666666666599</v>
      </c>
      <c r="B297" s="2">
        <f ca="1">IFERROR(__xludf.DUMMYFUNCTION("""COMPUTED_VALUE"""),169.15)</f>
        <v>169.15</v>
      </c>
      <c r="C297" s="2">
        <f ca="1">IFERROR(__xludf.DUMMYFUNCTION("""COMPUTED_VALUE"""),170.73)</f>
        <v>170.73</v>
      </c>
      <c r="D297" s="2">
        <f ca="1">IFERROR(__xludf.DUMMYFUNCTION("""COMPUTED_VALUE"""),168.49)</f>
        <v>168.49</v>
      </c>
      <c r="E297" s="2">
        <f ca="1">IFERROR(__xludf.DUMMYFUNCTION("""COMPUTED_VALUE"""),169)</f>
        <v>169</v>
      </c>
      <c r="F297" s="2">
        <f ca="1">IFERROR(__xludf.DUMMYFUNCTION("""COMPUTED_VALUE"""),71765061)</f>
        <v>71765061</v>
      </c>
    </row>
    <row r="298" spans="1:6" ht="12.5" x14ac:dyDescent="0.25">
      <c r="A298" s="3">
        <f ca="1">IFERROR(__xludf.DUMMYFUNCTION("""COMPUTED_VALUE"""),45359.6666666666)</f>
        <v>45359.666666666599</v>
      </c>
      <c r="B298" s="2">
        <f ca="1">IFERROR(__xludf.DUMMYFUNCTION("""COMPUTED_VALUE"""),169)</f>
        <v>169</v>
      </c>
      <c r="C298" s="2">
        <f ca="1">IFERROR(__xludf.DUMMYFUNCTION("""COMPUTED_VALUE"""),173.7)</f>
        <v>173.7</v>
      </c>
      <c r="D298" s="2">
        <f ca="1">IFERROR(__xludf.DUMMYFUNCTION("""COMPUTED_VALUE"""),168.94)</f>
        <v>168.94</v>
      </c>
      <c r="E298" s="2">
        <f ca="1">IFERROR(__xludf.DUMMYFUNCTION("""COMPUTED_VALUE"""),170.73)</f>
        <v>170.73</v>
      </c>
      <c r="F298" s="2">
        <f ca="1">IFERROR(__xludf.DUMMYFUNCTION("""COMPUTED_VALUE"""),76267041)</f>
        <v>76267041</v>
      </c>
    </row>
    <row r="299" spans="1:6" ht="12.5" x14ac:dyDescent="0.25">
      <c r="A299" s="3">
        <f ca="1">IFERROR(__xludf.DUMMYFUNCTION("""COMPUTED_VALUE"""),45362.6666666666)</f>
        <v>45362.666666666599</v>
      </c>
      <c r="B299" s="2">
        <f ca="1">IFERROR(__xludf.DUMMYFUNCTION("""COMPUTED_VALUE"""),172.94)</f>
        <v>172.94</v>
      </c>
      <c r="C299" s="2">
        <f ca="1">IFERROR(__xludf.DUMMYFUNCTION("""COMPUTED_VALUE"""),174.38)</f>
        <v>174.38</v>
      </c>
      <c r="D299" s="2">
        <f ca="1">IFERROR(__xludf.DUMMYFUNCTION("""COMPUTED_VALUE"""),172.05)</f>
        <v>172.05</v>
      </c>
      <c r="E299" s="2">
        <f ca="1">IFERROR(__xludf.DUMMYFUNCTION("""COMPUTED_VALUE"""),172.75)</f>
        <v>172.75</v>
      </c>
      <c r="F299" s="2">
        <f ca="1">IFERROR(__xludf.DUMMYFUNCTION("""COMPUTED_VALUE"""),60139473)</f>
        <v>60139473</v>
      </c>
    </row>
    <row r="300" spans="1:6" ht="12.5" x14ac:dyDescent="0.25">
      <c r="A300" s="3">
        <f ca="1">IFERROR(__xludf.DUMMYFUNCTION("""COMPUTED_VALUE"""),45363.6666666666)</f>
        <v>45363.666666666599</v>
      </c>
      <c r="B300" s="2">
        <f ca="1">IFERROR(__xludf.DUMMYFUNCTION("""COMPUTED_VALUE"""),173.15)</f>
        <v>173.15</v>
      </c>
      <c r="C300" s="2">
        <f ca="1">IFERROR(__xludf.DUMMYFUNCTION("""COMPUTED_VALUE"""),174.03)</f>
        <v>174.03</v>
      </c>
      <c r="D300" s="2">
        <f ca="1">IFERROR(__xludf.DUMMYFUNCTION("""COMPUTED_VALUE"""),171.01)</f>
        <v>171.01</v>
      </c>
      <c r="E300" s="2">
        <f ca="1">IFERROR(__xludf.DUMMYFUNCTION("""COMPUTED_VALUE"""),173.23)</f>
        <v>173.23</v>
      </c>
      <c r="F300" s="2">
        <f ca="1">IFERROR(__xludf.DUMMYFUNCTION("""COMPUTED_VALUE"""),59825372)</f>
        <v>59825372</v>
      </c>
    </row>
    <row r="301" spans="1:6" ht="12.5" x14ac:dyDescent="0.25">
      <c r="A301" s="3">
        <f ca="1">IFERROR(__xludf.DUMMYFUNCTION("""COMPUTED_VALUE"""),45364.6666666666)</f>
        <v>45364.666666666599</v>
      </c>
      <c r="B301" s="2">
        <f ca="1">IFERROR(__xludf.DUMMYFUNCTION("""COMPUTED_VALUE"""),172.77)</f>
        <v>172.77</v>
      </c>
      <c r="C301" s="2">
        <f ca="1">IFERROR(__xludf.DUMMYFUNCTION("""COMPUTED_VALUE"""),173.19)</f>
        <v>173.19</v>
      </c>
      <c r="D301" s="2">
        <f ca="1">IFERROR(__xludf.DUMMYFUNCTION("""COMPUTED_VALUE"""),170.76)</f>
        <v>170.76</v>
      </c>
      <c r="E301" s="2">
        <f ca="1">IFERROR(__xludf.DUMMYFUNCTION("""COMPUTED_VALUE"""),171.13)</f>
        <v>171.13</v>
      </c>
      <c r="F301" s="2">
        <f ca="1">IFERROR(__xludf.DUMMYFUNCTION("""COMPUTED_VALUE"""),52488692)</f>
        <v>52488692</v>
      </c>
    </row>
    <row r="302" spans="1:6" ht="12.5" x14ac:dyDescent="0.25">
      <c r="A302" s="3">
        <f ca="1">IFERROR(__xludf.DUMMYFUNCTION("""COMPUTED_VALUE"""),45365.6666666666)</f>
        <v>45365.666666666599</v>
      </c>
      <c r="B302" s="2">
        <f ca="1">IFERROR(__xludf.DUMMYFUNCTION("""COMPUTED_VALUE"""),172.91)</f>
        <v>172.91</v>
      </c>
      <c r="C302" s="2">
        <f ca="1">IFERROR(__xludf.DUMMYFUNCTION("""COMPUTED_VALUE"""),174.31)</f>
        <v>174.31</v>
      </c>
      <c r="D302" s="2">
        <f ca="1">IFERROR(__xludf.DUMMYFUNCTION("""COMPUTED_VALUE"""),172.05)</f>
        <v>172.05</v>
      </c>
      <c r="E302" s="2">
        <f ca="1">IFERROR(__xludf.DUMMYFUNCTION("""COMPUTED_VALUE"""),173)</f>
        <v>173</v>
      </c>
      <c r="F302" s="2">
        <f ca="1">IFERROR(__xludf.DUMMYFUNCTION("""COMPUTED_VALUE"""),72913507)</f>
        <v>72913507</v>
      </c>
    </row>
    <row r="303" spans="1:6" ht="12.5" x14ac:dyDescent="0.25">
      <c r="A303" s="3">
        <f ca="1">IFERROR(__xludf.DUMMYFUNCTION("""COMPUTED_VALUE"""),45366.6666666666)</f>
        <v>45366.666666666599</v>
      </c>
      <c r="B303" s="2">
        <f ca="1">IFERROR(__xludf.DUMMYFUNCTION("""COMPUTED_VALUE"""),171.17)</f>
        <v>171.17</v>
      </c>
      <c r="C303" s="2">
        <f ca="1">IFERROR(__xludf.DUMMYFUNCTION("""COMPUTED_VALUE"""),172.62)</f>
        <v>172.62</v>
      </c>
      <c r="D303" s="2">
        <f ca="1">IFERROR(__xludf.DUMMYFUNCTION("""COMPUTED_VALUE"""),170.29)</f>
        <v>170.29</v>
      </c>
      <c r="E303" s="2">
        <f ca="1">IFERROR(__xludf.DUMMYFUNCTION("""COMPUTED_VALUE"""),172.62)</f>
        <v>172.62</v>
      </c>
      <c r="F303" s="2">
        <f ca="1">IFERROR(__xludf.DUMMYFUNCTION("""COMPUTED_VALUE"""),121752699)</f>
        <v>121752699</v>
      </c>
    </row>
    <row r="304" spans="1:6" ht="12.5" x14ac:dyDescent="0.25">
      <c r="A304" s="3">
        <f ca="1">IFERROR(__xludf.DUMMYFUNCTION("""COMPUTED_VALUE"""),45369.6666666666)</f>
        <v>45369.666666666599</v>
      </c>
      <c r="B304" s="2">
        <f ca="1">IFERROR(__xludf.DUMMYFUNCTION("""COMPUTED_VALUE"""),175.57)</f>
        <v>175.57</v>
      </c>
      <c r="C304" s="2">
        <f ca="1">IFERROR(__xludf.DUMMYFUNCTION("""COMPUTED_VALUE"""),177.71)</f>
        <v>177.71</v>
      </c>
      <c r="D304" s="2">
        <f ca="1">IFERROR(__xludf.DUMMYFUNCTION("""COMPUTED_VALUE"""),173.52)</f>
        <v>173.52</v>
      </c>
      <c r="E304" s="2">
        <f ca="1">IFERROR(__xludf.DUMMYFUNCTION("""COMPUTED_VALUE"""),173.72)</f>
        <v>173.72</v>
      </c>
      <c r="F304" s="2">
        <f ca="1">IFERROR(__xludf.DUMMYFUNCTION("""COMPUTED_VALUE"""),75604184)</f>
        <v>75604184</v>
      </c>
    </row>
    <row r="305" spans="1:6" ht="12.5" x14ac:dyDescent="0.25">
      <c r="A305" s="3">
        <f ca="1">IFERROR(__xludf.DUMMYFUNCTION("""COMPUTED_VALUE"""),45370.6666666666)</f>
        <v>45370.666666666599</v>
      </c>
      <c r="B305" s="2">
        <f ca="1">IFERROR(__xludf.DUMMYFUNCTION("""COMPUTED_VALUE"""),174.34)</f>
        <v>174.34</v>
      </c>
      <c r="C305" s="2">
        <f ca="1">IFERROR(__xludf.DUMMYFUNCTION("""COMPUTED_VALUE"""),176.61)</f>
        <v>176.61</v>
      </c>
      <c r="D305" s="2">
        <f ca="1">IFERROR(__xludf.DUMMYFUNCTION("""COMPUTED_VALUE"""),173.03)</f>
        <v>173.03</v>
      </c>
      <c r="E305" s="2">
        <f ca="1">IFERROR(__xludf.DUMMYFUNCTION("""COMPUTED_VALUE"""),176.08)</f>
        <v>176.08</v>
      </c>
      <c r="F305" s="2">
        <f ca="1">IFERROR(__xludf.DUMMYFUNCTION("""COMPUTED_VALUE"""),55215244)</f>
        <v>55215244</v>
      </c>
    </row>
    <row r="306" spans="1:6" ht="12.5" x14ac:dyDescent="0.25">
      <c r="A306" s="3">
        <f ca="1">IFERROR(__xludf.DUMMYFUNCTION("""COMPUTED_VALUE"""),45371.6666666666)</f>
        <v>45371.666666666599</v>
      </c>
      <c r="B306" s="2">
        <f ca="1">IFERROR(__xludf.DUMMYFUNCTION("""COMPUTED_VALUE"""),175.72)</f>
        <v>175.72</v>
      </c>
      <c r="C306" s="2">
        <f ca="1">IFERROR(__xludf.DUMMYFUNCTION("""COMPUTED_VALUE"""),178.67)</f>
        <v>178.67</v>
      </c>
      <c r="D306" s="2">
        <f ca="1">IFERROR(__xludf.DUMMYFUNCTION("""COMPUTED_VALUE"""),175.09)</f>
        <v>175.09</v>
      </c>
      <c r="E306" s="2">
        <f ca="1">IFERROR(__xludf.DUMMYFUNCTION("""COMPUTED_VALUE"""),178.67)</f>
        <v>178.67</v>
      </c>
      <c r="F306" s="2">
        <f ca="1">IFERROR(__xludf.DUMMYFUNCTION("""COMPUTED_VALUE"""),53423102)</f>
        <v>53423102</v>
      </c>
    </row>
    <row r="307" spans="1:6" ht="12.5" x14ac:dyDescent="0.25">
      <c r="A307" s="3">
        <f ca="1">IFERROR(__xludf.DUMMYFUNCTION("""COMPUTED_VALUE"""),45372.6666666666)</f>
        <v>45372.666666666599</v>
      </c>
      <c r="B307" s="2">
        <f ca="1">IFERROR(__xludf.DUMMYFUNCTION("""COMPUTED_VALUE"""),177.05)</f>
        <v>177.05</v>
      </c>
      <c r="C307" s="2">
        <f ca="1">IFERROR(__xludf.DUMMYFUNCTION("""COMPUTED_VALUE"""),177.49)</f>
        <v>177.49</v>
      </c>
      <c r="D307" s="2">
        <f ca="1">IFERROR(__xludf.DUMMYFUNCTION("""COMPUTED_VALUE"""),170.84)</f>
        <v>170.84</v>
      </c>
      <c r="E307" s="2">
        <f ca="1">IFERROR(__xludf.DUMMYFUNCTION("""COMPUTED_VALUE"""),171.37)</f>
        <v>171.37</v>
      </c>
      <c r="F307" s="2">
        <f ca="1">IFERROR(__xludf.DUMMYFUNCTION("""COMPUTED_VALUE"""),106181270)</f>
        <v>106181270</v>
      </c>
    </row>
    <row r="308" spans="1:6" ht="12.5" x14ac:dyDescent="0.25">
      <c r="A308" s="3">
        <f ca="1">IFERROR(__xludf.DUMMYFUNCTION("""COMPUTED_VALUE"""),45373.6666666666)</f>
        <v>45373.666666666599</v>
      </c>
      <c r="B308" s="2">
        <f ca="1">IFERROR(__xludf.DUMMYFUNCTION("""COMPUTED_VALUE"""),171.76)</f>
        <v>171.76</v>
      </c>
      <c r="C308" s="2">
        <f ca="1">IFERROR(__xludf.DUMMYFUNCTION("""COMPUTED_VALUE"""),173.05)</f>
        <v>173.05</v>
      </c>
      <c r="D308" s="2">
        <f ca="1">IFERROR(__xludf.DUMMYFUNCTION("""COMPUTED_VALUE"""),170.06)</f>
        <v>170.06</v>
      </c>
      <c r="E308" s="2">
        <f ca="1">IFERROR(__xludf.DUMMYFUNCTION("""COMPUTED_VALUE"""),172.28)</f>
        <v>172.28</v>
      </c>
      <c r="F308" s="2">
        <f ca="1">IFERROR(__xludf.DUMMYFUNCTION("""COMPUTED_VALUE"""),71160138)</f>
        <v>71160138</v>
      </c>
    </row>
    <row r="309" spans="1:6" ht="12.5" x14ac:dyDescent="0.25">
      <c r="A309" s="3">
        <f ca="1">IFERROR(__xludf.DUMMYFUNCTION("""COMPUTED_VALUE"""),45376.6666666666)</f>
        <v>45376.666666666599</v>
      </c>
      <c r="B309" s="2">
        <f ca="1">IFERROR(__xludf.DUMMYFUNCTION("""COMPUTED_VALUE"""),170.57)</f>
        <v>170.57</v>
      </c>
      <c r="C309" s="2">
        <f ca="1">IFERROR(__xludf.DUMMYFUNCTION("""COMPUTED_VALUE"""),171.94)</f>
        <v>171.94</v>
      </c>
      <c r="D309" s="2">
        <f ca="1">IFERROR(__xludf.DUMMYFUNCTION("""COMPUTED_VALUE"""),169.45)</f>
        <v>169.45</v>
      </c>
      <c r="E309" s="2">
        <f ca="1">IFERROR(__xludf.DUMMYFUNCTION("""COMPUTED_VALUE"""),170.85)</f>
        <v>170.85</v>
      </c>
      <c r="F309" s="2">
        <f ca="1">IFERROR(__xludf.DUMMYFUNCTION("""COMPUTED_VALUE"""),54288328)</f>
        <v>54288328</v>
      </c>
    </row>
    <row r="310" spans="1:6" ht="12.5" x14ac:dyDescent="0.25">
      <c r="A310" s="3">
        <f ca="1">IFERROR(__xludf.DUMMYFUNCTION("""COMPUTED_VALUE"""),45377.6666666666)</f>
        <v>45377.666666666599</v>
      </c>
      <c r="B310" s="2">
        <f ca="1">IFERROR(__xludf.DUMMYFUNCTION("""COMPUTED_VALUE"""),170)</f>
        <v>170</v>
      </c>
      <c r="C310" s="2">
        <f ca="1">IFERROR(__xludf.DUMMYFUNCTION("""COMPUTED_VALUE"""),171.42)</f>
        <v>171.42</v>
      </c>
      <c r="D310" s="2">
        <f ca="1">IFERROR(__xludf.DUMMYFUNCTION("""COMPUTED_VALUE"""),169.58)</f>
        <v>169.58</v>
      </c>
      <c r="E310" s="2">
        <f ca="1">IFERROR(__xludf.DUMMYFUNCTION("""COMPUTED_VALUE"""),169.71)</f>
        <v>169.71</v>
      </c>
      <c r="F310" s="2">
        <f ca="1">IFERROR(__xludf.DUMMYFUNCTION("""COMPUTED_VALUE"""),57388449)</f>
        <v>57388449</v>
      </c>
    </row>
    <row r="311" spans="1:6" ht="12.5" x14ac:dyDescent="0.25">
      <c r="A311" s="3">
        <f ca="1">IFERROR(__xludf.DUMMYFUNCTION("""COMPUTED_VALUE"""),45378.6666666666)</f>
        <v>45378.666666666599</v>
      </c>
      <c r="B311" s="2">
        <f ca="1">IFERROR(__xludf.DUMMYFUNCTION("""COMPUTED_VALUE"""),170.41)</f>
        <v>170.41</v>
      </c>
      <c r="C311" s="2">
        <f ca="1">IFERROR(__xludf.DUMMYFUNCTION("""COMPUTED_VALUE"""),173.6)</f>
        <v>173.6</v>
      </c>
      <c r="D311" s="2">
        <f ca="1">IFERROR(__xludf.DUMMYFUNCTION("""COMPUTED_VALUE"""),170.11)</f>
        <v>170.11</v>
      </c>
      <c r="E311" s="2">
        <f ca="1">IFERROR(__xludf.DUMMYFUNCTION("""COMPUTED_VALUE"""),173.31)</f>
        <v>173.31</v>
      </c>
      <c r="F311" s="2">
        <f ca="1">IFERROR(__xludf.DUMMYFUNCTION("""COMPUTED_VALUE"""),60273265)</f>
        <v>60273265</v>
      </c>
    </row>
    <row r="312" spans="1:6" ht="12.5" x14ac:dyDescent="0.25">
      <c r="A312" s="3">
        <f ca="1">IFERROR(__xludf.DUMMYFUNCTION("""COMPUTED_VALUE"""),45379.6666666666)</f>
        <v>45379.666666666599</v>
      </c>
      <c r="B312" s="2">
        <f ca="1">IFERROR(__xludf.DUMMYFUNCTION("""COMPUTED_VALUE"""),171.75)</f>
        <v>171.75</v>
      </c>
      <c r="C312" s="2">
        <f ca="1">IFERROR(__xludf.DUMMYFUNCTION("""COMPUTED_VALUE"""),172.23)</f>
        <v>172.23</v>
      </c>
      <c r="D312" s="2">
        <f ca="1">IFERROR(__xludf.DUMMYFUNCTION("""COMPUTED_VALUE"""),170.51)</f>
        <v>170.51</v>
      </c>
      <c r="E312" s="2">
        <f ca="1">IFERROR(__xludf.DUMMYFUNCTION("""COMPUTED_VALUE"""),171.48)</f>
        <v>171.48</v>
      </c>
      <c r="F312" s="2">
        <f ca="1">IFERROR(__xludf.DUMMYFUNCTION("""COMPUTED_VALUE"""),65672690)</f>
        <v>65672690</v>
      </c>
    </row>
    <row r="313" spans="1:6" ht="12.5" x14ac:dyDescent="0.25">
      <c r="A313" s="3">
        <f ca="1">IFERROR(__xludf.DUMMYFUNCTION("""COMPUTED_VALUE"""),45383.6666666666)</f>
        <v>45383.666666666599</v>
      </c>
      <c r="B313" s="2">
        <f ca="1">IFERROR(__xludf.DUMMYFUNCTION("""COMPUTED_VALUE"""),171.19)</f>
        <v>171.19</v>
      </c>
      <c r="C313" s="2">
        <f ca="1">IFERROR(__xludf.DUMMYFUNCTION("""COMPUTED_VALUE"""),171.25)</f>
        <v>171.25</v>
      </c>
      <c r="D313" s="2">
        <f ca="1">IFERROR(__xludf.DUMMYFUNCTION("""COMPUTED_VALUE"""),169.48)</f>
        <v>169.48</v>
      </c>
      <c r="E313" s="2">
        <f ca="1">IFERROR(__xludf.DUMMYFUNCTION("""COMPUTED_VALUE"""),170.03)</f>
        <v>170.03</v>
      </c>
      <c r="F313" s="2">
        <f ca="1">IFERROR(__xludf.DUMMYFUNCTION("""COMPUTED_VALUE"""),46240500)</f>
        <v>46240500</v>
      </c>
    </row>
    <row r="314" spans="1:6" ht="12.5" x14ac:dyDescent="0.25">
      <c r="A314" s="3">
        <f ca="1">IFERROR(__xludf.DUMMYFUNCTION("""COMPUTED_VALUE"""),45384.6666666666)</f>
        <v>45384.666666666599</v>
      </c>
      <c r="B314" s="2">
        <f ca="1">IFERROR(__xludf.DUMMYFUNCTION("""COMPUTED_VALUE"""),169.08)</f>
        <v>169.08</v>
      </c>
      <c r="C314" s="2">
        <f ca="1">IFERROR(__xludf.DUMMYFUNCTION("""COMPUTED_VALUE"""),169.34)</f>
        <v>169.34</v>
      </c>
      <c r="D314" s="2">
        <f ca="1">IFERROR(__xludf.DUMMYFUNCTION("""COMPUTED_VALUE"""),168.23)</f>
        <v>168.23</v>
      </c>
      <c r="E314" s="2">
        <f ca="1">IFERROR(__xludf.DUMMYFUNCTION("""COMPUTED_VALUE"""),168.84)</f>
        <v>168.84</v>
      </c>
      <c r="F314" s="2">
        <f ca="1">IFERROR(__xludf.DUMMYFUNCTION("""COMPUTED_VALUE"""),49329481)</f>
        <v>49329481</v>
      </c>
    </row>
    <row r="315" spans="1:6" ht="12.5" x14ac:dyDescent="0.25">
      <c r="A315" s="3">
        <f ca="1">IFERROR(__xludf.DUMMYFUNCTION("""COMPUTED_VALUE"""),45385.6666666666)</f>
        <v>45385.666666666599</v>
      </c>
      <c r="B315" s="2">
        <f ca="1">IFERROR(__xludf.DUMMYFUNCTION("""COMPUTED_VALUE"""),168.79)</f>
        <v>168.79</v>
      </c>
      <c r="C315" s="2">
        <f ca="1">IFERROR(__xludf.DUMMYFUNCTION("""COMPUTED_VALUE"""),170.68)</f>
        <v>170.68</v>
      </c>
      <c r="D315" s="2">
        <f ca="1">IFERROR(__xludf.DUMMYFUNCTION("""COMPUTED_VALUE"""),168.58)</f>
        <v>168.58</v>
      </c>
      <c r="E315" s="2">
        <f ca="1">IFERROR(__xludf.DUMMYFUNCTION("""COMPUTED_VALUE"""),169.65)</f>
        <v>169.65</v>
      </c>
      <c r="F315" s="2">
        <f ca="1">IFERROR(__xludf.DUMMYFUNCTION("""COMPUTED_VALUE"""),47691715)</f>
        <v>47691715</v>
      </c>
    </row>
    <row r="316" spans="1:6" ht="12.5" x14ac:dyDescent="0.25">
      <c r="A316" s="3">
        <f ca="1">IFERROR(__xludf.DUMMYFUNCTION("""COMPUTED_VALUE"""),45386.6666666666)</f>
        <v>45386.666666666599</v>
      </c>
      <c r="B316" s="2">
        <f ca="1">IFERROR(__xludf.DUMMYFUNCTION("""COMPUTED_VALUE"""),170.29)</f>
        <v>170.29</v>
      </c>
      <c r="C316" s="2">
        <f ca="1">IFERROR(__xludf.DUMMYFUNCTION("""COMPUTED_VALUE"""),171.92)</f>
        <v>171.92</v>
      </c>
      <c r="D316" s="2">
        <f ca="1">IFERROR(__xludf.DUMMYFUNCTION("""COMPUTED_VALUE"""),168.82)</f>
        <v>168.82</v>
      </c>
      <c r="E316" s="2">
        <f ca="1">IFERROR(__xludf.DUMMYFUNCTION("""COMPUTED_VALUE"""),168.82)</f>
        <v>168.82</v>
      </c>
      <c r="F316" s="2">
        <f ca="1">IFERROR(__xludf.DUMMYFUNCTION("""COMPUTED_VALUE"""),53704386)</f>
        <v>53704386</v>
      </c>
    </row>
    <row r="317" spans="1:6" ht="12.5" x14ac:dyDescent="0.25">
      <c r="A317" s="3">
        <f ca="1">IFERROR(__xludf.DUMMYFUNCTION("""COMPUTED_VALUE"""),45387.6666666666)</f>
        <v>45387.666666666599</v>
      </c>
      <c r="B317" s="2">
        <f ca="1">IFERROR(__xludf.DUMMYFUNCTION("""COMPUTED_VALUE"""),169.59)</f>
        <v>169.59</v>
      </c>
      <c r="C317" s="2">
        <f ca="1">IFERROR(__xludf.DUMMYFUNCTION("""COMPUTED_VALUE"""),170.39)</f>
        <v>170.39</v>
      </c>
      <c r="D317" s="2">
        <f ca="1">IFERROR(__xludf.DUMMYFUNCTION("""COMPUTED_VALUE"""),168.95)</f>
        <v>168.95</v>
      </c>
      <c r="E317" s="2">
        <f ca="1">IFERROR(__xludf.DUMMYFUNCTION("""COMPUTED_VALUE"""),169.58)</f>
        <v>169.58</v>
      </c>
      <c r="F317" s="2">
        <f ca="1">IFERROR(__xludf.DUMMYFUNCTION("""COMPUTED_VALUE"""),42104826)</f>
        <v>42104826</v>
      </c>
    </row>
    <row r="318" spans="1:6" ht="12.5" x14ac:dyDescent="0.25">
      <c r="A318" s="3">
        <f ca="1">IFERROR(__xludf.DUMMYFUNCTION("""COMPUTED_VALUE"""),45390.6666666666)</f>
        <v>45390.666666666599</v>
      </c>
      <c r="B318" s="2">
        <f ca="1">IFERROR(__xludf.DUMMYFUNCTION("""COMPUTED_VALUE"""),169.03)</f>
        <v>169.03</v>
      </c>
      <c r="C318" s="2">
        <f ca="1">IFERROR(__xludf.DUMMYFUNCTION("""COMPUTED_VALUE"""),169.2)</f>
        <v>169.2</v>
      </c>
      <c r="D318" s="2">
        <f ca="1">IFERROR(__xludf.DUMMYFUNCTION("""COMPUTED_VALUE"""),168.24)</f>
        <v>168.24</v>
      </c>
      <c r="E318" s="2">
        <f ca="1">IFERROR(__xludf.DUMMYFUNCTION("""COMPUTED_VALUE"""),168.45)</f>
        <v>168.45</v>
      </c>
      <c r="F318" s="2">
        <f ca="1">IFERROR(__xludf.DUMMYFUNCTION("""COMPUTED_VALUE"""),37425513)</f>
        <v>37425513</v>
      </c>
    </row>
    <row r="319" spans="1:6" ht="12.5" x14ac:dyDescent="0.25">
      <c r="A319" s="3">
        <f ca="1">IFERROR(__xludf.DUMMYFUNCTION("""COMPUTED_VALUE"""),45391.6666666666)</f>
        <v>45391.666666666599</v>
      </c>
      <c r="B319" s="2">
        <f ca="1">IFERROR(__xludf.DUMMYFUNCTION("""COMPUTED_VALUE"""),168.7)</f>
        <v>168.7</v>
      </c>
      <c r="C319" s="2">
        <f ca="1">IFERROR(__xludf.DUMMYFUNCTION("""COMPUTED_VALUE"""),170.08)</f>
        <v>170.08</v>
      </c>
      <c r="D319" s="2">
        <f ca="1">IFERROR(__xludf.DUMMYFUNCTION("""COMPUTED_VALUE"""),168.35)</f>
        <v>168.35</v>
      </c>
      <c r="E319" s="2">
        <f ca="1">IFERROR(__xludf.DUMMYFUNCTION("""COMPUTED_VALUE"""),169.67)</f>
        <v>169.67</v>
      </c>
      <c r="F319" s="2">
        <f ca="1">IFERROR(__xludf.DUMMYFUNCTION("""COMPUTED_VALUE"""),42451209)</f>
        <v>42451209</v>
      </c>
    </row>
    <row r="320" spans="1:6" ht="12.5" x14ac:dyDescent="0.25">
      <c r="A320" s="3">
        <f ca="1">IFERROR(__xludf.DUMMYFUNCTION("""COMPUTED_VALUE"""),45392.6666666666)</f>
        <v>45392.666666666599</v>
      </c>
      <c r="B320" s="2">
        <f ca="1">IFERROR(__xludf.DUMMYFUNCTION("""COMPUTED_VALUE"""),168.8)</f>
        <v>168.8</v>
      </c>
      <c r="C320" s="2">
        <f ca="1">IFERROR(__xludf.DUMMYFUNCTION("""COMPUTED_VALUE"""),169.09)</f>
        <v>169.09</v>
      </c>
      <c r="D320" s="2">
        <f ca="1">IFERROR(__xludf.DUMMYFUNCTION("""COMPUTED_VALUE"""),167.11)</f>
        <v>167.11</v>
      </c>
      <c r="E320" s="2">
        <f ca="1">IFERROR(__xludf.DUMMYFUNCTION("""COMPUTED_VALUE"""),167.78)</f>
        <v>167.78</v>
      </c>
      <c r="F320" s="2">
        <f ca="1">IFERROR(__xludf.DUMMYFUNCTION("""COMPUTED_VALUE"""),49709336)</f>
        <v>49709336</v>
      </c>
    </row>
    <row r="321" spans="1:6" ht="12.5" x14ac:dyDescent="0.25">
      <c r="A321" s="3">
        <f ca="1">IFERROR(__xludf.DUMMYFUNCTION("""COMPUTED_VALUE"""),45393.6666666666)</f>
        <v>45393.666666666599</v>
      </c>
      <c r="B321" s="2">
        <f ca="1">IFERROR(__xludf.DUMMYFUNCTION("""COMPUTED_VALUE"""),168.34)</f>
        <v>168.34</v>
      </c>
      <c r="C321" s="2">
        <f ca="1">IFERROR(__xludf.DUMMYFUNCTION("""COMPUTED_VALUE"""),175.46)</f>
        <v>175.46</v>
      </c>
      <c r="D321" s="2">
        <f ca="1">IFERROR(__xludf.DUMMYFUNCTION("""COMPUTED_VALUE"""),168.16)</f>
        <v>168.16</v>
      </c>
      <c r="E321" s="2">
        <f ca="1">IFERROR(__xludf.DUMMYFUNCTION("""COMPUTED_VALUE"""),175.04)</f>
        <v>175.04</v>
      </c>
      <c r="F321" s="2">
        <f ca="1">IFERROR(__xludf.DUMMYFUNCTION("""COMPUTED_VALUE"""),91070275)</f>
        <v>91070275</v>
      </c>
    </row>
    <row r="322" spans="1:6" ht="12.5" x14ac:dyDescent="0.25">
      <c r="A322" s="3">
        <f ca="1">IFERROR(__xludf.DUMMYFUNCTION("""COMPUTED_VALUE"""),45394.6666666666)</f>
        <v>45394.666666666599</v>
      </c>
      <c r="B322" s="2">
        <f ca="1">IFERROR(__xludf.DUMMYFUNCTION("""COMPUTED_VALUE"""),174.26)</f>
        <v>174.26</v>
      </c>
      <c r="C322" s="2">
        <f ca="1">IFERROR(__xludf.DUMMYFUNCTION("""COMPUTED_VALUE"""),178.36)</f>
        <v>178.36</v>
      </c>
      <c r="D322" s="2">
        <f ca="1">IFERROR(__xludf.DUMMYFUNCTION("""COMPUTED_VALUE"""),174.21)</f>
        <v>174.21</v>
      </c>
      <c r="E322" s="2">
        <f ca="1">IFERROR(__xludf.DUMMYFUNCTION("""COMPUTED_VALUE"""),176.55)</f>
        <v>176.55</v>
      </c>
      <c r="F322" s="2">
        <f ca="1">IFERROR(__xludf.DUMMYFUNCTION("""COMPUTED_VALUE"""),101670886)</f>
        <v>101670886</v>
      </c>
    </row>
    <row r="323" spans="1:6" ht="12.5" x14ac:dyDescent="0.25">
      <c r="A323" s="3">
        <f ca="1">IFERROR(__xludf.DUMMYFUNCTION("""COMPUTED_VALUE"""),45397.6666666666)</f>
        <v>45397.666666666599</v>
      </c>
      <c r="B323" s="2">
        <f ca="1">IFERROR(__xludf.DUMMYFUNCTION("""COMPUTED_VALUE"""),175.36)</f>
        <v>175.36</v>
      </c>
      <c r="C323" s="2">
        <f ca="1">IFERROR(__xludf.DUMMYFUNCTION("""COMPUTED_VALUE"""),176.63)</f>
        <v>176.63</v>
      </c>
      <c r="D323" s="2">
        <f ca="1">IFERROR(__xludf.DUMMYFUNCTION("""COMPUTED_VALUE"""),172.5)</f>
        <v>172.5</v>
      </c>
      <c r="E323" s="2">
        <f ca="1">IFERROR(__xludf.DUMMYFUNCTION("""COMPUTED_VALUE"""),172.69)</f>
        <v>172.69</v>
      </c>
      <c r="F323" s="2">
        <f ca="1">IFERROR(__xludf.DUMMYFUNCTION("""COMPUTED_VALUE"""),73531773)</f>
        <v>73531773</v>
      </c>
    </row>
    <row r="324" spans="1:6" ht="12.5" x14ac:dyDescent="0.25">
      <c r="A324" s="3">
        <f ca="1">IFERROR(__xludf.DUMMYFUNCTION("""COMPUTED_VALUE"""),45398.6666666666)</f>
        <v>45398.666666666599</v>
      </c>
      <c r="B324" s="2">
        <f ca="1">IFERROR(__xludf.DUMMYFUNCTION("""COMPUTED_VALUE"""),171.75)</f>
        <v>171.75</v>
      </c>
      <c r="C324" s="2">
        <f ca="1">IFERROR(__xludf.DUMMYFUNCTION("""COMPUTED_VALUE"""),173.76)</f>
        <v>173.76</v>
      </c>
      <c r="D324" s="2">
        <f ca="1">IFERROR(__xludf.DUMMYFUNCTION("""COMPUTED_VALUE"""),168.27)</f>
        <v>168.27</v>
      </c>
      <c r="E324" s="2">
        <f ca="1">IFERROR(__xludf.DUMMYFUNCTION("""COMPUTED_VALUE"""),169.38)</f>
        <v>169.38</v>
      </c>
      <c r="F324" s="2">
        <f ca="1">IFERROR(__xludf.DUMMYFUNCTION("""COMPUTED_VALUE"""),73711235)</f>
        <v>73711235</v>
      </c>
    </row>
    <row r="325" spans="1:6" ht="12.5" x14ac:dyDescent="0.25">
      <c r="A325" s="3">
        <f ca="1">IFERROR(__xludf.DUMMYFUNCTION("""COMPUTED_VALUE"""),45399.6666666666)</f>
        <v>45399.666666666599</v>
      </c>
      <c r="B325" s="2">
        <f ca="1">IFERROR(__xludf.DUMMYFUNCTION("""COMPUTED_VALUE"""),169.61)</f>
        <v>169.61</v>
      </c>
      <c r="C325" s="2">
        <f ca="1">IFERROR(__xludf.DUMMYFUNCTION("""COMPUTED_VALUE"""),170.65)</f>
        <v>170.65</v>
      </c>
      <c r="D325" s="2">
        <f ca="1">IFERROR(__xludf.DUMMYFUNCTION("""COMPUTED_VALUE"""),168)</f>
        <v>168</v>
      </c>
      <c r="E325" s="2">
        <f ca="1">IFERROR(__xludf.DUMMYFUNCTION("""COMPUTED_VALUE"""),168)</f>
        <v>168</v>
      </c>
      <c r="F325" s="2">
        <f ca="1">IFERROR(__xludf.DUMMYFUNCTION("""COMPUTED_VALUE"""),50901210)</f>
        <v>50901210</v>
      </c>
    </row>
    <row r="326" spans="1:6" ht="12.5" x14ac:dyDescent="0.25">
      <c r="A326" s="3">
        <f ca="1">IFERROR(__xludf.DUMMYFUNCTION("""COMPUTED_VALUE"""),45400.6666666666)</f>
        <v>45400.666666666599</v>
      </c>
      <c r="B326" s="2">
        <f ca="1">IFERROR(__xludf.DUMMYFUNCTION("""COMPUTED_VALUE"""),168.03)</f>
        <v>168.03</v>
      </c>
      <c r="C326" s="2">
        <f ca="1">IFERROR(__xludf.DUMMYFUNCTION("""COMPUTED_VALUE"""),168.64)</f>
        <v>168.64</v>
      </c>
      <c r="D326" s="2">
        <f ca="1">IFERROR(__xludf.DUMMYFUNCTION("""COMPUTED_VALUE"""),166.55)</f>
        <v>166.55</v>
      </c>
      <c r="E326" s="2">
        <f ca="1">IFERROR(__xludf.DUMMYFUNCTION("""COMPUTED_VALUE"""),167.04)</f>
        <v>167.04</v>
      </c>
      <c r="F326" s="2">
        <f ca="1">IFERROR(__xludf.DUMMYFUNCTION("""COMPUTED_VALUE"""),43122903)</f>
        <v>43122903</v>
      </c>
    </row>
    <row r="327" spans="1:6" ht="12.5" x14ac:dyDescent="0.25">
      <c r="A327" s="3">
        <f ca="1">IFERROR(__xludf.DUMMYFUNCTION("""COMPUTED_VALUE"""),45401.6666666666)</f>
        <v>45401.666666666599</v>
      </c>
      <c r="B327" s="2">
        <f ca="1">IFERROR(__xludf.DUMMYFUNCTION("""COMPUTED_VALUE"""),166.21)</f>
        <v>166.21</v>
      </c>
      <c r="C327" s="2">
        <f ca="1">IFERROR(__xludf.DUMMYFUNCTION("""COMPUTED_VALUE"""),166.4)</f>
        <v>166.4</v>
      </c>
      <c r="D327" s="2">
        <f ca="1">IFERROR(__xludf.DUMMYFUNCTION("""COMPUTED_VALUE"""),164.08)</f>
        <v>164.08</v>
      </c>
      <c r="E327" s="2">
        <f ca="1">IFERROR(__xludf.DUMMYFUNCTION("""COMPUTED_VALUE"""),165)</f>
        <v>165</v>
      </c>
      <c r="F327" s="2">
        <f ca="1">IFERROR(__xludf.DUMMYFUNCTION("""COMPUTED_VALUE"""),68149377)</f>
        <v>68149377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27"/>
  <sheetViews>
    <sheetView workbookViewId="0">
      <selection activeCell="F1" sqref="F1:F1048576"/>
    </sheetView>
  </sheetViews>
  <sheetFormatPr defaultColWidth="12.6328125" defaultRowHeight="15.75" customHeight="1" x14ac:dyDescent="0.25"/>
  <cols>
    <col min="1" max="1" width="17.7265625" bestFit="1" customWidth="1"/>
  </cols>
  <sheetData>
    <row r="1" spans="1:6" ht="15.75" customHeight="1" x14ac:dyDescent="0.25">
      <c r="A1" s="2" t="str">
        <f ca="1">IFERROR(__xludf.DUMMYFUNCTION("GOOGLEFINANCE(""AMZN"",""all"",DATE(2023,1,1), today())"),"Date")</f>
        <v>Date</v>
      </c>
      <c r="B1" s="2" t="str">
        <f ca="1">IFERROR(__xludf.DUMMYFUNCTION("""COMPUTED_VALUE"""),"Open")</f>
        <v>Open</v>
      </c>
      <c r="C1" s="2" t="str">
        <f ca="1">IFERROR(__xludf.DUMMYFUNCTION("""COMPUTED_VALUE"""),"High")</f>
        <v>High</v>
      </c>
      <c r="D1" s="2" t="str">
        <f ca="1">IFERROR(__xludf.DUMMYFUNCTION("""COMPUTED_VALUE"""),"Low")</f>
        <v>Low</v>
      </c>
      <c r="E1" s="2" t="str">
        <f ca="1">IFERROR(__xludf.DUMMYFUNCTION("""COMPUTED_VALUE"""),"Close")</f>
        <v>Close</v>
      </c>
      <c r="F1" s="2" t="str">
        <f ca="1">IFERROR(__xludf.DUMMYFUNCTION("""COMPUTED_VALUE"""),"Volume")</f>
        <v>Volume</v>
      </c>
    </row>
    <row r="2" spans="1:6" ht="15.75" customHeight="1" x14ac:dyDescent="0.25">
      <c r="A2" s="3">
        <f ca="1">IFERROR(__xludf.DUMMYFUNCTION("""COMPUTED_VALUE"""),44929.6666666666)</f>
        <v>44929.666666666599</v>
      </c>
      <c r="B2" s="2">
        <f ca="1">IFERROR(__xludf.DUMMYFUNCTION("""COMPUTED_VALUE"""),85.46)</f>
        <v>85.46</v>
      </c>
      <c r="C2" s="2">
        <f ca="1">IFERROR(__xludf.DUMMYFUNCTION("""COMPUTED_VALUE"""),86.96)</f>
        <v>86.96</v>
      </c>
      <c r="D2" s="2">
        <f ca="1">IFERROR(__xludf.DUMMYFUNCTION("""COMPUTED_VALUE"""),84.21)</f>
        <v>84.21</v>
      </c>
      <c r="E2" s="2">
        <f ca="1">IFERROR(__xludf.DUMMYFUNCTION("""COMPUTED_VALUE"""),85.82)</f>
        <v>85.82</v>
      </c>
      <c r="F2" s="2">
        <f ca="1">IFERROR(__xludf.DUMMYFUNCTION("""COMPUTED_VALUE"""),76706040)</f>
        <v>76706040</v>
      </c>
    </row>
    <row r="3" spans="1:6" ht="15.75" customHeight="1" x14ac:dyDescent="0.25">
      <c r="A3" s="3">
        <f ca="1">IFERROR(__xludf.DUMMYFUNCTION("""COMPUTED_VALUE"""),44930.6666666666)</f>
        <v>44930.666666666599</v>
      </c>
      <c r="B3" s="2">
        <f ca="1">IFERROR(__xludf.DUMMYFUNCTION("""COMPUTED_VALUE"""),86.55)</f>
        <v>86.55</v>
      </c>
      <c r="C3" s="2">
        <f ca="1">IFERROR(__xludf.DUMMYFUNCTION("""COMPUTED_VALUE"""),86.98)</f>
        <v>86.98</v>
      </c>
      <c r="D3" s="2">
        <f ca="1">IFERROR(__xludf.DUMMYFUNCTION("""COMPUTED_VALUE"""),83.36)</f>
        <v>83.36</v>
      </c>
      <c r="E3" s="2">
        <f ca="1">IFERROR(__xludf.DUMMYFUNCTION("""COMPUTED_VALUE"""),85.14)</f>
        <v>85.14</v>
      </c>
      <c r="F3" s="2">
        <f ca="1">IFERROR(__xludf.DUMMYFUNCTION("""COMPUTED_VALUE"""),68885123)</f>
        <v>68885123</v>
      </c>
    </row>
    <row r="4" spans="1:6" ht="15.75" customHeight="1" x14ac:dyDescent="0.25">
      <c r="A4" s="3">
        <f ca="1">IFERROR(__xludf.DUMMYFUNCTION("""COMPUTED_VALUE"""),44931.6666666666)</f>
        <v>44931.666666666599</v>
      </c>
      <c r="B4" s="2">
        <f ca="1">IFERROR(__xludf.DUMMYFUNCTION("""COMPUTED_VALUE"""),85.33)</f>
        <v>85.33</v>
      </c>
      <c r="C4" s="2">
        <f ca="1">IFERROR(__xludf.DUMMYFUNCTION("""COMPUTED_VALUE"""),85.42)</f>
        <v>85.42</v>
      </c>
      <c r="D4" s="2">
        <f ca="1">IFERROR(__xludf.DUMMYFUNCTION("""COMPUTED_VALUE"""),83.07)</f>
        <v>83.07</v>
      </c>
      <c r="E4" s="2">
        <f ca="1">IFERROR(__xludf.DUMMYFUNCTION("""COMPUTED_VALUE"""),83.12)</f>
        <v>83.12</v>
      </c>
      <c r="F4" s="2">
        <f ca="1">IFERROR(__xludf.DUMMYFUNCTION("""COMPUTED_VALUE"""),67930825)</f>
        <v>67930825</v>
      </c>
    </row>
    <row r="5" spans="1:6" ht="15.75" customHeight="1" x14ac:dyDescent="0.25">
      <c r="A5" s="3">
        <f ca="1">IFERROR(__xludf.DUMMYFUNCTION("""COMPUTED_VALUE"""),44932.6666666666)</f>
        <v>44932.666666666599</v>
      </c>
      <c r="B5" s="2">
        <f ca="1">IFERROR(__xludf.DUMMYFUNCTION("""COMPUTED_VALUE"""),83.03)</f>
        <v>83.03</v>
      </c>
      <c r="C5" s="2">
        <f ca="1">IFERROR(__xludf.DUMMYFUNCTION("""COMPUTED_VALUE"""),86.4)</f>
        <v>86.4</v>
      </c>
      <c r="D5" s="2">
        <f ca="1">IFERROR(__xludf.DUMMYFUNCTION("""COMPUTED_VALUE"""),81.43)</f>
        <v>81.430000000000007</v>
      </c>
      <c r="E5" s="2">
        <f ca="1">IFERROR(__xludf.DUMMYFUNCTION("""COMPUTED_VALUE"""),86.08)</f>
        <v>86.08</v>
      </c>
      <c r="F5" s="2">
        <f ca="1">IFERROR(__xludf.DUMMYFUNCTION("""COMPUTED_VALUE"""),83303361)</f>
        <v>83303361</v>
      </c>
    </row>
    <row r="6" spans="1:6" ht="15.75" customHeight="1" x14ac:dyDescent="0.25">
      <c r="A6" s="3">
        <f ca="1">IFERROR(__xludf.DUMMYFUNCTION("""COMPUTED_VALUE"""),44935.6666666666)</f>
        <v>44935.666666666599</v>
      </c>
      <c r="B6" s="2">
        <f ca="1">IFERROR(__xludf.DUMMYFUNCTION("""COMPUTED_VALUE"""),87.46)</f>
        <v>87.46</v>
      </c>
      <c r="C6" s="2">
        <f ca="1">IFERROR(__xludf.DUMMYFUNCTION("""COMPUTED_VALUE"""),89.48)</f>
        <v>89.48</v>
      </c>
      <c r="D6" s="2">
        <f ca="1">IFERROR(__xludf.DUMMYFUNCTION("""COMPUTED_VALUE"""),87.08)</f>
        <v>87.08</v>
      </c>
      <c r="E6" s="2">
        <f ca="1">IFERROR(__xludf.DUMMYFUNCTION("""COMPUTED_VALUE"""),87.36)</f>
        <v>87.36</v>
      </c>
      <c r="F6" s="2">
        <f ca="1">IFERROR(__xludf.DUMMYFUNCTION("""COMPUTED_VALUE"""),65266056)</f>
        <v>65266056</v>
      </c>
    </row>
    <row r="7" spans="1:6" ht="15.75" customHeight="1" x14ac:dyDescent="0.25">
      <c r="A7" s="3">
        <f ca="1">IFERROR(__xludf.DUMMYFUNCTION("""COMPUTED_VALUE"""),44936.6666666666)</f>
        <v>44936.666666666599</v>
      </c>
      <c r="B7" s="2">
        <f ca="1">IFERROR(__xludf.DUMMYFUNCTION("""COMPUTED_VALUE"""),87.57)</f>
        <v>87.57</v>
      </c>
      <c r="C7" s="2">
        <f ca="1">IFERROR(__xludf.DUMMYFUNCTION("""COMPUTED_VALUE"""),90.19)</f>
        <v>90.19</v>
      </c>
      <c r="D7" s="2">
        <f ca="1">IFERROR(__xludf.DUMMYFUNCTION("""COMPUTED_VALUE"""),87.29)</f>
        <v>87.29</v>
      </c>
      <c r="E7" s="2">
        <f ca="1">IFERROR(__xludf.DUMMYFUNCTION("""COMPUTED_VALUE"""),89.87)</f>
        <v>89.87</v>
      </c>
      <c r="F7" s="2">
        <f ca="1">IFERROR(__xludf.DUMMYFUNCTION("""COMPUTED_VALUE"""),67756601)</f>
        <v>67756601</v>
      </c>
    </row>
    <row r="8" spans="1:6" ht="15.75" customHeight="1" x14ac:dyDescent="0.25">
      <c r="A8" s="3">
        <f ca="1">IFERROR(__xludf.DUMMYFUNCTION("""COMPUTED_VALUE"""),44937.6666666666)</f>
        <v>44937.666666666599</v>
      </c>
      <c r="B8" s="2">
        <f ca="1">IFERROR(__xludf.DUMMYFUNCTION("""COMPUTED_VALUE"""),90.93)</f>
        <v>90.93</v>
      </c>
      <c r="C8" s="2">
        <f ca="1">IFERROR(__xludf.DUMMYFUNCTION("""COMPUTED_VALUE"""),95.26)</f>
        <v>95.26</v>
      </c>
      <c r="D8" s="2">
        <f ca="1">IFERROR(__xludf.DUMMYFUNCTION("""COMPUTED_VALUE"""),90.93)</f>
        <v>90.93</v>
      </c>
      <c r="E8" s="2">
        <f ca="1">IFERROR(__xludf.DUMMYFUNCTION("""COMPUTED_VALUE"""),95.09)</f>
        <v>95.09</v>
      </c>
      <c r="F8" s="2">
        <f ca="1">IFERROR(__xludf.DUMMYFUNCTION("""COMPUTED_VALUE"""),103126183)</f>
        <v>103126183</v>
      </c>
    </row>
    <row r="9" spans="1:6" ht="15.75" customHeight="1" x14ac:dyDescent="0.25">
      <c r="A9" s="3">
        <f ca="1">IFERROR(__xludf.DUMMYFUNCTION("""COMPUTED_VALUE"""),44938.6666666666)</f>
        <v>44938.666666666599</v>
      </c>
      <c r="B9" s="2">
        <f ca="1">IFERROR(__xludf.DUMMYFUNCTION("""COMPUTED_VALUE"""),96.93)</f>
        <v>96.93</v>
      </c>
      <c r="C9" s="2">
        <f ca="1">IFERROR(__xludf.DUMMYFUNCTION("""COMPUTED_VALUE"""),97.19)</f>
        <v>97.19</v>
      </c>
      <c r="D9" s="2">
        <f ca="1">IFERROR(__xludf.DUMMYFUNCTION("""COMPUTED_VALUE"""),93.5)</f>
        <v>93.5</v>
      </c>
      <c r="E9" s="2">
        <f ca="1">IFERROR(__xludf.DUMMYFUNCTION("""COMPUTED_VALUE"""),95.27)</f>
        <v>95.27</v>
      </c>
      <c r="F9" s="2">
        <f ca="1">IFERROR(__xludf.DUMMYFUNCTION("""COMPUTED_VALUE"""),85254781)</f>
        <v>85254781</v>
      </c>
    </row>
    <row r="10" spans="1:6" ht="15.75" customHeight="1" x14ac:dyDescent="0.25">
      <c r="A10" s="3">
        <f ca="1">IFERROR(__xludf.DUMMYFUNCTION("""COMPUTED_VALUE"""),44939.6666666666)</f>
        <v>44939.666666666599</v>
      </c>
      <c r="B10" s="2">
        <f ca="1">IFERROR(__xludf.DUMMYFUNCTION("""COMPUTED_VALUE"""),94.18)</f>
        <v>94.18</v>
      </c>
      <c r="C10" s="2">
        <f ca="1">IFERROR(__xludf.DUMMYFUNCTION("""COMPUTED_VALUE"""),98.37)</f>
        <v>98.37</v>
      </c>
      <c r="D10" s="2">
        <f ca="1">IFERROR(__xludf.DUMMYFUNCTION("""COMPUTED_VALUE"""),94.12)</f>
        <v>94.12</v>
      </c>
      <c r="E10" s="2">
        <f ca="1">IFERROR(__xludf.DUMMYFUNCTION("""COMPUTED_VALUE"""),98.12)</f>
        <v>98.12</v>
      </c>
      <c r="F10" s="2">
        <f ca="1">IFERROR(__xludf.DUMMYFUNCTION("""COMPUTED_VALUE"""),85549432)</f>
        <v>85549432</v>
      </c>
    </row>
    <row r="11" spans="1:6" ht="15.75" customHeight="1" x14ac:dyDescent="0.25">
      <c r="A11" s="3">
        <f ca="1">IFERROR(__xludf.DUMMYFUNCTION("""COMPUTED_VALUE"""),44943.6666666666)</f>
        <v>44943.666666666599</v>
      </c>
      <c r="B11" s="2">
        <f ca="1">IFERROR(__xludf.DUMMYFUNCTION("""COMPUTED_VALUE"""),98.68)</f>
        <v>98.68</v>
      </c>
      <c r="C11" s="2">
        <f ca="1">IFERROR(__xludf.DUMMYFUNCTION("""COMPUTED_VALUE"""),98.89)</f>
        <v>98.89</v>
      </c>
      <c r="D11" s="2">
        <f ca="1">IFERROR(__xludf.DUMMYFUNCTION("""COMPUTED_VALUE"""),95.73)</f>
        <v>95.73</v>
      </c>
      <c r="E11" s="2">
        <f ca="1">IFERROR(__xludf.DUMMYFUNCTION("""COMPUTED_VALUE"""),96.05)</f>
        <v>96.05</v>
      </c>
      <c r="F11" s="2">
        <f ca="1">IFERROR(__xludf.DUMMYFUNCTION("""COMPUTED_VALUE"""),72755001)</f>
        <v>72755001</v>
      </c>
    </row>
    <row r="12" spans="1:6" ht="15.75" customHeight="1" x14ac:dyDescent="0.25">
      <c r="A12" s="3">
        <f ca="1">IFERROR(__xludf.DUMMYFUNCTION("""COMPUTED_VALUE"""),44944.6666666666)</f>
        <v>44944.666666666599</v>
      </c>
      <c r="B12" s="2">
        <f ca="1">IFERROR(__xludf.DUMMYFUNCTION("""COMPUTED_VALUE"""),97.25)</f>
        <v>97.25</v>
      </c>
      <c r="C12" s="2">
        <f ca="1">IFERROR(__xludf.DUMMYFUNCTION("""COMPUTED_VALUE"""),99.32)</f>
        <v>99.32</v>
      </c>
      <c r="D12" s="2">
        <f ca="1">IFERROR(__xludf.DUMMYFUNCTION("""COMPUTED_VALUE"""),95.38)</f>
        <v>95.38</v>
      </c>
      <c r="E12" s="2">
        <f ca="1">IFERROR(__xludf.DUMMYFUNCTION("""COMPUTED_VALUE"""),95.46)</f>
        <v>95.46</v>
      </c>
      <c r="F12" s="2">
        <f ca="1">IFERROR(__xludf.DUMMYFUNCTION("""COMPUTED_VALUE"""),79570370)</f>
        <v>79570370</v>
      </c>
    </row>
    <row r="13" spans="1:6" ht="15.75" customHeight="1" x14ac:dyDescent="0.25">
      <c r="A13" s="3">
        <f ca="1">IFERROR(__xludf.DUMMYFUNCTION("""COMPUTED_VALUE"""),44945.6666666666)</f>
        <v>44945.666666666599</v>
      </c>
      <c r="B13" s="2">
        <f ca="1">IFERROR(__xludf.DUMMYFUNCTION("""COMPUTED_VALUE"""),94.74)</f>
        <v>94.74</v>
      </c>
      <c r="C13" s="2">
        <f ca="1">IFERROR(__xludf.DUMMYFUNCTION("""COMPUTED_VALUE"""),95.44)</f>
        <v>95.44</v>
      </c>
      <c r="D13" s="2">
        <f ca="1">IFERROR(__xludf.DUMMYFUNCTION("""COMPUTED_VALUE"""),92.86)</f>
        <v>92.86</v>
      </c>
      <c r="E13" s="2">
        <f ca="1">IFERROR(__xludf.DUMMYFUNCTION("""COMPUTED_VALUE"""),93.68)</f>
        <v>93.68</v>
      </c>
      <c r="F13" s="2">
        <f ca="1">IFERROR(__xludf.DUMMYFUNCTION("""COMPUTED_VALUE"""),69002663)</f>
        <v>69002663</v>
      </c>
    </row>
    <row r="14" spans="1:6" ht="15.75" customHeight="1" x14ac:dyDescent="0.25">
      <c r="A14" s="3">
        <f ca="1">IFERROR(__xludf.DUMMYFUNCTION("""COMPUTED_VALUE"""),44946.6666666666)</f>
        <v>44946.666666666599</v>
      </c>
      <c r="B14" s="2">
        <f ca="1">IFERROR(__xludf.DUMMYFUNCTION("""COMPUTED_VALUE"""),93.86)</f>
        <v>93.86</v>
      </c>
      <c r="C14" s="2">
        <f ca="1">IFERROR(__xludf.DUMMYFUNCTION("""COMPUTED_VALUE"""),97.35)</f>
        <v>97.35</v>
      </c>
      <c r="D14" s="2">
        <f ca="1">IFERROR(__xludf.DUMMYFUNCTION("""COMPUTED_VALUE"""),93.2)</f>
        <v>93.2</v>
      </c>
      <c r="E14" s="2">
        <f ca="1">IFERROR(__xludf.DUMMYFUNCTION("""COMPUTED_VALUE"""),97.25)</f>
        <v>97.25</v>
      </c>
      <c r="F14" s="2">
        <f ca="1">IFERROR(__xludf.DUMMYFUNCTION("""COMPUTED_VALUE"""),67481539)</f>
        <v>67481539</v>
      </c>
    </row>
    <row r="15" spans="1:6" ht="15.75" customHeight="1" x14ac:dyDescent="0.25">
      <c r="A15" s="3">
        <f ca="1">IFERROR(__xludf.DUMMYFUNCTION("""COMPUTED_VALUE"""),44949.6666666666)</f>
        <v>44949.666666666599</v>
      </c>
      <c r="B15" s="2">
        <f ca="1">IFERROR(__xludf.DUMMYFUNCTION("""COMPUTED_VALUE"""),97.56)</f>
        <v>97.56</v>
      </c>
      <c r="C15" s="2">
        <f ca="1">IFERROR(__xludf.DUMMYFUNCTION("""COMPUTED_VALUE"""),97.78)</f>
        <v>97.78</v>
      </c>
      <c r="D15" s="2">
        <f ca="1">IFERROR(__xludf.DUMMYFUNCTION("""COMPUTED_VALUE"""),95.86)</f>
        <v>95.86</v>
      </c>
      <c r="E15" s="2">
        <f ca="1">IFERROR(__xludf.DUMMYFUNCTION("""COMPUTED_VALUE"""),97.52)</f>
        <v>97.52</v>
      </c>
      <c r="F15" s="2">
        <f ca="1">IFERROR(__xludf.DUMMYFUNCTION("""COMPUTED_VALUE"""),76501103)</f>
        <v>76501103</v>
      </c>
    </row>
    <row r="16" spans="1:6" ht="15.75" customHeight="1" x14ac:dyDescent="0.25">
      <c r="A16" s="3">
        <f ca="1">IFERROR(__xludf.DUMMYFUNCTION("""COMPUTED_VALUE"""),44950.6666666666)</f>
        <v>44950.666666666599</v>
      </c>
      <c r="B16" s="2">
        <f ca="1">IFERROR(__xludf.DUMMYFUNCTION("""COMPUTED_VALUE"""),96.93)</f>
        <v>96.93</v>
      </c>
      <c r="C16" s="2">
        <f ca="1">IFERROR(__xludf.DUMMYFUNCTION("""COMPUTED_VALUE"""),98.09)</f>
        <v>98.09</v>
      </c>
      <c r="D16" s="2">
        <f ca="1">IFERROR(__xludf.DUMMYFUNCTION("""COMPUTED_VALUE"""),96)</f>
        <v>96</v>
      </c>
      <c r="E16" s="2">
        <f ca="1">IFERROR(__xludf.DUMMYFUNCTION("""COMPUTED_VALUE"""),96.32)</f>
        <v>96.32</v>
      </c>
      <c r="F16" s="2">
        <f ca="1">IFERROR(__xludf.DUMMYFUNCTION("""COMPUTED_VALUE"""),66929452)</f>
        <v>66929452</v>
      </c>
    </row>
    <row r="17" spans="1:6" ht="15.75" customHeight="1" x14ac:dyDescent="0.25">
      <c r="A17" s="3">
        <f ca="1">IFERROR(__xludf.DUMMYFUNCTION("""COMPUTED_VALUE"""),44951.6666666666)</f>
        <v>44951.666666666599</v>
      </c>
      <c r="B17" s="2">
        <f ca="1">IFERROR(__xludf.DUMMYFUNCTION("""COMPUTED_VALUE"""),92.56)</f>
        <v>92.56</v>
      </c>
      <c r="C17" s="2">
        <f ca="1">IFERROR(__xludf.DUMMYFUNCTION("""COMPUTED_VALUE"""),97.24)</f>
        <v>97.24</v>
      </c>
      <c r="D17" s="2">
        <f ca="1">IFERROR(__xludf.DUMMYFUNCTION("""COMPUTED_VALUE"""),91.52)</f>
        <v>91.52</v>
      </c>
      <c r="E17" s="2">
        <f ca="1">IFERROR(__xludf.DUMMYFUNCTION("""COMPUTED_VALUE"""),97.18)</f>
        <v>97.18</v>
      </c>
      <c r="F17" s="2">
        <f ca="1">IFERROR(__xludf.DUMMYFUNCTION("""COMPUTED_VALUE"""),94261570)</f>
        <v>94261570</v>
      </c>
    </row>
    <row r="18" spans="1:6" ht="15.75" customHeight="1" x14ac:dyDescent="0.25">
      <c r="A18" s="3">
        <f ca="1">IFERROR(__xludf.DUMMYFUNCTION("""COMPUTED_VALUE"""),44952.6666666666)</f>
        <v>44952.666666666599</v>
      </c>
      <c r="B18" s="2">
        <f ca="1">IFERROR(__xludf.DUMMYFUNCTION("""COMPUTED_VALUE"""),98.24)</f>
        <v>98.24</v>
      </c>
      <c r="C18" s="2">
        <f ca="1">IFERROR(__xludf.DUMMYFUNCTION("""COMPUTED_VALUE"""),99.49)</f>
        <v>99.49</v>
      </c>
      <c r="D18" s="2">
        <f ca="1">IFERROR(__xludf.DUMMYFUNCTION("""COMPUTED_VALUE"""),96.92)</f>
        <v>96.92</v>
      </c>
      <c r="E18" s="2">
        <f ca="1">IFERROR(__xludf.DUMMYFUNCTION("""COMPUTED_VALUE"""),99.22)</f>
        <v>99.22</v>
      </c>
      <c r="F18" s="2">
        <f ca="1">IFERROR(__xludf.DUMMYFUNCTION("""COMPUTED_VALUE"""),68523557)</f>
        <v>68523557</v>
      </c>
    </row>
    <row r="19" spans="1:6" ht="15.75" customHeight="1" x14ac:dyDescent="0.25">
      <c r="A19" s="3">
        <f ca="1">IFERROR(__xludf.DUMMYFUNCTION("""COMPUTED_VALUE"""),44953.6666666666)</f>
        <v>44953.666666666599</v>
      </c>
      <c r="B19" s="2">
        <f ca="1">IFERROR(__xludf.DUMMYFUNCTION("""COMPUTED_VALUE"""),99.53)</f>
        <v>99.53</v>
      </c>
      <c r="C19" s="2">
        <f ca="1">IFERROR(__xludf.DUMMYFUNCTION("""COMPUTED_VALUE"""),103.49)</f>
        <v>103.49</v>
      </c>
      <c r="D19" s="2">
        <f ca="1">IFERROR(__xludf.DUMMYFUNCTION("""COMPUTED_VALUE"""),99.53)</f>
        <v>99.53</v>
      </c>
      <c r="E19" s="2">
        <f ca="1">IFERROR(__xludf.DUMMYFUNCTION("""COMPUTED_VALUE"""),102.24)</f>
        <v>102.24</v>
      </c>
      <c r="F19" s="2">
        <f ca="1">IFERROR(__xludf.DUMMYFUNCTION("""COMPUTED_VALUE"""),87775614)</f>
        <v>87775614</v>
      </c>
    </row>
    <row r="20" spans="1:6" ht="15.75" customHeight="1" x14ac:dyDescent="0.25">
      <c r="A20" s="3">
        <f ca="1">IFERROR(__xludf.DUMMYFUNCTION("""COMPUTED_VALUE"""),44956.6666666666)</f>
        <v>44956.666666666599</v>
      </c>
      <c r="B20" s="2">
        <f ca="1">IFERROR(__xludf.DUMMYFUNCTION("""COMPUTED_VALUE"""),101.09)</f>
        <v>101.09</v>
      </c>
      <c r="C20" s="2">
        <f ca="1">IFERROR(__xludf.DUMMYFUNCTION("""COMPUTED_VALUE"""),101.74)</f>
        <v>101.74</v>
      </c>
      <c r="D20" s="2">
        <f ca="1">IFERROR(__xludf.DUMMYFUNCTION("""COMPUTED_VALUE"""),99.01)</f>
        <v>99.01</v>
      </c>
      <c r="E20" s="2">
        <f ca="1">IFERROR(__xludf.DUMMYFUNCTION("""COMPUTED_VALUE"""),100.55)</f>
        <v>100.55</v>
      </c>
      <c r="F20" s="2">
        <f ca="1">IFERROR(__xludf.DUMMYFUNCTION("""COMPUTED_VALUE"""),70691860)</f>
        <v>70691860</v>
      </c>
    </row>
    <row r="21" spans="1:6" ht="15.75" customHeight="1" x14ac:dyDescent="0.25">
      <c r="A21" s="3">
        <f ca="1">IFERROR(__xludf.DUMMYFUNCTION("""COMPUTED_VALUE"""),44957.6666666666)</f>
        <v>44957.666666666599</v>
      </c>
      <c r="B21" s="2">
        <f ca="1">IFERROR(__xludf.DUMMYFUNCTION("""COMPUTED_VALUE"""),101.16)</f>
        <v>101.16</v>
      </c>
      <c r="C21" s="2">
        <f ca="1">IFERROR(__xludf.DUMMYFUNCTION("""COMPUTED_VALUE"""),103.35)</f>
        <v>103.35</v>
      </c>
      <c r="D21" s="2">
        <f ca="1">IFERROR(__xludf.DUMMYFUNCTION("""COMPUTED_VALUE"""),101.14)</f>
        <v>101.14</v>
      </c>
      <c r="E21" s="2">
        <f ca="1">IFERROR(__xludf.DUMMYFUNCTION("""COMPUTED_VALUE"""),103.13)</f>
        <v>103.13</v>
      </c>
      <c r="F21" s="2">
        <f ca="1">IFERROR(__xludf.DUMMYFUNCTION("""COMPUTED_VALUE"""),66527253)</f>
        <v>66527253</v>
      </c>
    </row>
    <row r="22" spans="1:6" ht="15.75" customHeight="1" x14ac:dyDescent="0.25">
      <c r="A22" s="3">
        <f ca="1">IFERROR(__xludf.DUMMYFUNCTION("""COMPUTED_VALUE"""),44958.6666666666)</f>
        <v>44958.666666666599</v>
      </c>
      <c r="B22" s="2">
        <f ca="1">IFERROR(__xludf.DUMMYFUNCTION("""COMPUTED_VALUE"""),102.53)</f>
        <v>102.53</v>
      </c>
      <c r="C22" s="2">
        <f ca="1">IFERROR(__xludf.DUMMYFUNCTION("""COMPUTED_VALUE"""),106.24)</f>
        <v>106.24</v>
      </c>
      <c r="D22" s="2">
        <f ca="1">IFERROR(__xludf.DUMMYFUNCTION("""COMPUTED_VALUE"""),101.24)</f>
        <v>101.24</v>
      </c>
      <c r="E22" s="2">
        <f ca="1">IFERROR(__xludf.DUMMYFUNCTION("""COMPUTED_VALUE"""),105.15)</f>
        <v>105.15</v>
      </c>
      <c r="F22" s="2">
        <f ca="1">IFERROR(__xludf.DUMMYFUNCTION("""COMPUTED_VALUE"""),80450121)</f>
        <v>80450121</v>
      </c>
    </row>
    <row r="23" spans="1:6" ht="15.75" customHeight="1" x14ac:dyDescent="0.25">
      <c r="A23" s="3">
        <f ca="1">IFERROR(__xludf.DUMMYFUNCTION("""COMPUTED_VALUE"""),44959.6666666666)</f>
        <v>44959.666666666599</v>
      </c>
      <c r="B23" s="2">
        <f ca="1">IFERROR(__xludf.DUMMYFUNCTION("""COMPUTED_VALUE"""),110.25)</f>
        <v>110.25</v>
      </c>
      <c r="C23" s="2">
        <f ca="1">IFERROR(__xludf.DUMMYFUNCTION("""COMPUTED_VALUE"""),114)</f>
        <v>114</v>
      </c>
      <c r="D23" s="2">
        <f ca="1">IFERROR(__xludf.DUMMYFUNCTION("""COMPUTED_VALUE"""),108.88)</f>
        <v>108.88</v>
      </c>
      <c r="E23" s="2">
        <f ca="1">IFERROR(__xludf.DUMMYFUNCTION("""COMPUTED_VALUE"""),112.91)</f>
        <v>112.91</v>
      </c>
      <c r="F23" s="2">
        <f ca="1">IFERROR(__xludf.DUMMYFUNCTION("""COMPUTED_VALUE"""),158154243)</f>
        <v>158154243</v>
      </c>
    </row>
    <row r="24" spans="1:6" ht="15.75" customHeight="1" x14ac:dyDescent="0.25">
      <c r="A24" s="3">
        <f ca="1">IFERROR(__xludf.DUMMYFUNCTION("""COMPUTED_VALUE"""),44960.6666666666)</f>
        <v>44960.666666666599</v>
      </c>
      <c r="B24" s="2">
        <f ca="1">IFERROR(__xludf.DUMMYFUNCTION("""COMPUTED_VALUE"""),105.26)</f>
        <v>105.26</v>
      </c>
      <c r="C24" s="2">
        <f ca="1">IFERROR(__xludf.DUMMYFUNCTION("""COMPUTED_VALUE"""),108.78)</f>
        <v>108.78</v>
      </c>
      <c r="D24" s="2">
        <f ca="1">IFERROR(__xludf.DUMMYFUNCTION("""COMPUTED_VALUE"""),102.52)</f>
        <v>102.52</v>
      </c>
      <c r="E24" s="2">
        <f ca="1">IFERROR(__xludf.DUMMYFUNCTION("""COMPUTED_VALUE"""),103.39)</f>
        <v>103.39</v>
      </c>
      <c r="F24" s="2">
        <f ca="1">IFERROR(__xludf.DUMMYFUNCTION("""COMPUTED_VALUE"""),144374828)</f>
        <v>144374828</v>
      </c>
    </row>
    <row r="25" spans="1:6" ht="15.75" customHeight="1" x14ac:dyDescent="0.25">
      <c r="A25" s="3">
        <f ca="1">IFERROR(__xludf.DUMMYFUNCTION("""COMPUTED_VALUE"""),44963.6666666666)</f>
        <v>44963.666666666599</v>
      </c>
      <c r="B25" s="2">
        <f ca="1">IFERROR(__xludf.DUMMYFUNCTION("""COMPUTED_VALUE"""),102.93)</f>
        <v>102.93</v>
      </c>
      <c r="C25" s="2">
        <f ca="1">IFERROR(__xludf.DUMMYFUNCTION("""COMPUTED_VALUE"""),103.95)</f>
        <v>103.95</v>
      </c>
      <c r="D25" s="2">
        <f ca="1">IFERROR(__xludf.DUMMYFUNCTION("""COMPUTED_VALUE"""),100.65)</f>
        <v>100.65</v>
      </c>
      <c r="E25" s="2">
        <f ca="1">IFERROR(__xludf.DUMMYFUNCTION("""COMPUTED_VALUE"""),102.18)</f>
        <v>102.18</v>
      </c>
      <c r="F25" s="2">
        <f ca="1">IFERROR(__xludf.DUMMYFUNCTION("""COMPUTED_VALUE"""),81945199)</f>
        <v>81945199</v>
      </c>
    </row>
    <row r="26" spans="1:6" ht="15.75" customHeight="1" x14ac:dyDescent="0.25">
      <c r="A26" s="3">
        <f ca="1">IFERROR(__xludf.DUMMYFUNCTION("""COMPUTED_VALUE"""),44964.6666666666)</f>
        <v>44964.666666666599</v>
      </c>
      <c r="B26" s="2">
        <f ca="1">IFERROR(__xludf.DUMMYFUNCTION("""COMPUTED_VALUE"""),101.17)</f>
        <v>101.17</v>
      </c>
      <c r="C26" s="2">
        <f ca="1">IFERROR(__xludf.DUMMYFUNCTION("""COMPUTED_VALUE"""),102.41)</f>
        <v>102.41</v>
      </c>
      <c r="D26" s="2">
        <f ca="1">IFERROR(__xludf.DUMMYFUNCTION("""COMPUTED_VALUE"""),98.08)</f>
        <v>98.08</v>
      </c>
      <c r="E26" s="2">
        <f ca="1">IFERROR(__xludf.DUMMYFUNCTION("""COMPUTED_VALUE"""),102.11)</f>
        <v>102.11</v>
      </c>
      <c r="F26" s="2">
        <f ca="1">IFERROR(__xludf.DUMMYFUNCTION("""COMPUTED_VALUE"""),119501301)</f>
        <v>119501301</v>
      </c>
    </row>
    <row r="27" spans="1:6" ht="15.75" customHeight="1" x14ac:dyDescent="0.25">
      <c r="A27" s="3">
        <f ca="1">IFERROR(__xludf.DUMMYFUNCTION("""COMPUTED_VALUE"""),44965.6666666666)</f>
        <v>44965.666666666599</v>
      </c>
      <c r="B27" s="2">
        <f ca="1">IFERROR(__xludf.DUMMYFUNCTION("""COMPUTED_VALUE"""),102.04)</f>
        <v>102.04</v>
      </c>
      <c r="C27" s="2">
        <f ca="1">IFERROR(__xludf.DUMMYFUNCTION("""COMPUTED_VALUE"""),102.67)</f>
        <v>102.67</v>
      </c>
      <c r="D27" s="2">
        <f ca="1">IFERROR(__xludf.DUMMYFUNCTION("""COMPUTED_VALUE"""),98.78)</f>
        <v>98.78</v>
      </c>
      <c r="E27" s="2">
        <f ca="1">IFERROR(__xludf.DUMMYFUNCTION("""COMPUTED_VALUE"""),100.05)</f>
        <v>100.05</v>
      </c>
      <c r="F27" s="2">
        <f ca="1">IFERROR(__xludf.DUMMYFUNCTION("""COMPUTED_VALUE"""),75878304)</f>
        <v>75878304</v>
      </c>
    </row>
    <row r="28" spans="1:6" ht="15.75" customHeight="1" x14ac:dyDescent="0.25">
      <c r="A28" s="3">
        <f ca="1">IFERROR(__xludf.DUMMYFUNCTION("""COMPUTED_VALUE"""),44966.6666666666)</f>
        <v>44966.666666666599</v>
      </c>
      <c r="B28" s="2">
        <f ca="1">IFERROR(__xludf.DUMMYFUNCTION("""COMPUTED_VALUE"""),101.32)</f>
        <v>101.32</v>
      </c>
      <c r="C28" s="2">
        <f ca="1">IFERROR(__xludf.DUMMYFUNCTION("""COMPUTED_VALUE"""),101.78)</f>
        <v>101.78</v>
      </c>
      <c r="D28" s="2">
        <f ca="1">IFERROR(__xludf.DUMMYFUNCTION("""COMPUTED_VALUE"""),97.57)</f>
        <v>97.57</v>
      </c>
      <c r="E28" s="2">
        <f ca="1">IFERROR(__xludf.DUMMYFUNCTION("""COMPUTED_VALUE"""),98.24)</f>
        <v>98.24</v>
      </c>
      <c r="F28" s="2">
        <f ca="1">IFERROR(__xludf.DUMMYFUNCTION("""COMPUTED_VALUE"""),64622489)</f>
        <v>64622489</v>
      </c>
    </row>
    <row r="29" spans="1:6" ht="15.75" customHeight="1" x14ac:dyDescent="0.25">
      <c r="A29" s="3">
        <f ca="1">IFERROR(__xludf.DUMMYFUNCTION("""COMPUTED_VALUE"""),44967.6666666666)</f>
        <v>44967.666666666599</v>
      </c>
      <c r="B29" s="2">
        <f ca="1">IFERROR(__xludf.DUMMYFUNCTION("""COMPUTED_VALUE"""),97.56)</f>
        <v>97.56</v>
      </c>
      <c r="C29" s="2">
        <f ca="1">IFERROR(__xludf.DUMMYFUNCTION("""COMPUTED_VALUE"""),98.82)</f>
        <v>98.82</v>
      </c>
      <c r="D29" s="2">
        <f ca="1">IFERROR(__xludf.DUMMYFUNCTION("""COMPUTED_VALUE"""),96.23)</f>
        <v>96.23</v>
      </c>
      <c r="E29" s="2">
        <f ca="1">IFERROR(__xludf.DUMMYFUNCTION("""COMPUTED_VALUE"""),97.61)</f>
        <v>97.61</v>
      </c>
      <c r="F29" s="2">
        <f ca="1">IFERROR(__xludf.DUMMYFUNCTION("""COMPUTED_VALUE"""),52740133)</f>
        <v>52740133</v>
      </c>
    </row>
    <row r="30" spans="1:6" ht="15.75" customHeight="1" x14ac:dyDescent="0.25">
      <c r="A30" s="3">
        <f ca="1">IFERROR(__xludf.DUMMYFUNCTION("""COMPUTED_VALUE"""),44970.6666666666)</f>
        <v>44970.666666666599</v>
      </c>
      <c r="B30" s="2">
        <f ca="1">IFERROR(__xludf.DUMMYFUNCTION("""COMPUTED_VALUE"""),97.85)</f>
        <v>97.85</v>
      </c>
      <c r="C30" s="2">
        <f ca="1">IFERROR(__xludf.DUMMYFUNCTION("""COMPUTED_VALUE"""),99.68)</f>
        <v>99.68</v>
      </c>
      <c r="D30" s="2">
        <f ca="1">IFERROR(__xludf.DUMMYFUNCTION("""COMPUTED_VALUE"""),96.91)</f>
        <v>96.91</v>
      </c>
      <c r="E30" s="2">
        <f ca="1">IFERROR(__xludf.DUMMYFUNCTION("""COMPUTED_VALUE"""),99.54)</f>
        <v>99.54</v>
      </c>
      <c r="F30" s="2">
        <f ca="1">IFERROR(__xludf.DUMMYFUNCTION("""COMPUTED_VALUE"""),52841464)</f>
        <v>52841464</v>
      </c>
    </row>
    <row r="31" spans="1:6" ht="15.75" customHeight="1" x14ac:dyDescent="0.25">
      <c r="A31" s="3">
        <f ca="1">IFERROR(__xludf.DUMMYFUNCTION("""COMPUTED_VALUE"""),44971.6666666666)</f>
        <v>44971.666666666599</v>
      </c>
      <c r="B31" s="2">
        <f ca="1">IFERROR(__xludf.DUMMYFUNCTION("""COMPUTED_VALUE"""),98.41)</f>
        <v>98.41</v>
      </c>
      <c r="C31" s="2">
        <f ca="1">IFERROR(__xludf.DUMMYFUNCTION("""COMPUTED_VALUE"""),100.92)</f>
        <v>100.92</v>
      </c>
      <c r="D31" s="2">
        <f ca="1">IFERROR(__xludf.DUMMYFUNCTION("""COMPUTED_VALUE"""),97.52)</f>
        <v>97.52</v>
      </c>
      <c r="E31" s="2">
        <f ca="1">IFERROR(__xludf.DUMMYFUNCTION("""COMPUTED_VALUE"""),99.7)</f>
        <v>99.7</v>
      </c>
      <c r="F31" s="2">
        <f ca="1">IFERROR(__xludf.DUMMYFUNCTION("""COMPUTED_VALUE"""),56202898)</f>
        <v>56202898</v>
      </c>
    </row>
    <row r="32" spans="1:6" ht="15.75" customHeight="1" x14ac:dyDescent="0.25">
      <c r="A32" s="3">
        <f ca="1">IFERROR(__xludf.DUMMYFUNCTION("""COMPUTED_VALUE"""),44972.6666666666)</f>
        <v>44972.666666666599</v>
      </c>
      <c r="B32" s="2">
        <f ca="1">IFERROR(__xludf.DUMMYFUNCTION("""COMPUTED_VALUE"""),99.09)</f>
        <v>99.09</v>
      </c>
      <c r="C32" s="2">
        <f ca="1">IFERROR(__xludf.DUMMYFUNCTION("""COMPUTED_VALUE"""),101.17)</f>
        <v>101.17</v>
      </c>
      <c r="D32" s="2">
        <f ca="1">IFERROR(__xludf.DUMMYFUNCTION("""COMPUTED_VALUE"""),98.45)</f>
        <v>98.45</v>
      </c>
      <c r="E32" s="2">
        <f ca="1">IFERROR(__xludf.DUMMYFUNCTION("""COMPUTED_VALUE"""),101.16)</f>
        <v>101.16</v>
      </c>
      <c r="F32" s="2">
        <f ca="1">IFERROR(__xludf.DUMMYFUNCTION("""COMPUTED_VALUE"""),48053879)</f>
        <v>48053879</v>
      </c>
    </row>
    <row r="33" spans="1:6" ht="15.75" customHeight="1" x14ac:dyDescent="0.25">
      <c r="A33" s="3">
        <f ca="1">IFERROR(__xludf.DUMMYFUNCTION("""COMPUTED_VALUE"""),44973.6666666666)</f>
        <v>44973.666666666599</v>
      </c>
      <c r="B33" s="2">
        <f ca="1">IFERROR(__xludf.DUMMYFUNCTION("""COMPUTED_VALUE"""),99.21)</f>
        <v>99.21</v>
      </c>
      <c r="C33" s="2">
        <f ca="1">IFERROR(__xludf.DUMMYFUNCTION("""COMPUTED_VALUE"""),100.63)</f>
        <v>100.63</v>
      </c>
      <c r="D33" s="2">
        <f ca="1">IFERROR(__xludf.DUMMYFUNCTION("""COMPUTED_VALUE"""),98.1)</f>
        <v>98.1</v>
      </c>
      <c r="E33" s="2">
        <f ca="1">IFERROR(__xludf.DUMMYFUNCTION("""COMPUTED_VALUE"""),98.15)</f>
        <v>98.15</v>
      </c>
      <c r="F33" s="2">
        <f ca="1">IFERROR(__xludf.DUMMYFUNCTION("""COMPUTED_VALUE"""),56339173)</f>
        <v>56339173</v>
      </c>
    </row>
    <row r="34" spans="1:6" ht="15.75" customHeight="1" x14ac:dyDescent="0.25">
      <c r="A34" s="3">
        <f ca="1">IFERROR(__xludf.DUMMYFUNCTION("""COMPUTED_VALUE"""),44974.6666666666)</f>
        <v>44974.666666666599</v>
      </c>
      <c r="B34" s="2">
        <f ca="1">IFERROR(__xludf.DUMMYFUNCTION("""COMPUTED_VALUE"""),97.8)</f>
        <v>97.8</v>
      </c>
      <c r="C34" s="2">
        <f ca="1">IFERROR(__xludf.DUMMYFUNCTION("""COMPUTED_VALUE"""),97.94)</f>
        <v>97.94</v>
      </c>
      <c r="D34" s="2">
        <f ca="1">IFERROR(__xludf.DUMMYFUNCTION("""COMPUTED_VALUE"""),95.65)</f>
        <v>95.65</v>
      </c>
      <c r="E34" s="2">
        <f ca="1">IFERROR(__xludf.DUMMYFUNCTION("""COMPUTED_VALUE"""),97.2)</f>
        <v>97.2</v>
      </c>
      <c r="F34" s="2">
        <f ca="1">IFERROR(__xludf.DUMMYFUNCTION("""COMPUTED_VALUE"""),60029405)</f>
        <v>60029405</v>
      </c>
    </row>
    <row r="35" spans="1:6" ht="15.75" customHeight="1" x14ac:dyDescent="0.25">
      <c r="A35" s="3">
        <f ca="1">IFERROR(__xludf.DUMMYFUNCTION("""COMPUTED_VALUE"""),44978.6666666666)</f>
        <v>44978.666666666599</v>
      </c>
      <c r="B35" s="2">
        <f ca="1">IFERROR(__xludf.DUMMYFUNCTION("""COMPUTED_VALUE"""),95.34)</f>
        <v>95.34</v>
      </c>
      <c r="C35" s="2">
        <f ca="1">IFERROR(__xludf.DUMMYFUNCTION("""COMPUTED_VALUE"""),95.61)</f>
        <v>95.61</v>
      </c>
      <c r="D35" s="2">
        <f ca="1">IFERROR(__xludf.DUMMYFUNCTION("""COMPUTED_VALUE"""),94.27)</f>
        <v>94.27</v>
      </c>
      <c r="E35" s="2">
        <f ca="1">IFERROR(__xludf.DUMMYFUNCTION("""COMPUTED_VALUE"""),94.58)</f>
        <v>94.58</v>
      </c>
      <c r="F35" s="2">
        <f ca="1">IFERROR(__xludf.DUMMYFUNCTION("""COMPUTED_VALUE"""),56580360)</f>
        <v>56580360</v>
      </c>
    </row>
    <row r="36" spans="1:6" ht="15.75" customHeight="1" x14ac:dyDescent="0.25">
      <c r="A36" s="3">
        <f ca="1">IFERROR(__xludf.DUMMYFUNCTION("""COMPUTED_VALUE"""),44979.6666666666)</f>
        <v>44979.666666666599</v>
      </c>
      <c r="B36" s="2">
        <f ca="1">IFERROR(__xludf.DUMMYFUNCTION("""COMPUTED_VALUE"""),95.1)</f>
        <v>95.1</v>
      </c>
      <c r="C36" s="2">
        <f ca="1">IFERROR(__xludf.DUMMYFUNCTION("""COMPUTED_VALUE"""),97.01)</f>
        <v>97.01</v>
      </c>
      <c r="D36" s="2">
        <f ca="1">IFERROR(__xludf.DUMMYFUNCTION("""COMPUTED_VALUE"""),94.8)</f>
        <v>94.8</v>
      </c>
      <c r="E36" s="2">
        <f ca="1">IFERROR(__xludf.DUMMYFUNCTION("""COMPUTED_VALUE"""),95.79)</f>
        <v>95.79</v>
      </c>
      <c r="F36" s="2">
        <f ca="1">IFERROR(__xludf.DUMMYFUNCTION("""COMPUTED_VALUE"""),59534094)</f>
        <v>59534094</v>
      </c>
    </row>
    <row r="37" spans="1:6" ht="15.75" customHeight="1" x14ac:dyDescent="0.25">
      <c r="A37" s="3">
        <f ca="1">IFERROR(__xludf.DUMMYFUNCTION("""COMPUTED_VALUE"""),44980.6666666666)</f>
        <v>44980.666666666599</v>
      </c>
      <c r="B37" s="2">
        <f ca="1">IFERROR(__xludf.DUMMYFUNCTION("""COMPUTED_VALUE"""),96.12)</f>
        <v>96.12</v>
      </c>
      <c r="C37" s="2">
        <f ca="1">IFERROR(__xludf.DUMMYFUNCTION("""COMPUTED_VALUE"""),96.43)</f>
        <v>96.43</v>
      </c>
      <c r="D37" s="2">
        <f ca="1">IFERROR(__xludf.DUMMYFUNCTION("""COMPUTED_VALUE"""),93.67)</f>
        <v>93.67</v>
      </c>
      <c r="E37" s="2">
        <f ca="1">IFERROR(__xludf.DUMMYFUNCTION("""COMPUTED_VALUE"""),95.82)</f>
        <v>95.82</v>
      </c>
      <c r="F37" s="2">
        <f ca="1">IFERROR(__xludf.DUMMYFUNCTION("""COMPUTED_VALUE"""),48466994)</f>
        <v>48466994</v>
      </c>
    </row>
    <row r="38" spans="1:6" ht="15.75" customHeight="1" x14ac:dyDescent="0.25">
      <c r="A38" s="3">
        <f ca="1">IFERROR(__xludf.DUMMYFUNCTION("""COMPUTED_VALUE"""),44981.6666666666)</f>
        <v>44981.666666666599</v>
      </c>
      <c r="B38" s="2">
        <f ca="1">IFERROR(__xludf.DUMMYFUNCTION("""COMPUTED_VALUE"""),93.53)</f>
        <v>93.53</v>
      </c>
      <c r="C38" s="2">
        <f ca="1">IFERROR(__xludf.DUMMYFUNCTION("""COMPUTED_VALUE"""),94.14)</f>
        <v>94.14</v>
      </c>
      <c r="D38" s="2">
        <f ca="1">IFERROR(__xludf.DUMMYFUNCTION("""COMPUTED_VALUE"""),92.32)</f>
        <v>92.32</v>
      </c>
      <c r="E38" s="2">
        <f ca="1">IFERROR(__xludf.DUMMYFUNCTION("""COMPUTED_VALUE"""),93.5)</f>
        <v>93.5</v>
      </c>
      <c r="F38" s="2">
        <f ca="1">IFERROR(__xludf.DUMMYFUNCTION("""COMPUTED_VALUE"""),57053812)</f>
        <v>57053812</v>
      </c>
    </row>
    <row r="39" spans="1:6" ht="15.75" customHeight="1" x14ac:dyDescent="0.25">
      <c r="A39" s="3">
        <f ca="1">IFERROR(__xludf.DUMMYFUNCTION("""COMPUTED_VALUE"""),44984.6666666666)</f>
        <v>44984.666666666599</v>
      </c>
      <c r="B39" s="2">
        <f ca="1">IFERROR(__xludf.DUMMYFUNCTION("""COMPUTED_VALUE"""),94.28)</f>
        <v>94.28</v>
      </c>
      <c r="C39" s="2">
        <f ca="1">IFERROR(__xludf.DUMMYFUNCTION("""COMPUTED_VALUE"""),94.78)</f>
        <v>94.78</v>
      </c>
      <c r="D39" s="2">
        <f ca="1">IFERROR(__xludf.DUMMYFUNCTION("""COMPUTED_VALUE"""),93.14)</f>
        <v>93.14</v>
      </c>
      <c r="E39" s="2">
        <f ca="1">IFERROR(__xludf.DUMMYFUNCTION("""COMPUTED_VALUE"""),93.76)</f>
        <v>93.76</v>
      </c>
      <c r="F39" s="2">
        <f ca="1">IFERROR(__xludf.DUMMYFUNCTION("""COMPUTED_VALUE"""),47470321)</f>
        <v>47470321</v>
      </c>
    </row>
    <row r="40" spans="1:6" ht="12.5" x14ac:dyDescent="0.25">
      <c r="A40" s="3">
        <f ca="1">IFERROR(__xludf.DUMMYFUNCTION("""COMPUTED_VALUE"""),44985.6666666666)</f>
        <v>44985.666666666599</v>
      </c>
      <c r="B40" s="2">
        <f ca="1">IFERROR(__xludf.DUMMYFUNCTION("""COMPUTED_VALUE"""),93.14)</f>
        <v>93.14</v>
      </c>
      <c r="C40" s="2">
        <f ca="1">IFERROR(__xludf.DUMMYFUNCTION("""COMPUTED_VALUE"""),94.69)</f>
        <v>94.69</v>
      </c>
      <c r="D40" s="2">
        <f ca="1">IFERROR(__xludf.DUMMYFUNCTION("""COMPUTED_VALUE"""),92.92)</f>
        <v>92.92</v>
      </c>
      <c r="E40" s="2">
        <f ca="1">IFERROR(__xludf.DUMMYFUNCTION("""COMPUTED_VALUE"""),94.23)</f>
        <v>94.23</v>
      </c>
      <c r="F40" s="2">
        <f ca="1">IFERROR(__xludf.DUMMYFUNCTION("""COMPUTED_VALUE"""),43959290)</f>
        <v>43959290</v>
      </c>
    </row>
    <row r="41" spans="1:6" ht="12.5" x14ac:dyDescent="0.25">
      <c r="A41" s="3">
        <f ca="1">IFERROR(__xludf.DUMMYFUNCTION("""COMPUTED_VALUE"""),44986.6666666666)</f>
        <v>44986.666666666599</v>
      </c>
      <c r="B41" s="2">
        <f ca="1">IFERROR(__xludf.DUMMYFUNCTION("""COMPUTED_VALUE"""),93.87)</f>
        <v>93.87</v>
      </c>
      <c r="C41" s="2">
        <f ca="1">IFERROR(__xludf.DUMMYFUNCTION("""COMPUTED_VALUE"""),94.68)</f>
        <v>94.68</v>
      </c>
      <c r="D41" s="2">
        <f ca="1">IFERROR(__xludf.DUMMYFUNCTION("""COMPUTED_VALUE"""),91.59)</f>
        <v>91.59</v>
      </c>
      <c r="E41" s="2">
        <f ca="1">IFERROR(__xludf.DUMMYFUNCTION("""COMPUTED_VALUE"""),92.17)</f>
        <v>92.17</v>
      </c>
      <c r="F41" s="2">
        <f ca="1">IFERROR(__xludf.DUMMYFUNCTION("""COMPUTED_VALUE"""),52299524)</f>
        <v>52299524</v>
      </c>
    </row>
    <row r="42" spans="1:6" ht="12.5" x14ac:dyDescent="0.25">
      <c r="A42" s="3">
        <f ca="1">IFERROR(__xludf.DUMMYFUNCTION("""COMPUTED_VALUE"""),44987.6666666666)</f>
        <v>44987.666666666599</v>
      </c>
      <c r="B42" s="2">
        <f ca="1">IFERROR(__xludf.DUMMYFUNCTION("""COMPUTED_VALUE"""),91.41)</f>
        <v>91.41</v>
      </c>
      <c r="C42" s="2">
        <f ca="1">IFERROR(__xludf.DUMMYFUNCTION("""COMPUTED_VALUE"""),92.23)</f>
        <v>92.23</v>
      </c>
      <c r="D42" s="2">
        <f ca="1">IFERROR(__xludf.DUMMYFUNCTION("""COMPUTED_VALUE"""),90.39)</f>
        <v>90.39</v>
      </c>
      <c r="E42" s="2">
        <f ca="1">IFERROR(__xludf.DUMMYFUNCTION("""COMPUTED_VALUE"""),92.13)</f>
        <v>92.13</v>
      </c>
      <c r="F42" s="2">
        <f ca="1">IFERROR(__xludf.DUMMYFUNCTION("""COMPUTED_VALUE"""),55574820)</f>
        <v>55574820</v>
      </c>
    </row>
    <row r="43" spans="1:6" ht="12.5" x14ac:dyDescent="0.25">
      <c r="A43" s="3">
        <f ca="1">IFERROR(__xludf.DUMMYFUNCTION("""COMPUTED_VALUE"""),44988.6666666666)</f>
        <v>44988.666666666599</v>
      </c>
      <c r="B43" s="2">
        <f ca="1">IFERROR(__xludf.DUMMYFUNCTION("""COMPUTED_VALUE"""),92.74)</f>
        <v>92.74</v>
      </c>
      <c r="C43" s="2">
        <f ca="1">IFERROR(__xludf.DUMMYFUNCTION("""COMPUTED_VALUE"""),94.94)</f>
        <v>94.94</v>
      </c>
      <c r="D43" s="2">
        <f ca="1">IFERROR(__xludf.DUMMYFUNCTION("""COMPUTED_VALUE"""),92.66)</f>
        <v>92.66</v>
      </c>
      <c r="E43" s="2">
        <f ca="1">IFERROR(__xludf.DUMMYFUNCTION("""COMPUTED_VALUE"""),94.9)</f>
        <v>94.9</v>
      </c>
      <c r="F43" s="2">
        <f ca="1">IFERROR(__xludf.DUMMYFUNCTION("""COMPUTED_VALUE"""),55759609)</f>
        <v>55759609</v>
      </c>
    </row>
    <row r="44" spans="1:6" ht="12.5" x14ac:dyDescent="0.25">
      <c r="A44" s="3">
        <f ca="1">IFERROR(__xludf.DUMMYFUNCTION("""COMPUTED_VALUE"""),44991.6666666666)</f>
        <v>44991.666666666599</v>
      </c>
      <c r="B44" s="2">
        <f ca="1">IFERROR(__xludf.DUMMYFUNCTION("""COMPUTED_VALUE"""),95.19)</f>
        <v>95.19</v>
      </c>
      <c r="C44" s="2">
        <f ca="1">IFERROR(__xludf.DUMMYFUNCTION("""COMPUTED_VALUE"""),96.55)</f>
        <v>96.55</v>
      </c>
      <c r="D44" s="2">
        <f ca="1">IFERROR(__xludf.DUMMYFUNCTION("""COMPUTED_VALUE"""),93.74)</f>
        <v>93.74</v>
      </c>
      <c r="E44" s="2">
        <f ca="1">IFERROR(__xludf.DUMMYFUNCTION("""COMPUTED_VALUE"""),93.75)</f>
        <v>93.75</v>
      </c>
      <c r="F44" s="2">
        <f ca="1">IFERROR(__xludf.DUMMYFUNCTION("""COMPUTED_VALUE"""),52112355)</f>
        <v>52112355</v>
      </c>
    </row>
    <row r="45" spans="1:6" ht="12.5" x14ac:dyDescent="0.25">
      <c r="A45" s="3">
        <f ca="1">IFERROR(__xludf.DUMMYFUNCTION("""COMPUTED_VALUE"""),44992.6666666666)</f>
        <v>44992.666666666599</v>
      </c>
      <c r="B45" s="2">
        <f ca="1">IFERROR(__xludf.DUMMYFUNCTION("""COMPUTED_VALUE"""),94.06)</f>
        <v>94.06</v>
      </c>
      <c r="C45" s="2">
        <f ca="1">IFERROR(__xludf.DUMMYFUNCTION("""COMPUTED_VALUE"""),95.09)</f>
        <v>95.09</v>
      </c>
      <c r="D45" s="2">
        <f ca="1">IFERROR(__xludf.DUMMYFUNCTION("""COMPUTED_VALUE"""),92.78)</f>
        <v>92.78</v>
      </c>
      <c r="E45" s="2">
        <f ca="1">IFERROR(__xludf.DUMMYFUNCTION("""COMPUTED_VALUE"""),93.55)</f>
        <v>93.55</v>
      </c>
      <c r="F45" s="2">
        <f ca="1">IFERROR(__xludf.DUMMYFUNCTION("""COMPUTED_VALUE"""),49100668)</f>
        <v>49100668</v>
      </c>
    </row>
    <row r="46" spans="1:6" ht="12.5" x14ac:dyDescent="0.25">
      <c r="A46" s="3">
        <f ca="1">IFERROR(__xludf.DUMMYFUNCTION("""COMPUTED_VALUE"""),44993.6666666666)</f>
        <v>44993.666666666599</v>
      </c>
      <c r="B46" s="2">
        <f ca="1">IFERROR(__xludf.DUMMYFUNCTION("""COMPUTED_VALUE"""),93.6)</f>
        <v>93.6</v>
      </c>
      <c r="C46" s="2">
        <f ca="1">IFERROR(__xludf.DUMMYFUNCTION("""COMPUTED_VALUE"""),94.17)</f>
        <v>94.17</v>
      </c>
      <c r="D46" s="2">
        <f ca="1">IFERROR(__xludf.DUMMYFUNCTION("""COMPUTED_VALUE"""),92.18)</f>
        <v>92.18</v>
      </c>
      <c r="E46" s="2">
        <f ca="1">IFERROR(__xludf.DUMMYFUNCTION("""COMPUTED_VALUE"""),93.92)</f>
        <v>93.92</v>
      </c>
      <c r="F46" s="2">
        <f ca="1">IFERROR(__xludf.DUMMYFUNCTION("""COMPUTED_VALUE"""),44899128)</f>
        <v>44899128</v>
      </c>
    </row>
    <row r="47" spans="1:6" ht="12.5" x14ac:dyDescent="0.25">
      <c r="A47" s="3">
        <f ca="1">IFERROR(__xludf.DUMMYFUNCTION("""COMPUTED_VALUE"""),44994.6666666666)</f>
        <v>44994.666666666599</v>
      </c>
      <c r="B47" s="2">
        <f ca="1">IFERROR(__xludf.DUMMYFUNCTION("""COMPUTED_VALUE"""),93.68)</f>
        <v>93.68</v>
      </c>
      <c r="C47" s="2">
        <f ca="1">IFERROR(__xludf.DUMMYFUNCTION("""COMPUTED_VALUE"""),96.21)</f>
        <v>96.21</v>
      </c>
      <c r="D47" s="2">
        <f ca="1">IFERROR(__xludf.DUMMYFUNCTION("""COMPUTED_VALUE"""),92.18)</f>
        <v>92.18</v>
      </c>
      <c r="E47" s="2">
        <f ca="1">IFERROR(__xludf.DUMMYFUNCTION("""COMPUTED_VALUE"""),92.25)</f>
        <v>92.25</v>
      </c>
      <c r="F47" s="2">
        <f ca="1">IFERROR(__xludf.DUMMYFUNCTION("""COMPUTED_VALUE"""),56218705)</f>
        <v>56218705</v>
      </c>
    </row>
    <row r="48" spans="1:6" ht="12.5" x14ac:dyDescent="0.25">
      <c r="A48" s="3">
        <f ca="1">IFERROR(__xludf.DUMMYFUNCTION("""COMPUTED_VALUE"""),44995.6666666666)</f>
        <v>44995.666666666599</v>
      </c>
      <c r="B48" s="2">
        <f ca="1">IFERROR(__xludf.DUMMYFUNCTION("""COMPUTED_VALUE"""),92.67)</f>
        <v>92.67</v>
      </c>
      <c r="C48" s="2">
        <f ca="1">IFERROR(__xludf.DUMMYFUNCTION("""COMPUTED_VALUE"""),93.57)</f>
        <v>93.57</v>
      </c>
      <c r="D48" s="2">
        <f ca="1">IFERROR(__xludf.DUMMYFUNCTION("""COMPUTED_VALUE"""),90.25)</f>
        <v>90.25</v>
      </c>
      <c r="E48" s="2">
        <f ca="1">IFERROR(__xludf.DUMMYFUNCTION("""COMPUTED_VALUE"""),90.73)</f>
        <v>90.73</v>
      </c>
      <c r="F48" s="2">
        <f ca="1">IFERROR(__xludf.DUMMYFUNCTION("""COMPUTED_VALUE"""),69827490)</f>
        <v>69827490</v>
      </c>
    </row>
    <row r="49" spans="1:6" ht="12.5" x14ac:dyDescent="0.25">
      <c r="A49" s="3">
        <f ca="1">IFERROR(__xludf.DUMMYFUNCTION("""COMPUTED_VALUE"""),44998.6666666666)</f>
        <v>44998.666666666599</v>
      </c>
      <c r="B49" s="2">
        <f ca="1">IFERROR(__xludf.DUMMYFUNCTION("""COMPUTED_VALUE"""),89.97)</f>
        <v>89.97</v>
      </c>
      <c r="C49" s="2">
        <f ca="1">IFERROR(__xludf.DUMMYFUNCTION("""COMPUTED_VALUE"""),94.02)</f>
        <v>94.02</v>
      </c>
      <c r="D49" s="2">
        <f ca="1">IFERROR(__xludf.DUMMYFUNCTION("""COMPUTED_VALUE"""),88.12)</f>
        <v>88.12</v>
      </c>
      <c r="E49" s="2">
        <f ca="1">IFERROR(__xludf.DUMMYFUNCTION("""COMPUTED_VALUE"""),92.43)</f>
        <v>92.43</v>
      </c>
      <c r="F49" s="2">
        <f ca="1">IFERROR(__xludf.DUMMYFUNCTION("""COMPUTED_VALUE"""),72397053)</f>
        <v>72397053</v>
      </c>
    </row>
    <row r="50" spans="1:6" ht="12.5" x14ac:dyDescent="0.25">
      <c r="A50" s="3">
        <f ca="1">IFERROR(__xludf.DUMMYFUNCTION("""COMPUTED_VALUE"""),44999.6666666666)</f>
        <v>44999.666666666599</v>
      </c>
      <c r="B50" s="2">
        <f ca="1">IFERROR(__xludf.DUMMYFUNCTION("""COMPUTED_VALUE"""),93.83)</f>
        <v>93.83</v>
      </c>
      <c r="C50" s="2">
        <f ca="1">IFERROR(__xludf.DUMMYFUNCTION("""COMPUTED_VALUE"""),95.07)</f>
        <v>95.07</v>
      </c>
      <c r="D50" s="2">
        <f ca="1">IFERROR(__xludf.DUMMYFUNCTION("""COMPUTED_VALUE"""),92.71)</f>
        <v>92.71</v>
      </c>
      <c r="E50" s="2">
        <f ca="1">IFERROR(__xludf.DUMMYFUNCTION("""COMPUTED_VALUE"""),94.88)</f>
        <v>94.88</v>
      </c>
      <c r="F50" s="2">
        <f ca="1">IFERROR(__xludf.DUMMYFUNCTION("""COMPUTED_VALUE"""),60912674)</f>
        <v>60912674</v>
      </c>
    </row>
    <row r="51" spans="1:6" ht="12.5" x14ac:dyDescent="0.25">
      <c r="A51" s="3">
        <f ca="1">IFERROR(__xludf.DUMMYFUNCTION("""COMPUTED_VALUE"""),45000.6666666666)</f>
        <v>45000.666666666599</v>
      </c>
      <c r="B51" s="2">
        <f ca="1">IFERROR(__xludf.DUMMYFUNCTION("""COMPUTED_VALUE"""),93.22)</f>
        <v>93.22</v>
      </c>
      <c r="C51" s="2">
        <f ca="1">IFERROR(__xludf.DUMMYFUNCTION("""COMPUTED_VALUE"""),96.67)</f>
        <v>96.67</v>
      </c>
      <c r="D51" s="2">
        <f ca="1">IFERROR(__xludf.DUMMYFUNCTION("""COMPUTED_VALUE"""),93.07)</f>
        <v>93.07</v>
      </c>
      <c r="E51" s="2">
        <f ca="1">IFERROR(__xludf.DUMMYFUNCTION("""COMPUTED_VALUE"""),96.2)</f>
        <v>96.2</v>
      </c>
      <c r="F51" s="2">
        <f ca="1">IFERROR(__xludf.DUMMYFUNCTION("""COMPUTED_VALUE"""),70731792)</f>
        <v>70731792</v>
      </c>
    </row>
    <row r="52" spans="1:6" ht="12.5" x14ac:dyDescent="0.25">
      <c r="A52" s="3">
        <f ca="1">IFERROR(__xludf.DUMMYFUNCTION("""COMPUTED_VALUE"""),45001.6666666666)</f>
        <v>45001.666666666599</v>
      </c>
      <c r="B52" s="2">
        <f ca="1">IFERROR(__xludf.DUMMYFUNCTION("""COMPUTED_VALUE"""),95.75)</f>
        <v>95.75</v>
      </c>
      <c r="C52" s="2">
        <f ca="1">IFERROR(__xludf.DUMMYFUNCTION("""COMPUTED_VALUE"""),100.99)</f>
        <v>100.99</v>
      </c>
      <c r="D52" s="2">
        <f ca="1">IFERROR(__xludf.DUMMYFUNCTION("""COMPUTED_VALUE"""),95.61)</f>
        <v>95.61</v>
      </c>
      <c r="E52" s="2">
        <f ca="1">IFERROR(__xludf.DUMMYFUNCTION("""COMPUTED_VALUE"""),100.04)</f>
        <v>100.04</v>
      </c>
      <c r="F52" s="2">
        <f ca="1">IFERROR(__xludf.DUMMYFUNCTION("""COMPUTED_VALUE"""),84558934)</f>
        <v>84558934</v>
      </c>
    </row>
    <row r="53" spans="1:6" ht="12.5" x14ac:dyDescent="0.25">
      <c r="A53" s="3">
        <f ca="1">IFERROR(__xludf.DUMMYFUNCTION("""COMPUTED_VALUE"""),45002.6666666666)</f>
        <v>45002.666666666599</v>
      </c>
      <c r="B53" s="2">
        <f ca="1">IFERROR(__xludf.DUMMYFUNCTION("""COMPUTED_VALUE"""),99.79)</f>
        <v>99.79</v>
      </c>
      <c r="C53" s="2">
        <f ca="1">IFERROR(__xludf.DUMMYFUNCTION("""COMPUTED_VALUE"""),100.66)</f>
        <v>100.66</v>
      </c>
      <c r="D53" s="2">
        <f ca="1">IFERROR(__xludf.DUMMYFUNCTION("""COMPUTED_VALUE"""),97.46)</f>
        <v>97.46</v>
      </c>
      <c r="E53" s="2">
        <f ca="1">IFERROR(__xludf.DUMMYFUNCTION("""COMPUTED_VALUE"""),98.95)</f>
        <v>98.95</v>
      </c>
      <c r="F53" s="2">
        <f ca="1">IFERROR(__xludf.DUMMYFUNCTION("""COMPUTED_VALUE"""),87300242)</f>
        <v>87300242</v>
      </c>
    </row>
    <row r="54" spans="1:6" ht="12.5" x14ac:dyDescent="0.25">
      <c r="A54" s="3">
        <f ca="1">IFERROR(__xludf.DUMMYFUNCTION("""COMPUTED_VALUE"""),45005.6666666666)</f>
        <v>45005.666666666599</v>
      </c>
      <c r="B54" s="2">
        <f ca="1">IFERROR(__xludf.DUMMYFUNCTION("""COMPUTED_VALUE"""),98.41)</f>
        <v>98.41</v>
      </c>
      <c r="C54" s="2">
        <f ca="1">IFERROR(__xludf.DUMMYFUNCTION("""COMPUTED_VALUE"""),98.48)</f>
        <v>98.48</v>
      </c>
      <c r="D54" s="2">
        <f ca="1">IFERROR(__xludf.DUMMYFUNCTION("""COMPUTED_VALUE"""),95.7)</f>
        <v>95.7</v>
      </c>
      <c r="E54" s="2">
        <f ca="1">IFERROR(__xludf.DUMMYFUNCTION("""COMPUTED_VALUE"""),97.71)</f>
        <v>97.71</v>
      </c>
      <c r="F54" s="2">
        <f ca="1">IFERROR(__xludf.DUMMYFUNCTION("""COMPUTED_VALUE"""),62388911)</f>
        <v>62388911</v>
      </c>
    </row>
    <row r="55" spans="1:6" ht="12.5" x14ac:dyDescent="0.25">
      <c r="A55" s="3">
        <f ca="1">IFERROR(__xludf.DUMMYFUNCTION("""COMPUTED_VALUE"""),45006.6666666666)</f>
        <v>45006.666666666599</v>
      </c>
      <c r="B55" s="2">
        <f ca="1">IFERROR(__xludf.DUMMYFUNCTION("""COMPUTED_VALUE"""),98.14)</f>
        <v>98.14</v>
      </c>
      <c r="C55" s="2">
        <f ca="1">IFERROR(__xludf.DUMMYFUNCTION("""COMPUTED_VALUE"""),100.85)</f>
        <v>100.85</v>
      </c>
      <c r="D55" s="2">
        <f ca="1">IFERROR(__xludf.DUMMYFUNCTION("""COMPUTED_VALUE"""),98)</f>
        <v>98</v>
      </c>
      <c r="E55" s="2">
        <f ca="1">IFERROR(__xludf.DUMMYFUNCTION("""COMPUTED_VALUE"""),100.61)</f>
        <v>100.61</v>
      </c>
      <c r="F55" s="2">
        <f ca="1">IFERROR(__xludf.DUMMYFUNCTION("""COMPUTED_VALUE"""),58597275)</f>
        <v>58597275</v>
      </c>
    </row>
    <row r="56" spans="1:6" ht="12.5" x14ac:dyDescent="0.25">
      <c r="A56" s="3">
        <f ca="1">IFERROR(__xludf.DUMMYFUNCTION("""COMPUTED_VALUE"""),45007.6666666666)</f>
        <v>45007.666666666599</v>
      </c>
      <c r="B56" s="2">
        <f ca="1">IFERROR(__xludf.DUMMYFUNCTION("""COMPUTED_VALUE"""),100.45)</f>
        <v>100.45</v>
      </c>
      <c r="C56" s="2">
        <f ca="1">IFERROR(__xludf.DUMMYFUNCTION("""COMPUTED_VALUE"""),102.1)</f>
        <v>102.1</v>
      </c>
      <c r="D56" s="2">
        <f ca="1">IFERROR(__xludf.DUMMYFUNCTION("""COMPUTED_VALUE"""),98.61)</f>
        <v>98.61</v>
      </c>
      <c r="E56" s="2">
        <f ca="1">IFERROR(__xludf.DUMMYFUNCTION("""COMPUTED_VALUE"""),98.7)</f>
        <v>98.7</v>
      </c>
      <c r="F56" s="2">
        <f ca="1">IFERROR(__xludf.DUMMYFUNCTION("""COMPUTED_VALUE"""),57475365)</f>
        <v>57475365</v>
      </c>
    </row>
    <row r="57" spans="1:6" ht="12.5" x14ac:dyDescent="0.25">
      <c r="A57" s="3">
        <f ca="1">IFERROR(__xludf.DUMMYFUNCTION("""COMPUTED_VALUE"""),45008.6666666666)</f>
        <v>45008.666666666599</v>
      </c>
      <c r="B57" s="2">
        <f ca="1">IFERROR(__xludf.DUMMYFUNCTION("""COMPUTED_VALUE"""),100.43)</f>
        <v>100.43</v>
      </c>
      <c r="C57" s="2">
        <f ca="1">IFERROR(__xludf.DUMMYFUNCTION("""COMPUTED_VALUE"""),101.06)</f>
        <v>101.06</v>
      </c>
      <c r="D57" s="2">
        <f ca="1">IFERROR(__xludf.DUMMYFUNCTION("""COMPUTED_VALUE"""),97.62)</f>
        <v>97.62</v>
      </c>
      <c r="E57" s="2">
        <f ca="1">IFERROR(__xludf.DUMMYFUNCTION("""COMPUTED_VALUE"""),98.71)</f>
        <v>98.71</v>
      </c>
      <c r="F57" s="2">
        <f ca="1">IFERROR(__xludf.DUMMYFUNCTION("""COMPUTED_VALUE"""),57559310)</f>
        <v>57559310</v>
      </c>
    </row>
    <row r="58" spans="1:6" ht="12.5" x14ac:dyDescent="0.25">
      <c r="A58" s="3">
        <f ca="1">IFERROR(__xludf.DUMMYFUNCTION("""COMPUTED_VALUE"""),45009.6666666666)</f>
        <v>45009.666666666599</v>
      </c>
      <c r="B58" s="2">
        <f ca="1">IFERROR(__xludf.DUMMYFUNCTION("""COMPUTED_VALUE"""),98.07)</f>
        <v>98.07</v>
      </c>
      <c r="C58" s="2">
        <f ca="1">IFERROR(__xludf.DUMMYFUNCTION("""COMPUTED_VALUE"""),98.3)</f>
        <v>98.3</v>
      </c>
      <c r="D58" s="2">
        <f ca="1">IFERROR(__xludf.DUMMYFUNCTION("""COMPUTED_VALUE"""),96.4)</f>
        <v>96.4</v>
      </c>
      <c r="E58" s="2">
        <f ca="1">IFERROR(__xludf.DUMMYFUNCTION("""COMPUTED_VALUE"""),98.13)</f>
        <v>98.13</v>
      </c>
      <c r="F58" s="2">
        <f ca="1">IFERROR(__xludf.DUMMYFUNCTION("""COMPUTED_VALUE"""),56144801)</f>
        <v>56144801</v>
      </c>
    </row>
    <row r="59" spans="1:6" ht="12.5" x14ac:dyDescent="0.25">
      <c r="A59" s="3">
        <f ca="1">IFERROR(__xludf.DUMMYFUNCTION("""COMPUTED_VALUE"""),45012.6666666666)</f>
        <v>45012.666666666599</v>
      </c>
      <c r="B59" s="2">
        <f ca="1">IFERROR(__xludf.DUMMYFUNCTION("""COMPUTED_VALUE"""),99.07)</f>
        <v>99.07</v>
      </c>
      <c r="C59" s="2">
        <f ca="1">IFERROR(__xludf.DUMMYFUNCTION("""COMPUTED_VALUE"""),99.34)</f>
        <v>99.34</v>
      </c>
      <c r="D59" s="2">
        <f ca="1">IFERROR(__xludf.DUMMYFUNCTION("""COMPUTED_VALUE"""),97.08)</f>
        <v>97.08</v>
      </c>
      <c r="E59" s="2">
        <f ca="1">IFERROR(__xludf.DUMMYFUNCTION("""COMPUTED_VALUE"""),98.04)</f>
        <v>98.04</v>
      </c>
      <c r="F59" s="2">
        <f ca="1">IFERROR(__xludf.DUMMYFUNCTION("""COMPUTED_VALUE"""),46721296)</f>
        <v>46721296</v>
      </c>
    </row>
    <row r="60" spans="1:6" ht="12.5" x14ac:dyDescent="0.25">
      <c r="A60" s="3">
        <f ca="1">IFERROR(__xludf.DUMMYFUNCTION("""COMPUTED_VALUE"""),45013.6666666666)</f>
        <v>45013.666666666599</v>
      </c>
      <c r="B60" s="2">
        <f ca="1">IFERROR(__xludf.DUMMYFUNCTION("""COMPUTED_VALUE"""),98.11)</f>
        <v>98.11</v>
      </c>
      <c r="C60" s="2">
        <f ca="1">IFERROR(__xludf.DUMMYFUNCTION("""COMPUTED_VALUE"""),98.44)</f>
        <v>98.44</v>
      </c>
      <c r="D60" s="2">
        <f ca="1">IFERROR(__xludf.DUMMYFUNCTION("""COMPUTED_VALUE"""),96.29)</f>
        <v>96.29</v>
      </c>
      <c r="E60" s="2">
        <f ca="1">IFERROR(__xludf.DUMMYFUNCTION("""COMPUTED_VALUE"""),97.24)</f>
        <v>97.24</v>
      </c>
      <c r="F60" s="2">
        <f ca="1">IFERROR(__xludf.DUMMYFUNCTION("""COMPUTED_VALUE"""),38720050)</f>
        <v>38720050</v>
      </c>
    </row>
    <row r="61" spans="1:6" ht="12.5" x14ac:dyDescent="0.25">
      <c r="A61" s="3">
        <f ca="1">IFERROR(__xludf.DUMMYFUNCTION("""COMPUTED_VALUE"""),45014.6666666666)</f>
        <v>45014.666666666599</v>
      </c>
      <c r="B61" s="2">
        <f ca="1">IFERROR(__xludf.DUMMYFUNCTION("""COMPUTED_VALUE"""),98.69)</f>
        <v>98.69</v>
      </c>
      <c r="C61" s="2">
        <f ca="1">IFERROR(__xludf.DUMMYFUNCTION("""COMPUTED_VALUE"""),100.42)</f>
        <v>100.42</v>
      </c>
      <c r="D61" s="2">
        <f ca="1">IFERROR(__xludf.DUMMYFUNCTION("""COMPUTED_VALUE"""),98.56)</f>
        <v>98.56</v>
      </c>
      <c r="E61" s="2">
        <f ca="1">IFERROR(__xludf.DUMMYFUNCTION("""COMPUTED_VALUE"""),100.25)</f>
        <v>100.25</v>
      </c>
      <c r="F61" s="2">
        <f ca="1">IFERROR(__xludf.DUMMYFUNCTION("""COMPUTED_VALUE"""),49783279)</f>
        <v>49783279</v>
      </c>
    </row>
    <row r="62" spans="1:6" ht="12.5" x14ac:dyDescent="0.25">
      <c r="A62" s="3">
        <f ca="1">IFERROR(__xludf.DUMMYFUNCTION("""COMPUTED_VALUE"""),45015.6666666666)</f>
        <v>45015.666666666599</v>
      </c>
      <c r="B62" s="2">
        <f ca="1">IFERROR(__xludf.DUMMYFUNCTION("""COMPUTED_VALUE"""),101.55)</f>
        <v>101.55</v>
      </c>
      <c r="C62" s="2">
        <f ca="1">IFERROR(__xludf.DUMMYFUNCTION("""COMPUTED_VALUE"""),103.04)</f>
        <v>103.04</v>
      </c>
      <c r="D62" s="2">
        <f ca="1">IFERROR(__xludf.DUMMYFUNCTION("""COMPUTED_VALUE"""),101.01)</f>
        <v>101.01</v>
      </c>
      <c r="E62" s="2">
        <f ca="1">IFERROR(__xludf.DUMMYFUNCTION("""COMPUTED_VALUE"""),102)</f>
        <v>102</v>
      </c>
      <c r="F62" s="2">
        <f ca="1">IFERROR(__xludf.DUMMYFUNCTION("""COMPUTED_VALUE"""),53633398)</f>
        <v>53633398</v>
      </c>
    </row>
    <row r="63" spans="1:6" ht="12.5" x14ac:dyDescent="0.25">
      <c r="A63" s="3">
        <f ca="1">IFERROR(__xludf.DUMMYFUNCTION("""COMPUTED_VALUE"""),45016.6666666666)</f>
        <v>45016.666666666599</v>
      </c>
      <c r="B63" s="2">
        <f ca="1">IFERROR(__xludf.DUMMYFUNCTION("""COMPUTED_VALUE"""),102.16)</f>
        <v>102.16</v>
      </c>
      <c r="C63" s="2">
        <f ca="1">IFERROR(__xludf.DUMMYFUNCTION("""COMPUTED_VALUE"""),103.49)</f>
        <v>103.49</v>
      </c>
      <c r="D63" s="2">
        <f ca="1">IFERROR(__xludf.DUMMYFUNCTION("""COMPUTED_VALUE"""),101.95)</f>
        <v>101.95</v>
      </c>
      <c r="E63" s="2">
        <f ca="1">IFERROR(__xludf.DUMMYFUNCTION("""COMPUTED_VALUE"""),103.29)</f>
        <v>103.29</v>
      </c>
      <c r="F63" s="2">
        <f ca="1">IFERROR(__xludf.DUMMYFUNCTION("""COMPUTED_VALUE"""),56750317)</f>
        <v>56750317</v>
      </c>
    </row>
    <row r="64" spans="1:6" ht="12.5" x14ac:dyDescent="0.25">
      <c r="A64" s="3">
        <f ca="1">IFERROR(__xludf.DUMMYFUNCTION("""COMPUTED_VALUE"""),45019.6666666666)</f>
        <v>45019.666666666599</v>
      </c>
      <c r="B64" s="2">
        <f ca="1">IFERROR(__xludf.DUMMYFUNCTION("""COMPUTED_VALUE"""),102.3)</f>
        <v>102.3</v>
      </c>
      <c r="C64" s="2">
        <f ca="1">IFERROR(__xludf.DUMMYFUNCTION("""COMPUTED_VALUE"""),103.29)</f>
        <v>103.29</v>
      </c>
      <c r="D64" s="2">
        <f ca="1">IFERROR(__xludf.DUMMYFUNCTION("""COMPUTED_VALUE"""),101.43)</f>
        <v>101.43</v>
      </c>
      <c r="E64" s="2">
        <f ca="1">IFERROR(__xludf.DUMMYFUNCTION("""COMPUTED_VALUE"""),102.41)</f>
        <v>102.41</v>
      </c>
      <c r="F64" s="2">
        <f ca="1">IFERROR(__xludf.DUMMYFUNCTION("""COMPUTED_VALUE"""),41135733)</f>
        <v>41135733</v>
      </c>
    </row>
    <row r="65" spans="1:6" ht="12.5" x14ac:dyDescent="0.25">
      <c r="A65" s="3">
        <f ca="1">IFERROR(__xludf.DUMMYFUNCTION("""COMPUTED_VALUE"""),45020.6666666666)</f>
        <v>45020.666666666599</v>
      </c>
      <c r="B65" s="2">
        <f ca="1">IFERROR(__xludf.DUMMYFUNCTION("""COMPUTED_VALUE"""),102.75)</f>
        <v>102.75</v>
      </c>
      <c r="C65" s="2">
        <f ca="1">IFERROR(__xludf.DUMMYFUNCTION("""COMPUTED_VALUE"""),104.2)</f>
        <v>104.2</v>
      </c>
      <c r="D65" s="2">
        <f ca="1">IFERROR(__xludf.DUMMYFUNCTION("""COMPUTED_VALUE"""),102.11)</f>
        <v>102.11</v>
      </c>
      <c r="E65" s="2">
        <f ca="1">IFERROR(__xludf.DUMMYFUNCTION("""COMPUTED_VALUE"""),103.95)</f>
        <v>103.95</v>
      </c>
      <c r="F65" s="2">
        <f ca="1">IFERROR(__xludf.DUMMYFUNCTION("""COMPUTED_VALUE"""),48662496)</f>
        <v>48662496</v>
      </c>
    </row>
    <row r="66" spans="1:6" ht="12.5" x14ac:dyDescent="0.25">
      <c r="A66" s="3">
        <f ca="1">IFERROR(__xludf.DUMMYFUNCTION("""COMPUTED_VALUE"""),45021.6666666666)</f>
        <v>45021.666666666599</v>
      </c>
      <c r="B66" s="2">
        <f ca="1">IFERROR(__xludf.DUMMYFUNCTION("""COMPUTED_VALUE"""),103.91)</f>
        <v>103.91</v>
      </c>
      <c r="C66" s="2">
        <f ca="1">IFERROR(__xludf.DUMMYFUNCTION("""COMPUTED_VALUE"""),103.91)</f>
        <v>103.91</v>
      </c>
      <c r="D66" s="2">
        <f ca="1">IFERROR(__xludf.DUMMYFUNCTION("""COMPUTED_VALUE"""),100.75)</f>
        <v>100.75</v>
      </c>
      <c r="E66" s="2">
        <f ca="1">IFERROR(__xludf.DUMMYFUNCTION("""COMPUTED_VALUE"""),101.1)</f>
        <v>101.1</v>
      </c>
      <c r="F66" s="2">
        <f ca="1">IFERROR(__xludf.DUMMYFUNCTION("""COMPUTED_VALUE"""),45175393)</f>
        <v>45175393</v>
      </c>
    </row>
    <row r="67" spans="1:6" ht="12.5" x14ac:dyDescent="0.25">
      <c r="A67" s="3">
        <f ca="1">IFERROR(__xludf.DUMMYFUNCTION("""COMPUTED_VALUE"""),45022.6666666666)</f>
        <v>45022.666666666599</v>
      </c>
      <c r="B67" s="2">
        <f ca="1">IFERROR(__xludf.DUMMYFUNCTION("""COMPUTED_VALUE"""),100.75)</f>
        <v>100.75</v>
      </c>
      <c r="C67" s="2">
        <f ca="1">IFERROR(__xludf.DUMMYFUNCTION("""COMPUTED_VALUE"""),102.38)</f>
        <v>102.38</v>
      </c>
      <c r="D67" s="2">
        <f ca="1">IFERROR(__xludf.DUMMYFUNCTION("""COMPUTED_VALUE"""),99.8)</f>
        <v>99.8</v>
      </c>
      <c r="E67" s="2">
        <f ca="1">IFERROR(__xludf.DUMMYFUNCTION("""COMPUTED_VALUE"""),102.06)</f>
        <v>102.06</v>
      </c>
      <c r="F67" s="2">
        <f ca="1">IFERROR(__xludf.DUMMYFUNCTION("""COMPUTED_VALUE"""),43808020)</f>
        <v>43808020</v>
      </c>
    </row>
    <row r="68" spans="1:6" ht="12.5" x14ac:dyDescent="0.25">
      <c r="A68" s="3">
        <f ca="1">IFERROR(__xludf.DUMMYFUNCTION("""COMPUTED_VALUE"""),45026.6666666666)</f>
        <v>45026.666666666599</v>
      </c>
      <c r="B68" s="2">
        <f ca="1">IFERROR(__xludf.DUMMYFUNCTION("""COMPUTED_VALUE"""),100.96)</f>
        <v>100.96</v>
      </c>
      <c r="C68" s="2">
        <f ca="1">IFERROR(__xludf.DUMMYFUNCTION("""COMPUTED_VALUE"""),102.2)</f>
        <v>102.2</v>
      </c>
      <c r="D68" s="2">
        <f ca="1">IFERROR(__xludf.DUMMYFUNCTION("""COMPUTED_VALUE"""),99.57)</f>
        <v>99.57</v>
      </c>
      <c r="E68" s="2">
        <f ca="1">IFERROR(__xludf.DUMMYFUNCTION("""COMPUTED_VALUE"""),102.17)</f>
        <v>102.17</v>
      </c>
      <c r="F68" s="2">
        <f ca="1">IFERROR(__xludf.DUMMYFUNCTION("""COMPUTED_VALUE"""),37261185)</f>
        <v>37261185</v>
      </c>
    </row>
    <row r="69" spans="1:6" ht="12.5" x14ac:dyDescent="0.25">
      <c r="A69" s="3">
        <f ca="1">IFERROR(__xludf.DUMMYFUNCTION("""COMPUTED_VALUE"""),45027.6666666666)</f>
        <v>45027.666666666599</v>
      </c>
      <c r="B69" s="2">
        <f ca="1">IFERROR(__xludf.DUMMYFUNCTION("""COMPUTED_VALUE"""),100.8)</f>
        <v>100.8</v>
      </c>
      <c r="C69" s="2">
        <f ca="1">IFERROR(__xludf.DUMMYFUNCTION("""COMPUTED_VALUE"""),101)</f>
        <v>101</v>
      </c>
      <c r="D69" s="2">
        <f ca="1">IFERROR(__xludf.DUMMYFUNCTION("""COMPUTED_VALUE"""),99.01)</f>
        <v>99.01</v>
      </c>
      <c r="E69" s="2">
        <f ca="1">IFERROR(__xludf.DUMMYFUNCTION("""COMPUTED_VALUE"""),99.92)</f>
        <v>99.92</v>
      </c>
      <c r="F69" s="2">
        <f ca="1">IFERROR(__xludf.DUMMYFUNCTION("""COMPUTED_VALUE"""),60417847)</f>
        <v>60417847</v>
      </c>
    </row>
    <row r="70" spans="1:6" ht="12.5" x14ac:dyDescent="0.25">
      <c r="A70" s="3">
        <f ca="1">IFERROR(__xludf.DUMMYFUNCTION("""COMPUTED_VALUE"""),45028.6666666666)</f>
        <v>45028.666666666599</v>
      </c>
      <c r="B70" s="2">
        <f ca="1">IFERROR(__xludf.DUMMYFUNCTION("""COMPUTED_VALUE"""),100.4)</f>
        <v>100.4</v>
      </c>
      <c r="C70" s="2">
        <f ca="1">IFERROR(__xludf.DUMMYFUNCTION("""COMPUTED_VALUE"""),100.51)</f>
        <v>100.51</v>
      </c>
      <c r="D70" s="2">
        <f ca="1">IFERROR(__xludf.DUMMYFUNCTION("""COMPUTED_VALUE"""),97.71)</f>
        <v>97.71</v>
      </c>
      <c r="E70" s="2">
        <f ca="1">IFERROR(__xludf.DUMMYFUNCTION("""COMPUTED_VALUE"""),97.83)</f>
        <v>97.83</v>
      </c>
      <c r="F70" s="2">
        <f ca="1">IFERROR(__xludf.DUMMYFUNCTION("""COMPUTED_VALUE"""),56735007)</f>
        <v>56735007</v>
      </c>
    </row>
    <row r="71" spans="1:6" ht="12.5" x14ac:dyDescent="0.25">
      <c r="A71" s="3">
        <f ca="1">IFERROR(__xludf.DUMMYFUNCTION("""COMPUTED_VALUE"""),45029.6666666666)</f>
        <v>45029.666666666599</v>
      </c>
      <c r="B71" s="2">
        <f ca="1">IFERROR(__xludf.DUMMYFUNCTION("""COMPUTED_VALUE"""),98.95)</f>
        <v>98.95</v>
      </c>
      <c r="C71" s="2">
        <f ca="1">IFERROR(__xludf.DUMMYFUNCTION("""COMPUTED_VALUE"""),102.57)</f>
        <v>102.57</v>
      </c>
      <c r="D71" s="2">
        <f ca="1">IFERROR(__xludf.DUMMYFUNCTION("""COMPUTED_VALUE"""),98.71)</f>
        <v>98.71</v>
      </c>
      <c r="E71" s="2">
        <f ca="1">IFERROR(__xludf.DUMMYFUNCTION("""COMPUTED_VALUE"""),102.4)</f>
        <v>102.4</v>
      </c>
      <c r="F71" s="2">
        <f ca="1">IFERROR(__xludf.DUMMYFUNCTION("""COMPUTED_VALUE"""),67925138)</f>
        <v>67925138</v>
      </c>
    </row>
    <row r="72" spans="1:6" ht="12.5" x14ac:dyDescent="0.25">
      <c r="A72" s="3">
        <f ca="1">IFERROR(__xludf.DUMMYFUNCTION("""COMPUTED_VALUE"""),45030.6666666666)</f>
        <v>45030.666666666599</v>
      </c>
      <c r="B72" s="2">
        <f ca="1">IFERROR(__xludf.DUMMYFUNCTION("""COMPUTED_VALUE"""),102.07)</f>
        <v>102.07</v>
      </c>
      <c r="C72" s="2">
        <f ca="1">IFERROR(__xludf.DUMMYFUNCTION("""COMPUTED_VALUE"""),103.2)</f>
        <v>103.2</v>
      </c>
      <c r="D72" s="2">
        <f ca="1">IFERROR(__xludf.DUMMYFUNCTION("""COMPUTED_VALUE"""),101.11)</f>
        <v>101.11</v>
      </c>
      <c r="E72" s="2">
        <f ca="1">IFERROR(__xludf.DUMMYFUNCTION("""COMPUTED_VALUE"""),102.51)</f>
        <v>102.51</v>
      </c>
      <c r="F72" s="2">
        <f ca="1">IFERROR(__xludf.DUMMYFUNCTION("""COMPUTED_VALUE"""),51450522)</f>
        <v>51450522</v>
      </c>
    </row>
    <row r="73" spans="1:6" ht="12.5" x14ac:dyDescent="0.25">
      <c r="A73" s="3">
        <f ca="1">IFERROR(__xludf.DUMMYFUNCTION("""COMPUTED_VALUE"""),45033.6666666666)</f>
        <v>45033.666666666599</v>
      </c>
      <c r="B73" s="2">
        <f ca="1">IFERROR(__xludf.DUMMYFUNCTION("""COMPUTED_VALUE"""),103.16)</f>
        <v>103.16</v>
      </c>
      <c r="C73" s="2">
        <f ca="1">IFERROR(__xludf.DUMMYFUNCTION("""COMPUTED_VALUE"""),103.73)</f>
        <v>103.73</v>
      </c>
      <c r="D73" s="2">
        <f ca="1">IFERROR(__xludf.DUMMYFUNCTION("""COMPUTED_VALUE"""),101.59)</f>
        <v>101.59</v>
      </c>
      <c r="E73" s="2">
        <f ca="1">IFERROR(__xludf.DUMMYFUNCTION("""COMPUTED_VALUE"""),102.74)</f>
        <v>102.74</v>
      </c>
      <c r="F73" s="2">
        <f ca="1">IFERROR(__xludf.DUMMYFUNCTION("""COMPUTED_VALUE"""),39919457)</f>
        <v>39919457</v>
      </c>
    </row>
    <row r="74" spans="1:6" ht="12.5" x14ac:dyDescent="0.25">
      <c r="A74" s="3">
        <f ca="1">IFERROR(__xludf.DUMMYFUNCTION("""COMPUTED_VALUE"""),45034.6666666666)</f>
        <v>45034.666666666599</v>
      </c>
      <c r="B74" s="2">
        <f ca="1">IFERROR(__xludf.DUMMYFUNCTION("""COMPUTED_VALUE"""),103.95)</f>
        <v>103.95</v>
      </c>
      <c r="C74" s="2">
        <f ca="1">IFERROR(__xludf.DUMMYFUNCTION("""COMPUTED_VALUE"""),104.2)</f>
        <v>104.2</v>
      </c>
      <c r="D74" s="2">
        <f ca="1">IFERROR(__xludf.DUMMYFUNCTION("""COMPUTED_VALUE"""),101.52)</f>
        <v>101.52</v>
      </c>
      <c r="E74" s="2">
        <f ca="1">IFERROR(__xludf.DUMMYFUNCTION("""COMPUTED_VALUE"""),102.3)</f>
        <v>102.3</v>
      </c>
      <c r="F74" s="2">
        <f ca="1">IFERROR(__xludf.DUMMYFUNCTION("""COMPUTED_VALUE"""),39790518)</f>
        <v>39790518</v>
      </c>
    </row>
    <row r="75" spans="1:6" ht="12.5" x14ac:dyDescent="0.25">
      <c r="A75" s="3">
        <f ca="1">IFERROR(__xludf.DUMMYFUNCTION("""COMPUTED_VALUE"""),45035.6666666666)</f>
        <v>45035.666666666599</v>
      </c>
      <c r="B75" s="2">
        <f ca="1">IFERROR(__xludf.DUMMYFUNCTION("""COMPUTED_VALUE"""),101.58)</f>
        <v>101.58</v>
      </c>
      <c r="C75" s="2">
        <f ca="1">IFERROR(__xludf.DUMMYFUNCTION("""COMPUTED_VALUE"""),105.12)</f>
        <v>105.12</v>
      </c>
      <c r="D75" s="2">
        <f ca="1">IFERROR(__xludf.DUMMYFUNCTION("""COMPUTED_VALUE"""),101.39)</f>
        <v>101.39</v>
      </c>
      <c r="E75" s="2">
        <f ca="1">IFERROR(__xludf.DUMMYFUNCTION("""COMPUTED_VALUE"""),104.3)</f>
        <v>104.3</v>
      </c>
      <c r="F75" s="2">
        <f ca="1">IFERROR(__xludf.DUMMYFUNCTION("""COMPUTED_VALUE"""),58398890)</f>
        <v>58398890</v>
      </c>
    </row>
    <row r="76" spans="1:6" ht="12.5" x14ac:dyDescent="0.25">
      <c r="A76" s="3">
        <f ca="1">IFERROR(__xludf.DUMMYFUNCTION("""COMPUTED_VALUE"""),45036.6666666666)</f>
        <v>45036.666666666599</v>
      </c>
      <c r="B76" s="2">
        <f ca="1">IFERROR(__xludf.DUMMYFUNCTION("""COMPUTED_VALUE"""),103.53)</f>
        <v>103.53</v>
      </c>
      <c r="C76" s="2">
        <f ca="1">IFERROR(__xludf.DUMMYFUNCTION("""COMPUTED_VALUE"""),105.25)</f>
        <v>105.25</v>
      </c>
      <c r="D76" s="2">
        <f ca="1">IFERROR(__xludf.DUMMYFUNCTION("""COMPUTED_VALUE"""),103.21)</f>
        <v>103.21</v>
      </c>
      <c r="E76" s="2">
        <f ca="1">IFERROR(__xludf.DUMMYFUNCTION("""COMPUTED_VALUE"""),103.81)</f>
        <v>103.81</v>
      </c>
      <c r="F76" s="2">
        <f ca="1">IFERROR(__xludf.DUMMYFUNCTION("""COMPUTED_VALUE"""),57696866)</f>
        <v>57696866</v>
      </c>
    </row>
    <row r="77" spans="1:6" ht="12.5" x14ac:dyDescent="0.25">
      <c r="A77" s="3">
        <f ca="1">IFERROR(__xludf.DUMMYFUNCTION("""COMPUTED_VALUE"""),45037.6666666666)</f>
        <v>45037.666666666599</v>
      </c>
      <c r="B77" s="2">
        <f ca="1">IFERROR(__xludf.DUMMYFUNCTION("""COMPUTED_VALUE"""),106.1)</f>
        <v>106.1</v>
      </c>
      <c r="C77" s="2">
        <f ca="1">IFERROR(__xludf.DUMMYFUNCTION("""COMPUTED_VALUE"""),108.15)</f>
        <v>108.15</v>
      </c>
      <c r="D77" s="2">
        <f ca="1">IFERROR(__xludf.DUMMYFUNCTION("""COMPUTED_VALUE"""),105.08)</f>
        <v>105.08</v>
      </c>
      <c r="E77" s="2">
        <f ca="1">IFERROR(__xludf.DUMMYFUNCTION("""COMPUTED_VALUE"""),106.96)</f>
        <v>106.96</v>
      </c>
      <c r="F77" s="2">
        <f ca="1">IFERROR(__xludf.DUMMYFUNCTION("""COMPUTED_VALUE"""),86774185)</f>
        <v>86774185</v>
      </c>
    </row>
    <row r="78" spans="1:6" ht="12.5" x14ac:dyDescent="0.25">
      <c r="A78" s="3">
        <f ca="1">IFERROR(__xludf.DUMMYFUNCTION("""COMPUTED_VALUE"""),45040.6666666666)</f>
        <v>45040.666666666599</v>
      </c>
      <c r="B78" s="2">
        <f ca="1">IFERROR(__xludf.DUMMYFUNCTION("""COMPUTED_VALUE"""),107.66)</f>
        <v>107.66</v>
      </c>
      <c r="C78" s="2">
        <f ca="1">IFERROR(__xludf.DUMMYFUNCTION("""COMPUTED_VALUE"""),109.23)</f>
        <v>109.23</v>
      </c>
      <c r="D78" s="2">
        <f ca="1">IFERROR(__xludf.DUMMYFUNCTION("""COMPUTED_VALUE"""),105.07)</f>
        <v>105.07</v>
      </c>
      <c r="E78" s="2">
        <f ca="1">IFERROR(__xludf.DUMMYFUNCTION("""COMPUTED_VALUE"""),106.21)</f>
        <v>106.21</v>
      </c>
      <c r="F78" s="2">
        <f ca="1">IFERROR(__xludf.DUMMYFUNCTION("""COMPUTED_VALUE"""),69575610)</f>
        <v>69575610</v>
      </c>
    </row>
    <row r="79" spans="1:6" ht="12.5" x14ac:dyDescent="0.25">
      <c r="A79" s="3">
        <f ca="1">IFERROR(__xludf.DUMMYFUNCTION("""COMPUTED_VALUE"""),45041.6666666666)</f>
        <v>45041.666666666599</v>
      </c>
      <c r="B79" s="2">
        <f ca="1">IFERROR(__xludf.DUMMYFUNCTION("""COMPUTED_VALUE"""),104.91)</f>
        <v>104.91</v>
      </c>
      <c r="C79" s="2">
        <f ca="1">IFERROR(__xludf.DUMMYFUNCTION("""COMPUTED_VALUE"""),105.45)</f>
        <v>105.45</v>
      </c>
      <c r="D79" s="2">
        <f ca="1">IFERROR(__xludf.DUMMYFUNCTION("""COMPUTED_VALUE"""),102.45)</f>
        <v>102.45</v>
      </c>
      <c r="E79" s="2">
        <f ca="1">IFERROR(__xludf.DUMMYFUNCTION("""COMPUTED_VALUE"""),102.57)</f>
        <v>102.57</v>
      </c>
      <c r="F79" s="2">
        <f ca="1">IFERROR(__xludf.DUMMYFUNCTION("""COMPUTED_VALUE"""),65026818)</f>
        <v>65026818</v>
      </c>
    </row>
    <row r="80" spans="1:6" ht="12.5" x14ac:dyDescent="0.25">
      <c r="A80" s="3">
        <f ca="1">IFERROR(__xludf.DUMMYFUNCTION("""COMPUTED_VALUE"""),45042.6666666666)</f>
        <v>45042.666666666599</v>
      </c>
      <c r="B80" s="2">
        <f ca="1">IFERROR(__xludf.DUMMYFUNCTION("""COMPUTED_VALUE"""),105.04)</f>
        <v>105.04</v>
      </c>
      <c r="C80" s="2">
        <f ca="1">IFERROR(__xludf.DUMMYFUNCTION("""COMPUTED_VALUE"""),106.62)</f>
        <v>106.62</v>
      </c>
      <c r="D80" s="2">
        <f ca="1">IFERROR(__xludf.DUMMYFUNCTION("""COMPUTED_VALUE"""),104.1)</f>
        <v>104.1</v>
      </c>
      <c r="E80" s="2">
        <f ca="1">IFERROR(__xludf.DUMMYFUNCTION("""COMPUTED_VALUE"""),104.98)</f>
        <v>104.98</v>
      </c>
      <c r="F80" s="2">
        <f ca="1">IFERROR(__xludf.DUMMYFUNCTION("""COMPUTED_VALUE"""),73803790)</f>
        <v>73803790</v>
      </c>
    </row>
    <row r="81" spans="1:6" ht="12.5" x14ac:dyDescent="0.25">
      <c r="A81" s="3">
        <f ca="1">IFERROR(__xludf.DUMMYFUNCTION("""COMPUTED_VALUE"""),45043.6666666666)</f>
        <v>45043.666666666599</v>
      </c>
      <c r="B81" s="2">
        <f ca="1">IFERROR(__xludf.DUMMYFUNCTION("""COMPUTED_VALUE"""),108.16)</f>
        <v>108.16</v>
      </c>
      <c r="C81" s="2">
        <f ca="1">IFERROR(__xludf.DUMMYFUNCTION("""COMPUTED_VALUE"""),110.86)</f>
        <v>110.86</v>
      </c>
      <c r="D81" s="2">
        <f ca="1">IFERROR(__xludf.DUMMYFUNCTION("""COMPUTED_VALUE"""),106.8)</f>
        <v>106.8</v>
      </c>
      <c r="E81" s="2">
        <f ca="1">IFERROR(__xludf.DUMMYFUNCTION("""COMPUTED_VALUE"""),109.82)</f>
        <v>109.82</v>
      </c>
      <c r="F81" s="2">
        <f ca="1">IFERROR(__xludf.DUMMYFUNCTION("""COMPUTED_VALUE"""),149961167)</f>
        <v>149961167</v>
      </c>
    </row>
    <row r="82" spans="1:6" ht="12.5" x14ac:dyDescent="0.25">
      <c r="A82" s="3">
        <f ca="1">IFERROR(__xludf.DUMMYFUNCTION("""COMPUTED_VALUE"""),45044.6666666666)</f>
        <v>45044.666666666599</v>
      </c>
      <c r="B82" s="2">
        <f ca="1">IFERROR(__xludf.DUMMYFUNCTION("""COMPUTED_VALUE"""),107.73)</f>
        <v>107.73</v>
      </c>
      <c r="C82" s="2">
        <f ca="1">IFERROR(__xludf.DUMMYFUNCTION("""COMPUTED_VALUE"""),109.48)</f>
        <v>109.48</v>
      </c>
      <c r="D82" s="2">
        <f ca="1">IFERROR(__xludf.DUMMYFUNCTION("""COMPUTED_VALUE"""),104.33)</f>
        <v>104.33</v>
      </c>
      <c r="E82" s="2">
        <f ca="1">IFERROR(__xludf.DUMMYFUNCTION("""COMPUTED_VALUE"""),105.45)</f>
        <v>105.45</v>
      </c>
      <c r="F82" s="2">
        <f ca="1">IFERROR(__xludf.DUMMYFUNCTION("""COMPUTED_VALUE"""),130715946)</f>
        <v>130715946</v>
      </c>
    </row>
    <row r="83" spans="1:6" ht="12.5" x14ac:dyDescent="0.25">
      <c r="A83" s="3">
        <f ca="1">IFERROR(__xludf.DUMMYFUNCTION("""COMPUTED_VALUE"""),45047.6666666666)</f>
        <v>45047.666666666599</v>
      </c>
      <c r="B83" s="2">
        <f ca="1">IFERROR(__xludf.DUMMYFUNCTION("""COMPUTED_VALUE"""),104.95)</f>
        <v>104.95</v>
      </c>
      <c r="C83" s="2">
        <f ca="1">IFERROR(__xludf.DUMMYFUNCTION("""COMPUTED_VALUE"""),105.23)</f>
        <v>105.23</v>
      </c>
      <c r="D83" s="2">
        <f ca="1">IFERROR(__xludf.DUMMYFUNCTION("""COMPUTED_VALUE"""),101.82)</f>
        <v>101.82</v>
      </c>
      <c r="E83" s="2">
        <f ca="1">IFERROR(__xludf.DUMMYFUNCTION("""COMPUTED_VALUE"""),102.05)</f>
        <v>102.05</v>
      </c>
      <c r="F83" s="2">
        <f ca="1">IFERROR(__xludf.DUMMYFUNCTION("""COMPUTED_VALUE"""),74728096)</f>
        <v>74728096</v>
      </c>
    </row>
    <row r="84" spans="1:6" ht="12.5" x14ac:dyDescent="0.25">
      <c r="A84" s="3">
        <f ca="1">IFERROR(__xludf.DUMMYFUNCTION("""COMPUTED_VALUE"""),45048.6666666666)</f>
        <v>45048.666666666599</v>
      </c>
      <c r="B84" s="2">
        <f ca="1">IFERROR(__xludf.DUMMYFUNCTION("""COMPUTED_VALUE"""),101.47)</f>
        <v>101.47</v>
      </c>
      <c r="C84" s="2">
        <f ca="1">IFERROR(__xludf.DUMMYFUNCTION("""COMPUTED_VALUE"""),103.9)</f>
        <v>103.9</v>
      </c>
      <c r="D84" s="2">
        <f ca="1">IFERROR(__xludf.DUMMYFUNCTION("""COMPUTED_VALUE"""),101.15)</f>
        <v>101.15</v>
      </c>
      <c r="E84" s="2">
        <f ca="1">IFERROR(__xludf.DUMMYFUNCTION("""COMPUTED_VALUE"""),103.63)</f>
        <v>103.63</v>
      </c>
      <c r="F84" s="2">
        <f ca="1">IFERROR(__xludf.DUMMYFUNCTION("""COMPUTED_VALUE"""),73469350)</f>
        <v>73469350</v>
      </c>
    </row>
    <row r="85" spans="1:6" ht="12.5" x14ac:dyDescent="0.25">
      <c r="A85" s="3">
        <f ca="1">IFERROR(__xludf.DUMMYFUNCTION("""COMPUTED_VALUE"""),45049.6666666666)</f>
        <v>45049.666666666599</v>
      </c>
      <c r="B85" s="2">
        <f ca="1">IFERROR(__xludf.DUMMYFUNCTION("""COMPUTED_VALUE"""),103.74)</f>
        <v>103.74</v>
      </c>
      <c r="C85" s="2">
        <f ca="1">IFERROR(__xludf.DUMMYFUNCTION("""COMPUTED_VALUE"""),105.96)</f>
        <v>105.96</v>
      </c>
      <c r="D85" s="2">
        <f ca="1">IFERROR(__xludf.DUMMYFUNCTION("""COMPUTED_VALUE"""),103.28)</f>
        <v>103.28</v>
      </c>
      <c r="E85" s="2">
        <f ca="1">IFERROR(__xludf.DUMMYFUNCTION("""COMPUTED_VALUE"""),103.65)</f>
        <v>103.65</v>
      </c>
      <c r="F85" s="2">
        <f ca="1">IFERROR(__xludf.DUMMYFUNCTION("""COMPUTED_VALUE"""),65051925)</f>
        <v>65051925</v>
      </c>
    </row>
    <row r="86" spans="1:6" ht="12.5" x14ac:dyDescent="0.25">
      <c r="A86" s="3">
        <f ca="1">IFERROR(__xludf.DUMMYFUNCTION("""COMPUTED_VALUE"""),45050.6666666666)</f>
        <v>45050.666666666599</v>
      </c>
      <c r="B86" s="2">
        <f ca="1">IFERROR(__xludf.DUMMYFUNCTION("""COMPUTED_VALUE"""),104.04)</f>
        <v>104.04</v>
      </c>
      <c r="C86" s="2">
        <f ca="1">IFERROR(__xludf.DUMMYFUNCTION("""COMPUTED_VALUE"""),105.39)</f>
        <v>105.39</v>
      </c>
      <c r="D86" s="2">
        <f ca="1">IFERROR(__xludf.DUMMYFUNCTION("""COMPUTED_VALUE"""),103.31)</f>
        <v>103.31</v>
      </c>
      <c r="E86" s="2">
        <f ca="1">IFERROR(__xludf.DUMMYFUNCTION("""COMPUTED_VALUE"""),104)</f>
        <v>104</v>
      </c>
      <c r="F86" s="2">
        <f ca="1">IFERROR(__xludf.DUMMYFUNCTION("""COMPUTED_VALUE"""),45345523)</f>
        <v>45345523</v>
      </c>
    </row>
    <row r="87" spans="1:6" ht="12.5" x14ac:dyDescent="0.25">
      <c r="A87" s="3">
        <f ca="1">IFERROR(__xludf.DUMMYFUNCTION("""COMPUTED_VALUE"""),45051.6666666666)</f>
        <v>45051.666666666599</v>
      </c>
      <c r="B87" s="2">
        <f ca="1">IFERROR(__xludf.DUMMYFUNCTION("""COMPUTED_VALUE"""),104.27)</f>
        <v>104.27</v>
      </c>
      <c r="C87" s="2">
        <f ca="1">IFERROR(__xludf.DUMMYFUNCTION("""COMPUTED_VALUE"""),105.76)</f>
        <v>105.76</v>
      </c>
      <c r="D87" s="2">
        <f ca="1">IFERROR(__xludf.DUMMYFUNCTION("""COMPUTED_VALUE"""),103.55)</f>
        <v>103.55</v>
      </c>
      <c r="E87" s="2">
        <f ca="1">IFERROR(__xludf.DUMMYFUNCTION("""COMPUTED_VALUE"""),105.66)</f>
        <v>105.66</v>
      </c>
      <c r="F87" s="2">
        <f ca="1">IFERROR(__xludf.DUMMYFUNCTION("""COMPUTED_VALUE"""),56951744)</f>
        <v>56951744</v>
      </c>
    </row>
    <row r="88" spans="1:6" ht="12.5" x14ac:dyDescent="0.25">
      <c r="A88" s="3">
        <f ca="1">IFERROR(__xludf.DUMMYFUNCTION("""COMPUTED_VALUE"""),45054.6666666666)</f>
        <v>45054.666666666599</v>
      </c>
      <c r="B88" s="2">
        <f ca="1">IFERROR(__xludf.DUMMYFUNCTION("""COMPUTED_VALUE"""),105.04)</f>
        <v>105.04</v>
      </c>
      <c r="C88" s="2">
        <f ca="1">IFERROR(__xludf.DUMMYFUNCTION("""COMPUTED_VALUE"""),106.1)</f>
        <v>106.1</v>
      </c>
      <c r="D88" s="2">
        <f ca="1">IFERROR(__xludf.DUMMYFUNCTION("""COMPUTED_VALUE"""),104.7)</f>
        <v>104.7</v>
      </c>
      <c r="E88" s="2">
        <f ca="1">IFERROR(__xludf.DUMMYFUNCTION("""COMPUTED_VALUE"""),105.83)</f>
        <v>105.83</v>
      </c>
      <c r="F88" s="2">
        <f ca="1">IFERROR(__xludf.DUMMYFUNCTION("""COMPUTED_VALUE"""),49430909)</f>
        <v>49430909</v>
      </c>
    </row>
    <row r="89" spans="1:6" ht="12.5" x14ac:dyDescent="0.25">
      <c r="A89" s="3">
        <f ca="1">IFERROR(__xludf.DUMMYFUNCTION("""COMPUTED_VALUE"""),45055.6666666666)</f>
        <v>45055.666666666599</v>
      </c>
      <c r="B89" s="2">
        <f ca="1">IFERROR(__xludf.DUMMYFUNCTION("""COMPUTED_VALUE"""),105.48)</f>
        <v>105.48</v>
      </c>
      <c r="C89" s="2">
        <f ca="1">IFERROR(__xludf.DUMMYFUNCTION("""COMPUTED_VALUE"""),106.79)</f>
        <v>106.79</v>
      </c>
      <c r="D89" s="2">
        <f ca="1">IFERROR(__xludf.DUMMYFUNCTION("""COMPUTED_VALUE"""),105.16)</f>
        <v>105.16</v>
      </c>
      <c r="E89" s="2">
        <f ca="1">IFERROR(__xludf.DUMMYFUNCTION("""COMPUTED_VALUE"""),106.62)</f>
        <v>106.62</v>
      </c>
      <c r="F89" s="2">
        <f ca="1">IFERROR(__xludf.DUMMYFUNCTION("""COMPUTED_VALUE"""),44089359)</f>
        <v>44089359</v>
      </c>
    </row>
    <row r="90" spans="1:6" ht="12.5" x14ac:dyDescent="0.25">
      <c r="A90" s="3">
        <f ca="1">IFERROR(__xludf.DUMMYFUNCTION("""COMPUTED_VALUE"""),45056.6666666666)</f>
        <v>45056.666666666599</v>
      </c>
      <c r="B90" s="2">
        <f ca="1">IFERROR(__xludf.DUMMYFUNCTION("""COMPUTED_VALUE"""),108.1)</f>
        <v>108.1</v>
      </c>
      <c r="C90" s="2">
        <f ca="1">IFERROR(__xludf.DUMMYFUNCTION("""COMPUTED_VALUE"""),110.67)</f>
        <v>110.67</v>
      </c>
      <c r="D90" s="2">
        <f ca="1">IFERROR(__xludf.DUMMYFUNCTION("""COMPUTED_VALUE"""),108.05)</f>
        <v>108.05</v>
      </c>
      <c r="E90" s="2">
        <f ca="1">IFERROR(__xludf.DUMMYFUNCTION("""COMPUTED_VALUE"""),110.19)</f>
        <v>110.19</v>
      </c>
      <c r="F90" s="2">
        <f ca="1">IFERROR(__xludf.DUMMYFUNCTION("""COMPUTED_VALUE"""),78627616)</f>
        <v>78627616</v>
      </c>
    </row>
    <row r="91" spans="1:6" ht="12.5" x14ac:dyDescent="0.25">
      <c r="A91" s="3">
        <f ca="1">IFERROR(__xludf.DUMMYFUNCTION("""COMPUTED_VALUE"""),45057.6666666666)</f>
        <v>45057.666666666599</v>
      </c>
      <c r="B91" s="2">
        <f ca="1">IFERROR(__xludf.DUMMYFUNCTION("""COMPUTED_VALUE"""),111.03)</f>
        <v>111.03</v>
      </c>
      <c r="C91" s="2">
        <f ca="1">IFERROR(__xludf.DUMMYFUNCTION("""COMPUTED_VALUE"""),113.28)</f>
        <v>113.28</v>
      </c>
      <c r="D91" s="2">
        <f ca="1">IFERROR(__xludf.DUMMYFUNCTION("""COMPUTED_VALUE"""),110.49)</f>
        <v>110.49</v>
      </c>
      <c r="E91" s="2">
        <f ca="1">IFERROR(__xludf.DUMMYFUNCTION("""COMPUTED_VALUE"""),112.18)</f>
        <v>112.18</v>
      </c>
      <c r="F91" s="2">
        <f ca="1">IFERROR(__xludf.DUMMYFUNCTION("""COMPUTED_VALUE"""),74924841)</f>
        <v>74924841</v>
      </c>
    </row>
    <row r="92" spans="1:6" ht="12.5" x14ac:dyDescent="0.25">
      <c r="A92" s="3">
        <f ca="1">IFERROR(__xludf.DUMMYFUNCTION("""COMPUTED_VALUE"""),45058.6666666666)</f>
        <v>45058.666666666599</v>
      </c>
      <c r="B92" s="2">
        <f ca="1">IFERROR(__xludf.DUMMYFUNCTION("""COMPUTED_VALUE"""),112.16)</f>
        <v>112.16</v>
      </c>
      <c r="C92" s="2">
        <f ca="1">IFERROR(__xludf.DUMMYFUNCTION("""COMPUTED_VALUE"""),112.64)</f>
        <v>112.64</v>
      </c>
      <c r="D92" s="2">
        <f ca="1">IFERROR(__xludf.DUMMYFUNCTION("""COMPUTED_VALUE"""),109.32)</f>
        <v>109.32</v>
      </c>
      <c r="E92" s="2">
        <f ca="1">IFERROR(__xludf.DUMMYFUNCTION("""COMPUTED_VALUE"""),110.26)</f>
        <v>110.26</v>
      </c>
      <c r="F92" s="2">
        <f ca="1">IFERROR(__xludf.DUMMYFUNCTION("""COMPUTED_VALUE"""),49852671)</f>
        <v>49852671</v>
      </c>
    </row>
    <row r="93" spans="1:6" ht="12.5" x14ac:dyDescent="0.25">
      <c r="A93" s="3">
        <f ca="1">IFERROR(__xludf.DUMMYFUNCTION("""COMPUTED_VALUE"""),45061.6666666666)</f>
        <v>45061.666666666599</v>
      </c>
      <c r="B93" s="2">
        <f ca="1">IFERROR(__xludf.DUMMYFUNCTION("""COMPUTED_VALUE"""),111.15)</f>
        <v>111.15</v>
      </c>
      <c r="C93" s="2">
        <f ca="1">IFERROR(__xludf.DUMMYFUNCTION("""COMPUTED_VALUE"""),112.29)</f>
        <v>112.29</v>
      </c>
      <c r="D93" s="2">
        <f ca="1">IFERROR(__xludf.DUMMYFUNCTION("""COMPUTED_VALUE"""),109.25)</f>
        <v>109.25</v>
      </c>
      <c r="E93" s="2">
        <f ca="1">IFERROR(__xludf.DUMMYFUNCTION("""COMPUTED_VALUE"""),111.2)</f>
        <v>111.2</v>
      </c>
      <c r="F93" s="2">
        <f ca="1">IFERROR(__xludf.DUMMYFUNCTION("""COMPUTED_VALUE"""),53011145)</f>
        <v>53011145</v>
      </c>
    </row>
    <row r="94" spans="1:6" ht="12.5" x14ac:dyDescent="0.25">
      <c r="A94" s="3">
        <f ca="1">IFERROR(__xludf.DUMMYFUNCTION("""COMPUTED_VALUE"""),45062.6666666666)</f>
        <v>45062.666666666599</v>
      </c>
      <c r="B94" s="2">
        <f ca="1">IFERROR(__xludf.DUMMYFUNCTION("""COMPUTED_VALUE"""),111.05)</f>
        <v>111.05</v>
      </c>
      <c r="C94" s="2">
        <f ca="1">IFERROR(__xludf.DUMMYFUNCTION("""COMPUTED_VALUE"""),114.79)</f>
        <v>114.79</v>
      </c>
      <c r="D94" s="2">
        <f ca="1">IFERROR(__xludf.DUMMYFUNCTION("""COMPUTED_VALUE"""),111.05)</f>
        <v>111.05</v>
      </c>
      <c r="E94" s="2">
        <f ca="1">IFERROR(__xludf.DUMMYFUNCTION("""COMPUTED_VALUE"""),113.4)</f>
        <v>113.4</v>
      </c>
      <c r="F94" s="2">
        <f ca="1">IFERROR(__xludf.DUMMYFUNCTION("""COMPUTED_VALUE"""),71472908)</f>
        <v>71472908</v>
      </c>
    </row>
    <row r="95" spans="1:6" ht="12.5" x14ac:dyDescent="0.25">
      <c r="A95" s="3">
        <f ca="1">IFERROR(__xludf.DUMMYFUNCTION("""COMPUTED_VALUE"""),45063.6666666666)</f>
        <v>45063.666666666599</v>
      </c>
      <c r="B95" s="2">
        <f ca="1">IFERROR(__xludf.DUMMYFUNCTION("""COMPUTED_VALUE"""),114.89)</f>
        <v>114.89</v>
      </c>
      <c r="C95" s="2">
        <f ca="1">IFERROR(__xludf.DUMMYFUNCTION("""COMPUTED_VALUE"""),115.83)</f>
        <v>115.83</v>
      </c>
      <c r="D95" s="2">
        <f ca="1">IFERROR(__xludf.DUMMYFUNCTION("""COMPUTED_VALUE"""),114.22)</f>
        <v>114.22</v>
      </c>
      <c r="E95" s="2">
        <f ca="1">IFERROR(__xludf.DUMMYFUNCTION("""COMPUTED_VALUE"""),115.5)</f>
        <v>115.5</v>
      </c>
      <c r="F95" s="2">
        <f ca="1">IFERROR(__xludf.DUMMYFUNCTION("""COMPUTED_VALUE"""),65655177)</f>
        <v>65655177</v>
      </c>
    </row>
    <row r="96" spans="1:6" ht="12.5" x14ac:dyDescent="0.25">
      <c r="A96" s="3">
        <f ca="1">IFERROR(__xludf.DUMMYFUNCTION("""COMPUTED_VALUE"""),45064.6666666666)</f>
        <v>45064.666666666599</v>
      </c>
      <c r="B96" s="2">
        <f ca="1">IFERROR(__xludf.DUMMYFUNCTION("""COMPUTED_VALUE"""),116.69)</f>
        <v>116.69</v>
      </c>
      <c r="C96" s="2">
        <f ca="1">IFERROR(__xludf.DUMMYFUNCTION("""COMPUTED_VALUE"""),118.6)</f>
        <v>118.6</v>
      </c>
      <c r="D96" s="2">
        <f ca="1">IFERROR(__xludf.DUMMYFUNCTION("""COMPUTED_VALUE"""),116.34)</f>
        <v>116.34</v>
      </c>
      <c r="E96" s="2">
        <f ca="1">IFERROR(__xludf.DUMMYFUNCTION("""COMPUTED_VALUE"""),118.15)</f>
        <v>118.15</v>
      </c>
      <c r="F96" s="2">
        <f ca="1">IFERROR(__xludf.DUMMYFUNCTION("""COMPUTED_VALUE"""),73174087)</f>
        <v>73174087</v>
      </c>
    </row>
    <row r="97" spans="1:6" ht="12.5" x14ac:dyDescent="0.25">
      <c r="A97" s="3">
        <f ca="1">IFERROR(__xludf.DUMMYFUNCTION("""COMPUTED_VALUE"""),45065.6666666666)</f>
        <v>45065.666666666599</v>
      </c>
      <c r="B97" s="2">
        <f ca="1">IFERROR(__xludf.DUMMYFUNCTION("""COMPUTED_VALUE"""),118.16)</f>
        <v>118.16</v>
      </c>
      <c r="C97" s="2">
        <f ca="1">IFERROR(__xludf.DUMMYFUNCTION("""COMPUTED_VALUE"""),118.31)</f>
        <v>118.31</v>
      </c>
      <c r="D97" s="2">
        <f ca="1">IFERROR(__xludf.DUMMYFUNCTION("""COMPUTED_VALUE"""),115.7)</f>
        <v>115.7</v>
      </c>
      <c r="E97" s="2">
        <f ca="1">IFERROR(__xludf.DUMMYFUNCTION("""COMPUTED_VALUE"""),116.25)</f>
        <v>116.25</v>
      </c>
      <c r="F97" s="2">
        <f ca="1">IFERROR(__xludf.DUMMYFUNCTION("""COMPUTED_VALUE"""),55056307)</f>
        <v>55056307</v>
      </c>
    </row>
    <row r="98" spans="1:6" ht="12.5" x14ac:dyDescent="0.25">
      <c r="A98" s="3">
        <f ca="1">IFERROR(__xludf.DUMMYFUNCTION("""COMPUTED_VALUE"""),45068.6666666666)</f>
        <v>45068.666666666599</v>
      </c>
      <c r="B98" s="2">
        <f ca="1">IFERROR(__xludf.DUMMYFUNCTION("""COMPUTED_VALUE"""),116.77)</f>
        <v>116.77</v>
      </c>
      <c r="C98" s="2">
        <f ca="1">IFERROR(__xludf.DUMMYFUNCTION("""COMPUTED_VALUE"""),116.77)</f>
        <v>116.77</v>
      </c>
      <c r="D98" s="2">
        <f ca="1">IFERROR(__xludf.DUMMYFUNCTION("""COMPUTED_VALUE"""),114.25)</f>
        <v>114.25</v>
      </c>
      <c r="E98" s="2">
        <f ca="1">IFERROR(__xludf.DUMMYFUNCTION("""COMPUTED_VALUE"""),115.01)</f>
        <v>115.01</v>
      </c>
      <c r="F98" s="2">
        <f ca="1">IFERROR(__xludf.DUMMYFUNCTION("""COMPUTED_VALUE"""),70741123)</f>
        <v>70741123</v>
      </c>
    </row>
    <row r="99" spans="1:6" ht="12.5" x14ac:dyDescent="0.25">
      <c r="A99" s="3">
        <f ca="1">IFERROR(__xludf.DUMMYFUNCTION("""COMPUTED_VALUE"""),45069.6666666666)</f>
        <v>45069.666666666599</v>
      </c>
      <c r="B99" s="2">
        <f ca="1">IFERROR(__xludf.DUMMYFUNCTION("""COMPUTED_VALUE"""),114.27)</f>
        <v>114.27</v>
      </c>
      <c r="C99" s="2">
        <f ca="1">IFERROR(__xludf.DUMMYFUNCTION("""COMPUTED_VALUE"""),117.14)</f>
        <v>117.14</v>
      </c>
      <c r="D99" s="2">
        <f ca="1">IFERROR(__xludf.DUMMYFUNCTION("""COMPUTED_VALUE"""),113.78)</f>
        <v>113.78</v>
      </c>
      <c r="E99" s="2">
        <f ca="1">IFERROR(__xludf.DUMMYFUNCTION("""COMPUTED_VALUE"""),114.99)</f>
        <v>114.99</v>
      </c>
      <c r="F99" s="2">
        <f ca="1">IFERROR(__xludf.DUMMYFUNCTION("""COMPUTED_VALUE"""),67576262)</f>
        <v>67576262</v>
      </c>
    </row>
    <row r="100" spans="1:6" ht="12.5" x14ac:dyDescent="0.25">
      <c r="A100" s="3">
        <f ca="1">IFERROR(__xludf.DUMMYFUNCTION("""COMPUTED_VALUE"""),45070.6666666666)</f>
        <v>45070.666666666599</v>
      </c>
      <c r="B100" s="2">
        <f ca="1">IFERROR(__xludf.DUMMYFUNCTION("""COMPUTED_VALUE"""),115.35)</f>
        <v>115.35</v>
      </c>
      <c r="C100" s="2">
        <f ca="1">IFERROR(__xludf.DUMMYFUNCTION("""COMPUTED_VALUE"""),117.34)</f>
        <v>117.34</v>
      </c>
      <c r="D100" s="2">
        <f ca="1">IFERROR(__xludf.DUMMYFUNCTION("""COMPUTED_VALUE"""),115.02)</f>
        <v>115.02</v>
      </c>
      <c r="E100" s="2">
        <f ca="1">IFERROR(__xludf.DUMMYFUNCTION("""COMPUTED_VALUE"""),116.75)</f>
        <v>116.75</v>
      </c>
      <c r="F100" s="2">
        <f ca="1">IFERROR(__xludf.DUMMYFUNCTION("""COMPUTED_VALUE"""),63487938)</f>
        <v>63487938</v>
      </c>
    </row>
    <row r="101" spans="1:6" ht="12.5" x14ac:dyDescent="0.25">
      <c r="A101" s="3">
        <f ca="1">IFERROR(__xludf.DUMMYFUNCTION("""COMPUTED_VALUE"""),45071.6666666666)</f>
        <v>45071.666666666599</v>
      </c>
      <c r="B101" s="2">
        <f ca="1">IFERROR(__xludf.DUMMYFUNCTION("""COMPUTED_VALUE"""),116.63)</f>
        <v>116.63</v>
      </c>
      <c r="C101" s="2">
        <f ca="1">IFERROR(__xludf.DUMMYFUNCTION("""COMPUTED_VALUE"""),116.87)</f>
        <v>116.87</v>
      </c>
      <c r="D101" s="2">
        <f ca="1">IFERROR(__xludf.DUMMYFUNCTION("""COMPUTED_VALUE"""),114.31)</f>
        <v>114.31</v>
      </c>
      <c r="E101" s="2">
        <f ca="1">IFERROR(__xludf.DUMMYFUNCTION("""COMPUTED_VALUE"""),115)</f>
        <v>115</v>
      </c>
      <c r="F101" s="2">
        <f ca="1">IFERROR(__xludf.DUMMYFUNCTION("""COMPUTED_VALUE"""),66496681)</f>
        <v>66496681</v>
      </c>
    </row>
    <row r="102" spans="1:6" ht="12.5" x14ac:dyDescent="0.25">
      <c r="A102" s="3">
        <f ca="1">IFERROR(__xludf.DUMMYFUNCTION("""COMPUTED_VALUE"""),45072.6666666666)</f>
        <v>45072.666666666599</v>
      </c>
      <c r="B102" s="2">
        <f ca="1">IFERROR(__xludf.DUMMYFUNCTION("""COMPUTED_VALUE"""),116.04)</f>
        <v>116.04</v>
      </c>
      <c r="C102" s="2">
        <f ca="1">IFERROR(__xludf.DUMMYFUNCTION("""COMPUTED_VALUE"""),121.5)</f>
        <v>121.5</v>
      </c>
      <c r="D102" s="2">
        <f ca="1">IFERROR(__xludf.DUMMYFUNCTION("""COMPUTED_VALUE"""),116.02)</f>
        <v>116.02</v>
      </c>
      <c r="E102" s="2">
        <f ca="1">IFERROR(__xludf.DUMMYFUNCTION("""COMPUTED_VALUE"""),120.11)</f>
        <v>120.11</v>
      </c>
      <c r="F102" s="2">
        <f ca="1">IFERROR(__xludf.DUMMYFUNCTION("""COMPUTED_VALUE"""),96779889)</f>
        <v>96779889</v>
      </c>
    </row>
    <row r="103" spans="1:6" ht="12.5" x14ac:dyDescent="0.25">
      <c r="A103" s="3">
        <f ca="1">IFERROR(__xludf.DUMMYFUNCTION("""COMPUTED_VALUE"""),45076.6666666666)</f>
        <v>45076.666666666599</v>
      </c>
      <c r="B103" s="2">
        <f ca="1">IFERROR(__xludf.DUMMYFUNCTION("""COMPUTED_VALUE"""),122.37)</f>
        <v>122.37</v>
      </c>
      <c r="C103" s="2">
        <f ca="1">IFERROR(__xludf.DUMMYFUNCTION("""COMPUTED_VALUE"""),122.92)</f>
        <v>122.92</v>
      </c>
      <c r="D103" s="2">
        <f ca="1">IFERROR(__xludf.DUMMYFUNCTION("""COMPUTED_VALUE"""),119.86)</f>
        <v>119.86</v>
      </c>
      <c r="E103" s="2">
        <f ca="1">IFERROR(__xludf.DUMMYFUNCTION("""COMPUTED_VALUE"""),121.66)</f>
        <v>121.66</v>
      </c>
      <c r="F103" s="2">
        <f ca="1">IFERROR(__xludf.DUMMYFUNCTION("""COMPUTED_VALUE"""),64314808)</f>
        <v>64314808</v>
      </c>
    </row>
    <row r="104" spans="1:6" ht="12.5" x14ac:dyDescent="0.25">
      <c r="A104" s="3">
        <f ca="1">IFERROR(__xludf.DUMMYFUNCTION("""COMPUTED_VALUE"""),45077.6666666666)</f>
        <v>45077.666666666599</v>
      </c>
      <c r="B104" s="2">
        <f ca="1">IFERROR(__xludf.DUMMYFUNCTION("""COMPUTED_VALUE"""),121.45)</f>
        <v>121.45</v>
      </c>
      <c r="C104" s="2">
        <f ca="1">IFERROR(__xludf.DUMMYFUNCTION("""COMPUTED_VALUE"""),122.04)</f>
        <v>122.04</v>
      </c>
      <c r="D104" s="2">
        <f ca="1">IFERROR(__xludf.DUMMYFUNCTION("""COMPUTED_VALUE"""),119.17)</f>
        <v>119.17</v>
      </c>
      <c r="E104" s="2">
        <f ca="1">IFERROR(__xludf.DUMMYFUNCTION("""COMPUTED_VALUE"""),120.58)</f>
        <v>120.58</v>
      </c>
      <c r="F104" s="2">
        <f ca="1">IFERROR(__xludf.DUMMYFUNCTION("""COMPUTED_VALUE"""),72800787)</f>
        <v>72800787</v>
      </c>
    </row>
    <row r="105" spans="1:6" ht="12.5" x14ac:dyDescent="0.25">
      <c r="A105" s="3">
        <f ca="1">IFERROR(__xludf.DUMMYFUNCTION("""COMPUTED_VALUE"""),45078.6666666666)</f>
        <v>45078.666666666599</v>
      </c>
      <c r="B105" s="2">
        <f ca="1">IFERROR(__xludf.DUMMYFUNCTION("""COMPUTED_VALUE"""),120.69)</f>
        <v>120.69</v>
      </c>
      <c r="C105" s="2">
        <f ca="1">IFERROR(__xludf.DUMMYFUNCTION("""COMPUTED_VALUE"""),123.49)</f>
        <v>123.49</v>
      </c>
      <c r="D105" s="2">
        <f ca="1">IFERROR(__xludf.DUMMYFUNCTION("""COMPUTED_VALUE"""),119.93)</f>
        <v>119.93</v>
      </c>
      <c r="E105" s="2">
        <f ca="1">IFERROR(__xludf.DUMMYFUNCTION("""COMPUTED_VALUE"""),122.77)</f>
        <v>122.77</v>
      </c>
      <c r="F105" s="2">
        <f ca="1">IFERROR(__xludf.DUMMYFUNCTION("""COMPUTED_VALUE"""),54375131)</f>
        <v>54375131</v>
      </c>
    </row>
    <row r="106" spans="1:6" ht="12.5" x14ac:dyDescent="0.25">
      <c r="A106" s="3">
        <f ca="1">IFERROR(__xludf.DUMMYFUNCTION("""COMPUTED_VALUE"""),45079.6666666666)</f>
        <v>45079.666666666599</v>
      </c>
      <c r="B106" s="2">
        <f ca="1">IFERROR(__xludf.DUMMYFUNCTION("""COMPUTED_VALUE"""),124.92)</f>
        <v>124.92</v>
      </c>
      <c r="C106" s="2">
        <f ca="1">IFERROR(__xludf.DUMMYFUNCTION("""COMPUTED_VALUE"""),126.39)</f>
        <v>126.39</v>
      </c>
      <c r="D106" s="2">
        <f ca="1">IFERROR(__xludf.DUMMYFUNCTION("""COMPUTED_VALUE"""),124.02)</f>
        <v>124.02</v>
      </c>
      <c r="E106" s="2">
        <f ca="1">IFERROR(__xludf.DUMMYFUNCTION("""COMPUTED_VALUE"""),124.25)</f>
        <v>124.25</v>
      </c>
      <c r="F106" s="2">
        <f ca="1">IFERROR(__xludf.DUMMYFUNCTION("""COMPUTED_VALUE"""),61264414)</f>
        <v>61264414</v>
      </c>
    </row>
    <row r="107" spans="1:6" ht="12.5" x14ac:dyDescent="0.25">
      <c r="A107" s="3">
        <f ca="1">IFERROR(__xludf.DUMMYFUNCTION("""COMPUTED_VALUE"""),45082.6666666666)</f>
        <v>45082.666666666599</v>
      </c>
      <c r="B107" s="2">
        <f ca="1">IFERROR(__xludf.DUMMYFUNCTION("""COMPUTED_VALUE"""),123.36)</f>
        <v>123.36</v>
      </c>
      <c r="C107" s="2">
        <f ca="1">IFERROR(__xludf.DUMMYFUNCTION("""COMPUTED_VALUE"""),125.8)</f>
        <v>125.8</v>
      </c>
      <c r="D107" s="2">
        <f ca="1">IFERROR(__xludf.DUMMYFUNCTION("""COMPUTED_VALUE"""),123.03)</f>
        <v>123.03</v>
      </c>
      <c r="E107" s="2">
        <f ca="1">IFERROR(__xludf.DUMMYFUNCTION("""COMPUTED_VALUE"""),125.3)</f>
        <v>125.3</v>
      </c>
      <c r="F107" s="2">
        <f ca="1">IFERROR(__xludf.DUMMYFUNCTION("""COMPUTED_VALUE"""),47950128)</f>
        <v>47950128</v>
      </c>
    </row>
    <row r="108" spans="1:6" ht="12.5" x14ac:dyDescent="0.25">
      <c r="A108" s="3">
        <f ca="1">IFERROR(__xludf.DUMMYFUNCTION("""COMPUTED_VALUE"""),45083.6666666666)</f>
        <v>45083.666666666599</v>
      </c>
      <c r="B108" s="2">
        <f ca="1">IFERROR(__xludf.DUMMYFUNCTION("""COMPUTED_VALUE"""),125.07)</f>
        <v>125.07</v>
      </c>
      <c r="C108" s="2">
        <f ca="1">IFERROR(__xludf.DUMMYFUNCTION("""COMPUTED_VALUE"""),127.4)</f>
        <v>127.4</v>
      </c>
      <c r="D108" s="2">
        <f ca="1">IFERROR(__xludf.DUMMYFUNCTION("""COMPUTED_VALUE"""),125)</f>
        <v>125</v>
      </c>
      <c r="E108" s="2">
        <f ca="1">IFERROR(__xludf.DUMMYFUNCTION("""COMPUTED_VALUE"""),126.61)</f>
        <v>126.61</v>
      </c>
      <c r="F108" s="2">
        <f ca="1">IFERROR(__xludf.DUMMYFUNCTION("""COMPUTED_VALUE"""),45695212)</f>
        <v>45695212</v>
      </c>
    </row>
    <row r="109" spans="1:6" ht="12.5" x14ac:dyDescent="0.25">
      <c r="A109" s="3">
        <f ca="1">IFERROR(__xludf.DUMMYFUNCTION("""COMPUTED_VALUE"""),45084.6666666666)</f>
        <v>45084.666666666599</v>
      </c>
      <c r="B109" s="2">
        <f ca="1">IFERROR(__xludf.DUMMYFUNCTION("""COMPUTED_VALUE"""),127.01)</f>
        <v>127.01</v>
      </c>
      <c r="C109" s="2">
        <f ca="1">IFERROR(__xludf.DUMMYFUNCTION("""COMPUTED_VALUE"""),127.37)</f>
        <v>127.37</v>
      </c>
      <c r="D109" s="2">
        <f ca="1">IFERROR(__xludf.DUMMYFUNCTION("""COMPUTED_VALUE"""),120.63)</f>
        <v>120.63</v>
      </c>
      <c r="E109" s="2">
        <f ca="1">IFERROR(__xludf.DUMMYFUNCTION("""COMPUTED_VALUE"""),121.23)</f>
        <v>121.23</v>
      </c>
      <c r="F109" s="2">
        <f ca="1">IFERROR(__xludf.DUMMYFUNCTION("""COMPUTED_VALUE"""),95663275)</f>
        <v>95663275</v>
      </c>
    </row>
    <row r="110" spans="1:6" ht="12.5" x14ac:dyDescent="0.25">
      <c r="A110" s="3">
        <f ca="1">IFERROR(__xludf.DUMMYFUNCTION("""COMPUTED_VALUE"""),45085.6666666666)</f>
        <v>45085.666666666599</v>
      </c>
      <c r="B110" s="2">
        <f ca="1">IFERROR(__xludf.DUMMYFUNCTION("""COMPUTED_VALUE"""),123.01)</f>
        <v>123.01</v>
      </c>
      <c r="C110" s="2">
        <f ca="1">IFERROR(__xludf.DUMMYFUNCTION("""COMPUTED_VALUE"""),125.63)</f>
        <v>125.63</v>
      </c>
      <c r="D110" s="2">
        <f ca="1">IFERROR(__xludf.DUMMYFUNCTION("""COMPUTED_VALUE"""),122.26)</f>
        <v>122.26</v>
      </c>
      <c r="E110" s="2">
        <f ca="1">IFERROR(__xludf.DUMMYFUNCTION("""COMPUTED_VALUE"""),124.25)</f>
        <v>124.25</v>
      </c>
      <c r="F110" s="2">
        <f ca="1">IFERROR(__xludf.DUMMYFUNCTION("""COMPUTED_VALUE"""),62159270)</f>
        <v>62159270</v>
      </c>
    </row>
    <row r="111" spans="1:6" ht="12.5" x14ac:dyDescent="0.25">
      <c r="A111" s="3">
        <f ca="1">IFERROR(__xludf.DUMMYFUNCTION("""COMPUTED_VALUE"""),45086.6666666666)</f>
        <v>45086.666666666599</v>
      </c>
      <c r="B111" s="2">
        <f ca="1">IFERROR(__xludf.DUMMYFUNCTION("""COMPUTED_VALUE"""),124.08)</f>
        <v>124.08</v>
      </c>
      <c r="C111" s="2">
        <f ca="1">IFERROR(__xludf.DUMMYFUNCTION("""COMPUTED_VALUE"""),125.8)</f>
        <v>125.8</v>
      </c>
      <c r="D111" s="2">
        <f ca="1">IFERROR(__xludf.DUMMYFUNCTION("""COMPUTED_VALUE"""),123.19)</f>
        <v>123.19</v>
      </c>
      <c r="E111" s="2">
        <f ca="1">IFERROR(__xludf.DUMMYFUNCTION("""COMPUTED_VALUE"""),123.43)</f>
        <v>123.43</v>
      </c>
      <c r="F111" s="2">
        <f ca="1">IFERROR(__xludf.DUMMYFUNCTION("""COMPUTED_VALUE"""),51396018)</f>
        <v>51396018</v>
      </c>
    </row>
    <row r="112" spans="1:6" ht="12.5" x14ac:dyDescent="0.25">
      <c r="A112" s="3">
        <f ca="1">IFERROR(__xludf.DUMMYFUNCTION("""COMPUTED_VALUE"""),45089.6666666666)</f>
        <v>45089.666666666599</v>
      </c>
      <c r="B112" s="2">
        <f ca="1">IFERROR(__xludf.DUMMYFUNCTION("""COMPUTED_VALUE"""),124.02)</f>
        <v>124.02</v>
      </c>
      <c r="C112" s="2">
        <f ca="1">IFERROR(__xludf.DUMMYFUNCTION("""COMPUTED_VALUE"""),126.78)</f>
        <v>126.78</v>
      </c>
      <c r="D112" s="2">
        <f ca="1">IFERROR(__xludf.DUMMYFUNCTION("""COMPUTED_VALUE"""),123.53)</f>
        <v>123.53</v>
      </c>
      <c r="E112" s="2">
        <f ca="1">IFERROR(__xludf.DUMMYFUNCTION("""COMPUTED_VALUE"""),126.57)</f>
        <v>126.57</v>
      </c>
      <c r="F112" s="2">
        <f ca="1">IFERROR(__xludf.DUMMYFUNCTION("""COMPUTED_VALUE"""),51473376)</f>
        <v>51473376</v>
      </c>
    </row>
    <row r="113" spans="1:6" ht="12.5" x14ac:dyDescent="0.25">
      <c r="A113" s="3">
        <f ca="1">IFERROR(__xludf.DUMMYFUNCTION("""COMPUTED_VALUE"""),45090.6666666666)</f>
        <v>45090.666666666599</v>
      </c>
      <c r="B113" s="2">
        <f ca="1">IFERROR(__xludf.DUMMYFUNCTION("""COMPUTED_VALUE"""),128.12)</f>
        <v>128.12</v>
      </c>
      <c r="C113" s="2">
        <f ca="1">IFERROR(__xludf.DUMMYFUNCTION("""COMPUTED_VALUE"""),128.41)</f>
        <v>128.41</v>
      </c>
      <c r="D113" s="2">
        <f ca="1">IFERROR(__xludf.DUMMYFUNCTION("""COMPUTED_VALUE"""),125.18)</f>
        <v>125.18</v>
      </c>
      <c r="E113" s="2">
        <f ca="1">IFERROR(__xludf.DUMMYFUNCTION("""COMPUTED_VALUE"""),126.66)</f>
        <v>126.66</v>
      </c>
      <c r="F113" s="2">
        <f ca="1">IFERROR(__xludf.DUMMYFUNCTION("""COMPUTED_VALUE"""),50564785)</f>
        <v>50564785</v>
      </c>
    </row>
    <row r="114" spans="1:6" ht="12.5" x14ac:dyDescent="0.25">
      <c r="A114" s="3">
        <f ca="1">IFERROR(__xludf.DUMMYFUNCTION("""COMPUTED_VALUE"""),45091.6666666666)</f>
        <v>45091.666666666599</v>
      </c>
      <c r="B114" s="2">
        <f ca="1">IFERROR(__xludf.DUMMYFUNCTION("""COMPUTED_VALUE"""),126.7)</f>
        <v>126.7</v>
      </c>
      <c r="C114" s="2">
        <f ca="1">IFERROR(__xludf.DUMMYFUNCTION("""COMPUTED_VALUE"""),126.95)</f>
        <v>126.95</v>
      </c>
      <c r="D114" s="2">
        <f ca="1">IFERROR(__xludf.DUMMYFUNCTION("""COMPUTED_VALUE"""),124.12)</f>
        <v>124.12</v>
      </c>
      <c r="E114" s="2">
        <f ca="1">IFERROR(__xludf.DUMMYFUNCTION("""COMPUTED_VALUE"""),126.42)</f>
        <v>126.42</v>
      </c>
      <c r="F114" s="2">
        <f ca="1">IFERROR(__xludf.DUMMYFUNCTION("""COMPUTED_VALUE"""),52422463)</f>
        <v>52422463</v>
      </c>
    </row>
    <row r="115" spans="1:6" ht="12.5" x14ac:dyDescent="0.25">
      <c r="A115" s="3">
        <f ca="1">IFERROR(__xludf.DUMMYFUNCTION("""COMPUTED_VALUE"""),45092.6666666666)</f>
        <v>45092.666666666599</v>
      </c>
      <c r="B115" s="2">
        <f ca="1">IFERROR(__xludf.DUMMYFUNCTION("""COMPUTED_VALUE"""),125.21)</f>
        <v>125.21</v>
      </c>
      <c r="C115" s="2">
        <f ca="1">IFERROR(__xludf.DUMMYFUNCTION("""COMPUTED_VALUE"""),127.69)</f>
        <v>127.69</v>
      </c>
      <c r="D115" s="2">
        <f ca="1">IFERROR(__xludf.DUMMYFUNCTION("""COMPUTED_VALUE"""),124.32)</f>
        <v>124.32</v>
      </c>
      <c r="E115" s="2">
        <f ca="1">IFERROR(__xludf.DUMMYFUNCTION("""COMPUTED_VALUE"""),127.11)</f>
        <v>127.11</v>
      </c>
      <c r="F115" s="2">
        <f ca="1">IFERROR(__xludf.DUMMYFUNCTION("""COMPUTED_VALUE"""),60458471)</f>
        <v>60458471</v>
      </c>
    </row>
    <row r="116" spans="1:6" ht="12.5" x14ac:dyDescent="0.25">
      <c r="A116" s="3">
        <f ca="1">IFERROR(__xludf.DUMMYFUNCTION("""COMPUTED_VALUE"""),45093.6666666666)</f>
        <v>45093.666666666599</v>
      </c>
      <c r="B116" s="2">
        <f ca="1">IFERROR(__xludf.DUMMYFUNCTION("""COMPUTED_VALUE"""),127.71)</f>
        <v>127.71</v>
      </c>
      <c r="C116" s="2">
        <f ca="1">IFERROR(__xludf.DUMMYFUNCTION("""COMPUTED_VALUE"""),127.9)</f>
        <v>127.9</v>
      </c>
      <c r="D116" s="2">
        <f ca="1">IFERROR(__xludf.DUMMYFUNCTION("""COMPUTED_VALUE"""),125.3)</f>
        <v>125.3</v>
      </c>
      <c r="E116" s="2">
        <f ca="1">IFERROR(__xludf.DUMMYFUNCTION("""COMPUTED_VALUE"""),125.49)</f>
        <v>125.49</v>
      </c>
      <c r="F116" s="2">
        <f ca="1">IFERROR(__xludf.DUMMYFUNCTION("""COMPUTED_VALUE"""),84247104)</f>
        <v>84247104</v>
      </c>
    </row>
    <row r="117" spans="1:6" ht="12.5" x14ac:dyDescent="0.25">
      <c r="A117" s="3">
        <f ca="1">IFERROR(__xludf.DUMMYFUNCTION("""COMPUTED_VALUE"""),45097.6666666666)</f>
        <v>45097.666666666599</v>
      </c>
      <c r="B117" s="2">
        <f ca="1">IFERROR(__xludf.DUMMYFUNCTION("""COMPUTED_VALUE"""),124.97)</f>
        <v>124.97</v>
      </c>
      <c r="C117" s="2">
        <f ca="1">IFERROR(__xludf.DUMMYFUNCTION("""COMPUTED_VALUE"""),127.25)</f>
        <v>127.25</v>
      </c>
      <c r="D117" s="2">
        <f ca="1">IFERROR(__xludf.DUMMYFUNCTION("""COMPUTED_VALUE"""),124.5)</f>
        <v>124.5</v>
      </c>
      <c r="E117" s="2">
        <f ca="1">IFERROR(__xludf.DUMMYFUNCTION("""COMPUTED_VALUE"""),125.78)</f>
        <v>125.78</v>
      </c>
      <c r="F117" s="2">
        <f ca="1">IFERROR(__xludf.DUMMYFUNCTION("""COMPUTED_VALUE"""),56930122)</f>
        <v>56930122</v>
      </c>
    </row>
    <row r="118" spans="1:6" ht="12.5" x14ac:dyDescent="0.25">
      <c r="A118" s="3">
        <f ca="1">IFERROR(__xludf.DUMMYFUNCTION("""COMPUTED_VALUE"""),45098.6666666666)</f>
        <v>45098.666666666599</v>
      </c>
      <c r="B118" s="2">
        <f ca="1">IFERROR(__xludf.DUMMYFUNCTION("""COMPUTED_VALUE"""),125.64)</f>
        <v>125.64</v>
      </c>
      <c r="C118" s="2">
        <f ca="1">IFERROR(__xludf.DUMMYFUNCTION("""COMPUTED_VALUE"""),126.73)</f>
        <v>126.73</v>
      </c>
      <c r="D118" s="2">
        <f ca="1">IFERROR(__xludf.DUMMYFUNCTION("""COMPUTED_VALUE"""),123.85)</f>
        <v>123.85</v>
      </c>
      <c r="E118" s="2">
        <f ca="1">IFERROR(__xludf.DUMMYFUNCTION("""COMPUTED_VALUE"""),124.83)</f>
        <v>124.83</v>
      </c>
      <c r="F118" s="2">
        <f ca="1">IFERROR(__xludf.DUMMYFUNCTION("""COMPUTED_VALUE"""),52137670)</f>
        <v>52137670</v>
      </c>
    </row>
    <row r="119" spans="1:6" ht="12.5" x14ac:dyDescent="0.25">
      <c r="A119" s="3">
        <f ca="1">IFERROR(__xludf.DUMMYFUNCTION("""COMPUTED_VALUE"""),45099.6666666666)</f>
        <v>45099.666666666599</v>
      </c>
      <c r="B119" s="2">
        <f ca="1">IFERROR(__xludf.DUMMYFUNCTION("""COMPUTED_VALUE"""),125.31)</f>
        <v>125.31</v>
      </c>
      <c r="C119" s="2">
        <f ca="1">IFERROR(__xludf.DUMMYFUNCTION("""COMPUTED_VALUE"""),130.33)</f>
        <v>130.33000000000001</v>
      </c>
      <c r="D119" s="2">
        <f ca="1">IFERROR(__xludf.DUMMYFUNCTION("""COMPUTED_VALUE"""),125.14)</f>
        <v>125.14</v>
      </c>
      <c r="E119" s="2">
        <f ca="1">IFERROR(__xludf.DUMMYFUNCTION("""COMPUTED_VALUE"""),130.15)</f>
        <v>130.15</v>
      </c>
      <c r="F119" s="2">
        <f ca="1">IFERROR(__xludf.DUMMYFUNCTION("""COMPUTED_VALUE"""),90354572)</f>
        <v>90354572</v>
      </c>
    </row>
    <row r="120" spans="1:6" ht="12.5" x14ac:dyDescent="0.25">
      <c r="A120" s="3">
        <f ca="1">IFERROR(__xludf.DUMMYFUNCTION("""COMPUTED_VALUE"""),45100.6666666666)</f>
        <v>45100.666666666599</v>
      </c>
      <c r="B120" s="2">
        <f ca="1">IFERROR(__xludf.DUMMYFUNCTION("""COMPUTED_VALUE"""),129.11)</f>
        <v>129.11000000000001</v>
      </c>
      <c r="C120" s="2">
        <f ca="1">IFERROR(__xludf.DUMMYFUNCTION("""COMPUTED_VALUE"""),130.84)</f>
        <v>130.84</v>
      </c>
      <c r="D120" s="2">
        <f ca="1">IFERROR(__xludf.DUMMYFUNCTION("""COMPUTED_VALUE"""),128.28)</f>
        <v>128.28</v>
      </c>
      <c r="E120" s="2">
        <f ca="1">IFERROR(__xludf.DUMMYFUNCTION("""COMPUTED_VALUE"""),129.33)</f>
        <v>129.33000000000001</v>
      </c>
      <c r="F120" s="2">
        <f ca="1">IFERROR(__xludf.DUMMYFUNCTION("""COMPUTED_VALUE"""),71927776)</f>
        <v>71927776</v>
      </c>
    </row>
    <row r="121" spans="1:6" ht="12.5" x14ac:dyDescent="0.25">
      <c r="A121" s="3">
        <f ca="1">IFERROR(__xludf.DUMMYFUNCTION("""COMPUTED_VALUE"""),45103.6666666666)</f>
        <v>45103.666666666599</v>
      </c>
      <c r="B121" s="2">
        <f ca="1">IFERROR(__xludf.DUMMYFUNCTION("""COMPUTED_VALUE"""),129.33)</f>
        <v>129.33000000000001</v>
      </c>
      <c r="C121" s="2">
        <f ca="1">IFERROR(__xludf.DUMMYFUNCTION("""COMPUTED_VALUE"""),131.49)</f>
        <v>131.49</v>
      </c>
      <c r="D121" s="2">
        <f ca="1">IFERROR(__xludf.DUMMYFUNCTION("""COMPUTED_VALUE"""),127.1)</f>
        <v>127.1</v>
      </c>
      <c r="E121" s="2">
        <f ca="1">IFERROR(__xludf.DUMMYFUNCTION("""COMPUTED_VALUE"""),127.33)</f>
        <v>127.33</v>
      </c>
      <c r="F121" s="2">
        <f ca="1">IFERROR(__xludf.DUMMYFUNCTION("""COMPUTED_VALUE"""),59989317)</f>
        <v>59989317</v>
      </c>
    </row>
    <row r="122" spans="1:6" ht="12.5" x14ac:dyDescent="0.25">
      <c r="A122" s="3">
        <f ca="1">IFERROR(__xludf.DUMMYFUNCTION("""COMPUTED_VALUE"""),45104.6666666666)</f>
        <v>45104.666666666599</v>
      </c>
      <c r="B122" s="2">
        <f ca="1">IFERROR(__xludf.DUMMYFUNCTION("""COMPUTED_VALUE"""),128.63)</f>
        <v>128.63</v>
      </c>
      <c r="C122" s="2">
        <f ca="1">IFERROR(__xludf.DUMMYFUNCTION("""COMPUTED_VALUE"""),130.09)</f>
        <v>130.09</v>
      </c>
      <c r="D122" s="2">
        <f ca="1">IFERROR(__xludf.DUMMYFUNCTION("""COMPUTED_VALUE"""),127.55)</f>
        <v>127.55</v>
      </c>
      <c r="E122" s="2">
        <f ca="1">IFERROR(__xludf.DUMMYFUNCTION("""COMPUTED_VALUE"""),129.18)</f>
        <v>129.18</v>
      </c>
      <c r="F122" s="2">
        <f ca="1">IFERROR(__xludf.DUMMYFUNCTION("""COMPUTED_VALUE"""),46801008)</f>
        <v>46801008</v>
      </c>
    </row>
    <row r="123" spans="1:6" ht="12.5" x14ac:dyDescent="0.25">
      <c r="A123" s="3">
        <f ca="1">IFERROR(__xludf.DUMMYFUNCTION("""COMPUTED_VALUE"""),45105.6666666666)</f>
        <v>45105.666666666599</v>
      </c>
      <c r="B123" s="2">
        <f ca="1">IFERROR(__xludf.DUMMYFUNCTION("""COMPUTED_VALUE"""),128.94)</f>
        <v>128.94</v>
      </c>
      <c r="C123" s="2">
        <f ca="1">IFERROR(__xludf.DUMMYFUNCTION("""COMPUTED_VALUE"""),131.48)</f>
        <v>131.47999999999999</v>
      </c>
      <c r="D123" s="2">
        <f ca="1">IFERROR(__xludf.DUMMYFUNCTION("""COMPUTED_VALUE"""),128.44)</f>
        <v>128.44</v>
      </c>
      <c r="E123" s="2">
        <f ca="1">IFERROR(__xludf.DUMMYFUNCTION("""COMPUTED_VALUE"""),129.04)</f>
        <v>129.04</v>
      </c>
      <c r="F123" s="2">
        <f ca="1">IFERROR(__xludf.DUMMYFUNCTION("""COMPUTED_VALUE"""),52149512)</f>
        <v>52149512</v>
      </c>
    </row>
    <row r="124" spans="1:6" ht="12.5" x14ac:dyDescent="0.25">
      <c r="A124" s="3">
        <f ca="1">IFERROR(__xludf.DUMMYFUNCTION("""COMPUTED_VALUE"""),45106.6666666666)</f>
        <v>45106.666666666599</v>
      </c>
      <c r="B124" s="2">
        <f ca="1">IFERROR(__xludf.DUMMYFUNCTION("""COMPUTED_VALUE"""),128.77)</f>
        <v>128.77000000000001</v>
      </c>
      <c r="C124" s="2">
        <f ca="1">IFERROR(__xludf.DUMMYFUNCTION("""COMPUTED_VALUE"""),129.26)</f>
        <v>129.26</v>
      </c>
      <c r="D124" s="2">
        <f ca="1">IFERROR(__xludf.DUMMYFUNCTION("""COMPUTED_VALUE"""),127.26)</f>
        <v>127.26</v>
      </c>
      <c r="E124" s="2">
        <f ca="1">IFERROR(__xludf.DUMMYFUNCTION("""COMPUTED_VALUE"""),127.9)</f>
        <v>127.9</v>
      </c>
      <c r="F124" s="2">
        <f ca="1">IFERROR(__xludf.DUMMYFUNCTION("""COMPUTED_VALUE"""),40760959)</f>
        <v>40760959</v>
      </c>
    </row>
    <row r="125" spans="1:6" ht="12.5" x14ac:dyDescent="0.25">
      <c r="A125" s="3">
        <f ca="1">IFERROR(__xludf.DUMMYFUNCTION("""COMPUTED_VALUE"""),45107.6666666666)</f>
        <v>45107.666666666599</v>
      </c>
      <c r="B125" s="2">
        <f ca="1">IFERROR(__xludf.DUMMYFUNCTION("""COMPUTED_VALUE"""),129.47)</f>
        <v>129.47</v>
      </c>
      <c r="C125" s="2">
        <f ca="1">IFERROR(__xludf.DUMMYFUNCTION("""COMPUTED_VALUE"""),131.25)</f>
        <v>131.25</v>
      </c>
      <c r="D125" s="2">
        <f ca="1">IFERROR(__xludf.DUMMYFUNCTION("""COMPUTED_VALUE"""),128.95)</f>
        <v>128.94999999999999</v>
      </c>
      <c r="E125" s="2">
        <f ca="1">IFERROR(__xludf.DUMMYFUNCTION("""COMPUTED_VALUE"""),130.36)</f>
        <v>130.36000000000001</v>
      </c>
      <c r="F125" s="2">
        <f ca="1">IFERROR(__xludf.DUMMYFUNCTION("""COMPUTED_VALUE"""),54350684)</f>
        <v>54350684</v>
      </c>
    </row>
    <row r="126" spans="1:6" ht="12.5" x14ac:dyDescent="0.25">
      <c r="A126" s="3">
        <f ca="1">IFERROR(__xludf.DUMMYFUNCTION("""COMPUTED_VALUE"""),45110.5451388888)</f>
        <v>45110.545138888803</v>
      </c>
      <c r="B126" s="2">
        <f ca="1">IFERROR(__xludf.DUMMYFUNCTION("""COMPUTED_VALUE"""),130.82)</f>
        <v>130.82</v>
      </c>
      <c r="C126" s="2">
        <f ca="1">IFERROR(__xludf.DUMMYFUNCTION("""COMPUTED_VALUE"""),131.85)</f>
        <v>131.85</v>
      </c>
      <c r="D126" s="2">
        <f ca="1">IFERROR(__xludf.DUMMYFUNCTION("""COMPUTED_VALUE"""),130.07)</f>
        <v>130.07</v>
      </c>
      <c r="E126" s="2">
        <f ca="1">IFERROR(__xludf.DUMMYFUNCTION("""COMPUTED_VALUE"""),130.22)</f>
        <v>130.22</v>
      </c>
      <c r="F126" s="2">
        <f ca="1">IFERROR(__xludf.DUMMYFUNCTION("""COMPUTED_VALUE"""),28264785)</f>
        <v>28264785</v>
      </c>
    </row>
    <row r="127" spans="1:6" ht="12.5" x14ac:dyDescent="0.25">
      <c r="A127" s="3">
        <f ca="1">IFERROR(__xludf.DUMMYFUNCTION("""COMPUTED_VALUE"""),45112.6666666666)</f>
        <v>45112.666666666599</v>
      </c>
      <c r="B127" s="2">
        <f ca="1">IFERROR(__xludf.DUMMYFUNCTION("""COMPUTED_VALUE"""),130.24)</f>
        <v>130.24</v>
      </c>
      <c r="C127" s="2">
        <f ca="1">IFERROR(__xludf.DUMMYFUNCTION("""COMPUTED_VALUE"""),131.4)</f>
        <v>131.4</v>
      </c>
      <c r="D127" s="2">
        <f ca="1">IFERROR(__xludf.DUMMYFUNCTION("""COMPUTED_VALUE"""),129.64)</f>
        <v>129.63999999999999</v>
      </c>
      <c r="E127" s="2">
        <f ca="1">IFERROR(__xludf.DUMMYFUNCTION("""COMPUTED_VALUE"""),130.38)</f>
        <v>130.38</v>
      </c>
      <c r="F127" s="2">
        <f ca="1">IFERROR(__xludf.DUMMYFUNCTION("""COMPUTED_VALUE"""),35895409)</f>
        <v>35895409</v>
      </c>
    </row>
    <row r="128" spans="1:6" ht="12.5" x14ac:dyDescent="0.25">
      <c r="A128" s="3">
        <f ca="1">IFERROR(__xludf.DUMMYFUNCTION("""COMPUTED_VALUE"""),45113.6666666666)</f>
        <v>45113.666666666599</v>
      </c>
      <c r="B128" s="2">
        <f ca="1">IFERROR(__xludf.DUMMYFUNCTION("""COMPUTED_VALUE"""),128.25)</f>
        <v>128.25</v>
      </c>
      <c r="C128" s="2">
        <f ca="1">IFERROR(__xludf.DUMMYFUNCTION("""COMPUTED_VALUE"""),128.73)</f>
        <v>128.72999999999999</v>
      </c>
      <c r="D128" s="2">
        <f ca="1">IFERROR(__xludf.DUMMYFUNCTION("""COMPUTED_VALUE"""),127.37)</f>
        <v>127.37</v>
      </c>
      <c r="E128" s="2">
        <f ca="1">IFERROR(__xludf.DUMMYFUNCTION("""COMPUTED_VALUE"""),128.36)</f>
        <v>128.36000000000001</v>
      </c>
      <c r="F128" s="2">
        <f ca="1">IFERROR(__xludf.DUMMYFUNCTION("""COMPUTED_VALUE"""),40697848)</f>
        <v>40697848</v>
      </c>
    </row>
    <row r="129" spans="1:6" ht="12.5" x14ac:dyDescent="0.25">
      <c r="A129" s="3">
        <f ca="1">IFERROR(__xludf.DUMMYFUNCTION("""COMPUTED_VALUE"""),45114.6666666666)</f>
        <v>45114.666666666599</v>
      </c>
      <c r="B129" s="2">
        <f ca="1">IFERROR(__xludf.DUMMYFUNCTION("""COMPUTED_VALUE"""),128.59)</f>
        <v>128.59</v>
      </c>
      <c r="C129" s="2">
        <f ca="1">IFERROR(__xludf.DUMMYFUNCTION("""COMPUTED_VALUE"""),130.97)</f>
        <v>130.97</v>
      </c>
      <c r="D129" s="2">
        <f ca="1">IFERROR(__xludf.DUMMYFUNCTION("""COMPUTED_VALUE"""),128.13)</f>
        <v>128.13</v>
      </c>
      <c r="E129" s="2">
        <f ca="1">IFERROR(__xludf.DUMMYFUNCTION("""COMPUTED_VALUE"""),129.78)</f>
        <v>129.78</v>
      </c>
      <c r="F129" s="2">
        <f ca="1">IFERROR(__xludf.DUMMYFUNCTION("""COMPUTED_VALUE"""),41992251)</f>
        <v>41992251</v>
      </c>
    </row>
    <row r="130" spans="1:6" ht="12.5" x14ac:dyDescent="0.25">
      <c r="A130" s="3">
        <f ca="1">IFERROR(__xludf.DUMMYFUNCTION("""COMPUTED_VALUE"""),45117.6666666666)</f>
        <v>45117.666666666599</v>
      </c>
      <c r="B130" s="2">
        <f ca="1">IFERROR(__xludf.DUMMYFUNCTION("""COMPUTED_VALUE"""),129.07)</f>
        <v>129.07</v>
      </c>
      <c r="C130" s="2">
        <f ca="1">IFERROR(__xludf.DUMMYFUNCTION("""COMPUTED_VALUE"""),129.28)</f>
        <v>129.28</v>
      </c>
      <c r="D130" s="2">
        <f ca="1">IFERROR(__xludf.DUMMYFUNCTION("""COMPUTED_VALUE"""),125.92)</f>
        <v>125.92</v>
      </c>
      <c r="E130" s="2">
        <f ca="1">IFERROR(__xludf.DUMMYFUNCTION("""COMPUTED_VALUE"""),127.13)</f>
        <v>127.13</v>
      </c>
      <c r="F130" s="2">
        <f ca="1">IFERROR(__xludf.DUMMYFUNCTION("""COMPUTED_VALUE"""),61889289)</f>
        <v>61889289</v>
      </c>
    </row>
    <row r="131" spans="1:6" ht="12.5" x14ac:dyDescent="0.25">
      <c r="A131" s="3">
        <f ca="1">IFERROR(__xludf.DUMMYFUNCTION("""COMPUTED_VALUE"""),45118.6666666666)</f>
        <v>45118.666666666599</v>
      </c>
      <c r="B131" s="2">
        <f ca="1">IFERROR(__xludf.DUMMYFUNCTION("""COMPUTED_VALUE"""),127.75)</f>
        <v>127.75</v>
      </c>
      <c r="C131" s="2">
        <f ca="1">IFERROR(__xludf.DUMMYFUNCTION("""COMPUTED_VALUE"""),129.77)</f>
        <v>129.77000000000001</v>
      </c>
      <c r="D131" s="2">
        <f ca="1">IFERROR(__xludf.DUMMYFUNCTION("""COMPUTED_VALUE"""),127.35)</f>
        <v>127.35</v>
      </c>
      <c r="E131" s="2">
        <f ca="1">IFERROR(__xludf.DUMMYFUNCTION("""COMPUTED_VALUE"""),128.78)</f>
        <v>128.78</v>
      </c>
      <c r="F131" s="2">
        <f ca="1">IFERROR(__xludf.DUMMYFUNCTION("""COMPUTED_VALUE"""),49951460)</f>
        <v>49951460</v>
      </c>
    </row>
    <row r="132" spans="1:6" ht="12.5" x14ac:dyDescent="0.25">
      <c r="A132" s="3">
        <f ca="1">IFERROR(__xludf.DUMMYFUNCTION("""COMPUTED_VALUE"""),45119.6666666666)</f>
        <v>45119.666666666599</v>
      </c>
      <c r="B132" s="2">
        <f ca="1">IFERROR(__xludf.DUMMYFUNCTION("""COMPUTED_VALUE"""),130.31)</f>
        <v>130.31</v>
      </c>
      <c r="C132" s="2">
        <f ca="1">IFERROR(__xludf.DUMMYFUNCTION("""COMPUTED_VALUE"""),131.26)</f>
        <v>131.26</v>
      </c>
      <c r="D132" s="2">
        <f ca="1">IFERROR(__xludf.DUMMYFUNCTION("""COMPUTED_VALUE"""),128.83)</f>
        <v>128.83000000000001</v>
      </c>
      <c r="E132" s="2">
        <f ca="1">IFERROR(__xludf.DUMMYFUNCTION("""COMPUTED_VALUE"""),130.8)</f>
        <v>130.80000000000001</v>
      </c>
      <c r="F132" s="2">
        <f ca="1">IFERROR(__xludf.DUMMYFUNCTION("""COMPUTED_VALUE"""),54022847)</f>
        <v>54022847</v>
      </c>
    </row>
    <row r="133" spans="1:6" ht="12.5" x14ac:dyDescent="0.25">
      <c r="A133" s="3">
        <f ca="1">IFERROR(__xludf.DUMMYFUNCTION("""COMPUTED_VALUE"""),45120.6666666666)</f>
        <v>45120.666666666599</v>
      </c>
      <c r="B133" s="2">
        <f ca="1">IFERROR(__xludf.DUMMYFUNCTION("""COMPUTED_VALUE"""),134.04)</f>
        <v>134.04</v>
      </c>
      <c r="C133" s="2">
        <f ca="1">IFERROR(__xludf.DUMMYFUNCTION("""COMPUTED_VALUE"""),134.67)</f>
        <v>134.66999999999999</v>
      </c>
      <c r="D133" s="2">
        <f ca="1">IFERROR(__xludf.DUMMYFUNCTION("""COMPUTED_VALUE"""),132.71)</f>
        <v>132.71</v>
      </c>
      <c r="E133" s="2">
        <f ca="1">IFERROR(__xludf.DUMMYFUNCTION("""COMPUTED_VALUE"""),134.3)</f>
        <v>134.30000000000001</v>
      </c>
      <c r="F133" s="2">
        <f ca="1">IFERROR(__xludf.DUMMYFUNCTION("""COMPUTED_VALUE"""),61170883)</f>
        <v>61170883</v>
      </c>
    </row>
    <row r="134" spans="1:6" ht="12.5" x14ac:dyDescent="0.25">
      <c r="A134" s="3">
        <f ca="1">IFERROR(__xludf.DUMMYFUNCTION("""COMPUTED_VALUE"""),45121.6666666666)</f>
        <v>45121.666666666599</v>
      </c>
      <c r="B134" s="2">
        <f ca="1">IFERROR(__xludf.DUMMYFUNCTION("""COMPUTED_VALUE"""),134.06)</f>
        <v>134.06</v>
      </c>
      <c r="C134" s="2">
        <f ca="1">IFERROR(__xludf.DUMMYFUNCTION("""COMPUTED_VALUE"""),136.65)</f>
        <v>136.65</v>
      </c>
      <c r="D134" s="2">
        <f ca="1">IFERROR(__xludf.DUMMYFUNCTION("""COMPUTED_VALUE"""),134.06)</f>
        <v>134.06</v>
      </c>
      <c r="E134" s="2">
        <f ca="1">IFERROR(__xludf.DUMMYFUNCTION("""COMPUTED_VALUE"""),134.68)</f>
        <v>134.68</v>
      </c>
      <c r="F134" s="2">
        <f ca="1">IFERROR(__xludf.DUMMYFUNCTION("""COMPUTED_VALUE"""),54487090)</f>
        <v>54487090</v>
      </c>
    </row>
    <row r="135" spans="1:6" ht="12.5" x14ac:dyDescent="0.25">
      <c r="A135" s="3">
        <f ca="1">IFERROR(__xludf.DUMMYFUNCTION("""COMPUTED_VALUE"""),45124.6666666666)</f>
        <v>45124.666666666599</v>
      </c>
      <c r="B135" s="2">
        <f ca="1">IFERROR(__xludf.DUMMYFUNCTION("""COMPUTED_VALUE"""),134.56)</f>
        <v>134.56</v>
      </c>
      <c r="C135" s="2">
        <f ca="1">IFERROR(__xludf.DUMMYFUNCTION("""COMPUTED_VALUE"""),135.62)</f>
        <v>135.62</v>
      </c>
      <c r="D135" s="2">
        <f ca="1">IFERROR(__xludf.DUMMYFUNCTION("""COMPUTED_VALUE"""),133.21)</f>
        <v>133.21</v>
      </c>
      <c r="E135" s="2">
        <f ca="1">IFERROR(__xludf.DUMMYFUNCTION("""COMPUTED_VALUE"""),133.56)</f>
        <v>133.56</v>
      </c>
      <c r="F135" s="2">
        <f ca="1">IFERROR(__xludf.DUMMYFUNCTION("""COMPUTED_VALUE"""),48450198)</f>
        <v>48450198</v>
      </c>
    </row>
    <row r="136" spans="1:6" ht="12.5" x14ac:dyDescent="0.25">
      <c r="A136" s="3">
        <f ca="1">IFERROR(__xludf.DUMMYFUNCTION("""COMPUTED_VALUE"""),45125.6666666666)</f>
        <v>45125.666666666599</v>
      </c>
      <c r="B136" s="2">
        <f ca="1">IFERROR(__xludf.DUMMYFUNCTION("""COMPUTED_VALUE"""),132.71)</f>
        <v>132.71</v>
      </c>
      <c r="C136" s="2">
        <f ca="1">IFERROR(__xludf.DUMMYFUNCTION("""COMPUTED_VALUE"""),133.86)</f>
        <v>133.86000000000001</v>
      </c>
      <c r="D136" s="2">
        <f ca="1">IFERROR(__xludf.DUMMYFUNCTION("""COMPUTED_VALUE"""),131.35)</f>
        <v>131.35</v>
      </c>
      <c r="E136" s="2">
        <f ca="1">IFERROR(__xludf.DUMMYFUNCTION("""COMPUTED_VALUE"""),132.83)</f>
        <v>132.83000000000001</v>
      </c>
      <c r="F136" s="2">
        <f ca="1">IFERROR(__xludf.DUMMYFUNCTION("""COMPUTED_VALUE"""),54969133)</f>
        <v>54969133</v>
      </c>
    </row>
    <row r="137" spans="1:6" ht="12.5" x14ac:dyDescent="0.25">
      <c r="A137" s="3">
        <f ca="1">IFERROR(__xludf.DUMMYFUNCTION("""COMPUTED_VALUE"""),45126.6666666666)</f>
        <v>45126.666666666599</v>
      </c>
      <c r="B137" s="2">
        <f ca="1">IFERROR(__xludf.DUMMYFUNCTION("""COMPUTED_VALUE"""),133.39)</f>
        <v>133.38999999999999</v>
      </c>
      <c r="C137" s="2">
        <f ca="1">IFERROR(__xludf.DUMMYFUNCTION("""COMPUTED_VALUE"""),135.99)</f>
        <v>135.99</v>
      </c>
      <c r="D137" s="2">
        <f ca="1">IFERROR(__xludf.DUMMYFUNCTION("""COMPUTED_VALUE"""),132.53)</f>
        <v>132.53</v>
      </c>
      <c r="E137" s="2">
        <f ca="1">IFERROR(__xludf.DUMMYFUNCTION("""COMPUTED_VALUE"""),135.36)</f>
        <v>135.36000000000001</v>
      </c>
      <c r="F137" s="2">
        <f ca="1">IFERROR(__xludf.DUMMYFUNCTION("""COMPUTED_VALUE"""),54531037)</f>
        <v>54531037</v>
      </c>
    </row>
    <row r="138" spans="1:6" ht="12.5" x14ac:dyDescent="0.25">
      <c r="A138" s="3">
        <f ca="1">IFERROR(__xludf.DUMMYFUNCTION("""COMPUTED_VALUE"""),45127.6666666666)</f>
        <v>45127.666666666599</v>
      </c>
      <c r="B138" s="2">
        <f ca="1">IFERROR(__xludf.DUMMYFUNCTION("""COMPUTED_VALUE"""),134.07)</f>
        <v>134.07</v>
      </c>
      <c r="C138" s="2">
        <f ca="1">IFERROR(__xludf.DUMMYFUNCTION("""COMPUTED_VALUE"""),134.79)</f>
        <v>134.79</v>
      </c>
      <c r="D138" s="2">
        <f ca="1">IFERROR(__xludf.DUMMYFUNCTION("""COMPUTED_VALUE"""),129.33)</f>
        <v>129.33000000000001</v>
      </c>
      <c r="E138" s="2">
        <f ca="1">IFERROR(__xludf.DUMMYFUNCTION("""COMPUTED_VALUE"""),129.96)</f>
        <v>129.96</v>
      </c>
      <c r="F138" s="2">
        <f ca="1">IFERROR(__xludf.DUMMYFUNCTION("""COMPUTED_VALUE"""),59820579)</f>
        <v>59820579</v>
      </c>
    </row>
    <row r="139" spans="1:6" ht="12.5" x14ac:dyDescent="0.25">
      <c r="A139" s="3">
        <f ca="1">IFERROR(__xludf.DUMMYFUNCTION("""COMPUTED_VALUE"""),45128.6666666666)</f>
        <v>45128.666666666599</v>
      </c>
      <c r="B139" s="2">
        <f ca="1">IFERROR(__xludf.DUMMYFUNCTION("""COMPUTED_VALUE"""),131.34)</f>
        <v>131.34</v>
      </c>
      <c r="C139" s="2">
        <f ca="1">IFERROR(__xludf.DUMMYFUNCTION("""COMPUTED_VALUE"""),131.37)</f>
        <v>131.37</v>
      </c>
      <c r="D139" s="2">
        <f ca="1">IFERROR(__xludf.DUMMYFUNCTION("""COMPUTED_VALUE"""),128.42)</f>
        <v>128.41999999999999</v>
      </c>
      <c r="E139" s="2">
        <f ca="1">IFERROR(__xludf.DUMMYFUNCTION("""COMPUTED_VALUE"""),130)</f>
        <v>130</v>
      </c>
      <c r="F139" s="2">
        <f ca="1">IFERROR(__xludf.DUMMYFUNCTION("""COMPUTED_VALUE"""),133307294)</f>
        <v>133307294</v>
      </c>
    </row>
    <row r="140" spans="1:6" ht="12.5" x14ac:dyDescent="0.25">
      <c r="A140" s="3">
        <f ca="1">IFERROR(__xludf.DUMMYFUNCTION("""COMPUTED_VALUE"""),45131.6666666666)</f>
        <v>45131.666666666599</v>
      </c>
      <c r="B140" s="2">
        <f ca="1">IFERROR(__xludf.DUMMYFUNCTION("""COMPUTED_VALUE"""),130.31)</f>
        <v>130.31</v>
      </c>
      <c r="C140" s="2">
        <f ca="1">IFERROR(__xludf.DUMMYFUNCTION("""COMPUTED_VALUE"""),131.66)</f>
        <v>131.66</v>
      </c>
      <c r="D140" s="2">
        <f ca="1">IFERROR(__xludf.DUMMYFUNCTION("""COMPUTED_VALUE"""),128.35)</f>
        <v>128.35</v>
      </c>
      <c r="E140" s="2">
        <f ca="1">IFERROR(__xludf.DUMMYFUNCTION("""COMPUTED_VALUE"""),128.8)</f>
        <v>128.80000000000001</v>
      </c>
      <c r="F140" s="2">
        <f ca="1">IFERROR(__xludf.DUMMYFUNCTION("""COMPUTED_VALUE"""),45671535)</f>
        <v>45671535</v>
      </c>
    </row>
    <row r="141" spans="1:6" ht="12.5" x14ac:dyDescent="0.25">
      <c r="A141" s="3">
        <f ca="1">IFERROR(__xludf.DUMMYFUNCTION("""COMPUTED_VALUE"""),45132.6666666666)</f>
        <v>45132.666666666599</v>
      </c>
      <c r="B141" s="2">
        <f ca="1">IFERROR(__xludf.DUMMYFUNCTION("""COMPUTED_VALUE"""),129.31)</f>
        <v>129.31</v>
      </c>
      <c r="C141" s="2">
        <f ca="1">IFERROR(__xludf.DUMMYFUNCTION("""COMPUTED_VALUE"""),129.58)</f>
        <v>129.58000000000001</v>
      </c>
      <c r="D141" s="2">
        <f ca="1">IFERROR(__xludf.DUMMYFUNCTION("""COMPUTED_VALUE"""),128.53)</f>
        <v>128.53</v>
      </c>
      <c r="E141" s="2">
        <f ca="1">IFERROR(__xludf.DUMMYFUNCTION("""COMPUTED_VALUE"""),129.13)</f>
        <v>129.13</v>
      </c>
      <c r="F141" s="2">
        <f ca="1">IFERROR(__xludf.DUMMYFUNCTION("""COMPUTED_VALUE"""),39236663)</f>
        <v>39236663</v>
      </c>
    </row>
    <row r="142" spans="1:6" ht="12.5" x14ac:dyDescent="0.25">
      <c r="A142" s="3">
        <f ca="1">IFERROR(__xludf.DUMMYFUNCTION("""COMPUTED_VALUE"""),45133.6666666666)</f>
        <v>45133.666666666599</v>
      </c>
      <c r="B142" s="2">
        <f ca="1">IFERROR(__xludf.DUMMYFUNCTION("""COMPUTED_VALUE"""),126.51)</f>
        <v>126.51</v>
      </c>
      <c r="C142" s="2">
        <f ca="1">IFERROR(__xludf.DUMMYFUNCTION("""COMPUTED_VALUE"""),129.08)</f>
        <v>129.08000000000001</v>
      </c>
      <c r="D142" s="2">
        <f ca="1">IFERROR(__xludf.DUMMYFUNCTION("""COMPUTED_VALUE"""),126.11)</f>
        <v>126.11</v>
      </c>
      <c r="E142" s="2">
        <f ca="1">IFERROR(__xludf.DUMMYFUNCTION("""COMPUTED_VALUE"""),128.15)</f>
        <v>128.15</v>
      </c>
      <c r="F142" s="2">
        <f ca="1">IFERROR(__xludf.DUMMYFUNCTION("""COMPUTED_VALUE"""),53910087)</f>
        <v>53910087</v>
      </c>
    </row>
    <row r="143" spans="1:6" ht="12.5" x14ac:dyDescent="0.25">
      <c r="A143" s="3">
        <f ca="1">IFERROR(__xludf.DUMMYFUNCTION("""COMPUTED_VALUE"""),45134.6666666666)</f>
        <v>45134.666666666599</v>
      </c>
      <c r="B143" s="2">
        <f ca="1">IFERROR(__xludf.DUMMYFUNCTION("""COMPUTED_VALUE"""),131)</f>
        <v>131</v>
      </c>
      <c r="C143" s="2">
        <f ca="1">IFERROR(__xludf.DUMMYFUNCTION("""COMPUTED_VALUE"""),132.63)</f>
        <v>132.63</v>
      </c>
      <c r="D143" s="2">
        <f ca="1">IFERROR(__xludf.DUMMYFUNCTION("""COMPUTED_VALUE"""),127.79)</f>
        <v>127.79</v>
      </c>
      <c r="E143" s="2">
        <f ca="1">IFERROR(__xludf.DUMMYFUNCTION("""COMPUTED_VALUE"""),128.25)</f>
        <v>128.25</v>
      </c>
      <c r="F143" s="2">
        <f ca="1">IFERROR(__xludf.DUMMYFUNCTION("""COMPUTED_VALUE"""),52610661)</f>
        <v>52610661</v>
      </c>
    </row>
    <row r="144" spans="1:6" ht="12.5" x14ac:dyDescent="0.25">
      <c r="A144" s="3">
        <f ca="1">IFERROR(__xludf.DUMMYFUNCTION("""COMPUTED_VALUE"""),45135.6666666666)</f>
        <v>45135.666666666599</v>
      </c>
      <c r="B144" s="2">
        <f ca="1">IFERROR(__xludf.DUMMYFUNCTION("""COMPUTED_VALUE"""),129.69)</f>
        <v>129.69</v>
      </c>
      <c r="C144" s="2">
        <f ca="1">IFERROR(__xludf.DUMMYFUNCTION("""COMPUTED_VALUE"""),133.01)</f>
        <v>133.01</v>
      </c>
      <c r="D144" s="2">
        <f ca="1">IFERROR(__xludf.DUMMYFUNCTION("""COMPUTED_VALUE"""),129.33)</f>
        <v>129.33000000000001</v>
      </c>
      <c r="E144" s="2">
        <f ca="1">IFERROR(__xludf.DUMMYFUNCTION("""COMPUTED_VALUE"""),132.21)</f>
        <v>132.21</v>
      </c>
      <c r="F144" s="2">
        <f ca="1">IFERROR(__xludf.DUMMYFUNCTION("""COMPUTED_VALUE"""),46317381)</f>
        <v>46317381</v>
      </c>
    </row>
    <row r="145" spans="1:6" ht="12.5" x14ac:dyDescent="0.25">
      <c r="A145" s="3">
        <f ca="1">IFERROR(__xludf.DUMMYFUNCTION("""COMPUTED_VALUE"""),45138.6666666666)</f>
        <v>45138.666666666599</v>
      </c>
      <c r="B145" s="2">
        <f ca="1">IFERROR(__xludf.DUMMYFUNCTION("""COMPUTED_VALUE"""),133.2)</f>
        <v>133.19999999999999</v>
      </c>
      <c r="C145" s="2">
        <f ca="1">IFERROR(__xludf.DUMMYFUNCTION("""COMPUTED_VALUE"""),133.87)</f>
        <v>133.87</v>
      </c>
      <c r="D145" s="2">
        <f ca="1">IFERROR(__xludf.DUMMYFUNCTION("""COMPUTED_VALUE"""),132.38)</f>
        <v>132.38</v>
      </c>
      <c r="E145" s="2">
        <f ca="1">IFERROR(__xludf.DUMMYFUNCTION("""COMPUTED_VALUE"""),133.68)</f>
        <v>133.68</v>
      </c>
      <c r="F145" s="2">
        <f ca="1">IFERROR(__xludf.DUMMYFUNCTION("""COMPUTED_VALUE"""),41901516)</f>
        <v>41901516</v>
      </c>
    </row>
    <row r="146" spans="1:6" ht="12.5" x14ac:dyDescent="0.25">
      <c r="A146" s="3">
        <f ca="1">IFERROR(__xludf.DUMMYFUNCTION("""COMPUTED_VALUE"""),45139.6666666666)</f>
        <v>45139.666666666599</v>
      </c>
      <c r="B146" s="2">
        <f ca="1">IFERROR(__xludf.DUMMYFUNCTION("""COMPUTED_VALUE"""),133.55)</f>
        <v>133.55000000000001</v>
      </c>
      <c r="C146" s="2">
        <f ca="1">IFERROR(__xludf.DUMMYFUNCTION("""COMPUTED_VALUE"""),133.69)</f>
        <v>133.69</v>
      </c>
      <c r="D146" s="2">
        <f ca="1">IFERROR(__xludf.DUMMYFUNCTION("""COMPUTED_VALUE"""),131.62)</f>
        <v>131.62</v>
      </c>
      <c r="E146" s="2">
        <f ca="1">IFERROR(__xludf.DUMMYFUNCTION("""COMPUTED_VALUE"""),131.69)</f>
        <v>131.69</v>
      </c>
      <c r="F146" s="2">
        <f ca="1">IFERROR(__xludf.DUMMYFUNCTION("""COMPUTED_VALUE"""),42298925)</f>
        <v>42298925</v>
      </c>
    </row>
    <row r="147" spans="1:6" ht="12.5" x14ac:dyDescent="0.25">
      <c r="A147" s="3">
        <f ca="1">IFERROR(__xludf.DUMMYFUNCTION("""COMPUTED_VALUE"""),45140.6666666666)</f>
        <v>45140.666666666599</v>
      </c>
      <c r="B147" s="2">
        <f ca="1">IFERROR(__xludf.DUMMYFUNCTION("""COMPUTED_VALUE"""),130.15)</f>
        <v>130.15</v>
      </c>
      <c r="C147" s="2">
        <f ca="1">IFERROR(__xludf.DUMMYFUNCTION("""COMPUTED_VALUE"""),130.23)</f>
        <v>130.22999999999999</v>
      </c>
      <c r="D147" s="2">
        <f ca="1">IFERROR(__xludf.DUMMYFUNCTION("""COMPUTED_VALUE"""),126.82)</f>
        <v>126.82</v>
      </c>
      <c r="E147" s="2">
        <f ca="1">IFERROR(__xludf.DUMMYFUNCTION("""COMPUTED_VALUE"""),128.21)</f>
        <v>128.21</v>
      </c>
      <c r="F147" s="2">
        <f ca="1">IFERROR(__xludf.DUMMYFUNCTION("""COMPUTED_VALUE"""),51027614)</f>
        <v>51027614</v>
      </c>
    </row>
    <row r="148" spans="1:6" ht="12.5" x14ac:dyDescent="0.25">
      <c r="A148" s="3">
        <f ca="1">IFERROR(__xludf.DUMMYFUNCTION("""COMPUTED_VALUE"""),45141.6666666666)</f>
        <v>45141.666666666599</v>
      </c>
      <c r="B148" s="2">
        <f ca="1">IFERROR(__xludf.DUMMYFUNCTION("""COMPUTED_VALUE"""),127.48)</f>
        <v>127.48</v>
      </c>
      <c r="C148" s="2">
        <f ca="1">IFERROR(__xludf.DUMMYFUNCTION("""COMPUTED_VALUE"""),129.84)</f>
        <v>129.84</v>
      </c>
      <c r="D148" s="2">
        <f ca="1">IFERROR(__xludf.DUMMYFUNCTION("""COMPUTED_VALUE"""),126.41)</f>
        <v>126.41</v>
      </c>
      <c r="E148" s="2">
        <f ca="1">IFERROR(__xludf.DUMMYFUNCTION("""COMPUTED_VALUE"""),128.91)</f>
        <v>128.91</v>
      </c>
      <c r="F148" s="2">
        <f ca="1">IFERROR(__xludf.DUMMYFUNCTION("""COMPUTED_VALUE"""),91163736)</f>
        <v>91163736</v>
      </c>
    </row>
    <row r="149" spans="1:6" ht="12.5" x14ac:dyDescent="0.25">
      <c r="A149" s="3">
        <f ca="1">IFERROR(__xludf.DUMMYFUNCTION("""COMPUTED_VALUE"""),45142.6666666666)</f>
        <v>45142.666666666599</v>
      </c>
      <c r="B149" s="2">
        <f ca="1">IFERROR(__xludf.DUMMYFUNCTION("""COMPUTED_VALUE"""),141.06)</f>
        <v>141.06</v>
      </c>
      <c r="C149" s="2">
        <f ca="1">IFERROR(__xludf.DUMMYFUNCTION("""COMPUTED_VALUE"""),143.63)</f>
        <v>143.63</v>
      </c>
      <c r="D149" s="2">
        <f ca="1">IFERROR(__xludf.DUMMYFUNCTION("""COMPUTED_VALUE"""),139.32)</f>
        <v>139.32</v>
      </c>
      <c r="E149" s="2">
        <f ca="1">IFERROR(__xludf.DUMMYFUNCTION("""COMPUTED_VALUE"""),139.57)</f>
        <v>139.57</v>
      </c>
      <c r="F149" s="2">
        <f ca="1">IFERROR(__xludf.DUMMYFUNCTION("""COMPUTED_VALUE"""),153128470)</f>
        <v>153128470</v>
      </c>
    </row>
    <row r="150" spans="1:6" ht="12.5" x14ac:dyDescent="0.25">
      <c r="A150" s="3">
        <f ca="1">IFERROR(__xludf.DUMMYFUNCTION("""COMPUTED_VALUE"""),45145.6666666666)</f>
        <v>45145.666666666599</v>
      </c>
      <c r="B150" s="2">
        <f ca="1">IFERROR(__xludf.DUMMYFUNCTION("""COMPUTED_VALUE"""),140.99)</f>
        <v>140.99</v>
      </c>
      <c r="C150" s="2">
        <f ca="1">IFERROR(__xludf.DUMMYFUNCTION("""COMPUTED_VALUE"""),142.54)</f>
        <v>142.54</v>
      </c>
      <c r="D150" s="2">
        <f ca="1">IFERROR(__xludf.DUMMYFUNCTION("""COMPUTED_VALUE"""),138.95)</f>
        <v>138.94999999999999</v>
      </c>
      <c r="E150" s="2">
        <f ca="1">IFERROR(__xludf.DUMMYFUNCTION("""COMPUTED_VALUE"""),142.22)</f>
        <v>142.22</v>
      </c>
      <c r="F150" s="2">
        <f ca="1">IFERROR(__xludf.DUMMYFUNCTION("""COMPUTED_VALUE"""),71213112)</f>
        <v>71213112</v>
      </c>
    </row>
    <row r="151" spans="1:6" ht="12.5" x14ac:dyDescent="0.25">
      <c r="A151" s="3">
        <f ca="1">IFERROR(__xludf.DUMMYFUNCTION("""COMPUTED_VALUE"""),45146.6666666666)</f>
        <v>45146.666666666599</v>
      </c>
      <c r="B151" s="2">
        <f ca="1">IFERROR(__xludf.DUMMYFUNCTION("""COMPUTED_VALUE"""),140.62)</f>
        <v>140.62</v>
      </c>
      <c r="C151" s="2">
        <f ca="1">IFERROR(__xludf.DUMMYFUNCTION("""COMPUTED_VALUE"""),140.84)</f>
        <v>140.84</v>
      </c>
      <c r="D151" s="2">
        <f ca="1">IFERROR(__xludf.DUMMYFUNCTION("""COMPUTED_VALUE"""),138.42)</f>
        <v>138.41999999999999</v>
      </c>
      <c r="E151" s="2">
        <f ca="1">IFERROR(__xludf.DUMMYFUNCTION("""COMPUTED_VALUE"""),139.94)</f>
        <v>139.94</v>
      </c>
      <c r="F151" s="2">
        <f ca="1">IFERROR(__xludf.DUMMYFUNCTION("""COMPUTED_VALUE"""),51710497)</f>
        <v>51710497</v>
      </c>
    </row>
    <row r="152" spans="1:6" ht="12.5" x14ac:dyDescent="0.25">
      <c r="A152" s="3">
        <f ca="1">IFERROR(__xludf.DUMMYFUNCTION("""COMPUTED_VALUE"""),45147.6666666666)</f>
        <v>45147.666666666599</v>
      </c>
      <c r="B152" s="2">
        <f ca="1">IFERROR(__xludf.DUMMYFUNCTION("""COMPUTED_VALUE"""),139.97)</f>
        <v>139.97</v>
      </c>
      <c r="C152" s="2">
        <f ca="1">IFERROR(__xludf.DUMMYFUNCTION("""COMPUTED_VALUE"""),140.32)</f>
        <v>140.32</v>
      </c>
      <c r="D152" s="2">
        <f ca="1">IFERROR(__xludf.DUMMYFUNCTION("""COMPUTED_VALUE"""),137.1)</f>
        <v>137.1</v>
      </c>
      <c r="E152" s="2">
        <f ca="1">IFERROR(__xludf.DUMMYFUNCTION("""COMPUTED_VALUE"""),137.85)</f>
        <v>137.85</v>
      </c>
      <c r="F152" s="2">
        <f ca="1">IFERROR(__xludf.DUMMYFUNCTION("""COMPUTED_VALUE"""),50017349)</f>
        <v>50017349</v>
      </c>
    </row>
    <row r="153" spans="1:6" ht="12.5" x14ac:dyDescent="0.25">
      <c r="A153" s="3">
        <f ca="1">IFERROR(__xludf.DUMMYFUNCTION("""COMPUTED_VALUE"""),45148.6666666666)</f>
        <v>45148.666666666599</v>
      </c>
      <c r="B153" s="2">
        <f ca="1">IFERROR(__xludf.DUMMYFUNCTION("""COMPUTED_VALUE"""),139.07)</f>
        <v>139.07</v>
      </c>
      <c r="C153" s="2">
        <f ca="1">IFERROR(__xludf.DUMMYFUNCTION("""COMPUTED_VALUE"""),140.41)</f>
        <v>140.41</v>
      </c>
      <c r="D153" s="2">
        <f ca="1">IFERROR(__xludf.DUMMYFUNCTION("""COMPUTED_VALUE"""),137.49)</f>
        <v>137.49</v>
      </c>
      <c r="E153" s="2">
        <f ca="1">IFERROR(__xludf.DUMMYFUNCTION("""COMPUTED_VALUE"""),138.56)</f>
        <v>138.56</v>
      </c>
      <c r="F153" s="2">
        <f ca="1">IFERROR(__xludf.DUMMYFUNCTION("""COMPUTED_VALUE"""),58928402)</f>
        <v>58928402</v>
      </c>
    </row>
    <row r="154" spans="1:6" ht="12.5" x14ac:dyDescent="0.25">
      <c r="A154" s="3">
        <f ca="1">IFERROR(__xludf.DUMMYFUNCTION("""COMPUTED_VALUE"""),45149.6666666666)</f>
        <v>45149.666666666599</v>
      </c>
      <c r="B154" s="2">
        <f ca="1">IFERROR(__xludf.DUMMYFUNCTION("""COMPUTED_VALUE"""),137.4)</f>
        <v>137.4</v>
      </c>
      <c r="C154" s="2">
        <f ca="1">IFERROR(__xludf.DUMMYFUNCTION("""COMPUTED_VALUE"""),139.33)</f>
        <v>139.33000000000001</v>
      </c>
      <c r="D154" s="2">
        <f ca="1">IFERROR(__xludf.DUMMYFUNCTION("""COMPUTED_VALUE"""),137)</f>
        <v>137</v>
      </c>
      <c r="E154" s="2">
        <f ca="1">IFERROR(__xludf.DUMMYFUNCTION("""COMPUTED_VALUE"""),138.41)</f>
        <v>138.41</v>
      </c>
      <c r="F154" s="2">
        <f ca="1">IFERROR(__xludf.DUMMYFUNCTION("""COMPUTED_VALUE"""),42905833)</f>
        <v>42905833</v>
      </c>
    </row>
    <row r="155" spans="1:6" ht="12.5" x14ac:dyDescent="0.25">
      <c r="A155" s="3">
        <f ca="1">IFERROR(__xludf.DUMMYFUNCTION("""COMPUTED_VALUE"""),45152.6666666666)</f>
        <v>45152.666666666599</v>
      </c>
      <c r="B155" s="2">
        <f ca="1">IFERROR(__xludf.DUMMYFUNCTION("""COMPUTED_VALUE"""),138.3)</f>
        <v>138.30000000000001</v>
      </c>
      <c r="C155" s="2">
        <f ca="1">IFERROR(__xludf.DUMMYFUNCTION("""COMPUTED_VALUE"""),140.59)</f>
        <v>140.59</v>
      </c>
      <c r="D155" s="2">
        <f ca="1">IFERROR(__xludf.DUMMYFUNCTION("""COMPUTED_VALUE"""),137.75)</f>
        <v>137.75</v>
      </c>
      <c r="E155" s="2">
        <f ca="1">IFERROR(__xludf.DUMMYFUNCTION("""COMPUTED_VALUE"""),140.57)</f>
        <v>140.57</v>
      </c>
      <c r="F155" s="2">
        <f ca="1">IFERROR(__xludf.DUMMYFUNCTION("""COMPUTED_VALUE"""),47148699)</f>
        <v>47148699</v>
      </c>
    </row>
    <row r="156" spans="1:6" ht="12.5" x14ac:dyDescent="0.25">
      <c r="A156" s="3">
        <f ca="1">IFERROR(__xludf.DUMMYFUNCTION("""COMPUTED_VALUE"""),45153.6666666666)</f>
        <v>45153.666666666599</v>
      </c>
      <c r="B156" s="2">
        <f ca="1">IFERROR(__xludf.DUMMYFUNCTION("""COMPUTED_VALUE"""),140.05)</f>
        <v>140.05000000000001</v>
      </c>
      <c r="C156" s="2">
        <f ca="1">IFERROR(__xludf.DUMMYFUNCTION("""COMPUTED_VALUE"""),141.28)</f>
        <v>141.28</v>
      </c>
      <c r="D156" s="2">
        <f ca="1">IFERROR(__xludf.DUMMYFUNCTION("""COMPUTED_VALUE"""),137.23)</f>
        <v>137.22999999999999</v>
      </c>
      <c r="E156" s="2">
        <f ca="1">IFERROR(__xludf.DUMMYFUNCTION("""COMPUTED_VALUE"""),137.67)</f>
        <v>137.66999999999999</v>
      </c>
      <c r="F156" s="2">
        <f ca="1">IFERROR(__xludf.DUMMYFUNCTION("""COMPUTED_VALUE"""),42781521)</f>
        <v>42781521</v>
      </c>
    </row>
    <row r="157" spans="1:6" ht="12.5" x14ac:dyDescent="0.25">
      <c r="A157" s="3">
        <f ca="1">IFERROR(__xludf.DUMMYFUNCTION("""COMPUTED_VALUE"""),45154.6666666666)</f>
        <v>45154.666666666599</v>
      </c>
      <c r="B157" s="2">
        <f ca="1">IFERROR(__xludf.DUMMYFUNCTION("""COMPUTED_VALUE"""),137.19)</f>
        <v>137.19</v>
      </c>
      <c r="C157" s="2">
        <f ca="1">IFERROR(__xludf.DUMMYFUNCTION("""COMPUTED_VALUE"""),137.27)</f>
        <v>137.27000000000001</v>
      </c>
      <c r="D157" s="2">
        <f ca="1">IFERROR(__xludf.DUMMYFUNCTION("""COMPUTED_VALUE"""),135.01)</f>
        <v>135.01</v>
      </c>
      <c r="E157" s="2">
        <f ca="1">IFERROR(__xludf.DUMMYFUNCTION("""COMPUTED_VALUE"""),135.07)</f>
        <v>135.07</v>
      </c>
      <c r="F157" s="2">
        <f ca="1">IFERROR(__xludf.DUMMYFUNCTION("""COMPUTED_VALUE"""),41675903)</f>
        <v>41675903</v>
      </c>
    </row>
    <row r="158" spans="1:6" ht="12.5" x14ac:dyDescent="0.25">
      <c r="A158" s="3">
        <f ca="1">IFERROR(__xludf.DUMMYFUNCTION("""COMPUTED_VALUE"""),45155.6666666666)</f>
        <v>45155.666666666599</v>
      </c>
      <c r="B158" s="2">
        <f ca="1">IFERROR(__xludf.DUMMYFUNCTION("""COMPUTED_VALUE"""),135.46)</f>
        <v>135.46</v>
      </c>
      <c r="C158" s="2">
        <f ca="1">IFERROR(__xludf.DUMMYFUNCTION("""COMPUTED_VALUE"""),136.09)</f>
        <v>136.09</v>
      </c>
      <c r="D158" s="2">
        <f ca="1">IFERROR(__xludf.DUMMYFUNCTION("""COMPUTED_VALUE"""),133.53)</f>
        <v>133.53</v>
      </c>
      <c r="E158" s="2">
        <f ca="1">IFERROR(__xludf.DUMMYFUNCTION("""COMPUTED_VALUE"""),133.98)</f>
        <v>133.97999999999999</v>
      </c>
      <c r="F158" s="2">
        <f ca="1">IFERROR(__xludf.DUMMYFUNCTION("""COMPUTED_VALUE"""),48354085)</f>
        <v>48354085</v>
      </c>
    </row>
    <row r="159" spans="1:6" ht="12.5" x14ac:dyDescent="0.25">
      <c r="A159" s="3">
        <f ca="1">IFERROR(__xludf.DUMMYFUNCTION("""COMPUTED_VALUE"""),45156.6666666666)</f>
        <v>45156.666666666599</v>
      </c>
      <c r="B159" s="2">
        <f ca="1">IFERROR(__xludf.DUMMYFUNCTION("""COMPUTED_VALUE"""),131.62)</f>
        <v>131.62</v>
      </c>
      <c r="C159" s="2">
        <f ca="1">IFERROR(__xludf.DUMMYFUNCTION("""COMPUTED_VALUE"""),134.07)</f>
        <v>134.07</v>
      </c>
      <c r="D159" s="2">
        <f ca="1">IFERROR(__xludf.DUMMYFUNCTION("""COMPUTED_VALUE"""),131.15)</f>
        <v>131.15</v>
      </c>
      <c r="E159" s="2">
        <f ca="1">IFERROR(__xludf.DUMMYFUNCTION("""COMPUTED_VALUE"""),133.22)</f>
        <v>133.22</v>
      </c>
      <c r="F159" s="2">
        <f ca="1">IFERROR(__xludf.DUMMYFUNCTION("""COMPUTED_VALUE"""),48497698)</f>
        <v>48497698</v>
      </c>
    </row>
    <row r="160" spans="1:6" ht="12.5" x14ac:dyDescent="0.25">
      <c r="A160" s="3">
        <f ca="1">IFERROR(__xludf.DUMMYFUNCTION("""COMPUTED_VALUE"""),45159.6666666666)</f>
        <v>45159.666666666599</v>
      </c>
      <c r="B160" s="2">
        <f ca="1">IFERROR(__xludf.DUMMYFUNCTION("""COMPUTED_VALUE"""),133.74)</f>
        <v>133.74</v>
      </c>
      <c r="C160" s="2">
        <f ca="1">IFERROR(__xludf.DUMMYFUNCTION("""COMPUTED_VALUE"""),135.19)</f>
        <v>135.19</v>
      </c>
      <c r="D160" s="2">
        <f ca="1">IFERROR(__xludf.DUMMYFUNCTION("""COMPUTED_VALUE"""),132.71)</f>
        <v>132.71</v>
      </c>
      <c r="E160" s="2">
        <f ca="1">IFERROR(__xludf.DUMMYFUNCTION("""COMPUTED_VALUE"""),134.68)</f>
        <v>134.68</v>
      </c>
      <c r="F160" s="2">
        <f ca="1">IFERROR(__xludf.DUMMYFUNCTION("""COMPUTED_VALUE"""),41442483)</f>
        <v>41442483</v>
      </c>
    </row>
    <row r="161" spans="1:6" ht="12.5" x14ac:dyDescent="0.25">
      <c r="A161" s="3">
        <f ca="1">IFERROR(__xludf.DUMMYFUNCTION("""COMPUTED_VALUE"""),45160.6666666666)</f>
        <v>45160.666666666599</v>
      </c>
      <c r="B161" s="2">
        <f ca="1">IFERROR(__xludf.DUMMYFUNCTION("""COMPUTED_VALUE"""),135.08)</f>
        <v>135.08000000000001</v>
      </c>
      <c r="C161" s="2">
        <f ca="1">IFERROR(__xludf.DUMMYFUNCTION("""COMPUTED_VALUE"""),135.65)</f>
        <v>135.65</v>
      </c>
      <c r="D161" s="2">
        <f ca="1">IFERROR(__xludf.DUMMYFUNCTION("""COMPUTED_VALUE"""),133.73)</f>
        <v>133.72999999999999</v>
      </c>
      <c r="E161" s="2">
        <f ca="1">IFERROR(__xludf.DUMMYFUNCTION("""COMPUTED_VALUE"""),134.25)</f>
        <v>134.25</v>
      </c>
      <c r="F161" s="2">
        <f ca="1">IFERROR(__xludf.DUMMYFUNCTION("""COMPUTED_VALUE"""),32935104)</f>
        <v>32935104</v>
      </c>
    </row>
    <row r="162" spans="1:6" ht="12.5" x14ac:dyDescent="0.25">
      <c r="A162" s="3">
        <f ca="1">IFERROR(__xludf.DUMMYFUNCTION("""COMPUTED_VALUE"""),45161.6666666666)</f>
        <v>45161.666666666599</v>
      </c>
      <c r="B162" s="2">
        <f ca="1">IFERROR(__xludf.DUMMYFUNCTION("""COMPUTED_VALUE"""),134.5)</f>
        <v>134.5</v>
      </c>
      <c r="C162" s="2">
        <f ca="1">IFERROR(__xludf.DUMMYFUNCTION("""COMPUTED_VALUE"""),135.95)</f>
        <v>135.94999999999999</v>
      </c>
      <c r="D162" s="2">
        <f ca="1">IFERROR(__xludf.DUMMYFUNCTION("""COMPUTED_VALUE"""),133.22)</f>
        <v>133.22</v>
      </c>
      <c r="E162" s="2">
        <f ca="1">IFERROR(__xludf.DUMMYFUNCTION("""COMPUTED_VALUE"""),135.52)</f>
        <v>135.52000000000001</v>
      </c>
      <c r="F162" s="2">
        <f ca="1">IFERROR(__xludf.DUMMYFUNCTION("""COMPUTED_VALUE"""),42801043)</f>
        <v>42801043</v>
      </c>
    </row>
    <row r="163" spans="1:6" ht="12.5" x14ac:dyDescent="0.25">
      <c r="A163" s="3">
        <f ca="1">IFERROR(__xludf.DUMMYFUNCTION("""COMPUTED_VALUE"""),45162.6666666666)</f>
        <v>45162.666666666599</v>
      </c>
      <c r="B163" s="2">
        <f ca="1">IFERROR(__xludf.DUMMYFUNCTION("""COMPUTED_VALUE"""),136.4)</f>
        <v>136.4</v>
      </c>
      <c r="C163" s="2">
        <f ca="1">IFERROR(__xludf.DUMMYFUNCTION("""COMPUTED_VALUE"""),136.78)</f>
        <v>136.78</v>
      </c>
      <c r="D163" s="2">
        <f ca="1">IFERROR(__xludf.DUMMYFUNCTION("""COMPUTED_VALUE"""),131.83)</f>
        <v>131.83000000000001</v>
      </c>
      <c r="E163" s="2">
        <f ca="1">IFERROR(__xludf.DUMMYFUNCTION("""COMPUTED_VALUE"""),131.84)</f>
        <v>131.84</v>
      </c>
      <c r="F163" s="2">
        <f ca="1">IFERROR(__xludf.DUMMYFUNCTION("""COMPUTED_VALUE"""),43646250)</f>
        <v>43646250</v>
      </c>
    </row>
    <row r="164" spans="1:6" ht="12.5" x14ac:dyDescent="0.25">
      <c r="A164" s="3">
        <f ca="1">IFERROR(__xludf.DUMMYFUNCTION("""COMPUTED_VALUE"""),45163.6666666666)</f>
        <v>45163.666666666599</v>
      </c>
      <c r="B164" s="2">
        <f ca="1">IFERROR(__xludf.DUMMYFUNCTION("""COMPUTED_VALUE"""),132.47)</f>
        <v>132.47</v>
      </c>
      <c r="C164" s="2">
        <f ca="1">IFERROR(__xludf.DUMMYFUNCTION("""COMPUTED_VALUE"""),133.87)</f>
        <v>133.87</v>
      </c>
      <c r="D164" s="2">
        <f ca="1">IFERROR(__xludf.DUMMYFUNCTION("""COMPUTED_VALUE"""),130.58)</f>
        <v>130.58000000000001</v>
      </c>
      <c r="E164" s="2">
        <f ca="1">IFERROR(__xludf.DUMMYFUNCTION("""COMPUTED_VALUE"""),133.26)</f>
        <v>133.26</v>
      </c>
      <c r="F164" s="2">
        <f ca="1">IFERROR(__xludf.DUMMYFUNCTION("""COMPUTED_VALUE"""),44147451)</f>
        <v>44147451</v>
      </c>
    </row>
    <row r="165" spans="1:6" ht="12.5" x14ac:dyDescent="0.25">
      <c r="A165" s="3">
        <f ca="1">IFERROR(__xludf.DUMMYFUNCTION("""COMPUTED_VALUE"""),45166.6666666666)</f>
        <v>45166.666666666599</v>
      </c>
      <c r="B165" s="2">
        <f ca="1">IFERROR(__xludf.DUMMYFUNCTION("""COMPUTED_VALUE"""),133.78)</f>
        <v>133.78</v>
      </c>
      <c r="C165" s="2">
        <f ca="1">IFERROR(__xludf.DUMMYFUNCTION("""COMPUTED_VALUE"""),133.95)</f>
        <v>133.94999999999999</v>
      </c>
      <c r="D165" s="2">
        <f ca="1">IFERROR(__xludf.DUMMYFUNCTION("""COMPUTED_VALUE"""),131.85)</f>
        <v>131.85</v>
      </c>
      <c r="E165" s="2">
        <f ca="1">IFERROR(__xludf.DUMMYFUNCTION("""COMPUTED_VALUE"""),133.14)</f>
        <v>133.13999999999999</v>
      </c>
      <c r="F165" s="2">
        <f ca="1">IFERROR(__xludf.DUMMYFUNCTION("""COMPUTED_VALUE"""),34108410)</f>
        <v>34108410</v>
      </c>
    </row>
    <row r="166" spans="1:6" ht="12.5" x14ac:dyDescent="0.25">
      <c r="A166" s="3">
        <f ca="1">IFERROR(__xludf.DUMMYFUNCTION("""COMPUTED_VALUE"""),45167.6666666666)</f>
        <v>45167.666666666599</v>
      </c>
      <c r="B166" s="2">
        <f ca="1">IFERROR(__xludf.DUMMYFUNCTION("""COMPUTED_VALUE"""),133.38)</f>
        <v>133.38</v>
      </c>
      <c r="C166" s="2">
        <f ca="1">IFERROR(__xludf.DUMMYFUNCTION("""COMPUTED_VALUE"""),135.14)</f>
        <v>135.13999999999999</v>
      </c>
      <c r="D166" s="2">
        <f ca="1">IFERROR(__xludf.DUMMYFUNCTION("""COMPUTED_VALUE"""),133.25)</f>
        <v>133.25</v>
      </c>
      <c r="E166" s="2">
        <f ca="1">IFERROR(__xludf.DUMMYFUNCTION("""COMPUTED_VALUE"""),134.91)</f>
        <v>134.91</v>
      </c>
      <c r="F166" s="2">
        <f ca="1">IFERROR(__xludf.DUMMYFUNCTION("""COMPUTED_VALUE"""),38646093)</f>
        <v>38646093</v>
      </c>
    </row>
    <row r="167" spans="1:6" ht="12.5" x14ac:dyDescent="0.25">
      <c r="A167" s="3">
        <f ca="1">IFERROR(__xludf.DUMMYFUNCTION("""COMPUTED_VALUE"""),45168.6666666666)</f>
        <v>45168.666666666599</v>
      </c>
      <c r="B167" s="2">
        <f ca="1">IFERROR(__xludf.DUMMYFUNCTION("""COMPUTED_VALUE"""),134.93)</f>
        <v>134.93</v>
      </c>
      <c r="C167" s="2">
        <f ca="1">IFERROR(__xludf.DUMMYFUNCTION("""COMPUTED_VALUE"""),135.68)</f>
        <v>135.68</v>
      </c>
      <c r="D167" s="2">
        <f ca="1">IFERROR(__xludf.DUMMYFUNCTION("""COMPUTED_VALUE"""),133.92)</f>
        <v>133.91999999999999</v>
      </c>
      <c r="E167" s="2">
        <f ca="1">IFERROR(__xludf.DUMMYFUNCTION("""COMPUTED_VALUE"""),135.07)</f>
        <v>135.07</v>
      </c>
      <c r="F167" s="2">
        <f ca="1">IFERROR(__xludf.DUMMYFUNCTION("""COMPUTED_VALUE"""),36137015)</f>
        <v>36137015</v>
      </c>
    </row>
    <row r="168" spans="1:6" ht="12.5" x14ac:dyDescent="0.25">
      <c r="A168" s="3">
        <f ca="1">IFERROR(__xludf.DUMMYFUNCTION("""COMPUTED_VALUE"""),45169.6666666666)</f>
        <v>45169.666666666599</v>
      </c>
      <c r="B168" s="2">
        <f ca="1">IFERROR(__xludf.DUMMYFUNCTION("""COMPUTED_VALUE"""),135.06)</f>
        <v>135.06</v>
      </c>
      <c r="C168" s="2">
        <f ca="1">IFERROR(__xludf.DUMMYFUNCTION("""COMPUTED_VALUE"""),138.79)</f>
        <v>138.79</v>
      </c>
      <c r="D168" s="2">
        <f ca="1">IFERROR(__xludf.DUMMYFUNCTION("""COMPUTED_VALUE"""),135)</f>
        <v>135</v>
      </c>
      <c r="E168" s="2">
        <f ca="1">IFERROR(__xludf.DUMMYFUNCTION("""COMPUTED_VALUE"""),138.01)</f>
        <v>138.01</v>
      </c>
      <c r="F168" s="2">
        <f ca="1">IFERROR(__xludf.DUMMYFUNCTION("""COMPUTED_VALUE"""),58781314)</f>
        <v>58781314</v>
      </c>
    </row>
    <row r="169" spans="1:6" ht="12.5" x14ac:dyDescent="0.25">
      <c r="A169" s="3">
        <f ca="1">IFERROR(__xludf.DUMMYFUNCTION("""COMPUTED_VALUE"""),45170.6666666666)</f>
        <v>45170.666666666599</v>
      </c>
      <c r="B169" s="2">
        <f ca="1">IFERROR(__xludf.DUMMYFUNCTION("""COMPUTED_VALUE"""),139.46)</f>
        <v>139.46</v>
      </c>
      <c r="C169" s="2">
        <f ca="1">IFERROR(__xludf.DUMMYFUNCTION("""COMPUTED_VALUE"""),139.96)</f>
        <v>139.96</v>
      </c>
      <c r="D169" s="2">
        <f ca="1">IFERROR(__xludf.DUMMYFUNCTION("""COMPUTED_VALUE"""),136.88)</f>
        <v>136.88</v>
      </c>
      <c r="E169" s="2">
        <f ca="1">IFERROR(__xludf.DUMMYFUNCTION("""COMPUTED_VALUE"""),138.12)</f>
        <v>138.12</v>
      </c>
      <c r="F169" s="2">
        <f ca="1">IFERROR(__xludf.DUMMYFUNCTION("""COMPUTED_VALUE"""),40991536)</f>
        <v>40991536</v>
      </c>
    </row>
    <row r="170" spans="1:6" ht="12.5" x14ac:dyDescent="0.25">
      <c r="A170" s="3">
        <f ca="1">IFERROR(__xludf.DUMMYFUNCTION("""COMPUTED_VALUE"""),45174.6666666666)</f>
        <v>45174.666666666599</v>
      </c>
      <c r="B170" s="2">
        <f ca="1">IFERROR(__xludf.DUMMYFUNCTION("""COMPUTED_VALUE"""),137.73)</f>
        <v>137.72999999999999</v>
      </c>
      <c r="C170" s="2">
        <f ca="1">IFERROR(__xludf.DUMMYFUNCTION("""COMPUTED_VALUE"""),137.8)</f>
        <v>137.80000000000001</v>
      </c>
      <c r="D170" s="2">
        <f ca="1">IFERROR(__xludf.DUMMYFUNCTION("""COMPUTED_VALUE"""),135.82)</f>
        <v>135.82</v>
      </c>
      <c r="E170" s="2">
        <f ca="1">IFERROR(__xludf.DUMMYFUNCTION("""COMPUTED_VALUE"""),137.27)</f>
        <v>137.27000000000001</v>
      </c>
      <c r="F170" s="2">
        <f ca="1">IFERROR(__xludf.DUMMYFUNCTION("""COMPUTED_VALUE"""),40636738)</f>
        <v>40636738</v>
      </c>
    </row>
    <row r="171" spans="1:6" ht="12.5" x14ac:dyDescent="0.25">
      <c r="A171" s="3">
        <f ca="1">IFERROR(__xludf.DUMMYFUNCTION("""COMPUTED_VALUE"""),45175.6666666666)</f>
        <v>45175.666666666599</v>
      </c>
      <c r="B171" s="2">
        <f ca="1">IFERROR(__xludf.DUMMYFUNCTION("""COMPUTED_VALUE"""),136.32)</f>
        <v>136.32</v>
      </c>
      <c r="C171" s="2">
        <f ca="1">IFERROR(__xludf.DUMMYFUNCTION("""COMPUTED_VALUE"""),137.45)</f>
        <v>137.44999999999999</v>
      </c>
      <c r="D171" s="2">
        <f ca="1">IFERROR(__xludf.DUMMYFUNCTION("""COMPUTED_VALUE"""),134.61)</f>
        <v>134.61000000000001</v>
      </c>
      <c r="E171" s="2">
        <f ca="1">IFERROR(__xludf.DUMMYFUNCTION("""COMPUTED_VALUE"""),135.36)</f>
        <v>135.36000000000001</v>
      </c>
      <c r="F171" s="2">
        <f ca="1">IFERROR(__xludf.DUMMYFUNCTION("""COMPUTED_VALUE"""),41785507)</f>
        <v>41785507</v>
      </c>
    </row>
    <row r="172" spans="1:6" ht="12.5" x14ac:dyDescent="0.25">
      <c r="A172" s="3">
        <f ca="1">IFERROR(__xludf.DUMMYFUNCTION("""COMPUTED_VALUE"""),45176.6666666666)</f>
        <v>45176.666666666599</v>
      </c>
      <c r="B172" s="2">
        <f ca="1">IFERROR(__xludf.DUMMYFUNCTION("""COMPUTED_VALUE"""),133.9)</f>
        <v>133.9</v>
      </c>
      <c r="C172" s="2">
        <f ca="1">IFERROR(__xludf.DUMMYFUNCTION("""COMPUTED_VALUE"""),138.03)</f>
        <v>138.03</v>
      </c>
      <c r="D172" s="2">
        <f ca="1">IFERROR(__xludf.DUMMYFUNCTION("""COMPUTED_VALUE"""),133.16)</f>
        <v>133.16</v>
      </c>
      <c r="E172" s="2">
        <f ca="1">IFERROR(__xludf.DUMMYFUNCTION("""COMPUTED_VALUE"""),137.85)</f>
        <v>137.85</v>
      </c>
      <c r="F172" s="2">
        <f ca="1">IFERROR(__xludf.DUMMYFUNCTION("""COMPUTED_VALUE"""),48498912)</f>
        <v>48498912</v>
      </c>
    </row>
    <row r="173" spans="1:6" ht="12.5" x14ac:dyDescent="0.25">
      <c r="A173" s="3">
        <f ca="1">IFERROR(__xludf.DUMMYFUNCTION("""COMPUTED_VALUE"""),45177.6666666666)</f>
        <v>45177.666666666599</v>
      </c>
      <c r="B173" s="2">
        <f ca="1">IFERROR(__xludf.DUMMYFUNCTION("""COMPUTED_VALUE"""),136.86)</f>
        <v>136.86000000000001</v>
      </c>
      <c r="C173" s="2">
        <f ca="1">IFERROR(__xludf.DUMMYFUNCTION("""COMPUTED_VALUE"""),138.85)</f>
        <v>138.85</v>
      </c>
      <c r="D173" s="2">
        <f ca="1">IFERROR(__xludf.DUMMYFUNCTION("""COMPUTED_VALUE"""),136.75)</f>
        <v>136.75</v>
      </c>
      <c r="E173" s="2">
        <f ca="1">IFERROR(__xludf.DUMMYFUNCTION("""COMPUTED_VALUE"""),138.23)</f>
        <v>138.22999999999999</v>
      </c>
      <c r="F173" s="2">
        <f ca="1">IFERROR(__xludf.DUMMYFUNCTION("""COMPUTED_VALUE"""),38365929)</f>
        <v>38365929</v>
      </c>
    </row>
    <row r="174" spans="1:6" ht="12.5" x14ac:dyDescent="0.25">
      <c r="A174" s="3">
        <f ca="1">IFERROR(__xludf.DUMMYFUNCTION("""COMPUTED_VALUE"""),45180.6666666666)</f>
        <v>45180.666666666599</v>
      </c>
      <c r="B174" s="2">
        <f ca="1">IFERROR(__xludf.DUMMYFUNCTION("""COMPUTED_VALUE"""),138.75)</f>
        <v>138.75</v>
      </c>
      <c r="C174" s="2">
        <f ca="1">IFERROR(__xludf.DUMMYFUNCTION("""COMPUTED_VALUE"""),143.62)</f>
        <v>143.62</v>
      </c>
      <c r="D174" s="2">
        <f ca="1">IFERROR(__xludf.DUMMYFUNCTION("""COMPUTED_VALUE"""),138.64)</f>
        <v>138.63999999999999</v>
      </c>
      <c r="E174" s="2">
        <f ca="1">IFERROR(__xludf.DUMMYFUNCTION("""COMPUTED_VALUE"""),143.1)</f>
        <v>143.1</v>
      </c>
      <c r="F174" s="2">
        <f ca="1">IFERROR(__xludf.DUMMYFUNCTION("""COMPUTED_VALUE"""),56764525)</f>
        <v>56764525</v>
      </c>
    </row>
    <row r="175" spans="1:6" ht="12.5" x14ac:dyDescent="0.25">
      <c r="A175" s="3">
        <f ca="1">IFERROR(__xludf.DUMMYFUNCTION("""COMPUTED_VALUE"""),45181.6666666666)</f>
        <v>45181.666666666599</v>
      </c>
      <c r="B175" s="2">
        <f ca="1">IFERROR(__xludf.DUMMYFUNCTION("""COMPUTED_VALUE"""),142.32)</f>
        <v>142.32</v>
      </c>
      <c r="C175" s="2">
        <f ca="1">IFERROR(__xludf.DUMMYFUNCTION("""COMPUTED_VALUE"""),143)</f>
        <v>143</v>
      </c>
      <c r="D175" s="2">
        <f ca="1">IFERROR(__xludf.DUMMYFUNCTION("""COMPUTED_VALUE"""),140.61)</f>
        <v>140.61000000000001</v>
      </c>
      <c r="E175" s="2">
        <f ca="1">IFERROR(__xludf.DUMMYFUNCTION("""COMPUTED_VALUE"""),141.23)</f>
        <v>141.22999999999999</v>
      </c>
      <c r="F175" s="2">
        <f ca="1">IFERROR(__xludf.DUMMYFUNCTION("""COMPUTED_VALUE"""),42668452)</f>
        <v>42668452</v>
      </c>
    </row>
    <row r="176" spans="1:6" ht="12.5" x14ac:dyDescent="0.25">
      <c r="A176" s="3">
        <f ca="1">IFERROR(__xludf.DUMMYFUNCTION("""COMPUTED_VALUE"""),45182.6666666666)</f>
        <v>45182.666666666599</v>
      </c>
      <c r="B176" s="2">
        <f ca="1">IFERROR(__xludf.DUMMYFUNCTION("""COMPUTED_VALUE"""),140.95)</f>
        <v>140.94999999999999</v>
      </c>
      <c r="C176" s="2">
        <f ca="1">IFERROR(__xludf.DUMMYFUNCTION("""COMPUTED_VALUE"""),144.98)</f>
        <v>144.97999999999999</v>
      </c>
      <c r="D176" s="2">
        <f ca="1">IFERROR(__xludf.DUMMYFUNCTION("""COMPUTED_VALUE"""),140.87)</f>
        <v>140.87</v>
      </c>
      <c r="E176" s="2">
        <f ca="1">IFERROR(__xludf.DUMMYFUNCTION("""COMPUTED_VALUE"""),144.85)</f>
        <v>144.85</v>
      </c>
      <c r="F176" s="2">
        <f ca="1">IFERROR(__xludf.DUMMYFUNCTION("""COMPUTED_VALUE"""),60465175)</f>
        <v>60465175</v>
      </c>
    </row>
    <row r="177" spans="1:6" ht="12.5" x14ac:dyDescent="0.25">
      <c r="A177" s="3">
        <f ca="1">IFERROR(__xludf.DUMMYFUNCTION("""COMPUTED_VALUE"""),45183.6666666666)</f>
        <v>45183.666666666599</v>
      </c>
      <c r="B177" s="2">
        <f ca="1">IFERROR(__xludf.DUMMYFUNCTION("""COMPUTED_VALUE"""),145.08)</f>
        <v>145.08000000000001</v>
      </c>
      <c r="C177" s="2">
        <f ca="1">IFERROR(__xludf.DUMMYFUNCTION("""COMPUTED_VALUE"""),145.86)</f>
        <v>145.86000000000001</v>
      </c>
      <c r="D177" s="2">
        <f ca="1">IFERROR(__xludf.DUMMYFUNCTION("""COMPUTED_VALUE"""),142.95)</f>
        <v>142.94999999999999</v>
      </c>
      <c r="E177" s="2">
        <f ca="1">IFERROR(__xludf.DUMMYFUNCTION("""COMPUTED_VALUE"""),144.72)</f>
        <v>144.72</v>
      </c>
      <c r="F177" s="2">
        <f ca="1">IFERROR(__xludf.DUMMYFUNCTION("""COMPUTED_VALUE"""),64033607)</f>
        <v>64033607</v>
      </c>
    </row>
    <row r="178" spans="1:6" ht="12.5" x14ac:dyDescent="0.25">
      <c r="A178" s="3">
        <f ca="1">IFERROR(__xludf.DUMMYFUNCTION("""COMPUTED_VALUE"""),45184.6666666666)</f>
        <v>45184.666666666599</v>
      </c>
      <c r="B178" s="2">
        <f ca="1">IFERROR(__xludf.DUMMYFUNCTION("""COMPUTED_VALUE"""),142.69)</f>
        <v>142.69</v>
      </c>
      <c r="C178" s="2">
        <f ca="1">IFERROR(__xludf.DUMMYFUNCTION("""COMPUTED_VALUE"""),143.57)</f>
        <v>143.57</v>
      </c>
      <c r="D178" s="2">
        <f ca="1">IFERROR(__xludf.DUMMYFUNCTION("""COMPUTED_VALUE"""),140.09)</f>
        <v>140.09</v>
      </c>
      <c r="E178" s="2">
        <f ca="1">IFERROR(__xludf.DUMMYFUNCTION("""COMPUTED_VALUE"""),140.39)</f>
        <v>140.38999999999999</v>
      </c>
      <c r="F178" s="2">
        <f ca="1">IFERROR(__xludf.DUMMYFUNCTION("""COMPUTED_VALUE"""),102909327)</f>
        <v>102909327</v>
      </c>
    </row>
    <row r="179" spans="1:6" ht="12.5" x14ac:dyDescent="0.25">
      <c r="A179" s="3">
        <f ca="1">IFERROR(__xludf.DUMMYFUNCTION("""COMPUTED_VALUE"""),45187.6666666666)</f>
        <v>45187.666666666599</v>
      </c>
      <c r="B179" s="2">
        <f ca="1">IFERROR(__xludf.DUMMYFUNCTION("""COMPUTED_VALUE"""),140.48)</f>
        <v>140.47999999999999</v>
      </c>
      <c r="C179" s="2">
        <f ca="1">IFERROR(__xludf.DUMMYFUNCTION("""COMPUTED_VALUE"""),141.75)</f>
        <v>141.75</v>
      </c>
      <c r="D179" s="2">
        <f ca="1">IFERROR(__xludf.DUMMYFUNCTION("""COMPUTED_VALUE"""),139.22)</f>
        <v>139.22</v>
      </c>
      <c r="E179" s="2">
        <f ca="1">IFERROR(__xludf.DUMMYFUNCTION("""COMPUTED_VALUE"""),139.98)</f>
        <v>139.97999999999999</v>
      </c>
      <c r="F179" s="2">
        <f ca="1">IFERROR(__xludf.DUMMYFUNCTION("""COMPUTED_VALUE"""),42823480)</f>
        <v>42823480</v>
      </c>
    </row>
    <row r="180" spans="1:6" ht="12.5" x14ac:dyDescent="0.25">
      <c r="A180" s="3">
        <f ca="1">IFERROR(__xludf.DUMMYFUNCTION("""COMPUTED_VALUE"""),45188.6666666666)</f>
        <v>45188.666666666599</v>
      </c>
      <c r="B180" s="2">
        <f ca="1">IFERROR(__xludf.DUMMYFUNCTION("""COMPUTED_VALUE"""),138.7)</f>
        <v>138.69999999999999</v>
      </c>
      <c r="C180" s="2">
        <f ca="1">IFERROR(__xludf.DUMMYFUNCTION("""COMPUTED_VALUE"""),138.84)</f>
        <v>138.84</v>
      </c>
      <c r="D180" s="2">
        <f ca="1">IFERROR(__xludf.DUMMYFUNCTION("""COMPUTED_VALUE"""),135.56)</f>
        <v>135.56</v>
      </c>
      <c r="E180" s="2">
        <f ca="1">IFERROR(__xludf.DUMMYFUNCTION("""COMPUTED_VALUE"""),137.63)</f>
        <v>137.63</v>
      </c>
      <c r="F180" s="2">
        <f ca="1">IFERROR(__xludf.DUMMYFUNCTION("""COMPUTED_VALUE"""),61482470)</f>
        <v>61482470</v>
      </c>
    </row>
    <row r="181" spans="1:6" ht="12.5" x14ac:dyDescent="0.25">
      <c r="A181" s="3">
        <f ca="1">IFERROR(__xludf.DUMMYFUNCTION("""COMPUTED_VALUE"""),45189.6666666666)</f>
        <v>45189.666666666599</v>
      </c>
      <c r="B181" s="2">
        <f ca="1">IFERROR(__xludf.DUMMYFUNCTION("""COMPUTED_VALUE"""),138.55)</f>
        <v>138.55000000000001</v>
      </c>
      <c r="C181" s="2">
        <f ca="1">IFERROR(__xludf.DUMMYFUNCTION("""COMPUTED_VALUE"""),139.37)</f>
        <v>139.37</v>
      </c>
      <c r="D181" s="2">
        <f ca="1">IFERROR(__xludf.DUMMYFUNCTION("""COMPUTED_VALUE"""),135.2)</f>
        <v>135.19999999999999</v>
      </c>
      <c r="E181" s="2">
        <f ca="1">IFERROR(__xludf.DUMMYFUNCTION("""COMPUTED_VALUE"""),135.29)</f>
        <v>135.29</v>
      </c>
      <c r="F181" s="2">
        <f ca="1">IFERROR(__xludf.DUMMYFUNCTION("""COMPUTED_VALUE"""),46263716)</f>
        <v>46263716</v>
      </c>
    </row>
    <row r="182" spans="1:6" ht="12.5" x14ac:dyDescent="0.25">
      <c r="A182" s="3">
        <f ca="1">IFERROR(__xludf.DUMMYFUNCTION("""COMPUTED_VALUE"""),45190.6666666666)</f>
        <v>45190.666666666599</v>
      </c>
      <c r="B182" s="2">
        <f ca="1">IFERROR(__xludf.DUMMYFUNCTION("""COMPUTED_VALUE"""),131.94)</f>
        <v>131.94</v>
      </c>
      <c r="C182" s="2">
        <f ca="1">IFERROR(__xludf.DUMMYFUNCTION("""COMPUTED_VALUE"""),132.24)</f>
        <v>132.24</v>
      </c>
      <c r="D182" s="2">
        <f ca="1">IFERROR(__xludf.DUMMYFUNCTION("""COMPUTED_VALUE"""),129.31)</f>
        <v>129.31</v>
      </c>
      <c r="E182" s="2">
        <f ca="1">IFERROR(__xludf.DUMMYFUNCTION("""COMPUTED_VALUE"""),129.33)</f>
        <v>129.33000000000001</v>
      </c>
      <c r="F182" s="2">
        <f ca="1">IFERROR(__xludf.DUMMYFUNCTION("""COMPUTED_VALUE"""),70343342)</f>
        <v>70343342</v>
      </c>
    </row>
    <row r="183" spans="1:6" ht="12.5" x14ac:dyDescent="0.25">
      <c r="A183" s="3">
        <f ca="1">IFERROR(__xludf.DUMMYFUNCTION("""COMPUTED_VALUE"""),45191.6666666666)</f>
        <v>45191.666666666599</v>
      </c>
      <c r="B183" s="2">
        <f ca="1">IFERROR(__xludf.DUMMYFUNCTION("""COMPUTED_VALUE"""),131.11)</f>
        <v>131.11000000000001</v>
      </c>
      <c r="C183" s="2">
        <f ca="1">IFERROR(__xludf.DUMMYFUNCTION("""COMPUTED_VALUE"""),132.03)</f>
        <v>132.03</v>
      </c>
      <c r="D183" s="2">
        <f ca="1">IFERROR(__xludf.DUMMYFUNCTION("""COMPUTED_VALUE"""),128.52)</f>
        <v>128.52000000000001</v>
      </c>
      <c r="E183" s="2">
        <f ca="1">IFERROR(__xludf.DUMMYFUNCTION("""COMPUTED_VALUE"""),129.12)</f>
        <v>129.12</v>
      </c>
      <c r="F183" s="2">
        <f ca="1">IFERROR(__xludf.DUMMYFUNCTION("""COMPUTED_VALUE"""),59904348)</f>
        <v>59904348</v>
      </c>
    </row>
    <row r="184" spans="1:6" ht="12.5" x14ac:dyDescent="0.25">
      <c r="A184" s="3">
        <f ca="1">IFERROR(__xludf.DUMMYFUNCTION("""COMPUTED_VALUE"""),45194.6666666666)</f>
        <v>45194.666666666599</v>
      </c>
      <c r="B184" s="2">
        <f ca="1">IFERROR(__xludf.DUMMYFUNCTION("""COMPUTED_VALUE"""),129.36)</f>
        <v>129.36000000000001</v>
      </c>
      <c r="C184" s="2">
        <f ca="1">IFERROR(__xludf.DUMMYFUNCTION("""COMPUTED_VALUE"""),131.78)</f>
        <v>131.78</v>
      </c>
      <c r="D184" s="2">
        <f ca="1">IFERROR(__xludf.DUMMYFUNCTION("""COMPUTED_VALUE"""),128.77)</f>
        <v>128.77000000000001</v>
      </c>
      <c r="E184" s="2">
        <f ca="1">IFERROR(__xludf.DUMMYFUNCTION("""COMPUTED_VALUE"""),131.27)</f>
        <v>131.27000000000001</v>
      </c>
      <c r="F184" s="2">
        <f ca="1">IFERROR(__xludf.DUMMYFUNCTION("""COMPUTED_VALUE"""),46017825)</f>
        <v>46017825</v>
      </c>
    </row>
    <row r="185" spans="1:6" ht="12.5" x14ac:dyDescent="0.25">
      <c r="A185" s="3">
        <f ca="1">IFERROR(__xludf.DUMMYFUNCTION("""COMPUTED_VALUE"""),45195.6666666666)</f>
        <v>45195.666666666599</v>
      </c>
      <c r="B185" s="2">
        <f ca="1">IFERROR(__xludf.DUMMYFUNCTION("""COMPUTED_VALUE"""),130.12)</f>
        <v>130.12</v>
      </c>
      <c r="C185" s="2">
        <f ca="1">IFERROR(__xludf.DUMMYFUNCTION("""COMPUTED_VALUE"""),130.39)</f>
        <v>130.38999999999999</v>
      </c>
      <c r="D185" s="2">
        <f ca="1">IFERROR(__xludf.DUMMYFUNCTION("""COMPUTED_VALUE"""),125.28)</f>
        <v>125.28</v>
      </c>
      <c r="E185" s="2">
        <f ca="1">IFERROR(__xludf.DUMMYFUNCTION("""COMPUTED_VALUE"""),125.98)</f>
        <v>125.98</v>
      </c>
      <c r="F185" s="2">
        <f ca="1">IFERROR(__xludf.DUMMYFUNCTION("""COMPUTED_VALUE"""),73048207)</f>
        <v>73048207</v>
      </c>
    </row>
    <row r="186" spans="1:6" ht="12.5" x14ac:dyDescent="0.25">
      <c r="A186" s="3">
        <f ca="1">IFERROR(__xludf.DUMMYFUNCTION("""COMPUTED_VALUE"""),45196.6666666666)</f>
        <v>45196.666666666599</v>
      </c>
      <c r="B186" s="2">
        <f ca="1">IFERROR(__xludf.DUMMYFUNCTION("""COMPUTED_VALUE"""),125.76)</f>
        <v>125.76</v>
      </c>
      <c r="C186" s="2">
        <f ca="1">IFERROR(__xludf.DUMMYFUNCTION("""COMPUTED_VALUE"""),127.48)</f>
        <v>127.48</v>
      </c>
      <c r="D186" s="2">
        <f ca="1">IFERROR(__xludf.DUMMYFUNCTION("""COMPUTED_VALUE"""),124.13)</f>
        <v>124.13</v>
      </c>
      <c r="E186" s="2">
        <f ca="1">IFERROR(__xludf.DUMMYFUNCTION("""COMPUTED_VALUE"""),125.98)</f>
        <v>125.98</v>
      </c>
      <c r="F186" s="2">
        <f ca="1">IFERROR(__xludf.DUMMYFUNCTION("""COMPUTED_VALUE"""),66553449)</f>
        <v>66553449</v>
      </c>
    </row>
    <row r="187" spans="1:6" ht="12.5" x14ac:dyDescent="0.25">
      <c r="A187" s="3">
        <f ca="1">IFERROR(__xludf.DUMMYFUNCTION("""COMPUTED_VALUE"""),45197.6666666666)</f>
        <v>45197.666666666599</v>
      </c>
      <c r="B187" s="2">
        <f ca="1">IFERROR(__xludf.DUMMYFUNCTION("""COMPUTED_VALUE"""),124.04)</f>
        <v>124.04</v>
      </c>
      <c r="C187" s="2">
        <f ca="1">IFERROR(__xludf.DUMMYFUNCTION("""COMPUTED_VALUE"""),126.58)</f>
        <v>126.58</v>
      </c>
      <c r="D187" s="2">
        <f ca="1">IFERROR(__xludf.DUMMYFUNCTION("""COMPUTED_VALUE"""),123.04)</f>
        <v>123.04</v>
      </c>
      <c r="E187" s="2">
        <f ca="1">IFERROR(__xludf.DUMMYFUNCTION("""COMPUTED_VALUE"""),125.98)</f>
        <v>125.98</v>
      </c>
      <c r="F187" s="2">
        <f ca="1">IFERROR(__xludf.DUMMYFUNCTION("""COMPUTED_VALUE"""),54554968)</f>
        <v>54554968</v>
      </c>
    </row>
    <row r="188" spans="1:6" ht="12.5" x14ac:dyDescent="0.25">
      <c r="A188" s="3">
        <f ca="1">IFERROR(__xludf.DUMMYFUNCTION("""COMPUTED_VALUE"""),45198.6666666666)</f>
        <v>45198.666666666599</v>
      </c>
      <c r="B188" s="2">
        <f ca="1">IFERROR(__xludf.DUMMYFUNCTION("""COMPUTED_VALUE"""),128.2)</f>
        <v>128.19999999999999</v>
      </c>
      <c r="C188" s="2">
        <f ca="1">IFERROR(__xludf.DUMMYFUNCTION("""COMPUTED_VALUE"""),129.15)</f>
        <v>129.15</v>
      </c>
      <c r="D188" s="2">
        <f ca="1">IFERROR(__xludf.DUMMYFUNCTION("""COMPUTED_VALUE"""),126.32)</f>
        <v>126.32</v>
      </c>
      <c r="E188" s="2">
        <f ca="1">IFERROR(__xludf.DUMMYFUNCTION("""COMPUTED_VALUE"""),127.12)</f>
        <v>127.12</v>
      </c>
      <c r="F188" s="2">
        <f ca="1">IFERROR(__xludf.DUMMYFUNCTION("""COMPUTED_VALUE"""),62411730)</f>
        <v>62411730</v>
      </c>
    </row>
    <row r="189" spans="1:6" ht="12.5" x14ac:dyDescent="0.25">
      <c r="A189" s="3">
        <f ca="1">IFERROR(__xludf.DUMMYFUNCTION("""COMPUTED_VALUE"""),45201.6666666666)</f>
        <v>45201.666666666599</v>
      </c>
      <c r="B189" s="2">
        <f ca="1">IFERROR(__xludf.DUMMYFUNCTION("""COMPUTED_VALUE"""),127.28)</f>
        <v>127.28</v>
      </c>
      <c r="C189" s="2">
        <f ca="1">IFERROR(__xludf.DUMMYFUNCTION("""COMPUTED_VALUE"""),130.47)</f>
        <v>130.47</v>
      </c>
      <c r="D189" s="2">
        <f ca="1">IFERROR(__xludf.DUMMYFUNCTION("""COMPUTED_VALUE"""),126.54)</f>
        <v>126.54</v>
      </c>
      <c r="E189" s="2">
        <f ca="1">IFERROR(__xludf.DUMMYFUNCTION("""COMPUTED_VALUE"""),129.46)</f>
        <v>129.46</v>
      </c>
      <c r="F189" s="2">
        <f ca="1">IFERROR(__xludf.DUMMYFUNCTION("""COMPUTED_VALUE"""),48029744)</f>
        <v>48029744</v>
      </c>
    </row>
    <row r="190" spans="1:6" ht="12.5" x14ac:dyDescent="0.25">
      <c r="A190" s="3">
        <f ca="1">IFERROR(__xludf.DUMMYFUNCTION("""COMPUTED_VALUE"""),45202.6666666666)</f>
        <v>45202.666666666599</v>
      </c>
      <c r="B190" s="2">
        <f ca="1">IFERROR(__xludf.DUMMYFUNCTION("""COMPUTED_VALUE"""),128.06)</f>
        <v>128.06</v>
      </c>
      <c r="C190" s="2">
        <f ca="1">IFERROR(__xludf.DUMMYFUNCTION("""COMPUTED_VALUE"""),128.52)</f>
        <v>128.52000000000001</v>
      </c>
      <c r="D190" s="2">
        <f ca="1">IFERROR(__xludf.DUMMYFUNCTION("""COMPUTED_VALUE"""),124.25)</f>
        <v>124.25</v>
      </c>
      <c r="E190" s="2">
        <f ca="1">IFERROR(__xludf.DUMMYFUNCTION("""COMPUTED_VALUE"""),124.72)</f>
        <v>124.72</v>
      </c>
      <c r="F190" s="2">
        <f ca="1">IFERROR(__xludf.DUMMYFUNCTION("""COMPUTED_VALUE"""),51564991)</f>
        <v>51564991</v>
      </c>
    </row>
    <row r="191" spans="1:6" ht="12.5" x14ac:dyDescent="0.25">
      <c r="A191" s="3">
        <f ca="1">IFERROR(__xludf.DUMMYFUNCTION("""COMPUTED_VALUE"""),45203.6666666666)</f>
        <v>45203.666666666599</v>
      </c>
      <c r="B191" s="2">
        <f ca="1">IFERROR(__xludf.DUMMYFUNCTION("""COMPUTED_VALUE"""),126.06)</f>
        <v>126.06</v>
      </c>
      <c r="C191" s="2">
        <f ca="1">IFERROR(__xludf.DUMMYFUNCTION("""COMPUTED_VALUE"""),127.36)</f>
        <v>127.36</v>
      </c>
      <c r="D191" s="2">
        <f ca="1">IFERROR(__xludf.DUMMYFUNCTION("""COMPUTED_VALUE"""),125.68)</f>
        <v>125.68</v>
      </c>
      <c r="E191" s="2">
        <f ca="1">IFERROR(__xludf.DUMMYFUNCTION("""COMPUTED_VALUE"""),127)</f>
        <v>127</v>
      </c>
      <c r="F191" s="2">
        <f ca="1">IFERROR(__xludf.DUMMYFUNCTION("""COMPUTED_VALUE"""),44203870)</f>
        <v>44203870</v>
      </c>
    </row>
    <row r="192" spans="1:6" ht="12.5" x14ac:dyDescent="0.25">
      <c r="A192" s="3">
        <f ca="1">IFERROR(__xludf.DUMMYFUNCTION("""COMPUTED_VALUE"""),45204.6666666666)</f>
        <v>45204.666666666599</v>
      </c>
      <c r="B192" s="2">
        <f ca="1">IFERROR(__xludf.DUMMYFUNCTION("""COMPUTED_VALUE"""),126.71)</f>
        <v>126.71</v>
      </c>
      <c r="C192" s="2">
        <f ca="1">IFERROR(__xludf.DUMMYFUNCTION("""COMPUTED_VALUE"""),126.73)</f>
        <v>126.73</v>
      </c>
      <c r="D192" s="2">
        <f ca="1">IFERROR(__xludf.DUMMYFUNCTION("""COMPUTED_VALUE"""),124.33)</f>
        <v>124.33</v>
      </c>
      <c r="E192" s="2">
        <f ca="1">IFERROR(__xludf.DUMMYFUNCTION("""COMPUTED_VALUE"""),125.96)</f>
        <v>125.96</v>
      </c>
      <c r="F192" s="2">
        <f ca="1">IFERROR(__xludf.DUMMYFUNCTION("""COMPUTED_VALUE"""),39660643)</f>
        <v>39660643</v>
      </c>
    </row>
    <row r="193" spans="1:6" ht="12.5" x14ac:dyDescent="0.25">
      <c r="A193" s="3">
        <f ca="1">IFERROR(__xludf.DUMMYFUNCTION("""COMPUTED_VALUE"""),45205.6666666666)</f>
        <v>45205.666666666599</v>
      </c>
      <c r="B193" s="2">
        <f ca="1">IFERROR(__xludf.DUMMYFUNCTION("""COMPUTED_VALUE"""),124.16)</f>
        <v>124.16</v>
      </c>
      <c r="C193" s="2">
        <f ca="1">IFERROR(__xludf.DUMMYFUNCTION("""COMPUTED_VALUE"""),128.45)</f>
        <v>128.44999999999999</v>
      </c>
      <c r="D193" s="2">
        <f ca="1">IFERROR(__xludf.DUMMYFUNCTION("""COMPUTED_VALUE"""),124.13)</f>
        <v>124.13</v>
      </c>
      <c r="E193" s="2">
        <f ca="1">IFERROR(__xludf.DUMMYFUNCTION("""COMPUTED_VALUE"""),127.96)</f>
        <v>127.96</v>
      </c>
      <c r="F193" s="2">
        <f ca="1">IFERROR(__xludf.DUMMYFUNCTION("""COMPUTED_VALUE"""),46836698)</f>
        <v>46836698</v>
      </c>
    </row>
    <row r="194" spans="1:6" ht="12.5" x14ac:dyDescent="0.25">
      <c r="A194" s="3">
        <f ca="1">IFERROR(__xludf.DUMMYFUNCTION("""COMPUTED_VALUE"""),45208.6666666666)</f>
        <v>45208.666666666599</v>
      </c>
      <c r="B194" s="2">
        <f ca="1">IFERROR(__xludf.DUMMYFUNCTION("""COMPUTED_VALUE"""),126.22)</f>
        <v>126.22</v>
      </c>
      <c r="C194" s="2">
        <f ca="1">IFERROR(__xludf.DUMMYFUNCTION("""COMPUTED_VALUE"""),128.79)</f>
        <v>128.79</v>
      </c>
      <c r="D194" s="2">
        <f ca="1">IFERROR(__xludf.DUMMYFUNCTION("""COMPUTED_VALUE"""),124.76)</f>
        <v>124.76</v>
      </c>
      <c r="E194" s="2">
        <f ca="1">IFERROR(__xludf.DUMMYFUNCTION("""COMPUTED_VALUE"""),128.26)</f>
        <v>128.26</v>
      </c>
      <c r="F194" s="2">
        <f ca="1">IFERROR(__xludf.DUMMYFUNCTION("""COMPUTED_VALUE"""),38773738)</f>
        <v>38773738</v>
      </c>
    </row>
    <row r="195" spans="1:6" ht="12.5" x14ac:dyDescent="0.25">
      <c r="A195" s="3">
        <f ca="1">IFERROR(__xludf.DUMMYFUNCTION("""COMPUTED_VALUE"""),45209.6666666666)</f>
        <v>45209.666666666599</v>
      </c>
      <c r="B195" s="2">
        <f ca="1">IFERROR(__xludf.DUMMYFUNCTION("""COMPUTED_VALUE"""),128.82)</f>
        <v>128.82</v>
      </c>
      <c r="C195" s="2">
        <f ca="1">IFERROR(__xludf.DUMMYFUNCTION("""COMPUTED_VALUE"""),130.74)</f>
        <v>130.74</v>
      </c>
      <c r="D195" s="2">
        <f ca="1">IFERROR(__xludf.DUMMYFUNCTION("""COMPUTED_VALUE"""),128.05)</f>
        <v>128.05000000000001</v>
      </c>
      <c r="E195" s="2">
        <f ca="1">IFERROR(__xludf.DUMMYFUNCTION("""COMPUTED_VALUE"""),129.48)</f>
        <v>129.47999999999999</v>
      </c>
      <c r="F195" s="2">
        <f ca="1">IFERROR(__xludf.DUMMYFUNCTION("""COMPUTED_VALUE"""),42178619)</f>
        <v>42178619</v>
      </c>
    </row>
    <row r="196" spans="1:6" ht="12.5" x14ac:dyDescent="0.25">
      <c r="A196" s="3">
        <f ca="1">IFERROR(__xludf.DUMMYFUNCTION("""COMPUTED_VALUE"""),45210.6666666666)</f>
        <v>45210.666666666599</v>
      </c>
      <c r="B196" s="2">
        <f ca="1">IFERROR(__xludf.DUMMYFUNCTION("""COMPUTED_VALUE"""),129.74)</f>
        <v>129.74</v>
      </c>
      <c r="C196" s="2">
        <f ca="1">IFERROR(__xludf.DUMMYFUNCTION("""COMPUTED_VALUE"""),132.05)</f>
        <v>132.05000000000001</v>
      </c>
      <c r="D196" s="2">
        <f ca="1">IFERROR(__xludf.DUMMYFUNCTION("""COMPUTED_VALUE"""),129.61)</f>
        <v>129.61000000000001</v>
      </c>
      <c r="E196" s="2">
        <f ca="1">IFERROR(__xludf.DUMMYFUNCTION("""COMPUTED_VALUE"""),131.83)</f>
        <v>131.83000000000001</v>
      </c>
      <c r="F196" s="2">
        <f ca="1">IFERROR(__xludf.DUMMYFUNCTION("""COMPUTED_VALUE"""),40741842)</f>
        <v>40741842</v>
      </c>
    </row>
    <row r="197" spans="1:6" ht="12.5" x14ac:dyDescent="0.25">
      <c r="A197" s="3">
        <f ca="1">IFERROR(__xludf.DUMMYFUNCTION("""COMPUTED_VALUE"""),45211.6666666666)</f>
        <v>45211.666666666599</v>
      </c>
      <c r="B197" s="2">
        <f ca="1">IFERROR(__xludf.DUMMYFUNCTION("""COMPUTED_VALUE"""),132.17)</f>
        <v>132.16999999999999</v>
      </c>
      <c r="C197" s="2">
        <f ca="1">IFERROR(__xludf.DUMMYFUNCTION("""COMPUTED_VALUE"""),134.48)</f>
        <v>134.47999999999999</v>
      </c>
      <c r="D197" s="2">
        <f ca="1">IFERROR(__xludf.DUMMYFUNCTION("""COMPUTED_VALUE"""),131.23)</f>
        <v>131.22999999999999</v>
      </c>
      <c r="E197" s="2">
        <f ca="1">IFERROR(__xludf.DUMMYFUNCTION("""COMPUTED_VALUE"""),132.33)</f>
        <v>132.33000000000001</v>
      </c>
      <c r="F197" s="2">
        <f ca="1">IFERROR(__xludf.DUMMYFUNCTION("""COMPUTED_VALUE"""),55528581)</f>
        <v>55528581</v>
      </c>
    </row>
    <row r="198" spans="1:6" ht="12.5" x14ac:dyDescent="0.25">
      <c r="A198" s="3">
        <f ca="1">IFERROR(__xludf.DUMMYFUNCTION("""COMPUTED_VALUE"""),45212.6666666666)</f>
        <v>45212.666666666599</v>
      </c>
      <c r="B198" s="2">
        <f ca="1">IFERROR(__xludf.DUMMYFUNCTION("""COMPUTED_VALUE"""),132.98)</f>
        <v>132.97999999999999</v>
      </c>
      <c r="C198" s="2">
        <f ca="1">IFERROR(__xludf.DUMMYFUNCTION("""COMPUTED_VALUE"""),133.31)</f>
        <v>133.31</v>
      </c>
      <c r="D198" s="2">
        <f ca="1">IFERROR(__xludf.DUMMYFUNCTION("""COMPUTED_VALUE"""),128.95)</f>
        <v>128.94999999999999</v>
      </c>
      <c r="E198" s="2">
        <f ca="1">IFERROR(__xludf.DUMMYFUNCTION("""COMPUTED_VALUE"""),129.79)</f>
        <v>129.79</v>
      </c>
      <c r="F198" s="2">
        <f ca="1">IFERROR(__xludf.DUMMYFUNCTION("""COMPUTED_VALUE"""),45824685)</f>
        <v>45824685</v>
      </c>
    </row>
    <row r="199" spans="1:6" ht="12.5" x14ac:dyDescent="0.25">
      <c r="A199" s="3">
        <f ca="1">IFERROR(__xludf.DUMMYFUNCTION("""COMPUTED_VALUE"""),45215.6666666666)</f>
        <v>45215.666666666599</v>
      </c>
      <c r="B199" s="2">
        <f ca="1">IFERROR(__xludf.DUMMYFUNCTION("""COMPUTED_VALUE"""),130.69)</f>
        <v>130.69</v>
      </c>
      <c r="C199" s="2">
        <f ca="1">IFERROR(__xludf.DUMMYFUNCTION("""COMPUTED_VALUE"""),133.07)</f>
        <v>133.07</v>
      </c>
      <c r="D199" s="2">
        <f ca="1">IFERROR(__xludf.DUMMYFUNCTION("""COMPUTED_VALUE"""),130.43)</f>
        <v>130.43</v>
      </c>
      <c r="E199" s="2">
        <f ca="1">IFERROR(__xludf.DUMMYFUNCTION("""COMPUTED_VALUE"""),132.55)</f>
        <v>132.55000000000001</v>
      </c>
      <c r="F199" s="2">
        <f ca="1">IFERROR(__xludf.DUMMYFUNCTION("""COMPUTED_VALUE"""),42832918)</f>
        <v>42832918</v>
      </c>
    </row>
    <row r="200" spans="1:6" ht="12.5" x14ac:dyDescent="0.25">
      <c r="A200" s="3">
        <f ca="1">IFERROR(__xludf.DUMMYFUNCTION("""COMPUTED_VALUE"""),45216.6666666666)</f>
        <v>45216.666666666599</v>
      </c>
      <c r="B200" s="2">
        <f ca="1">IFERROR(__xludf.DUMMYFUNCTION("""COMPUTED_VALUE"""),130.39)</f>
        <v>130.38999999999999</v>
      </c>
      <c r="C200" s="2">
        <f ca="1">IFERROR(__xludf.DUMMYFUNCTION("""COMPUTED_VALUE"""),132.58)</f>
        <v>132.58000000000001</v>
      </c>
      <c r="D200" s="2">
        <f ca="1">IFERROR(__xludf.DUMMYFUNCTION("""COMPUTED_VALUE"""),128.71)</f>
        <v>128.71</v>
      </c>
      <c r="E200" s="2">
        <f ca="1">IFERROR(__xludf.DUMMYFUNCTION("""COMPUTED_VALUE"""),131.47)</f>
        <v>131.47</v>
      </c>
      <c r="F200" s="2">
        <f ca="1">IFERROR(__xludf.DUMMYFUNCTION("""COMPUTED_VALUE"""),49344550)</f>
        <v>49344550</v>
      </c>
    </row>
    <row r="201" spans="1:6" ht="12.5" x14ac:dyDescent="0.25">
      <c r="A201" s="3">
        <f ca="1">IFERROR(__xludf.DUMMYFUNCTION("""COMPUTED_VALUE"""),45217.6666666666)</f>
        <v>45217.666666666599</v>
      </c>
      <c r="B201" s="2">
        <f ca="1">IFERROR(__xludf.DUMMYFUNCTION("""COMPUTED_VALUE"""),129.9)</f>
        <v>129.9</v>
      </c>
      <c r="C201" s="2">
        <f ca="1">IFERROR(__xludf.DUMMYFUNCTION("""COMPUTED_VALUE"""),130.67)</f>
        <v>130.66999999999999</v>
      </c>
      <c r="D201" s="2">
        <f ca="1">IFERROR(__xludf.DUMMYFUNCTION("""COMPUTED_VALUE"""),127.51)</f>
        <v>127.51</v>
      </c>
      <c r="E201" s="2">
        <f ca="1">IFERROR(__xludf.DUMMYFUNCTION("""COMPUTED_VALUE"""),128.13)</f>
        <v>128.13</v>
      </c>
      <c r="F201" s="2">
        <f ca="1">IFERROR(__xludf.DUMMYFUNCTION("""COMPUTED_VALUE"""),42699479)</f>
        <v>42699479</v>
      </c>
    </row>
    <row r="202" spans="1:6" ht="12.5" x14ac:dyDescent="0.25">
      <c r="A202" s="3">
        <f ca="1">IFERROR(__xludf.DUMMYFUNCTION("""COMPUTED_VALUE"""),45218.6666666666)</f>
        <v>45218.666666666599</v>
      </c>
      <c r="B202" s="2">
        <f ca="1">IFERROR(__xludf.DUMMYFUNCTION("""COMPUTED_VALUE"""),130.57)</f>
        <v>130.57</v>
      </c>
      <c r="C202" s="2">
        <f ca="1">IFERROR(__xludf.DUMMYFUNCTION("""COMPUTED_VALUE"""),132.24)</f>
        <v>132.24</v>
      </c>
      <c r="D202" s="2">
        <f ca="1">IFERROR(__xludf.DUMMYFUNCTION("""COMPUTED_VALUE"""),127.47)</f>
        <v>127.47</v>
      </c>
      <c r="E202" s="2">
        <f ca="1">IFERROR(__xludf.DUMMYFUNCTION("""COMPUTED_VALUE"""),128.4)</f>
        <v>128.4</v>
      </c>
      <c r="F202" s="2">
        <f ca="1">IFERROR(__xludf.DUMMYFUNCTION("""COMPUTED_VALUE"""),60961355)</f>
        <v>60961355</v>
      </c>
    </row>
    <row r="203" spans="1:6" ht="12.5" x14ac:dyDescent="0.25">
      <c r="A203" s="3">
        <f ca="1">IFERROR(__xludf.DUMMYFUNCTION("""COMPUTED_VALUE"""),45219.6666666666)</f>
        <v>45219.666666666599</v>
      </c>
      <c r="B203" s="2">
        <f ca="1">IFERROR(__xludf.DUMMYFUNCTION("""COMPUTED_VALUE"""),128.05)</f>
        <v>128.05000000000001</v>
      </c>
      <c r="C203" s="2">
        <f ca="1">IFERROR(__xludf.DUMMYFUNCTION("""COMPUTED_VALUE"""),128.17)</f>
        <v>128.16999999999999</v>
      </c>
      <c r="D203" s="2">
        <f ca="1">IFERROR(__xludf.DUMMYFUNCTION("""COMPUTED_VALUE"""),124.97)</f>
        <v>124.97</v>
      </c>
      <c r="E203" s="2">
        <f ca="1">IFERROR(__xludf.DUMMYFUNCTION("""COMPUTED_VALUE"""),125.17)</f>
        <v>125.17</v>
      </c>
      <c r="F203" s="2">
        <f ca="1">IFERROR(__xludf.DUMMYFUNCTION("""COMPUTED_VALUE"""),56406410)</f>
        <v>56406410</v>
      </c>
    </row>
    <row r="204" spans="1:6" ht="12.5" x14ac:dyDescent="0.25">
      <c r="A204" s="3">
        <f ca="1">IFERROR(__xludf.DUMMYFUNCTION("""COMPUTED_VALUE"""),45222.6666666666)</f>
        <v>45222.666666666599</v>
      </c>
      <c r="B204" s="2">
        <f ca="1">IFERROR(__xludf.DUMMYFUNCTION("""COMPUTED_VALUE"""),124.63)</f>
        <v>124.63</v>
      </c>
      <c r="C204" s="2">
        <f ca="1">IFERROR(__xludf.DUMMYFUNCTION("""COMPUTED_VALUE"""),127.88)</f>
        <v>127.88</v>
      </c>
      <c r="D204" s="2">
        <f ca="1">IFERROR(__xludf.DUMMYFUNCTION("""COMPUTED_VALUE"""),123.98)</f>
        <v>123.98</v>
      </c>
      <c r="E204" s="2">
        <f ca="1">IFERROR(__xludf.DUMMYFUNCTION("""COMPUTED_VALUE"""),126.56)</f>
        <v>126.56</v>
      </c>
      <c r="F204" s="2">
        <f ca="1">IFERROR(__xludf.DUMMYFUNCTION("""COMPUTED_VALUE"""),48259953)</f>
        <v>48259953</v>
      </c>
    </row>
    <row r="205" spans="1:6" ht="12.5" x14ac:dyDescent="0.25">
      <c r="A205" s="3">
        <f ca="1">IFERROR(__xludf.DUMMYFUNCTION("""COMPUTED_VALUE"""),45223.6666666666)</f>
        <v>45223.666666666599</v>
      </c>
      <c r="B205" s="2">
        <f ca="1">IFERROR(__xludf.DUMMYFUNCTION("""COMPUTED_VALUE"""),127.74)</f>
        <v>127.74</v>
      </c>
      <c r="C205" s="2">
        <f ca="1">IFERROR(__xludf.DUMMYFUNCTION("""COMPUTED_VALUE"""),128.8)</f>
        <v>128.80000000000001</v>
      </c>
      <c r="D205" s="2">
        <f ca="1">IFERROR(__xludf.DUMMYFUNCTION("""COMPUTED_VALUE"""),126.34)</f>
        <v>126.34</v>
      </c>
      <c r="E205" s="2">
        <f ca="1">IFERROR(__xludf.DUMMYFUNCTION("""COMPUTED_VALUE"""),128.56)</f>
        <v>128.56</v>
      </c>
      <c r="F205" s="2">
        <f ca="1">IFERROR(__xludf.DUMMYFUNCTION("""COMPUTED_VALUE"""),46477355)</f>
        <v>46477355</v>
      </c>
    </row>
    <row r="206" spans="1:6" ht="12.5" x14ac:dyDescent="0.25">
      <c r="A206" s="3">
        <f ca="1">IFERROR(__xludf.DUMMYFUNCTION("""COMPUTED_VALUE"""),45224.6666666666)</f>
        <v>45224.666666666599</v>
      </c>
      <c r="B206" s="2">
        <f ca="1">IFERROR(__xludf.DUMMYFUNCTION("""COMPUTED_VALUE"""),126.04)</f>
        <v>126.04</v>
      </c>
      <c r="C206" s="2">
        <f ca="1">IFERROR(__xludf.DUMMYFUNCTION("""COMPUTED_VALUE"""),126.34)</f>
        <v>126.34</v>
      </c>
      <c r="D206" s="2">
        <f ca="1">IFERROR(__xludf.DUMMYFUNCTION("""COMPUTED_VALUE"""),120.79)</f>
        <v>120.79</v>
      </c>
      <c r="E206" s="2">
        <f ca="1">IFERROR(__xludf.DUMMYFUNCTION("""COMPUTED_VALUE"""),121.39)</f>
        <v>121.39</v>
      </c>
      <c r="F206" s="2">
        <f ca="1">IFERROR(__xludf.DUMMYFUNCTION("""COMPUTED_VALUE"""),74577544)</f>
        <v>74577544</v>
      </c>
    </row>
    <row r="207" spans="1:6" ht="12.5" x14ac:dyDescent="0.25">
      <c r="A207" s="3">
        <f ca="1">IFERROR(__xludf.DUMMYFUNCTION("""COMPUTED_VALUE"""),45225.6666666666)</f>
        <v>45225.666666666599</v>
      </c>
      <c r="B207" s="2">
        <f ca="1">IFERROR(__xludf.DUMMYFUNCTION("""COMPUTED_VALUE"""),120.63)</f>
        <v>120.63</v>
      </c>
      <c r="C207" s="2">
        <f ca="1">IFERROR(__xludf.DUMMYFUNCTION("""COMPUTED_VALUE"""),121.64)</f>
        <v>121.64</v>
      </c>
      <c r="D207" s="2">
        <f ca="1">IFERROR(__xludf.DUMMYFUNCTION("""COMPUTED_VALUE"""),118.35)</f>
        <v>118.35</v>
      </c>
      <c r="E207" s="2">
        <f ca="1">IFERROR(__xludf.DUMMYFUNCTION("""COMPUTED_VALUE"""),119.57)</f>
        <v>119.57</v>
      </c>
      <c r="F207" s="2">
        <f ca="1">IFERROR(__xludf.DUMMYFUNCTION("""COMPUTED_VALUE"""),100419516)</f>
        <v>100419516</v>
      </c>
    </row>
    <row r="208" spans="1:6" ht="12.5" x14ac:dyDescent="0.25">
      <c r="A208" s="3">
        <f ca="1">IFERROR(__xludf.DUMMYFUNCTION("""COMPUTED_VALUE"""),45226.6666666666)</f>
        <v>45226.666666666599</v>
      </c>
      <c r="B208" s="2">
        <f ca="1">IFERROR(__xludf.DUMMYFUNCTION("""COMPUTED_VALUE"""),126.2)</f>
        <v>126.2</v>
      </c>
      <c r="C208" s="2">
        <f ca="1">IFERROR(__xludf.DUMMYFUNCTION("""COMPUTED_VALUE"""),130.02)</f>
        <v>130.02000000000001</v>
      </c>
      <c r="D208" s="2">
        <f ca="1">IFERROR(__xludf.DUMMYFUNCTION("""COMPUTED_VALUE"""),125.52)</f>
        <v>125.52</v>
      </c>
      <c r="E208" s="2">
        <f ca="1">IFERROR(__xludf.DUMMYFUNCTION("""COMPUTED_VALUE"""),127.74)</f>
        <v>127.74</v>
      </c>
      <c r="F208" s="2">
        <f ca="1">IFERROR(__xludf.DUMMYFUNCTION("""COMPUTED_VALUE"""),125309313)</f>
        <v>125309313</v>
      </c>
    </row>
    <row r="209" spans="1:6" ht="12.5" x14ac:dyDescent="0.25">
      <c r="A209" s="3">
        <f ca="1">IFERROR(__xludf.DUMMYFUNCTION("""COMPUTED_VALUE"""),45229.6666666666)</f>
        <v>45229.666666666599</v>
      </c>
      <c r="B209" s="2">
        <f ca="1">IFERROR(__xludf.DUMMYFUNCTION("""COMPUTED_VALUE"""),129.72)</f>
        <v>129.72</v>
      </c>
      <c r="C209" s="2">
        <f ca="1">IFERROR(__xludf.DUMMYFUNCTION("""COMPUTED_VALUE"""),133)</f>
        <v>133</v>
      </c>
      <c r="D209" s="2">
        <f ca="1">IFERROR(__xludf.DUMMYFUNCTION("""COMPUTED_VALUE"""),128.56)</f>
        <v>128.56</v>
      </c>
      <c r="E209" s="2">
        <f ca="1">IFERROR(__xludf.DUMMYFUNCTION("""COMPUTED_VALUE"""),132.71)</f>
        <v>132.71</v>
      </c>
      <c r="F209" s="2">
        <f ca="1">IFERROR(__xludf.DUMMYFUNCTION("""COMPUTED_VALUE"""),72485542)</f>
        <v>72485542</v>
      </c>
    </row>
    <row r="210" spans="1:6" ht="12.5" x14ac:dyDescent="0.25">
      <c r="A210" s="3">
        <f ca="1">IFERROR(__xludf.DUMMYFUNCTION("""COMPUTED_VALUE"""),45230.6666666666)</f>
        <v>45230.666666666599</v>
      </c>
      <c r="B210" s="2">
        <f ca="1">IFERROR(__xludf.DUMMYFUNCTION("""COMPUTED_VALUE"""),132.75)</f>
        <v>132.75</v>
      </c>
      <c r="C210" s="2">
        <f ca="1">IFERROR(__xludf.DUMMYFUNCTION("""COMPUTED_VALUE"""),133.57)</f>
        <v>133.57</v>
      </c>
      <c r="D210" s="2">
        <f ca="1">IFERROR(__xludf.DUMMYFUNCTION("""COMPUTED_VALUE"""),131.71)</f>
        <v>131.71</v>
      </c>
      <c r="E210" s="2">
        <f ca="1">IFERROR(__xludf.DUMMYFUNCTION("""COMPUTED_VALUE"""),133.09)</f>
        <v>133.09</v>
      </c>
      <c r="F210" s="2">
        <f ca="1">IFERROR(__xludf.DUMMYFUNCTION("""COMPUTED_VALUE"""),51589380)</f>
        <v>51589380</v>
      </c>
    </row>
    <row r="211" spans="1:6" ht="12.5" x14ac:dyDescent="0.25">
      <c r="A211" s="3">
        <f ca="1">IFERROR(__xludf.DUMMYFUNCTION("""COMPUTED_VALUE"""),45231.6666666666)</f>
        <v>45231.666666666599</v>
      </c>
      <c r="B211" s="2">
        <f ca="1">IFERROR(__xludf.DUMMYFUNCTION("""COMPUTED_VALUE"""),133.96)</f>
        <v>133.96</v>
      </c>
      <c r="C211" s="2">
        <f ca="1">IFERROR(__xludf.DUMMYFUNCTION("""COMPUTED_VALUE"""),137.35)</f>
        <v>137.35</v>
      </c>
      <c r="D211" s="2">
        <f ca="1">IFERROR(__xludf.DUMMYFUNCTION("""COMPUTED_VALUE"""),133.71)</f>
        <v>133.71</v>
      </c>
      <c r="E211" s="2">
        <f ca="1">IFERROR(__xludf.DUMMYFUNCTION("""COMPUTED_VALUE"""),137)</f>
        <v>137</v>
      </c>
      <c r="F211" s="2">
        <f ca="1">IFERROR(__xludf.DUMMYFUNCTION("""COMPUTED_VALUE"""),61529409)</f>
        <v>61529409</v>
      </c>
    </row>
    <row r="212" spans="1:6" ht="12.5" x14ac:dyDescent="0.25">
      <c r="A212" s="3">
        <f ca="1">IFERROR(__xludf.DUMMYFUNCTION("""COMPUTED_VALUE"""),45232.6666666666)</f>
        <v>45232.666666666599</v>
      </c>
      <c r="B212" s="2">
        <f ca="1">IFERROR(__xludf.DUMMYFUNCTION("""COMPUTED_VALUE"""),138.73)</f>
        <v>138.72999999999999</v>
      </c>
      <c r="C212" s="2">
        <f ca="1">IFERROR(__xludf.DUMMYFUNCTION("""COMPUTED_VALUE"""),138.81)</f>
        <v>138.81</v>
      </c>
      <c r="D212" s="2">
        <f ca="1">IFERROR(__xludf.DUMMYFUNCTION("""COMPUTED_VALUE"""),136.47)</f>
        <v>136.47</v>
      </c>
      <c r="E212" s="2">
        <f ca="1">IFERROR(__xludf.DUMMYFUNCTION("""COMPUTED_VALUE"""),138.07)</f>
        <v>138.07</v>
      </c>
      <c r="F212" s="2">
        <f ca="1">IFERROR(__xludf.DUMMYFUNCTION("""COMPUTED_VALUE"""),52236693)</f>
        <v>52236693</v>
      </c>
    </row>
    <row r="213" spans="1:6" ht="12.5" x14ac:dyDescent="0.25">
      <c r="A213" s="3">
        <f ca="1">IFERROR(__xludf.DUMMYFUNCTION("""COMPUTED_VALUE"""),45233.6666666666)</f>
        <v>45233.666666666599</v>
      </c>
      <c r="B213" s="2">
        <f ca="1">IFERROR(__xludf.DUMMYFUNCTION("""COMPUTED_VALUE"""),138.99)</f>
        <v>138.99</v>
      </c>
      <c r="C213" s="2">
        <f ca="1">IFERROR(__xludf.DUMMYFUNCTION("""COMPUTED_VALUE"""),139.49)</f>
        <v>139.49</v>
      </c>
      <c r="D213" s="2">
        <f ca="1">IFERROR(__xludf.DUMMYFUNCTION("""COMPUTED_VALUE"""),137.45)</f>
        <v>137.44999999999999</v>
      </c>
      <c r="E213" s="2">
        <f ca="1">IFERROR(__xludf.DUMMYFUNCTION("""COMPUTED_VALUE"""),138.6)</f>
        <v>138.6</v>
      </c>
      <c r="F213" s="2">
        <f ca="1">IFERROR(__xludf.DUMMYFUNCTION("""COMPUTED_VALUE"""),44059805)</f>
        <v>44059805</v>
      </c>
    </row>
    <row r="214" spans="1:6" ht="12.5" x14ac:dyDescent="0.25">
      <c r="A214" s="3">
        <f ca="1">IFERROR(__xludf.DUMMYFUNCTION("""COMPUTED_VALUE"""),45236.6666666666)</f>
        <v>45236.666666666599</v>
      </c>
      <c r="B214" s="2">
        <f ca="1">IFERROR(__xludf.DUMMYFUNCTION("""COMPUTED_VALUE"""),138.76)</f>
        <v>138.76</v>
      </c>
      <c r="C214" s="2">
        <f ca="1">IFERROR(__xludf.DUMMYFUNCTION("""COMPUTED_VALUE"""),140.73)</f>
        <v>140.72999999999999</v>
      </c>
      <c r="D214" s="2">
        <f ca="1">IFERROR(__xludf.DUMMYFUNCTION("""COMPUTED_VALUE"""),138.36)</f>
        <v>138.36000000000001</v>
      </c>
      <c r="E214" s="2">
        <f ca="1">IFERROR(__xludf.DUMMYFUNCTION("""COMPUTED_VALUE"""),139.74)</f>
        <v>139.74</v>
      </c>
      <c r="F214" s="2">
        <f ca="1">IFERROR(__xludf.DUMMYFUNCTION("""COMPUTED_VALUE"""),44970417)</f>
        <v>44970417</v>
      </c>
    </row>
    <row r="215" spans="1:6" ht="12.5" x14ac:dyDescent="0.25">
      <c r="A215" s="3">
        <f ca="1">IFERROR(__xludf.DUMMYFUNCTION("""COMPUTED_VALUE"""),45237.6666666666)</f>
        <v>45237.666666666599</v>
      </c>
      <c r="B215" s="2">
        <f ca="1">IFERROR(__xludf.DUMMYFUNCTION("""COMPUTED_VALUE"""),140.55)</f>
        <v>140.55000000000001</v>
      </c>
      <c r="C215" s="2">
        <f ca="1">IFERROR(__xludf.DUMMYFUNCTION("""COMPUTED_VALUE"""),143.37)</f>
        <v>143.37</v>
      </c>
      <c r="D215" s="2">
        <f ca="1">IFERROR(__xludf.DUMMYFUNCTION("""COMPUTED_VALUE"""),140.5)</f>
        <v>140.5</v>
      </c>
      <c r="E215" s="2">
        <f ca="1">IFERROR(__xludf.DUMMYFUNCTION("""COMPUTED_VALUE"""),142.71)</f>
        <v>142.71</v>
      </c>
      <c r="F215" s="2">
        <f ca="1">IFERROR(__xludf.DUMMYFUNCTION("""COMPUTED_VALUE"""),53553537)</f>
        <v>53553537</v>
      </c>
    </row>
    <row r="216" spans="1:6" ht="12.5" x14ac:dyDescent="0.25">
      <c r="A216" s="3">
        <f ca="1">IFERROR(__xludf.DUMMYFUNCTION("""COMPUTED_VALUE"""),45238.6666666666)</f>
        <v>45238.666666666599</v>
      </c>
      <c r="B216" s="2">
        <f ca="1">IFERROR(__xludf.DUMMYFUNCTION("""COMPUTED_VALUE"""),142.97)</f>
        <v>142.97</v>
      </c>
      <c r="C216" s="2">
        <f ca="1">IFERROR(__xludf.DUMMYFUNCTION("""COMPUTED_VALUE"""),143.12)</f>
        <v>143.12</v>
      </c>
      <c r="D216" s="2">
        <f ca="1">IFERROR(__xludf.DUMMYFUNCTION("""COMPUTED_VALUE"""),141.22)</f>
        <v>141.22</v>
      </c>
      <c r="E216" s="2">
        <f ca="1">IFERROR(__xludf.DUMMYFUNCTION("""COMPUTED_VALUE"""),142.08)</f>
        <v>142.08000000000001</v>
      </c>
      <c r="F216" s="2">
        <f ca="1">IFERROR(__xludf.DUMMYFUNCTION("""COMPUTED_VALUE"""),44521658)</f>
        <v>44521658</v>
      </c>
    </row>
    <row r="217" spans="1:6" ht="12.5" x14ac:dyDescent="0.25">
      <c r="A217" s="3">
        <f ca="1">IFERROR(__xludf.DUMMYFUNCTION("""COMPUTED_VALUE"""),45239.6666666666)</f>
        <v>45239.666666666599</v>
      </c>
      <c r="B217" s="2">
        <f ca="1">IFERROR(__xludf.DUMMYFUNCTION("""COMPUTED_VALUE"""),142.02)</f>
        <v>142.02000000000001</v>
      </c>
      <c r="C217" s="2">
        <f ca="1">IFERROR(__xludf.DUMMYFUNCTION("""COMPUTED_VALUE"""),142.65)</f>
        <v>142.65</v>
      </c>
      <c r="D217" s="2">
        <f ca="1">IFERROR(__xludf.DUMMYFUNCTION("""COMPUTED_VALUE"""),139.84)</f>
        <v>139.84</v>
      </c>
      <c r="E217" s="2">
        <f ca="1">IFERROR(__xludf.DUMMYFUNCTION("""COMPUTED_VALUE"""),140.6)</f>
        <v>140.6</v>
      </c>
      <c r="F217" s="2">
        <f ca="1">IFERROR(__xludf.DUMMYFUNCTION("""COMPUTED_VALUE"""),36235367)</f>
        <v>36235367</v>
      </c>
    </row>
    <row r="218" spans="1:6" ht="12.5" x14ac:dyDescent="0.25">
      <c r="A218" s="3">
        <f ca="1">IFERROR(__xludf.DUMMYFUNCTION("""COMPUTED_VALUE"""),45240.6666666666)</f>
        <v>45240.666666666599</v>
      </c>
      <c r="B218" s="2">
        <f ca="1">IFERROR(__xludf.DUMMYFUNCTION("""COMPUTED_VALUE"""),140.46)</f>
        <v>140.46</v>
      </c>
      <c r="C218" s="2">
        <f ca="1">IFERROR(__xludf.DUMMYFUNCTION("""COMPUTED_VALUE"""),143.65)</f>
        <v>143.65</v>
      </c>
      <c r="D218" s="2">
        <f ca="1">IFERROR(__xludf.DUMMYFUNCTION("""COMPUTED_VALUE"""),139.91)</f>
        <v>139.91</v>
      </c>
      <c r="E218" s="2">
        <f ca="1">IFERROR(__xludf.DUMMYFUNCTION("""COMPUTED_VALUE"""),143.56)</f>
        <v>143.56</v>
      </c>
      <c r="F218" s="2">
        <f ca="1">IFERROR(__xludf.DUMMYFUNCTION("""COMPUTED_VALUE"""),49349937)</f>
        <v>49349937</v>
      </c>
    </row>
    <row r="219" spans="1:6" ht="12.5" x14ac:dyDescent="0.25">
      <c r="A219" s="3">
        <f ca="1">IFERROR(__xludf.DUMMYFUNCTION("""COMPUTED_VALUE"""),45243.6666666666)</f>
        <v>45243.666666666599</v>
      </c>
      <c r="B219" s="2">
        <f ca="1">IFERROR(__xludf.DUMMYFUNCTION("""COMPUTED_VALUE"""),142.08)</f>
        <v>142.08000000000001</v>
      </c>
      <c r="C219" s="2">
        <f ca="1">IFERROR(__xludf.DUMMYFUNCTION("""COMPUTED_VALUE"""),143.23)</f>
        <v>143.22999999999999</v>
      </c>
      <c r="D219" s="2">
        <f ca="1">IFERROR(__xludf.DUMMYFUNCTION("""COMPUTED_VALUE"""),140.67)</f>
        <v>140.66999999999999</v>
      </c>
      <c r="E219" s="2">
        <f ca="1">IFERROR(__xludf.DUMMYFUNCTION("""COMPUTED_VALUE"""),142.59)</f>
        <v>142.59</v>
      </c>
      <c r="F219" s="2">
        <f ca="1">IFERROR(__xludf.DUMMYFUNCTION("""COMPUTED_VALUE"""),35680570)</f>
        <v>35680570</v>
      </c>
    </row>
    <row r="220" spans="1:6" ht="12.5" x14ac:dyDescent="0.25">
      <c r="A220" s="3">
        <f ca="1">IFERROR(__xludf.DUMMYFUNCTION("""COMPUTED_VALUE"""),45244.6666666666)</f>
        <v>45244.666666666599</v>
      </c>
      <c r="B220" s="2">
        <f ca="1">IFERROR(__xludf.DUMMYFUNCTION("""COMPUTED_VALUE"""),145)</f>
        <v>145</v>
      </c>
      <c r="C220" s="2">
        <f ca="1">IFERROR(__xludf.DUMMYFUNCTION("""COMPUTED_VALUE"""),147.26)</f>
        <v>147.26</v>
      </c>
      <c r="D220" s="2">
        <f ca="1">IFERROR(__xludf.DUMMYFUNCTION("""COMPUTED_VALUE"""),144.68)</f>
        <v>144.68</v>
      </c>
      <c r="E220" s="2">
        <f ca="1">IFERROR(__xludf.DUMMYFUNCTION("""COMPUTED_VALUE"""),145.8)</f>
        <v>145.80000000000001</v>
      </c>
      <c r="F220" s="2">
        <f ca="1">IFERROR(__xludf.DUMMYFUNCTION("""COMPUTED_VALUE"""),56674551)</f>
        <v>56674551</v>
      </c>
    </row>
    <row r="221" spans="1:6" ht="12.5" x14ac:dyDescent="0.25">
      <c r="A221" s="3">
        <f ca="1">IFERROR(__xludf.DUMMYFUNCTION("""COMPUTED_VALUE"""),45245.6666666666)</f>
        <v>45245.666666666599</v>
      </c>
      <c r="B221" s="2">
        <f ca="1">IFERROR(__xludf.DUMMYFUNCTION("""COMPUTED_VALUE"""),147.06)</f>
        <v>147.06</v>
      </c>
      <c r="C221" s="2">
        <f ca="1">IFERROR(__xludf.DUMMYFUNCTION("""COMPUTED_VALUE"""),147.29)</f>
        <v>147.29</v>
      </c>
      <c r="D221" s="2">
        <f ca="1">IFERROR(__xludf.DUMMYFUNCTION("""COMPUTED_VALUE"""),142.59)</f>
        <v>142.59</v>
      </c>
      <c r="E221" s="2">
        <f ca="1">IFERROR(__xludf.DUMMYFUNCTION("""COMPUTED_VALUE"""),143.2)</f>
        <v>143.19999999999999</v>
      </c>
      <c r="F221" s="2">
        <f ca="1">IFERROR(__xludf.DUMMYFUNCTION("""COMPUTED_VALUE"""),63875720)</f>
        <v>63875720</v>
      </c>
    </row>
    <row r="222" spans="1:6" ht="12.5" x14ac:dyDescent="0.25">
      <c r="A222" s="3">
        <f ca="1">IFERROR(__xludf.DUMMYFUNCTION("""COMPUTED_VALUE"""),45246.6666666666)</f>
        <v>45246.666666666599</v>
      </c>
      <c r="B222" s="2">
        <f ca="1">IFERROR(__xludf.DUMMYFUNCTION("""COMPUTED_VALUE"""),140.91)</f>
        <v>140.91</v>
      </c>
      <c r="C222" s="2">
        <f ca="1">IFERROR(__xludf.DUMMYFUNCTION("""COMPUTED_VALUE"""),143.32)</f>
        <v>143.32</v>
      </c>
      <c r="D222" s="2">
        <f ca="1">IFERROR(__xludf.DUMMYFUNCTION("""COMPUTED_VALUE"""),139.52)</f>
        <v>139.52000000000001</v>
      </c>
      <c r="E222" s="2">
        <f ca="1">IFERROR(__xludf.DUMMYFUNCTION("""COMPUTED_VALUE"""),142.83)</f>
        <v>142.83000000000001</v>
      </c>
      <c r="F222" s="2">
        <f ca="1">IFERROR(__xludf.DUMMYFUNCTION("""COMPUTED_VALUE"""),49653512)</f>
        <v>49653512</v>
      </c>
    </row>
    <row r="223" spans="1:6" ht="12.5" x14ac:dyDescent="0.25">
      <c r="A223" s="3">
        <f ca="1">IFERROR(__xludf.DUMMYFUNCTION("""COMPUTED_VALUE"""),45247.6666666666)</f>
        <v>45247.666666666599</v>
      </c>
      <c r="B223" s="2">
        <f ca="1">IFERROR(__xludf.DUMMYFUNCTION("""COMPUTED_VALUE"""),142.66)</f>
        <v>142.66</v>
      </c>
      <c r="C223" s="2">
        <f ca="1">IFERROR(__xludf.DUMMYFUNCTION("""COMPUTED_VALUE"""),145.23)</f>
        <v>145.22999999999999</v>
      </c>
      <c r="D223" s="2">
        <f ca="1">IFERROR(__xludf.DUMMYFUNCTION("""COMPUTED_VALUE"""),142.54)</f>
        <v>142.54</v>
      </c>
      <c r="E223" s="2">
        <f ca="1">IFERROR(__xludf.DUMMYFUNCTION("""COMPUTED_VALUE"""),145.18)</f>
        <v>145.18</v>
      </c>
      <c r="F223" s="2">
        <f ca="1">IFERROR(__xludf.DUMMYFUNCTION("""COMPUTED_VALUE"""),49678437)</f>
        <v>49678437</v>
      </c>
    </row>
    <row r="224" spans="1:6" ht="12.5" x14ac:dyDescent="0.25">
      <c r="A224" s="3">
        <f ca="1">IFERROR(__xludf.DUMMYFUNCTION("""COMPUTED_VALUE"""),45250.6666666666)</f>
        <v>45250.666666666599</v>
      </c>
      <c r="B224" s="2">
        <f ca="1">IFERROR(__xludf.DUMMYFUNCTION("""COMPUTED_VALUE"""),145.13)</f>
        <v>145.13</v>
      </c>
      <c r="C224" s="2">
        <f ca="1">IFERROR(__xludf.DUMMYFUNCTION("""COMPUTED_VALUE"""),146.63)</f>
        <v>146.63</v>
      </c>
      <c r="D224" s="2">
        <f ca="1">IFERROR(__xludf.DUMMYFUNCTION("""COMPUTED_VALUE"""),144.73)</f>
        <v>144.72999999999999</v>
      </c>
      <c r="E224" s="2">
        <f ca="1">IFERROR(__xludf.DUMMYFUNCTION("""COMPUTED_VALUE"""),146.13)</f>
        <v>146.13</v>
      </c>
      <c r="F224" s="2">
        <f ca="1">IFERROR(__xludf.DUMMYFUNCTION("""COMPUTED_VALUE"""),41978766)</f>
        <v>41978766</v>
      </c>
    </row>
    <row r="225" spans="1:6" ht="12.5" x14ac:dyDescent="0.25">
      <c r="A225" s="3">
        <f ca="1">IFERROR(__xludf.DUMMYFUNCTION("""COMPUTED_VALUE"""),45251.6666666666)</f>
        <v>45251.666666666599</v>
      </c>
      <c r="B225" s="2">
        <f ca="1">IFERROR(__xludf.DUMMYFUNCTION("""COMPUTED_VALUE"""),143.91)</f>
        <v>143.91</v>
      </c>
      <c r="C225" s="2">
        <f ca="1">IFERROR(__xludf.DUMMYFUNCTION("""COMPUTED_VALUE"""),144.05)</f>
        <v>144.05000000000001</v>
      </c>
      <c r="D225" s="2">
        <f ca="1">IFERROR(__xludf.DUMMYFUNCTION("""COMPUTED_VALUE"""),141.5)</f>
        <v>141.5</v>
      </c>
      <c r="E225" s="2">
        <f ca="1">IFERROR(__xludf.DUMMYFUNCTION("""COMPUTED_VALUE"""),143.9)</f>
        <v>143.9</v>
      </c>
      <c r="F225" s="2">
        <f ca="1">IFERROR(__xludf.DUMMYFUNCTION("""COMPUTED_VALUE"""),71225992)</f>
        <v>71225992</v>
      </c>
    </row>
    <row r="226" spans="1:6" ht="12.5" x14ac:dyDescent="0.25">
      <c r="A226" s="3">
        <f ca="1">IFERROR(__xludf.DUMMYFUNCTION("""COMPUTED_VALUE"""),45252.6666666666)</f>
        <v>45252.666666666599</v>
      </c>
      <c r="B226" s="2">
        <f ca="1">IFERROR(__xludf.DUMMYFUNCTION("""COMPUTED_VALUE"""),144.57)</f>
        <v>144.57</v>
      </c>
      <c r="C226" s="2">
        <f ca="1">IFERROR(__xludf.DUMMYFUNCTION("""COMPUTED_VALUE"""),147.74)</f>
        <v>147.74</v>
      </c>
      <c r="D226" s="2">
        <f ca="1">IFERROR(__xludf.DUMMYFUNCTION("""COMPUTED_VALUE"""),144.57)</f>
        <v>144.57</v>
      </c>
      <c r="E226" s="2">
        <f ca="1">IFERROR(__xludf.DUMMYFUNCTION("""COMPUTED_VALUE"""),146.71)</f>
        <v>146.71</v>
      </c>
      <c r="F226" s="2">
        <f ca="1">IFERROR(__xludf.DUMMYFUNCTION("""COMPUTED_VALUE"""),45700002)</f>
        <v>45700002</v>
      </c>
    </row>
    <row r="227" spans="1:6" ht="12.5" x14ac:dyDescent="0.25">
      <c r="A227" s="3">
        <f ca="1">IFERROR(__xludf.DUMMYFUNCTION("""COMPUTED_VALUE"""),45254.5451388888)</f>
        <v>45254.545138888803</v>
      </c>
      <c r="B227" s="2">
        <f ca="1">IFERROR(__xludf.DUMMYFUNCTION("""COMPUTED_VALUE"""),146.7)</f>
        <v>146.69999999999999</v>
      </c>
      <c r="C227" s="2">
        <f ca="1">IFERROR(__xludf.DUMMYFUNCTION("""COMPUTED_VALUE"""),147.2)</f>
        <v>147.19999999999999</v>
      </c>
      <c r="D227" s="2">
        <f ca="1">IFERROR(__xludf.DUMMYFUNCTION("""COMPUTED_VALUE"""),145.32)</f>
        <v>145.32</v>
      </c>
      <c r="E227" s="2">
        <f ca="1">IFERROR(__xludf.DUMMYFUNCTION("""COMPUTED_VALUE"""),146.74)</f>
        <v>146.74</v>
      </c>
      <c r="F227" s="2">
        <f ca="1">IFERROR(__xludf.DUMMYFUNCTION("""COMPUTED_VALUE"""),22378379)</f>
        <v>22378379</v>
      </c>
    </row>
    <row r="228" spans="1:6" ht="12.5" x14ac:dyDescent="0.25">
      <c r="A228" s="3">
        <f ca="1">IFERROR(__xludf.DUMMYFUNCTION("""COMPUTED_VALUE"""),45257.6666666666)</f>
        <v>45257.666666666599</v>
      </c>
      <c r="B228" s="2">
        <f ca="1">IFERROR(__xludf.DUMMYFUNCTION("""COMPUTED_VALUE"""),147.53)</f>
        <v>147.53</v>
      </c>
      <c r="C228" s="2">
        <f ca="1">IFERROR(__xludf.DUMMYFUNCTION("""COMPUTED_VALUE"""),149.26)</f>
        <v>149.26</v>
      </c>
      <c r="D228" s="2">
        <f ca="1">IFERROR(__xludf.DUMMYFUNCTION("""COMPUTED_VALUE"""),146.88)</f>
        <v>146.88</v>
      </c>
      <c r="E228" s="2">
        <f ca="1">IFERROR(__xludf.DUMMYFUNCTION("""COMPUTED_VALUE"""),147.73)</f>
        <v>147.72999999999999</v>
      </c>
      <c r="F228" s="2">
        <f ca="1">IFERROR(__xludf.DUMMYFUNCTION("""COMPUTED_VALUE"""),53762428)</f>
        <v>53762428</v>
      </c>
    </row>
    <row r="229" spans="1:6" ht="12.5" x14ac:dyDescent="0.25">
      <c r="A229" s="3">
        <f ca="1">IFERROR(__xludf.DUMMYFUNCTION("""COMPUTED_VALUE"""),45258.6666666666)</f>
        <v>45258.666666666599</v>
      </c>
      <c r="B229" s="2">
        <f ca="1">IFERROR(__xludf.DUMMYFUNCTION("""COMPUTED_VALUE"""),146.98)</f>
        <v>146.97999999999999</v>
      </c>
      <c r="C229" s="2">
        <f ca="1">IFERROR(__xludf.DUMMYFUNCTION("""COMPUTED_VALUE"""),147.6)</f>
        <v>147.6</v>
      </c>
      <c r="D229" s="2">
        <f ca="1">IFERROR(__xludf.DUMMYFUNCTION("""COMPUTED_VALUE"""),145.53)</f>
        <v>145.53</v>
      </c>
      <c r="E229" s="2">
        <f ca="1">IFERROR(__xludf.DUMMYFUNCTION("""COMPUTED_VALUE"""),147.03)</f>
        <v>147.03</v>
      </c>
      <c r="F229" s="2">
        <f ca="1">IFERROR(__xludf.DUMMYFUNCTION("""COMPUTED_VALUE"""),42711682)</f>
        <v>42711682</v>
      </c>
    </row>
    <row r="230" spans="1:6" ht="12.5" x14ac:dyDescent="0.25">
      <c r="A230" s="3">
        <f ca="1">IFERROR(__xludf.DUMMYFUNCTION("""COMPUTED_VALUE"""),45259.6666666666)</f>
        <v>45259.666666666599</v>
      </c>
      <c r="B230" s="2">
        <f ca="1">IFERROR(__xludf.DUMMYFUNCTION("""COMPUTED_VALUE"""),147.85)</f>
        <v>147.85</v>
      </c>
      <c r="C230" s="2">
        <f ca="1">IFERROR(__xludf.DUMMYFUNCTION("""COMPUTED_VALUE"""),148.54)</f>
        <v>148.54</v>
      </c>
      <c r="D230" s="2">
        <f ca="1">IFERROR(__xludf.DUMMYFUNCTION("""COMPUTED_VALUE"""),145.97)</f>
        <v>145.97</v>
      </c>
      <c r="E230" s="2">
        <f ca="1">IFERROR(__xludf.DUMMYFUNCTION("""COMPUTED_VALUE"""),146.32)</f>
        <v>146.32</v>
      </c>
      <c r="F230" s="2">
        <f ca="1">IFERROR(__xludf.DUMMYFUNCTION("""COMPUTED_VALUE"""),40610907)</f>
        <v>40610907</v>
      </c>
    </row>
    <row r="231" spans="1:6" ht="12.5" x14ac:dyDescent="0.25">
      <c r="A231" s="3">
        <f ca="1">IFERROR(__xludf.DUMMYFUNCTION("""COMPUTED_VALUE"""),45260.6666666666)</f>
        <v>45260.666666666599</v>
      </c>
      <c r="B231" s="2">
        <f ca="1">IFERROR(__xludf.DUMMYFUNCTION("""COMPUTED_VALUE"""),144.76)</f>
        <v>144.76</v>
      </c>
      <c r="C231" s="2">
        <f ca="1">IFERROR(__xludf.DUMMYFUNCTION("""COMPUTED_VALUE"""),146.93)</f>
        <v>146.93</v>
      </c>
      <c r="D231" s="2">
        <f ca="1">IFERROR(__xludf.DUMMYFUNCTION("""COMPUTED_VALUE"""),144.33)</f>
        <v>144.33000000000001</v>
      </c>
      <c r="E231" s="2">
        <f ca="1">IFERROR(__xludf.DUMMYFUNCTION("""COMPUTED_VALUE"""),146.09)</f>
        <v>146.09</v>
      </c>
      <c r="F231" s="2">
        <f ca="1">IFERROR(__xludf.DUMMYFUNCTION("""COMPUTED_VALUE"""),65814022)</f>
        <v>65814022</v>
      </c>
    </row>
    <row r="232" spans="1:6" ht="12.5" x14ac:dyDescent="0.25">
      <c r="A232" s="3">
        <f ca="1">IFERROR(__xludf.DUMMYFUNCTION("""COMPUTED_VALUE"""),45261.6666666666)</f>
        <v>45261.666666666599</v>
      </c>
      <c r="B232" s="2">
        <f ca="1">IFERROR(__xludf.DUMMYFUNCTION("""COMPUTED_VALUE"""),146)</f>
        <v>146</v>
      </c>
      <c r="C232" s="2">
        <f ca="1">IFERROR(__xludf.DUMMYFUNCTION("""COMPUTED_VALUE"""),147.25)</f>
        <v>147.25</v>
      </c>
      <c r="D232" s="2">
        <f ca="1">IFERROR(__xludf.DUMMYFUNCTION("""COMPUTED_VALUE"""),145.55)</f>
        <v>145.55000000000001</v>
      </c>
      <c r="E232" s="2">
        <f ca="1">IFERROR(__xludf.DUMMYFUNCTION("""COMPUTED_VALUE"""),147.03)</f>
        <v>147.03</v>
      </c>
      <c r="F232" s="2">
        <f ca="1">IFERROR(__xludf.DUMMYFUNCTION("""COMPUTED_VALUE"""),39951833)</f>
        <v>39951833</v>
      </c>
    </row>
    <row r="233" spans="1:6" ht="12.5" x14ac:dyDescent="0.25">
      <c r="A233" s="3">
        <f ca="1">IFERROR(__xludf.DUMMYFUNCTION("""COMPUTED_VALUE"""),45264.6666666666)</f>
        <v>45264.666666666599</v>
      </c>
      <c r="B233" s="2">
        <f ca="1">IFERROR(__xludf.DUMMYFUNCTION("""COMPUTED_VALUE"""),145.25)</f>
        <v>145.25</v>
      </c>
      <c r="C233" s="2">
        <f ca="1">IFERROR(__xludf.DUMMYFUNCTION("""COMPUTED_VALUE"""),145.35)</f>
        <v>145.35</v>
      </c>
      <c r="D233" s="2">
        <f ca="1">IFERROR(__xludf.DUMMYFUNCTION("""COMPUTED_VALUE"""),142.81)</f>
        <v>142.81</v>
      </c>
      <c r="E233" s="2">
        <f ca="1">IFERROR(__xludf.DUMMYFUNCTION("""COMPUTED_VALUE"""),144.84)</f>
        <v>144.84</v>
      </c>
      <c r="F233" s="2">
        <f ca="1">IFERROR(__xludf.DUMMYFUNCTION("""COMPUTED_VALUE"""),48294244)</f>
        <v>48294244</v>
      </c>
    </row>
    <row r="234" spans="1:6" ht="12.5" x14ac:dyDescent="0.25">
      <c r="A234" s="3">
        <f ca="1">IFERROR(__xludf.DUMMYFUNCTION("""COMPUTED_VALUE"""),45265.6666666666)</f>
        <v>45265.666666666599</v>
      </c>
      <c r="B234" s="2">
        <f ca="1">IFERROR(__xludf.DUMMYFUNCTION("""COMPUTED_VALUE"""),143.55)</f>
        <v>143.55000000000001</v>
      </c>
      <c r="C234" s="2">
        <f ca="1">IFERROR(__xludf.DUMMYFUNCTION("""COMPUTED_VALUE"""),148.57)</f>
        <v>148.57</v>
      </c>
      <c r="D234" s="2">
        <f ca="1">IFERROR(__xludf.DUMMYFUNCTION("""COMPUTED_VALUE"""),143.13)</f>
        <v>143.13</v>
      </c>
      <c r="E234" s="2">
        <f ca="1">IFERROR(__xludf.DUMMYFUNCTION("""COMPUTED_VALUE"""),146.88)</f>
        <v>146.88</v>
      </c>
      <c r="F234" s="2">
        <f ca="1">IFERROR(__xludf.DUMMYFUNCTION("""COMPUTED_VALUE"""),46822411)</f>
        <v>46822411</v>
      </c>
    </row>
    <row r="235" spans="1:6" ht="12.5" x14ac:dyDescent="0.25">
      <c r="A235" s="3">
        <f ca="1">IFERROR(__xludf.DUMMYFUNCTION("""COMPUTED_VALUE"""),45266.6666666666)</f>
        <v>45266.666666666599</v>
      </c>
      <c r="B235" s="2">
        <f ca="1">IFERROR(__xludf.DUMMYFUNCTION("""COMPUTED_VALUE"""),147.58)</f>
        <v>147.58000000000001</v>
      </c>
      <c r="C235" s="2">
        <f ca="1">IFERROR(__xludf.DUMMYFUNCTION("""COMPUTED_VALUE"""),147.85)</f>
        <v>147.85</v>
      </c>
      <c r="D235" s="2">
        <f ca="1">IFERROR(__xludf.DUMMYFUNCTION("""COMPUTED_VALUE"""),144.28)</f>
        <v>144.28</v>
      </c>
      <c r="E235" s="2">
        <f ca="1">IFERROR(__xludf.DUMMYFUNCTION("""COMPUTED_VALUE"""),144.52)</f>
        <v>144.52000000000001</v>
      </c>
      <c r="F235" s="2">
        <f ca="1">IFERROR(__xludf.DUMMYFUNCTION("""COMPUTED_VALUE"""),39678960)</f>
        <v>39678960</v>
      </c>
    </row>
    <row r="236" spans="1:6" ht="12.5" x14ac:dyDescent="0.25">
      <c r="A236" s="3">
        <f ca="1">IFERROR(__xludf.DUMMYFUNCTION("""COMPUTED_VALUE"""),45267.6666666666)</f>
        <v>45267.666666666599</v>
      </c>
      <c r="B236" s="2">
        <f ca="1">IFERROR(__xludf.DUMMYFUNCTION("""COMPUTED_VALUE"""),146.15)</f>
        <v>146.15</v>
      </c>
      <c r="C236" s="2">
        <f ca="1">IFERROR(__xludf.DUMMYFUNCTION("""COMPUTED_VALUE"""),147.92)</f>
        <v>147.91999999999999</v>
      </c>
      <c r="D236" s="2">
        <f ca="1">IFERROR(__xludf.DUMMYFUNCTION("""COMPUTED_VALUE"""),145.34)</f>
        <v>145.34</v>
      </c>
      <c r="E236" s="2">
        <f ca="1">IFERROR(__xludf.DUMMYFUNCTION("""COMPUTED_VALUE"""),146.88)</f>
        <v>146.88</v>
      </c>
      <c r="F236" s="2">
        <f ca="1">IFERROR(__xludf.DUMMYFUNCTION("""COMPUTED_VALUE"""),52352830)</f>
        <v>52352830</v>
      </c>
    </row>
    <row r="237" spans="1:6" ht="12.5" x14ac:dyDescent="0.25">
      <c r="A237" s="3">
        <f ca="1">IFERROR(__xludf.DUMMYFUNCTION("""COMPUTED_VALUE"""),45268.6666666666)</f>
        <v>45268.666666666599</v>
      </c>
      <c r="B237" s="2">
        <f ca="1">IFERROR(__xludf.DUMMYFUNCTION("""COMPUTED_VALUE"""),145.48)</f>
        <v>145.47999999999999</v>
      </c>
      <c r="C237" s="2">
        <f ca="1">IFERROR(__xludf.DUMMYFUNCTION("""COMPUTED_VALUE"""),147.84)</f>
        <v>147.84</v>
      </c>
      <c r="D237" s="2">
        <f ca="1">IFERROR(__xludf.DUMMYFUNCTION("""COMPUTED_VALUE"""),145.4)</f>
        <v>145.4</v>
      </c>
      <c r="E237" s="2">
        <f ca="1">IFERROR(__xludf.DUMMYFUNCTION("""COMPUTED_VALUE"""),147.42)</f>
        <v>147.41999999999999</v>
      </c>
      <c r="F237" s="2">
        <f ca="1">IFERROR(__xludf.DUMMYFUNCTION("""COMPUTED_VALUE"""),41905965)</f>
        <v>41905965</v>
      </c>
    </row>
    <row r="238" spans="1:6" ht="12.5" x14ac:dyDescent="0.25">
      <c r="A238" s="3">
        <f ca="1">IFERROR(__xludf.DUMMYFUNCTION("""COMPUTED_VALUE"""),45271.6666666666)</f>
        <v>45271.666666666599</v>
      </c>
      <c r="B238" s="2">
        <f ca="1">IFERROR(__xludf.DUMMYFUNCTION("""COMPUTED_VALUE"""),145.66)</f>
        <v>145.66</v>
      </c>
      <c r="C238" s="2">
        <f ca="1">IFERROR(__xludf.DUMMYFUNCTION("""COMPUTED_VALUE"""),146.19)</f>
        <v>146.19</v>
      </c>
      <c r="D238" s="2">
        <f ca="1">IFERROR(__xludf.DUMMYFUNCTION("""COMPUTED_VALUE"""),143.64)</f>
        <v>143.63999999999999</v>
      </c>
      <c r="E238" s="2">
        <f ca="1">IFERROR(__xludf.DUMMYFUNCTION("""COMPUTED_VALUE"""),145.89)</f>
        <v>145.88999999999999</v>
      </c>
      <c r="F238" s="2">
        <f ca="1">IFERROR(__xludf.DUMMYFUNCTION("""COMPUTED_VALUE"""),50907288)</f>
        <v>50907288</v>
      </c>
    </row>
    <row r="239" spans="1:6" ht="12.5" x14ac:dyDescent="0.25">
      <c r="A239" s="3">
        <f ca="1">IFERROR(__xludf.DUMMYFUNCTION("""COMPUTED_VALUE"""),45272.6666666666)</f>
        <v>45272.666666666599</v>
      </c>
      <c r="B239" s="2">
        <f ca="1">IFERROR(__xludf.DUMMYFUNCTION("""COMPUTED_VALUE"""),145.52)</f>
        <v>145.52000000000001</v>
      </c>
      <c r="C239" s="2">
        <f ca="1">IFERROR(__xludf.DUMMYFUNCTION("""COMPUTED_VALUE"""),147.5)</f>
        <v>147.5</v>
      </c>
      <c r="D239" s="2">
        <f ca="1">IFERROR(__xludf.DUMMYFUNCTION("""COMPUTED_VALUE"""),145.3)</f>
        <v>145.30000000000001</v>
      </c>
      <c r="E239" s="2">
        <f ca="1">IFERROR(__xludf.DUMMYFUNCTION("""COMPUTED_VALUE"""),147.48)</f>
        <v>147.47999999999999</v>
      </c>
      <c r="F239" s="2">
        <f ca="1">IFERROR(__xludf.DUMMYFUNCTION("""COMPUTED_VALUE"""),44944264)</f>
        <v>44944264</v>
      </c>
    </row>
    <row r="240" spans="1:6" ht="12.5" x14ac:dyDescent="0.25">
      <c r="A240" s="3">
        <f ca="1">IFERROR(__xludf.DUMMYFUNCTION("""COMPUTED_VALUE"""),45273.6666666666)</f>
        <v>45273.666666666599</v>
      </c>
      <c r="B240" s="2">
        <f ca="1">IFERROR(__xludf.DUMMYFUNCTION("""COMPUTED_VALUE"""),148.12)</f>
        <v>148.12</v>
      </c>
      <c r="C240" s="2">
        <f ca="1">IFERROR(__xludf.DUMMYFUNCTION("""COMPUTED_VALUE"""),149.46)</f>
        <v>149.46</v>
      </c>
      <c r="D240" s="2">
        <f ca="1">IFERROR(__xludf.DUMMYFUNCTION("""COMPUTED_VALUE"""),146.82)</f>
        <v>146.82</v>
      </c>
      <c r="E240" s="2">
        <f ca="1">IFERROR(__xludf.DUMMYFUNCTION("""COMPUTED_VALUE"""),148.84)</f>
        <v>148.84</v>
      </c>
      <c r="F240" s="2">
        <f ca="1">IFERROR(__xludf.DUMMYFUNCTION("""COMPUTED_VALUE"""),52766196)</f>
        <v>52766196</v>
      </c>
    </row>
    <row r="241" spans="1:6" ht="12.5" x14ac:dyDescent="0.25">
      <c r="A241" s="3">
        <f ca="1">IFERROR(__xludf.DUMMYFUNCTION("""COMPUTED_VALUE"""),45274.6666666666)</f>
        <v>45274.666666666599</v>
      </c>
      <c r="B241" s="2">
        <f ca="1">IFERROR(__xludf.DUMMYFUNCTION("""COMPUTED_VALUE"""),149.93)</f>
        <v>149.93</v>
      </c>
      <c r="C241" s="2">
        <f ca="1">IFERROR(__xludf.DUMMYFUNCTION("""COMPUTED_VALUE"""),150.54)</f>
        <v>150.54</v>
      </c>
      <c r="D241" s="2">
        <f ca="1">IFERROR(__xludf.DUMMYFUNCTION("""COMPUTED_VALUE"""),145.52)</f>
        <v>145.52000000000001</v>
      </c>
      <c r="E241" s="2">
        <f ca="1">IFERROR(__xludf.DUMMYFUNCTION("""COMPUTED_VALUE"""),147.42)</f>
        <v>147.41999999999999</v>
      </c>
      <c r="F241" s="2">
        <f ca="1">IFERROR(__xludf.DUMMYFUNCTION("""COMPUTED_VALUE"""),58400848)</f>
        <v>58400848</v>
      </c>
    </row>
    <row r="242" spans="1:6" ht="12.5" x14ac:dyDescent="0.25">
      <c r="A242" s="3">
        <f ca="1">IFERROR(__xludf.DUMMYFUNCTION("""COMPUTED_VALUE"""),45275.6666666666)</f>
        <v>45275.666666666599</v>
      </c>
      <c r="B242" s="2">
        <f ca="1">IFERROR(__xludf.DUMMYFUNCTION("""COMPUTED_VALUE"""),148.38)</f>
        <v>148.38</v>
      </c>
      <c r="C242" s="2">
        <f ca="1">IFERROR(__xludf.DUMMYFUNCTION("""COMPUTED_VALUE"""),150.57)</f>
        <v>150.57</v>
      </c>
      <c r="D242" s="2">
        <f ca="1">IFERROR(__xludf.DUMMYFUNCTION("""COMPUTED_VALUE"""),147.88)</f>
        <v>147.88</v>
      </c>
      <c r="E242" s="2">
        <f ca="1">IFERROR(__xludf.DUMMYFUNCTION("""COMPUTED_VALUE"""),149.97)</f>
        <v>149.97</v>
      </c>
      <c r="F242" s="2">
        <f ca="1">IFERROR(__xludf.DUMMYFUNCTION("""COMPUTED_VALUE"""),110089342)</f>
        <v>110089342</v>
      </c>
    </row>
    <row r="243" spans="1:6" ht="12.5" x14ac:dyDescent="0.25">
      <c r="A243" s="3">
        <f ca="1">IFERROR(__xludf.DUMMYFUNCTION("""COMPUTED_VALUE"""),45278.6666666666)</f>
        <v>45278.666666666599</v>
      </c>
      <c r="B243" s="2">
        <f ca="1">IFERROR(__xludf.DUMMYFUNCTION("""COMPUTED_VALUE"""),150.56)</f>
        <v>150.56</v>
      </c>
      <c r="C243" s="2">
        <f ca="1">IFERROR(__xludf.DUMMYFUNCTION("""COMPUTED_VALUE"""),154.85)</f>
        <v>154.85</v>
      </c>
      <c r="D243" s="2">
        <f ca="1">IFERROR(__xludf.DUMMYFUNCTION("""COMPUTED_VALUE"""),150.05)</f>
        <v>150.05000000000001</v>
      </c>
      <c r="E243" s="2">
        <f ca="1">IFERROR(__xludf.DUMMYFUNCTION("""COMPUTED_VALUE"""),154.07)</f>
        <v>154.07</v>
      </c>
      <c r="F243" s="2">
        <f ca="1">IFERROR(__xludf.DUMMYFUNCTION("""COMPUTED_VALUE"""),62512828)</f>
        <v>62512828</v>
      </c>
    </row>
    <row r="244" spans="1:6" ht="12.5" x14ac:dyDescent="0.25">
      <c r="A244" s="3">
        <f ca="1">IFERROR(__xludf.DUMMYFUNCTION("""COMPUTED_VALUE"""),45279.6666666666)</f>
        <v>45279.666666666599</v>
      </c>
      <c r="B244" s="2">
        <f ca="1">IFERROR(__xludf.DUMMYFUNCTION("""COMPUTED_VALUE"""),154.4)</f>
        <v>154.4</v>
      </c>
      <c r="C244" s="2">
        <f ca="1">IFERROR(__xludf.DUMMYFUNCTION("""COMPUTED_VALUE"""),155.12)</f>
        <v>155.12</v>
      </c>
      <c r="D244" s="2">
        <f ca="1">IFERROR(__xludf.DUMMYFUNCTION("""COMPUTED_VALUE"""),152.69)</f>
        <v>152.69</v>
      </c>
      <c r="E244" s="2">
        <f ca="1">IFERROR(__xludf.DUMMYFUNCTION("""COMPUTED_VALUE"""),153.79)</f>
        <v>153.79</v>
      </c>
      <c r="F244" s="2">
        <f ca="1">IFERROR(__xludf.DUMMYFUNCTION("""COMPUTED_VALUE"""),43171292)</f>
        <v>43171292</v>
      </c>
    </row>
    <row r="245" spans="1:6" ht="12.5" x14ac:dyDescent="0.25">
      <c r="A245" s="3">
        <f ca="1">IFERROR(__xludf.DUMMYFUNCTION("""COMPUTED_VALUE"""),45280.6666666666)</f>
        <v>45280.666666666599</v>
      </c>
      <c r="B245" s="2">
        <f ca="1">IFERROR(__xludf.DUMMYFUNCTION("""COMPUTED_VALUE"""),152.9)</f>
        <v>152.9</v>
      </c>
      <c r="C245" s="2">
        <f ca="1">IFERROR(__xludf.DUMMYFUNCTION("""COMPUTED_VALUE"""),155.63)</f>
        <v>155.63</v>
      </c>
      <c r="D245" s="2">
        <f ca="1">IFERROR(__xludf.DUMMYFUNCTION("""COMPUTED_VALUE"""),151.56)</f>
        <v>151.56</v>
      </c>
      <c r="E245" s="2">
        <f ca="1">IFERROR(__xludf.DUMMYFUNCTION("""COMPUTED_VALUE"""),152.12)</f>
        <v>152.12</v>
      </c>
      <c r="F245" s="2">
        <f ca="1">IFERROR(__xludf.DUMMYFUNCTION("""COMPUTED_VALUE"""),50322106)</f>
        <v>50322106</v>
      </c>
    </row>
    <row r="246" spans="1:6" ht="12.5" x14ac:dyDescent="0.25">
      <c r="A246" s="3">
        <f ca="1">IFERROR(__xludf.DUMMYFUNCTION("""COMPUTED_VALUE"""),45281.6666666666)</f>
        <v>45281.666666666599</v>
      </c>
      <c r="B246" s="2">
        <f ca="1">IFERROR(__xludf.DUMMYFUNCTION("""COMPUTED_VALUE"""),153.3)</f>
        <v>153.30000000000001</v>
      </c>
      <c r="C246" s="2">
        <f ca="1">IFERROR(__xludf.DUMMYFUNCTION("""COMPUTED_VALUE"""),153.97)</f>
        <v>153.97</v>
      </c>
      <c r="D246" s="2">
        <f ca="1">IFERROR(__xludf.DUMMYFUNCTION("""COMPUTED_VALUE"""),152.1)</f>
        <v>152.1</v>
      </c>
      <c r="E246" s="2">
        <f ca="1">IFERROR(__xludf.DUMMYFUNCTION("""COMPUTED_VALUE"""),153.84)</f>
        <v>153.84</v>
      </c>
      <c r="F246" s="2">
        <f ca="1">IFERROR(__xludf.DUMMYFUNCTION("""COMPUTED_VALUE"""),36305733)</f>
        <v>36305733</v>
      </c>
    </row>
    <row r="247" spans="1:6" ht="12.5" x14ac:dyDescent="0.25">
      <c r="A247" s="3">
        <f ca="1">IFERROR(__xludf.DUMMYFUNCTION("""COMPUTED_VALUE"""),45282.6666666666)</f>
        <v>45282.666666666599</v>
      </c>
      <c r="B247" s="2">
        <f ca="1">IFERROR(__xludf.DUMMYFUNCTION("""COMPUTED_VALUE"""),153.77)</f>
        <v>153.77000000000001</v>
      </c>
      <c r="C247" s="2">
        <f ca="1">IFERROR(__xludf.DUMMYFUNCTION("""COMPUTED_VALUE"""),154.35)</f>
        <v>154.35</v>
      </c>
      <c r="D247" s="2">
        <f ca="1">IFERROR(__xludf.DUMMYFUNCTION("""COMPUTED_VALUE"""),152.71)</f>
        <v>152.71</v>
      </c>
      <c r="E247" s="2">
        <f ca="1">IFERROR(__xludf.DUMMYFUNCTION("""COMPUTED_VALUE"""),153.42)</f>
        <v>153.41999999999999</v>
      </c>
      <c r="F247" s="2">
        <f ca="1">IFERROR(__xludf.DUMMYFUNCTION("""COMPUTED_VALUE"""),29514093)</f>
        <v>29514093</v>
      </c>
    </row>
    <row r="248" spans="1:6" ht="12.5" x14ac:dyDescent="0.25">
      <c r="A248" s="3">
        <f ca="1">IFERROR(__xludf.DUMMYFUNCTION("""COMPUTED_VALUE"""),45286.6666666666)</f>
        <v>45286.666666666599</v>
      </c>
      <c r="B248" s="2">
        <f ca="1">IFERROR(__xludf.DUMMYFUNCTION("""COMPUTED_VALUE"""),153.56)</f>
        <v>153.56</v>
      </c>
      <c r="C248" s="2">
        <f ca="1">IFERROR(__xludf.DUMMYFUNCTION("""COMPUTED_VALUE"""),153.98)</f>
        <v>153.97999999999999</v>
      </c>
      <c r="D248" s="2">
        <f ca="1">IFERROR(__xludf.DUMMYFUNCTION("""COMPUTED_VALUE"""),153.03)</f>
        <v>153.03</v>
      </c>
      <c r="E248" s="2">
        <f ca="1">IFERROR(__xludf.DUMMYFUNCTION("""COMPUTED_VALUE"""),153.41)</f>
        <v>153.41</v>
      </c>
      <c r="F248" s="2">
        <f ca="1">IFERROR(__xludf.DUMMYFUNCTION("""COMPUTED_VALUE"""),25067222)</f>
        <v>25067222</v>
      </c>
    </row>
    <row r="249" spans="1:6" ht="12.5" x14ac:dyDescent="0.25">
      <c r="A249" s="3">
        <f ca="1">IFERROR(__xludf.DUMMYFUNCTION("""COMPUTED_VALUE"""),45287.6666666666)</f>
        <v>45287.666666666599</v>
      </c>
      <c r="B249" s="2">
        <f ca="1">IFERROR(__xludf.DUMMYFUNCTION("""COMPUTED_VALUE"""),153.56)</f>
        <v>153.56</v>
      </c>
      <c r="C249" s="2">
        <f ca="1">IFERROR(__xludf.DUMMYFUNCTION("""COMPUTED_VALUE"""),154.78)</f>
        <v>154.78</v>
      </c>
      <c r="D249" s="2">
        <f ca="1">IFERROR(__xludf.DUMMYFUNCTION("""COMPUTED_VALUE"""),153.12)</f>
        <v>153.12</v>
      </c>
      <c r="E249" s="2">
        <f ca="1">IFERROR(__xludf.DUMMYFUNCTION("""COMPUTED_VALUE"""),153.34)</f>
        <v>153.34</v>
      </c>
      <c r="F249" s="2">
        <f ca="1">IFERROR(__xludf.DUMMYFUNCTION("""COMPUTED_VALUE"""),31434733)</f>
        <v>31434733</v>
      </c>
    </row>
    <row r="250" spans="1:6" ht="12.5" x14ac:dyDescent="0.25">
      <c r="A250" s="3">
        <f ca="1">IFERROR(__xludf.DUMMYFUNCTION("""COMPUTED_VALUE"""),45288.6666666666)</f>
        <v>45288.666666666599</v>
      </c>
      <c r="B250" s="2">
        <f ca="1">IFERROR(__xludf.DUMMYFUNCTION("""COMPUTED_VALUE"""),153.72)</f>
        <v>153.72</v>
      </c>
      <c r="C250" s="2">
        <f ca="1">IFERROR(__xludf.DUMMYFUNCTION("""COMPUTED_VALUE"""),154.08)</f>
        <v>154.08000000000001</v>
      </c>
      <c r="D250" s="2">
        <f ca="1">IFERROR(__xludf.DUMMYFUNCTION("""COMPUTED_VALUE"""),152.95)</f>
        <v>152.94999999999999</v>
      </c>
      <c r="E250" s="2">
        <f ca="1">IFERROR(__xludf.DUMMYFUNCTION("""COMPUTED_VALUE"""),153.38)</f>
        <v>153.38</v>
      </c>
      <c r="F250" s="2">
        <f ca="1">IFERROR(__xludf.DUMMYFUNCTION("""COMPUTED_VALUE"""),27057002)</f>
        <v>27057002</v>
      </c>
    </row>
    <row r="251" spans="1:6" ht="12.5" x14ac:dyDescent="0.25">
      <c r="A251" s="3">
        <f ca="1">IFERROR(__xludf.DUMMYFUNCTION("""COMPUTED_VALUE"""),45289.6666666666)</f>
        <v>45289.666666666599</v>
      </c>
      <c r="B251" s="2">
        <f ca="1">IFERROR(__xludf.DUMMYFUNCTION("""COMPUTED_VALUE"""),153.1)</f>
        <v>153.1</v>
      </c>
      <c r="C251" s="2">
        <f ca="1">IFERROR(__xludf.DUMMYFUNCTION("""COMPUTED_VALUE"""),153.89)</f>
        <v>153.88999999999999</v>
      </c>
      <c r="D251" s="2">
        <f ca="1">IFERROR(__xludf.DUMMYFUNCTION("""COMPUTED_VALUE"""),151.03)</f>
        <v>151.03</v>
      </c>
      <c r="E251" s="2">
        <f ca="1">IFERROR(__xludf.DUMMYFUNCTION("""COMPUTED_VALUE"""),151.94)</f>
        <v>151.94</v>
      </c>
      <c r="F251" s="2">
        <f ca="1">IFERROR(__xludf.DUMMYFUNCTION("""COMPUTED_VALUE"""),39823204)</f>
        <v>39823204</v>
      </c>
    </row>
    <row r="252" spans="1:6" ht="12.5" x14ac:dyDescent="0.25">
      <c r="A252" s="3">
        <f ca="1">IFERROR(__xludf.DUMMYFUNCTION("""COMPUTED_VALUE"""),45293.6666666666)</f>
        <v>45293.666666666599</v>
      </c>
      <c r="B252" s="2">
        <f ca="1">IFERROR(__xludf.DUMMYFUNCTION("""COMPUTED_VALUE"""),151.54)</f>
        <v>151.54</v>
      </c>
      <c r="C252" s="2">
        <f ca="1">IFERROR(__xludf.DUMMYFUNCTION("""COMPUTED_VALUE"""),152.38)</f>
        <v>152.38</v>
      </c>
      <c r="D252" s="2">
        <f ca="1">IFERROR(__xludf.DUMMYFUNCTION("""COMPUTED_VALUE"""),148.39)</f>
        <v>148.38999999999999</v>
      </c>
      <c r="E252" s="2">
        <f ca="1">IFERROR(__xludf.DUMMYFUNCTION("""COMPUTED_VALUE"""),149.93)</f>
        <v>149.93</v>
      </c>
      <c r="F252" s="2">
        <f ca="1">IFERROR(__xludf.DUMMYFUNCTION("""COMPUTED_VALUE"""),47339424)</f>
        <v>47339424</v>
      </c>
    </row>
    <row r="253" spans="1:6" ht="12.5" x14ac:dyDescent="0.25">
      <c r="A253" s="3">
        <f ca="1">IFERROR(__xludf.DUMMYFUNCTION("""COMPUTED_VALUE"""),45294.6666666666)</f>
        <v>45294.666666666599</v>
      </c>
      <c r="B253" s="2">
        <f ca="1">IFERROR(__xludf.DUMMYFUNCTION("""COMPUTED_VALUE"""),149.2)</f>
        <v>149.19999999999999</v>
      </c>
      <c r="C253" s="2">
        <f ca="1">IFERROR(__xludf.DUMMYFUNCTION("""COMPUTED_VALUE"""),151.05)</f>
        <v>151.05000000000001</v>
      </c>
      <c r="D253" s="2">
        <f ca="1">IFERROR(__xludf.DUMMYFUNCTION("""COMPUTED_VALUE"""),148.33)</f>
        <v>148.33000000000001</v>
      </c>
      <c r="E253" s="2">
        <f ca="1">IFERROR(__xludf.DUMMYFUNCTION("""COMPUTED_VALUE"""),148.47)</f>
        <v>148.47</v>
      </c>
      <c r="F253" s="2">
        <f ca="1">IFERROR(__xludf.DUMMYFUNCTION("""COMPUTED_VALUE"""),49425495)</f>
        <v>49425495</v>
      </c>
    </row>
    <row r="254" spans="1:6" ht="12.5" x14ac:dyDescent="0.25">
      <c r="A254" s="3">
        <f ca="1">IFERROR(__xludf.DUMMYFUNCTION("""COMPUTED_VALUE"""),45295.6666666666)</f>
        <v>45295.666666666599</v>
      </c>
      <c r="B254" s="2">
        <f ca="1">IFERROR(__xludf.DUMMYFUNCTION("""COMPUTED_VALUE"""),145.59)</f>
        <v>145.59</v>
      </c>
      <c r="C254" s="2">
        <f ca="1">IFERROR(__xludf.DUMMYFUNCTION("""COMPUTED_VALUE"""),147.38)</f>
        <v>147.38</v>
      </c>
      <c r="D254" s="2">
        <f ca="1">IFERROR(__xludf.DUMMYFUNCTION("""COMPUTED_VALUE"""),144.05)</f>
        <v>144.05000000000001</v>
      </c>
      <c r="E254" s="2">
        <f ca="1">IFERROR(__xludf.DUMMYFUNCTION("""COMPUTED_VALUE"""),144.57)</f>
        <v>144.57</v>
      </c>
      <c r="F254" s="2">
        <f ca="1">IFERROR(__xludf.DUMMYFUNCTION("""COMPUTED_VALUE"""),56039807)</f>
        <v>56039807</v>
      </c>
    </row>
    <row r="255" spans="1:6" ht="12.5" x14ac:dyDescent="0.25">
      <c r="A255" s="3">
        <f ca="1">IFERROR(__xludf.DUMMYFUNCTION("""COMPUTED_VALUE"""),45296.6666666666)</f>
        <v>45296.666666666599</v>
      </c>
      <c r="B255" s="2">
        <f ca="1">IFERROR(__xludf.DUMMYFUNCTION("""COMPUTED_VALUE"""),144.69)</f>
        <v>144.69</v>
      </c>
      <c r="C255" s="2">
        <f ca="1">IFERROR(__xludf.DUMMYFUNCTION("""COMPUTED_VALUE"""),146.59)</f>
        <v>146.59</v>
      </c>
      <c r="D255" s="2">
        <f ca="1">IFERROR(__xludf.DUMMYFUNCTION("""COMPUTED_VALUE"""),144.53)</f>
        <v>144.53</v>
      </c>
      <c r="E255" s="2">
        <f ca="1">IFERROR(__xludf.DUMMYFUNCTION("""COMPUTED_VALUE"""),145.24)</f>
        <v>145.24</v>
      </c>
      <c r="F255" s="2">
        <f ca="1">IFERROR(__xludf.DUMMYFUNCTION("""COMPUTED_VALUE"""),45153147)</f>
        <v>45153147</v>
      </c>
    </row>
    <row r="256" spans="1:6" ht="12.5" x14ac:dyDescent="0.25">
      <c r="A256" s="3">
        <f ca="1">IFERROR(__xludf.DUMMYFUNCTION("""COMPUTED_VALUE"""),45299.6666666666)</f>
        <v>45299.666666666599</v>
      </c>
      <c r="B256" s="2">
        <f ca="1">IFERROR(__xludf.DUMMYFUNCTION("""COMPUTED_VALUE"""),146.74)</f>
        <v>146.74</v>
      </c>
      <c r="C256" s="2">
        <f ca="1">IFERROR(__xludf.DUMMYFUNCTION("""COMPUTED_VALUE"""),149.4)</f>
        <v>149.4</v>
      </c>
      <c r="D256" s="2">
        <f ca="1">IFERROR(__xludf.DUMMYFUNCTION("""COMPUTED_VALUE"""),146.15)</f>
        <v>146.15</v>
      </c>
      <c r="E256" s="2">
        <f ca="1">IFERROR(__xludf.DUMMYFUNCTION("""COMPUTED_VALUE"""),149.1)</f>
        <v>149.1</v>
      </c>
      <c r="F256" s="2">
        <f ca="1">IFERROR(__xludf.DUMMYFUNCTION("""COMPUTED_VALUE"""),46757053)</f>
        <v>46757053</v>
      </c>
    </row>
    <row r="257" spans="1:6" ht="12.5" x14ac:dyDescent="0.25">
      <c r="A257" s="3">
        <f ca="1">IFERROR(__xludf.DUMMYFUNCTION("""COMPUTED_VALUE"""),45300.6666666666)</f>
        <v>45300.666666666599</v>
      </c>
      <c r="B257" s="2">
        <f ca="1">IFERROR(__xludf.DUMMYFUNCTION("""COMPUTED_VALUE"""),148.33)</f>
        <v>148.33000000000001</v>
      </c>
      <c r="C257" s="2">
        <f ca="1">IFERROR(__xludf.DUMMYFUNCTION("""COMPUTED_VALUE"""),151.71)</f>
        <v>151.71</v>
      </c>
      <c r="D257" s="2">
        <f ca="1">IFERROR(__xludf.DUMMYFUNCTION("""COMPUTED_VALUE"""),148.21)</f>
        <v>148.21</v>
      </c>
      <c r="E257" s="2">
        <f ca="1">IFERROR(__xludf.DUMMYFUNCTION("""COMPUTED_VALUE"""),151.37)</f>
        <v>151.37</v>
      </c>
      <c r="F257" s="2">
        <f ca="1">IFERROR(__xludf.DUMMYFUNCTION("""COMPUTED_VALUE"""),43812567)</f>
        <v>43812567</v>
      </c>
    </row>
    <row r="258" spans="1:6" ht="12.5" x14ac:dyDescent="0.25">
      <c r="A258" s="3">
        <f ca="1">IFERROR(__xludf.DUMMYFUNCTION("""COMPUTED_VALUE"""),45301.6666666666)</f>
        <v>45301.666666666599</v>
      </c>
      <c r="B258" s="2">
        <f ca="1">IFERROR(__xludf.DUMMYFUNCTION("""COMPUTED_VALUE"""),152.06)</f>
        <v>152.06</v>
      </c>
      <c r="C258" s="2">
        <f ca="1">IFERROR(__xludf.DUMMYFUNCTION("""COMPUTED_VALUE"""),154.42)</f>
        <v>154.41999999999999</v>
      </c>
      <c r="D258" s="2">
        <f ca="1">IFERROR(__xludf.DUMMYFUNCTION("""COMPUTED_VALUE"""),151.88)</f>
        <v>151.88</v>
      </c>
      <c r="E258" s="2">
        <f ca="1">IFERROR(__xludf.DUMMYFUNCTION("""COMPUTED_VALUE"""),153.73)</f>
        <v>153.72999999999999</v>
      </c>
      <c r="F258" s="2">
        <f ca="1">IFERROR(__xludf.DUMMYFUNCTION("""COMPUTED_VALUE"""),44421830)</f>
        <v>44421830</v>
      </c>
    </row>
    <row r="259" spans="1:6" ht="12.5" x14ac:dyDescent="0.25">
      <c r="A259" s="3">
        <f ca="1">IFERROR(__xludf.DUMMYFUNCTION("""COMPUTED_VALUE"""),45302.6666666666)</f>
        <v>45302.666666666599</v>
      </c>
      <c r="B259" s="2">
        <f ca="1">IFERROR(__xludf.DUMMYFUNCTION("""COMPUTED_VALUE"""),155.04)</f>
        <v>155.04</v>
      </c>
      <c r="C259" s="2">
        <f ca="1">IFERROR(__xludf.DUMMYFUNCTION("""COMPUTED_VALUE"""),157.17)</f>
        <v>157.16999999999999</v>
      </c>
      <c r="D259" s="2">
        <f ca="1">IFERROR(__xludf.DUMMYFUNCTION("""COMPUTED_VALUE"""),153.12)</f>
        <v>153.12</v>
      </c>
      <c r="E259" s="2">
        <f ca="1">IFERROR(__xludf.DUMMYFUNCTION("""COMPUTED_VALUE"""),155.18)</f>
        <v>155.18</v>
      </c>
      <c r="F259" s="2">
        <f ca="1">IFERROR(__xludf.DUMMYFUNCTION("""COMPUTED_VALUE"""),49072691)</f>
        <v>49072691</v>
      </c>
    </row>
    <row r="260" spans="1:6" ht="12.5" x14ac:dyDescent="0.25">
      <c r="A260" s="3">
        <f ca="1">IFERROR(__xludf.DUMMYFUNCTION("""COMPUTED_VALUE"""),45303.6666666666)</f>
        <v>45303.666666666599</v>
      </c>
      <c r="B260" s="2">
        <f ca="1">IFERROR(__xludf.DUMMYFUNCTION("""COMPUTED_VALUE"""),155.39)</f>
        <v>155.38999999999999</v>
      </c>
      <c r="C260" s="2">
        <f ca="1">IFERROR(__xludf.DUMMYFUNCTION("""COMPUTED_VALUE"""),156.2)</f>
        <v>156.19999999999999</v>
      </c>
      <c r="D260" s="2">
        <f ca="1">IFERROR(__xludf.DUMMYFUNCTION("""COMPUTED_VALUE"""),154.01)</f>
        <v>154.01</v>
      </c>
      <c r="E260" s="2">
        <f ca="1">IFERROR(__xludf.DUMMYFUNCTION("""COMPUTED_VALUE"""),154.62)</f>
        <v>154.62</v>
      </c>
      <c r="F260" s="2">
        <f ca="1">IFERROR(__xludf.DUMMYFUNCTION("""COMPUTED_VALUE"""),40484155)</f>
        <v>40484155</v>
      </c>
    </row>
    <row r="261" spans="1:6" ht="12.5" x14ac:dyDescent="0.25">
      <c r="A261" s="3">
        <f ca="1">IFERROR(__xludf.DUMMYFUNCTION("""COMPUTED_VALUE"""),45307.6666666666)</f>
        <v>45307.666666666599</v>
      </c>
      <c r="B261" s="2">
        <f ca="1">IFERROR(__xludf.DUMMYFUNCTION("""COMPUTED_VALUE"""),153.53)</f>
        <v>153.53</v>
      </c>
      <c r="C261" s="2">
        <f ca="1">IFERROR(__xludf.DUMMYFUNCTION("""COMPUTED_VALUE"""),154.99)</f>
        <v>154.99</v>
      </c>
      <c r="D261" s="2">
        <f ca="1">IFERROR(__xludf.DUMMYFUNCTION("""COMPUTED_VALUE"""),152.15)</f>
        <v>152.15</v>
      </c>
      <c r="E261" s="2">
        <f ca="1">IFERROR(__xludf.DUMMYFUNCTION("""COMPUTED_VALUE"""),153.16)</f>
        <v>153.16</v>
      </c>
      <c r="F261" s="2">
        <f ca="1">IFERROR(__xludf.DUMMYFUNCTION("""COMPUTED_VALUE"""),41384636)</f>
        <v>41384636</v>
      </c>
    </row>
    <row r="262" spans="1:6" ht="12.5" x14ac:dyDescent="0.25">
      <c r="A262" s="3">
        <f ca="1">IFERROR(__xludf.DUMMYFUNCTION("""COMPUTED_VALUE"""),45308.6666666666)</f>
        <v>45308.666666666599</v>
      </c>
      <c r="B262" s="2">
        <f ca="1">IFERROR(__xludf.DUMMYFUNCTION("""COMPUTED_VALUE"""),151.49)</f>
        <v>151.49</v>
      </c>
      <c r="C262" s="2">
        <f ca="1">IFERROR(__xludf.DUMMYFUNCTION("""COMPUTED_VALUE"""),152.15)</f>
        <v>152.15</v>
      </c>
      <c r="D262" s="2">
        <f ca="1">IFERROR(__xludf.DUMMYFUNCTION("""COMPUTED_VALUE"""),149.91)</f>
        <v>149.91</v>
      </c>
      <c r="E262" s="2">
        <f ca="1">IFERROR(__xludf.DUMMYFUNCTION("""COMPUTED_VALUE"""),151.71)</f>
        <v>151.71</v>
      </c>
      <c r="F262" s="2">
        <f ca="1">IFERROR(__xludf.DUMMYFUNCTION("""COMPUTED_VALUE"""),34953363)</f>
        <v>34953363</v>
      </c>
    </row>
    <row r="263" spans="1:6" ht="12.5" x14ac:dyDescent="0.25">
      <c r="A263" s="3">
        <f ca="1">IFERROR(__xludf.DUMMYFUNCTION("""COMPUTED_VALUE"""),45309.6666666666)</f>
        <v>45309.666666666599</v>
      </c>
      <c r="B263" s="2">
        <f ca="1">IFERROR(__xludf.DUMMYFUNCTION("""COMPUTED_VALUE"""),152.77)</f>
        <v>152.77000000000001</v>
      </c>
      <c r="C263" s="2">
        <f ca="1">IFERROR(__xludf.DUMMYFUNCTION("""COMPUTED_VALUE"""),153.78)</f>
        <v>153.78</v>
      </c>
      <c r="D263" s="2">
        <f ca="1">IFERROR(__xludf.DUMMYFUNCTION("""COMPUTED_VALUE"""),151.82)</f>
        <v>151.82</v>
      </c>
      <c r="E263" s="2">
        <f ca="1">IFERROR(__xludf.DUMMYFUNCTION("""COMPUTED_VALUE"""),153.5)</f>
        <v>153.5</v>
      </c>
      <c r="F263" s="2">
        <f ca="1">IFERROR(__xludf.DUMMYFUNCTION("""COMPUTED_VALUE"""),37850245)</f>
        <v>37850245</v>
      </c>
    </row>
    <row r="264" spans="1:6" ht="12.5" x14ac:dyDescent="0.25">
      <c r="A264" s="3">
        <f ca="1">IFERROR(__xludf.DUMMYFUNCTION("""COMPUTED_VALUE"""),45310.6666666666)</f>
        <v>45310.666666666599</v>
      </c>
      <c r="B264" s="2">
        <f ca="1">IFERROR(__xludf.DUMMYFUNCTION("""COMPUTED_VALUE"""),153.83)</f>
        <v>153.83000000000001</v>
      </c>
      <c r="C264" s="2">
        <f ca="1">IFERROR(__xludf.DUMMYFUNCTION("""COMPUTED_VALUE"""),155.76)</f>
        <v>155.76</v>
      </c>
      <c r="D264" s="2">
        <f ca="1">IFERROR(__xludf.DUMMYFUNCTION("""COMPUTED_VALUE"""),152.74)</f>
        <v>152.74</v>
      </c>
      <c r="E264" s="2">
        <f ca="1">IFERROR(__xludf.DUMMYFUNCTION("""COMPUTED_VALUE"""),155.34)</f>
        <v>155.34</v>
      </c>
      <c r="F264" s="2">
        <f ca="1">IFERROR(__xludf.DUMMYFUNCTION("""COMPUTED_VALUE"""),51651628)</f>
        <v>51651628</v>
      </c>
    </row>
    <row r="265" spans="1:6" ht="12.5" x14ac:dyDescent="0.25">
      <c r="A265" s="3">
        <f ca="1">IFERROR(__xludf.DUMMYFUNCTION("""COMPUTED_VALUE"""),45313.6666666666)</f>
        <v>45313.666666666599</v>
      </c>
      <c r="B265" s="2">
        <f ca="1">IFERROR(__xludf.DUMMYFUNCTION("""COMPUTED_VALUE"""),156.89)</f>
        <v>156.88999999999999</v>
      </c>
      <c r="C265" s="2">
        <f ca="1">IFERROR(__xludf.DUMMYFUNCTION("""COMPUTED_VALUE"""),157.05)</f>
        <v>157.05000000000001</v>
      </c>
      <c r="D265" s="2">
        <f ca="1">IFERROR(__xludf.DUMMYFUNCTION("""COMPUTED_VALUE"""),153.9)</f>
        <v>153.9</v>
      </c>
      <c r="E265" s="2">
        <f ca="1">IFERROR(__xludf.DUMMYFUNCTION("""COMPUTED_VALUE"""),154.78)</f>
        <v>154.78</v>
      </c>
      <c r="F265" s="2">
        <f ca="1">IFERROR(__xludf.DUMMYFUNCTION("""COMPUTED_VALUE"""),43687468)</f>
        <v>43687468</v>
      </c>
    </row>
    <row r="266" spans="1:6" ht="12.5" x14ac:dyDescent="0.25">
      <c r="A266" s="3">
        <f ca="1">IFERROR(__xludf.DUMMYFUNCTION("""COMPUTED_VALUE"""),45314.6666666666)</f>
        <v>45314.666666666599</v>
      </c>
      <c r="B266" s="2">
        <f ca="1">IFERROR(__xludf.DUMMYFUNCTION("""COMPUTED_VALUE"""),154.85)</f>
        <v>154.85</v>
      </c>
      <c r="C266" s="2">
        <f ca="1">IFERROR(__xludf.DUMMYFUNCTION("""COMPUTED_VALUE"""),156.21)</f>
        <v>156.21</v>
      </c>
      <c r="D266" s="2">
        <f ca="1">IFERROR(__xludf.DUMMYFUNCTION("""COMPUTED_VALUE"""),153.93)</f>
        <v>153.93</v>
      </c>
      <c r="E266" s="2">
        <f ca="1">IFERROR(__xludf.DUMMYFUNCTION("""COMPUTED_VALUE"""),156.02)</f>
        <v>156.02000000000001</v>
      </c>
      <c r="F266" s="2">
        <f ca="1">IFERROR(__xludf.DUMMYFUNCTION("""COMPUTED_VALUE"""),37986039)</f>
        <v>37986039</v>
      </c>
    </row>
    <row r="267" spans="1:6" ht="12.5" x14ac:dyDescent="0.25">
      <c r="A267" s="3">
        <f ca="1">IFERROR(__xludf.DUMMYFUNCTION("""COMPUTED_VALUE"""),45315.6666666666)</f>
        <v>45315.666666666599</v>
      </c>
      <c r="B267" s="2">
        <f ca="1">IFERROR(__xludf.DUMMYFUNCTION("""COMPUTED_VALUE"""),157.8)</f>
        <v>157.80000000000001</v>
      </c>
      <c r="C267" s="2">
        <f ca="1">IFERROR(__xludf.DUMMYFUNCTION("""COMPUTED_VALUE"""),158.51)</f>
        <v>158.51</v>
      </c>
      <c r="D267" s="2">
        <f ca="1">IFERROR(__xludf.DUMMYFUNCTION("""COMPUTED_VALUE"""),156.48)</f>
        <v>156.47999999999999</v>
      </c>
      <c r="E267" s="2">
        <f ca="1">IFERROR(__xludf.DUMMYFUNCTION("""COMPUTED_VALUE"""),156.87)</f>
        <v>156.87</v>
      </c>
      <c r="F267" s="2">
        <f ca="1">IFERROR(__xludf.DUMMYFUNCTION("""COMPUTED_VALUE"""),48547315)</f>
        <v>48547315</v>
      </c>
    </row>
    <row r="268" spans="1:6" ht="12.5" x14ac:dyDescent="0.25">
      <c r="A268" s="3">
        <f ca="1">IFERROR(__xludf.DUMMYFUNCTION("""COMPUTED_VALUE"""),45316.6666666666)</f>
        <v>45316.666666666599</v>
      </c>
      <c r="B268" s="2">
        <f ca="1">IFERROR(__xludf.DUMMYFUNCTION("""COMPUTED_VALUE"""),156.95)</f>
        <v>156.94999999999999</v>
      </c>
      <c r="C268" s="2">
        <f ca="1">IFERROR(__xludf.DUMMYFUNCTION("""COMPUTED_VALUE"""),158.51)</f>
        <v>158.51</v>
      </c>
      <c r="D268" s="2">
        <f ca="1">IFERROR(__xludf.DUMMYFUNCTION("""COMPUTED_VALUE"""),154.55)</f>
        <v>154.55000000000001</v>
      </c>
      <c r="E268" s="2">
        <f ca="1">IFERROR(__xludf.DUMMYFUNCTION("""COMPUTED_VALUE"""),157.75)</f>
        <v>157.75</v>
      </c>
      <c r="F268" s="2">
        <f ca="1">IFERROR(__xludf.DUMMYFUNCTION("""COMPUTED_VALUE"""),43638592)</f>
        <v>43638592</v>
      </c>
    </row>
    <row r="269" spans="1:6" ht="12.5" x14ac:dyDescent="0.25">
      <c r="A269" s="3">
        <f ca="1">IFERROR(__xludf.DUMMYFUNCTION("""COMPUTED_VALUE"""),45317.6666666666)</f>
        <v>45317.666666666599</v>
      </c>
      <c r="B269" s="2">
        <f ca="1">IFERROR(__xludf.DUMMYFUNCTION("""COMPUTED_VALUE"""),158.42)</f>
        <v>158.41999999999999</v>
      </c>
      <c r="C269" s="2">
        <f ca="1">IFERROR(__xludf.DUMMYFUNCTION("""COMPUTED_VALUE"""),160.72)</f>
        <v>160.72</v>
      </c>
      <c r="D269" s="2">
        <f ca="1">IFERROR(__xludf.DUMMYFUNCTION("""COMPUTED_VALUE"""),157.91)</f>
        <v>157.91</v>
      </c>
      <c r="E269" s="2">
        <f ca="1">IFERROR(__xludf.DUMMYFUNCTION("""COMPUTED_VALUE"""),159.12)</f>
        <v>159.12</v>
      </c>
      <c r="F269" s="2">
        <f ca="1">IFERROR(__xludf.DUMMYFUNCTION("""COMPUTED_VALUE"""),51047353)</f>
        <v>51047353</v>
      </c>
    </row>
    <row r="270" spans="1:6" ht="12.5" x14ac:dyDescent="0.25">
      <c r="A270" s="3">
        <f ca="1">IFERROR(__xludf.DUMMYFUNCTION("""COMPUTED_VALUE"""),45320.6666666666)</f>
        <v>45320.666666666599</v>
      </c>
      <c r="B270" s="2">
        <f ca="1">IFERROR(__xludf.DUMMYFUNCTION("""COMPUTED_VALUE"""),159.34)</f>
        <v>159.34</v>
      </c>
      <c r="C270" s="2">
        <f ca="1">IFERROR(__xludf.DUMMYFUNCTION("""COMPUTED_VALUE"""),161.29)</f>
        <v>161.29</v>
      </c>
      <c r="D270" s="2">
        <f ca="1">IFERROR(__xludf.DUMMYFUNCTION("""COMPUTED_VALUE"""),158.9)</f>
        <v>158.9</v>
      </c>
      <c r="E270" s="2">
        <f ca="1">IFERROR(__xludf.DUMMYFUNCTION("""COMPUTED_VALUE"""),161.26)</f>
        <v>161.26</v>
      </c>
      <c r="F270" s="2">
        <f ca="1">IFERROR(__xludf.DUMMYFUNCTION("""COMPUTED_VALUE"""),45270385)</f>
        <v>45270385</v>
      </c>
    </row>
    <row r="271" spans="1:6" ht="12.5" x14ac:dyDescent="0.25">
      <c r="A271" s="3">
        <f ca="1">IFERROR(__xludf.DUMMYFUNCTION("""COMPUTED_VALUE"""),45321.6666666666)</f>
        <v>45321.666666666599</v>
      </c>
      <c r="B271" s="2">
        <f ca="1">IFERROR(__xludf.DUMMYFUNCTION("""COMPUTED_VALUE"""),160.7)</f>
        <v>160.69999999999999</v>
      </c>
      <c r="C271" s="2">
        <f ca="1">IFERROR(__xludf.DUMMYFUNCTION("""COMPUTED_VALUE"""),161.73)</f>
        <v>161.72999999999999</v>
      </c>
      <c r="D271" s="2">
        <f ca="1">IFERROR(__xludf.DUMMYFUNCTION("""COMPUTED_VALUE"""),158.49)</f>
        <v>158.49</v>
      </c>
      <c r="E271" s="2">
        <f ca="1">IFERROR(__xludf.DUMMYFUNCTION("""COMPUTED_VALUE"""),159)</f>
        <v>159</v>
      </c>
      <c r="F271" s="2">
        <f ca="1">IFERROR(__xludf.DUMMYFUNCTION("""COMPUTED_VALUE"""),45207430)</f>
        <v>45207430</v>
      </c>
    </row>
    <row r="272" spans="1:6" ht="12.5" x14ac:dyDescent="0.25">
      <c r="A272" s="3">
        <f ca="1">IFERROR(__xludf.DUMMYFUNCTION("""COMPUTED_VALUE"""),45322.6666666666)</f>
        <v>45322.666666666599</v>
      </c>
      <c r="B272" s="2">
        <f ca="1">IFERROR(__xludf.DUMMYFUNCTION("""COMPUTED_VALUE"""),157)</f>
        <v>157</v>
      </c>
      <c r="C272" s="2">
        <f ca="1">IFERROR(__xludf.DUMMYFUNCTION("""COMPUTED_VALUE"""),159.01)</f>
        <v>159.01</v>
      </c>
      <c r="D272" s="2">
        <f ca="1">IFERROR(__xludf.DUMMYFUNCTION("""COMPUTED_VALUE"""),154.81)</f>
        <v>154.81</v>
      </c>
      <c r="E272" s="2">
        <f ca="1">IFERROR(__xludf.DUMMYFUNCTION("""COMPUTED_VALUE"""),155.2)</f>
        <v>155.19999999999999</v>
      </c>
      <c r="F272" s="2">
        <f ca="1">IFERROR(__xludf.DUMMYFUNCTION("""COMPUTED_VALUE"""),50284371)</f>
        <v>50284371</v>
      </c>
    </row>
    <row r="273" spans="1:6" ht="12.5" x14ac:dyDescent="0.25">
      <c r="A273" s="3">
        <f ca="1">IFERROR(__xludf.DUMMYFUNCTION("""COMPUTED_VALUE"""),45323.6666666666)</f>
        <v>45323.666666666599</v>
      </c>
      <c r="B273" s="2">
        <f ca="1">IFERROR(__xludf.DUMMYFUNCTION("""COMPUTED_VALUE"""),155.87)</f>
        <v>155.87</v>
      </c>
      <c r="C273" s="2">
        <f ca="1">IFERROR(__xludf.DUMMYFUNCTION("""COMPUTED_VALUE"""),159.76)</f>
        <v>159.76</v>
      </c>
      <c r="D273" s="2">
        <f ca="1">IFERROR(__xludf.DUMMYFUNCTION("""COMPUTED_VALUE"""),155.62)</f>
        <v>155.62</v>
      </c>
      <c r="E273" s="2">
        <f ca="1">IFERROR(__xludf.DUMMYFUNCTION("""COMPUTED_VALUE"""),159.28)</f>
        <v>159.28</v>
      </c>
      <c r="F273" s="2">
        <f ca="1">IFERROR(__xludf.DUMMYFUNCTION("""COMPUTED_VALUE"""),76542419)</f>
        <v>76542419</v>
      </c>
    </row>
    <row r="274" spans="1:6" ht="12.5" x14ac:dyDescent="0.25">
      <c r="A274" s="3">
        <f ca="1">IFERROR(__xludf.DUMMYFUNCTION("""COMPUTED_VALUE"""),45324.6666666666)</f>
        <v>45324.666666666599</v>
      </c>
      <c r="B274" s="2">
        <f ca="1">IFERROR(__xludf.DUMMYFUNCTION("""COMPUTED_VALUE"""),169.19)</f>
        <v>169.19</v>
      </c>
      <c r="C274" s="2">
        <f ca="1">IFERROR(__xludf.DUMMYFUNCTION("""COMPUTED_VALUE"""),172.5)</f>
        <v>172.5</v>
      </c>
      <c r="D274" s="2">
        <f ca="1">IFERROR(__xludf.DUMMYFUNCTION("""COMPUTED_VALUE"""),167.33)</f>
        <v>167.33</v>
      </c>
      <c r="E274" s="2">
        <f ca="1">IFERROR(__xludf.DUMMYFUNCTION("""COMPUTED_VALUE"""),171.81)</f>
        <v>171.81</v>
      </c>
      <c r="F274" s="2">
        <f ca="1">IFERROR(__xludf.DUMMYFUNCTION("""COMPUTED_VALUE"""),117218313)</f>
        <v>117218313</v>
      </c>
    </row>
    <row r="275" spans="1:6" ht="12.5" x14ac:dyDescent="0.25">
      <c r="A275" s="3">
        <f ca="1">IFERROR(__xludf.DUMMYFUNCTION("""COMPUTED_VALUE"""),45327.6666666666)</f>
        <v>45327.666666666599</v>
      </c>
      <c r="B275" s="2">
        <f ca="1">IFERROR(__xludf.DUMMYFUNCTION("""COMPUTED_VALUE"""),170.2)</f>
        <v>170.2</v>
      </c>
      <c r="C275" s="2">
        <f ca="1">IFERROR(__xludf.DUMMYFUNCTION("""COMPUTED_VALUE"""),170.55)</f>
        <v>170.55</v>
      </c>
      <c r="D275" s="2">
        <f ca="1">IFERROR(__xludf.DUMMYFUNCTION("""COMPUTED_VALUE"""),167.7)</f>
        <v>167.7</v>
      </c>
      <c r="E275" s="2">
        <f ca="1">IFERROR(__xludf.DUMMYFUNCTION("""COMPUTED_VALUE"""),170.31)</f>
        <v>170.31</v>
      </c>
      <c r="F275" s="2">
        <f ca="1">IFERROR(__xludf.DUMMYFUNCTION("""COMPUTED_VALUE"""),55081297)</f>
        <v>55081297</v>
      </c>
    </row>
    <row r="276" spans="1:6" ht="12.5" x14ac:dyDescent="0.25">
      <c r="A276" s="3">
        <f ca="1">IFERROR(__xludf.DUMMYFUNCTION("""COMPUTED_VALUE"""),45328.6666666666)</f>
        <v>45328.666666666599</v>
      </c>
      <c r="B276" s="2">
        <f ca="1">IFERROR(__xludf.DUMMYFUNCTION("""COMPUTED_VALUE"""),169.39)</f>
        <v>169.39</v>
      </c>
      <c r="C276" s="2">
        <f ca="1">IFERROR(__xludf.DUMMYFUNCTION("""COMPUTED_VALUE"""),170.71)</f>
        <v>170.71</v>
      </c>
      <c r="D276" s="2">
        <f ca="1">IFERROR(__xludf.DUMMYFUNCTION("""COMPUTED_VALUE"""),167.65)</f>
        <v>167.65</v>
      </c>
      <c r="E276" s="2">
        <f ca="1">IFERROR(__xludf.DUMMYFUNCTION("""COMPUTED_VALUE"""),169.15)</f>
        <v>169.15</v>
      </c>
      <c r="F276" s="2">
        <f ca="1">IFERROR(__xludf.DUMMYFUNCTION("""COMPUTED_VALUE"""),42505518)</f>
        <v>42505518</v>
      </c>
    </row>
    <row r="277" spans="1:6" ht="12.5" x14ac:dyDescent="0.25">
      <c r="A277" s="3">
        <f ca="1">IFERROR(__xludf.DUMMYFUNCTION("""COMPUTED_VALUE"""),45329.6666666666)</f>
        <v>45329.666666666599</v>
      </c>
      <c r="B277" s="2">
        <f ca="1">IFERROR(__xludf.DUMMYFUNCTION("""COMPUTED_VALUE"""),169.48)</f>
        <v>169.48</v>
      </c>
      <c r="C277" s="2">
        <f ca="1">IFERROR(__xludf.DUMMYFUNCTION("""COMPUTED_VALUE"""),170.88)</f>
        <v>170.88</v>
      </c>
      <c r="D277" s="2">
        <f ca="1">IFERROR(__xludf.DUMMYFUNCTION("""COMPUTED_VALUE"""),168.94)</f>
        <v>168.94</v>
      </c>
      <c r="E277" s="2">
        <f ca="1">IFERROR(__xludf.DUMMYFUNCTION("""COMPUTED_VALUE"""),170.53)</f>
        <v>170.53</v>
      </c>
      <c r="F277" s="2">
        <f ca="1">IFERROR(__xludf.DUMMYFUNCTION("""COMPUTED_VALUE"""),47174060)</f>
        <v>47174060</v>
      </c>
    </row>
    <row r="278" spans="1:6" ht="12.5" x14ac:dyDescent="0.25">
      <c r="A278" s="3">
        <f ca="1">IFERROR(__xludf.DUMMYFUNCTION("""COMPUTED_VALUE"""),45330.6666666666)</f>
        <v>45330.666666666599</v>
      </c>
      <c r="B278" s="2">
        <f ca="1">IFERROR(__xludf.DUMMYFUNCTION("""COMPUTED_VALUE"""),169.65)</f>
        <v>169.65</v>
      </c>
      <c r="C278" s="2">
        <f ca="1">IFERROR(__xludf.DUMMYFUNCTION("""COMPUTED_VALUE"""),171.43)</f>
        <v>171.43</v>
      </c>
      <c r="D278" s="2">
        <f ca="1">IFERROR(__xludf.DUMMYFUNCTION("""COMPUTED_VALUE"""),168.88)</f>
        <v>168.88</v>
      </c>
      <c r="E278" s="2">
        <f ca="1">IFERROR(__xludf.DUMMYFUNCTION("""COMPUTED_VALUE"""),169.84)</f>
        <v>169.84</v>
      </c>
      <c r="F278" s="2">
        <f ca="1">IFERROR(__xludf.DUMMYFUNCTION("""COMPUTED_VALUE"""),42316454)</f>
        <v>42316454</v>
      </c>
    </row>
    <row r="279" spans="1:6" ht="12.5" x14ac:dyDescent="0.25">
      <c r="A279" s="3">
        <f ca="1">IFERROR(__xludf.DUMMYFUNCTION("""COMPUTED_VALUE"""),45331.6666666666)</f>
        <v>45331.666666666599</v>
      </c>
      <c r="B279" s="2">
        <f ca="1">IFERROR(__xludf.DUMMYFUNCTION("""COMPUTED_VALUE"""),170.9)</f>
        <v>170.9</v>
      </c>
      <c r="C279" s="2">
        <f ca="1">IFERROR(__xludf.DUMMYFUNCTION("""COMPUTED_VALUE"""),175)</f>
        <v>175</v>
      </c>
      <c r="D279" s="2">
        <f ca="1">IFERROR(__xludf.DUMMYFUNCTION("""COMPUTED_VALUE"""),170.58)</f>
        <v>170.58</v>
      </c>
      <c r="E279" s="2">
        <f ca="1">IFERROR(__xludf.DUMMYFUNCTION("""COMPUTED_VALUE"""),174.45)</f>
        <v>174.45</v>
      </c>
      <c r="F279" s="2">
        <f ca="1">IFERROR(__xludf.DUMMYFUNCTION("""COMPUTED_VALUE"""),56985986)</f>
        <v>56985986</v>
      </c>
    </row>
    <row r="280" spans="1:6" ht="12.5" x14ac:dyDescent="0.25">
      <c r="A280" s="3">
        <f ca="1">IFERROR(__xludf.DUMMYFUNCTION("""COMPUTED_VALUE"""),45334.6666666666)</f>
        <v>45334.666666666599</v>
      </c>
      <c r="B280" s="2">
        <f ca="1">IFERROR(__xludf.DUMMYFUNCTION("""COMPUTED_VALUE"""),174.8)</f>
        <v>174.8</v>
      </c>
      <c r="C280" s="2">
        <f ca="1">IFERROR(__xludf.DUMMYFUNCTION("""COMPUTED_VALUE"""),175.39)</f>
        <v>175.39</v>
      </c>
      <c r="D280" s="2">
        <f ca="1">IFERROR(__xludf.DUMMYFUNCTION("""COMPUTED_VALUE"""),171.54)</f>
        <v>171.54</v>
      </c>
      <c r="E280" s="2">
        <f ca="1">IFERROR(__xludf.DUMMYFUNCTION("""COMPUTED_VALUE"""),172.34)</f>
        <v>172.34</v>
      </c>
      <c r="F280" s="2">
        <f ca="1">IFERROR(__xludf.DUMMYFUNCTION("""COMPUTED_VALUE"""),51050440)</f>
        <v>51050440</v>
      </c>
    </row>
    <row r="281" spans="1:6" ht="12.5" x14ac:dyDescent="0.25">
      <c r="A281" s="3">
        <f ca="1">IFERROR(__xludf.DUMMYFUNCTION("""COMPUTED_VALUE"""),45335.6666666666)</f>
        <v>45335.666666666599</v>
      </c>
      <c r="B281" s="2">
        <f ca="1">IFERROR(__xludf.DUMMYFUNCTION("""COMPUTED_VALUE"""),167.73)</f>
        <v>167.73</v>
      </c>
      <c r="C281" s="2">
        <f ca="1">IFERROR(__xludf.DUMMYFUNCTION("""COMPUTED_VALUE"""),170.95)</f>
        <v>170.95</v>
      </c>
      <c r="D281" s="2">
        <f ca="1">IFERROR(__xludf.DUMMYFUNCTION("""COMPUTED_VALUE"""),165.75)</f>
        <v>165.75</v>
      </c>
      <c r="E281" s="2">
        <f ca="1">IFERROR(__xludf.DUMMYFUNCTION("""COMPUTED_VALUE"""),168.64)</f>
        <v>168.64</v>
      </c>
      <c r="F281" s="2">
        <f ca="1">IFERROR(__xludf.DUMMYFUNCTION("""COMPUTED_VALUE"""),56345122)</f>
        <v>56345122</v>
      </c>
    </row>
    <row r="282" spans="1:6" ht="12.5" x14ac:dyDescent="0.25">
      <c r="A282" s="3">
        <f ca="1">IFERROR(__xludf.DUMMYFUNCTION("""COMPUTED_VALUE"""),45336.6666666666)</f>
        <v>45336.666666666599</v>
      </c>
      <c r="B282" s="2">
        <f ca="1">IFERROR(__xludf.DUMMYFUNCTION("""COMPUTED_VALUE"""),169.21)</f>
        <v>169.21</v>
      </c>
      <c r="C282" s="2">
        <f ca="1">IFERROR(__xludf.DUMMYFUNCTION("""COMPUTED_VALUE"""),171.21)</f>
        <v>171.21</v>
      </c>
      <c r="D282" s="2">
        <f ca="1">IFERROR(__xludf.DUMMYFUNCTION("""COMPUTED_VALUE"""),168.28)</f>
        <v>168.28</v>
      </c>
      <c r="E282" s="2">
        <f ca="1">IFERROR(__xludf.DUMMYFUNCTION("""COMPUTED_VALUE"""),170.98)</f>
        <v>170.98</v>
      </c>
      <c r="F282" s="2">
        <f ca="1">IFERROR(__xludf.DUMMYFUNCTION("""COMPUTED_VALUE"""),42815544)</f>
        <v>42815544</v>
      </c>
    </row>
    <row r="283" spans="1:6" ht="12.5" x14ac:dyDescent="0.25">
      <c r="A283" s="3">
        <f ca="1">IFERROR(__xludf.DUMMYFUNCTION("""COMPUTED_VALUE"""),45337.6666666666)</f>
        <v>45337.666666666599</v>
      </c>
      <c r="B283" s="2">
        <f ca="1">IFERROR(__xludf.DUMMYFUNCTION("""COMPUTED_VALUE"""),170.58)</f>
        <v>170.58</v>
      </c>
      <c r="C283" s="2">
        <f ca="1">IFERROR(__xludf.DUMMYFUNCTION("""COMPUTED_VALUE"""),171.17)</f>
        <v>171.17</v>
      </c>
      <c r="D283" s="2">
        <f ca="1">IFERROR(__xludf.DUMMYFUNCTION("""COMPUTED_VALUE"""),167.59)</f>
        <v>167.59</v>
      </c>
      <c r="E283" s="2">
        <f ca="1">IFERROR(__xludf.DUMMYFUNCTION("""COMPUTED_VALUE"""),169.8)</f>
        <v>169.8</v>
      </c>
      <c r="F283" s="2">
        <f ca="1">IFERROR(__xludf.DUMMYFUNCTION("""COMPUTED_VALUE"""),49855196)</f>
        <v>49855196</v>
      </c>
    </row>
    <row r="284" spans="1:6" ht="12.5" x14ac:dyDescent="0.25">
      <c r="A284" s="3">
        <f ca="1">IFERROR(__xludf.DUMMYFUNCTION("""COMPUTED_VALUE"""),45338.6666666666)</f>
        <v>45338.666666666599</v>
      </c>
      <c r="B284" s="2">
        <f ca="1">IFERROR(__xludf.DUMMYFUNCTION("""COMPUTED_VALUE"""),168.74)</f>
        <v>168.74</v>
      </c>
      <c r="C284" s="2">
        <f ca="1">IFERROR(__xludf.DUMMYFUNCTION("""COMPUTED_VALUE"""),170.42)</f>
        <v>170.42</v>
      </c>
      <c r="D284" s="2">
        <f ca="1">IFERROR(__xludf.DUMMYFUNCTION("""COMPUTED_VALUE"""),167.17)</f>
        <v>167.17</v>
      </c>
      <c r="E284" s="2">
        <f ca="1">IFERROR(__xludf.DUMMYFUNCTION("""COMPUTED_VALUE"""),169.51)</f>
        <v>169.51</v>
      </c>
      <c r="F284" s="2">
        <f ca="1">IFERROR(__xludf.DUMMYFUNCTION("""COMPUTED_VALUE"""),48107744)</f>
        <v>48107744</v>
      </c>
    </row>
    <row r="285" spans="1:6" ht="12.5" x14ac:dyDescent="0.25">
      <c r="A285" s="3">
        <f ca="1">IFERROR(__xludf.DUMMYFUNCTION("""COMPUTED_VALUE"""),45342.6666666666)</f>
        <v>45342.666666666599</v>
      </c>
      <c r="B285" s="2">
        <f ca="1">IFERROR(__xludf.DUMMYFUNCTION("""COMPUTED_VALUE"""),167.83)</f>
        <v>167.83</v>
      </c>
      <c r="C285" s="2">
        <f ca="1">IFERROR(__xludf.DUMMYFUNCTION("""COMPUTED_VALUE"""),168.71)</f>
        <v>168.71</v>
      </c>
      <c r="D285" s="2">
        <f ca="1">IFERROR(__xludf.DUMMYFUNCTION("""COMPUTED_VALUE"""),165.74)</f>
        <v>165.74</v>
      </c>
      <c r="E285" s="2">
        <f ca="1">IFERROR(__xludf.DUMMYFUNCTION("""COMPUTED_VALUE"""),167.08)</f>
        <v>167.08</v>
      </c>
      <c r="F285" s="2">
        <f ca="1">IFERROR(__xludf.DUMMYFUNCTION("""COMPUTED_VALUE"""),41980326)</f>
        <v>41980326</v>
      </c>
    </row>
    <row r="286" spans="1:6" ht="12.5" x14ac:dyDescent="0.25">
      <c r="A286" s="3">
        <f ca="1">IFERROR(__xludf.DUMMYFUNCTION("""COMPUTED_VALUE"""),45343.6666666666)</f>
        <v>45343.666666666599</v>
      </c>
      <c r="B286" s="2">
        <f ca="1">IFERROR(__xludf.DUMMYFUNCTION("""COMPUTED_VALUE"""),168.94)</f>
        <v>168.94</v>
      </c>
      <c r="C286" s="2">
        <f ca="1">IFERROR(__xludf.DUMMYFUNCTION("""COMPUTED_VALUE"""),170.23)</f>
        <v>170.23</v>
      </c>
      <c r="D286" s="2">
        <f ca="1">IFERROR(__xludf.DUMMYFUNCTION("""COMPUTED_VALUE"""),167.14)</f>
        <v>167.14</v>
      </c>
      <c r="E286" s="2">
        <f ca="1">IFERROR(__xludf.DUMMYFUNCTION("""COMPUTED_VALUE"""),168.59)</f>
        <v>168.59</v>
      </c>
      <c r="F286" s="2">
        <f ca="1">IFERROR(__xludf.DUMMYFUNCTION("""COMPUTED_VALUE"""),44575623)</f>
        <v>44575623</v>
      </c>
    </row>
    <row r="287" spans="1:6" ht="12.5" x14ac:dyDescent="0.25">
      <c r="A287" s="3">
        <f ca="1">IFERROR(__xludf.DUMMYFUNCTION("""COMPUTED_VALUE"""),45344.6666666666)</f>
        <v>45344.666666666599</v>
      </c>
      <c r="B287" s="2">
        <f ca="1">IFERROR(__xludf.DUMMYFUNCTION("""COMPUTED_VALUE"""),173.1)</f>
        <v>173.1</v>
      </c>
      <c r="C287" s="2">
        <f ca="1">IFERROR(__xludf.DUMMYFUNCTION("""COMPUTED_VALUE"""),174.8)</f>
        <v>174.8</v>
      </c>
      <c r="D287" s="2">
        <f ca="1">IFERROR(__xludf.DUMMYFUNCTION("""COMPUTED_VALUE"""),171.77)</f>
        <v>171.77</v>
      </c>
      <c r="E287" s="2">
        <f ca="1">IFERROR(__xludf.DUMMYFUNCTION("""COMPUTED_VALUE"""),174.58)</f>
        <v>174.58</v>
      </c>
      <c r="F287" s="2">
        <f ca="1">IFERROR(__xludf.DUMMYFUNCTION("""COMPUTED_VALUE"""),55392354)</f>
        <v>55392354</v>
      </c>
    </row>
    <row r="288" spans="1:6" ht="12.5" x14ac:dyDescent="0.25">
      <c r="A288" s="3">
        <f ca="1">IFERROR(__xludf.DUMMYFUNCTION("""COMPUTED_VALUE"""),45345.6666666666)</f>
        <v>45345.666666666599</v>
      </c>
      <c r="B288" s="2">
        <f ca="1">IFERROR(__xludf.DUMMYFUNCTION("""COMPUTED_VALUE"""),174.28)</f>
        <v>174.28</v>
      </c>
      <c r="C288" s="2">
        <f ca="1">IFERROR(__xludf.DUMMYFUNCTION("""COMPUTED_VALUE"""),175.75)</f>
        <v>175.75</v>
      </c>
      <c r="D288" s="2">
        <f ca="1">IFERROR(__xludf.DUMMYFUNCTION("""COMPUTED_VALUE"""),173.7)</f>
        <v>173.7</v>
      </c>
      <c r="E288" s="2">
        <f ca="1">IFERROR(__xludf.DUMMYFUNCTION("""COMPUTED_VALUE"""),174.99)</f>
        <v>174.99</v>
      </c>
      <c r="F288" s="2">
        <f ca="1">IFERROR(__xludf.DUMMYFUNCTION("""COMPUTED_VALUE"""),59715243)</f>
        <v>59715243</v>
      </c>
    </row>
    <row r="289" spans="1:6" ht="12.5" x14ac:dyDescent="0.25">
      <c r="A289" s="3">
        <f ca="1">IFERROR(__xludf.DUMMYFUNCTION("""COMPUTED_VALUE"""),45348.6666666666)</f>
        <v>45348.666666666599</v>
      </c>
      <c r="B289" s="2">
        <f ca="1">IFERROR(__xludf.DUMMYFUNCTION("""COMPUTED_VALUE"""),175.7)</f>
        <v>175.7</v>
      </c>
      <c r="C289" s="2">
        <f ca="1">IFERROR(__xludf.DUMMYFUNCTION("""COMPUTED_VALUE"""),176.37)</f>
        <v>176.37</v>
      </c>
      <c r="D289" s="2">
        <f ca="1">IFERROR(__xludf.DUMMYFUNCTION("""COMPUTED_VALUE"""),174.26)</f>
        <v>174.26</v>
      </c>
      <c r="E289" s="2">
        <f ca="1">IFERROR(__xludf.DUMMYFUNCTION("""COMPUTED_VALUE"""),174.73)</f>
        <v>174.73</v>
      </c>
      <c r="F289" s="2">
        <f ca="1">IFERROR(__xludf.DUMMYFUNCTION("""COMPUTED_VALUE"""),44368614)</f>
        <v>44368614</v>
      </c>
    </row>
    <row r="290" spans="1:6" ht="12.5" x14ac:dyDescent="0.25">
      <c r="A290" s="3">
        <f ca="1">IFERROR(__xludf.DUMMYFUNCTION("""COMPUTED_VALUE"""),45349.6666666666)</f>
        <v>45349.666666666599</v>
      </c>
      <c r="B290" s="2">
        <f ca="1">IFERROR(__xludf.DUMMYFUNCTION("""COMPUTED_VALUE"""),174.08)</f>
        <v>174.08</v>
      </c>
      <c r="C290" s="2">
        <f ca="1">IFERROR(__xludf.DUMMYFUNCTION("""COMPUTED_VALUE"""),174.62)</f>
        <v>174.62</v>
      </c>
      <c r="D290" s="2">
        <f ca="1">IFERROR(__xludf.DUMMYFUNCTION("""COMPUTED_VALUE"""),172.86)</f>
        <v>172.86</v>
      </c>
      <c r="E290" s="2">
        <f ca="1">IFERROR(__xludf.DUMMYFUNCTION("""COMPUTED_VALUE"""),173.54)</f>
        <v>173.54</v>
      </c>
      <c r="F290" s="2">
        <f ca="1">IFERROR(__xludf.DUMMYFUNCTION("""COMPUTED_VALUE"""),31141732)</f>
        <v>31141732</v>
      </c>
    </row>
    <row r="291" spans="1:6" ht="12.5" x14ac:dyDescent="0.25">
      <c r="A291" s="3">
        <f ca="1">IFERROR(__xludf.DUMMYFUNCTION("""COMPUTED_VALUE"""),45350.6666666666)</f>
        <v>45350.666666666599</v>
      </c>
      <c r="B291" s="2">
        <f ca="1">IFERROR(__xludf.DUMMYFUNCTION("""COMPUTED_VALUE"""),172.44)</f>
        <v>172.44</v>
      </c>
      <c r="C291" s="2">
        <f ca="1">IFERROR(__xludf.DUMMYFUNCTION("""COMPUTED_VALUE"""),174.05)</f>
        <v>174.05</v>
      </c>
      <c r="D291" s="2">
        <f ca="1">IFERROR(__xludf.DUMMYFUNCTION("""COMPUTED_VALUE"""),172.27)</f>
        <v>172.27</v>
      </c>
      <c r="E291" s="2">
        <f ca="1">IFERROR(__xludf.DUMMYFUNCTION("""COMPUTED_VALUE"""),173.16)</f>
        <v>173.16</v>
      </c>
      <c r="F291" s="2">
        <f ca="1">IFERROR(__xludf.DUMMYFUNCTION("""COMPUTED_VALUE"""),28180482)</f>
        <v>28180482</v>
      </c>
    </row>
    <row r="292" spans="1:6" ht="12.5" x14ac:dyDescent="0.25">
      <c r="A292" s="3">
        <f ca="1">IFERROR(__xludf.DUMMYFUNCTION("""COMPUTED_VALUE"""),45351.6666666666)</f>
        <v>45351.666666666599</v>
      </c>
      <c r="B292" s="2">
        <f ca="1">IFERROR(__xludf.DUMMYFUNCTION("""COMPUTED_VALUE"""),173.01)</f>
        <v>173.01</v>
      </c>
      <c r="C292" s="2">
        <f ca="1">IFERROR(__xludf.DUMMYFUNCTION("""COMPUTED_VALUE"""),177.22)</f>
        <v>177.22</v>
      </c>
      <c r="D292" s="2">
        <f ca="1">IFERROR(__xludf.DUMMYFUNCTION("""COMPUTED_VALUE"""),172.85)</f>
        <v>172.85</v>
      </c>
      <c r="E292" s="2">
        <f ca="1">IFERROR(__xludf.DUMMYFUNCTION("""COMPUTED_VALUE"""),176.76)</f>
        <v>176.76</v>
      </c>
      <c r="F292" s="2">
        <f ca="1">IFERROR(__xludf.DUMMYFUNCTION("""COMPUTED_VALUE"""),53805359)</f>
        <v>53805359</v>
      </c>
    </row>
    <row r="293" spans="1:6" ht="12.5" x14ac:dyDescent="0.25">
      <c r="A293" s="3">
        <f ca="1">IFERROR(__xludf.DUMMYFUNCTION("""COMPUTED_VALUE"""),45352.6666666666)</f>
        <v>45352.666666666599</v>
      </c>
      <c r="B293" s="2">
        <f ca="1">IFERROR(__xludf.DUMMYFUNCTION("""COMPUTED_VALUE"""),176.75)</f>
        <v>176.75</v>
      </c>
      <c r="C293" s="2">
        <f ca="1">IFERROR(__xludf.DUMMYFUNCTION("""COMPUTED_VALUE"""),178.73)</f>
        <v>178.73</v>
      </c>
      <c r="D293" s="2">
        <f ca="1">IFERROR(__xludf.DUMMYFUNCTION("""COMPUTED_VALUE"""),176.07)</f>
        <v>176.07</v>
      </c>
      <c r="E293" s="2">
        <f ca="1">IFERROR(__xludf.DUMMYFUNCTION("""COMPUTED_VALUE"""),178.22)</f>
        <v>178.22</v>
      </c>
      <c r="F293" s="2">
        <f ca="1">IFERROR(__xludf.DUMMYFUNCTION("""COMPUTED_VALUE"""),31981152)</f>
        <v>31981152</v>
      </c>
    </row>
    <row r="294" spans="1:6" ht="12.5" x14ac:dyDescent="0.25">
      <c r="A294" s="3">
        <f ca="1">IFERROR(__xludf.DUMMYFUNCTION("""COMPUTED_VALUE"""),45355.6666666666)</f>
        <v>45355.666666666599</v>
      </c>
      <c r="B294" s="2">
        <f ca="1">IFERROR(__xludf.DUMMYFUNCTION("""COMPUTED_VALUE"""),177.53)</f>
        <v>177.53</v>
      </c>
      <c r="C294" s="2">
        <f ca="1">IFERROR(__xludf.DUMMYFUNCTION("""COMPUTED_VALUE"""),180.14)</f>
        <v>180.14</v>
      </c>
      <c r="D294" s="2">
        <f ca="1">IFERROR(__xludf.DUMMYFUNCTION("""COMPUTED_VALUE"""),177.49)</f>
        <v>177.49</v>
      </c>
      <c r="E294" s="2">
        <f ca="1">IFERROR(__xludf.DUMMYFUNCTION("""COMPUTED_VALUE"""),177.58)</f>
        <v>177.58</v>
      </c>
      <c r="F294" s="2">
        <f ca="1">IFERROR(__xludf.DUMMYFUNCTION("""COMPUTED_VALUE"""),37381520)</f>
        <v>37381520</v>
      </c>
    </row>
    <row r="295" spans="1:6" ht="12.5" x14ac:dyDescent="0.25">
      <c r="A295" s="3">
        <f ca="1">IFERROR(__xludf.DUMMYFUNCTION("""COMPUTED_VALUE"""),45356.6666666666)</f>
        <v>45356.666666666599</v>
      </c>
      <c r="B295" s="2">
        <f ca="1">IFERROR(__xludf.DUMMYFUNCTION("""COMPUTED_VALUE"""),176.93)</f>
        <v>176.93</v>
      </c>
      <c r="C295" s="2">
        <f ca="1">IFERROR(__xludf.DUMMYFUNCTION("""COMPUTED_VALUE"""),176.93)</f>
        <v>176.93</v>
      </c>
      <c r="D295" s="2">
        <f ca="1">IFERROR(__xludf.DUMMYFUNCTION("""COMPUTED_VALUE"""),173.3)</f>
        <v>173.3</v>
      </c>
      <c r="E295" s="2">
        <f ca="1">IFERROR(__xludf.DUMMYFUNCTION("""COMPUTED_VALUE"""),174.12)</f>
        <v>174.12</v>
      </c>
      <c r="F295" s="2">
        <f ca="1">IFERROR(__xludf.DUMMYFUNCTION("""COMPUTED_VALUE"""),37228343)</f>
        <v>37228343</v>
      </c>
    </row>
    <row r="296" spans="1:6" ht="12.5" x14ac:dyDescent="0.25">
      <c r="A296" s="3">
        <f ca="1">IFERROR(__xludf.DUMMYFUNCTION("""COMPUTED_VALUE"""),45357.6666666666)</f>
        <v>45357.666666666599</v>
      </c>
      <c r="B296" s="2">
        <f ca="1">IFERROR(__xludf.DUMMYFUNCTION("""COMPUTED_VALUE"""),175.54)</f>
        <v>175.54</v>
      </c>
      <c r="C296" s="2">
        <f ca="1">IFERROR(__xludf.DUMMYFUNCTION("""COMPUTED_VALUE"""),176.46)</f>
        <v>176.46</v>
      </c>
      <c r="D296" s="2">
        <f ca="1">IFERROR(__xludf.DUMMYFUNCTION("""COMPUTED_VALUE"""),173.26)</f>
        <v>173.26</v>
      </c>
      <c r="E296" s="2">
        <f ca="1">IFERROR(__xludf.DUMMYFUNCTION("""COMPUTED_VALUE"""),173.51)</f>
        <v>173.51</v>
      </c>
      <c r="F296" s="2">
        <f ca="1">IFERROR(__xludf.DUMMYFUNCTION("""COMPUTED_VALUE"""),32090926)</f>
        <v>32090926</v>
      </c>
    </row>
    <row r="297" spans="1:6" ht="12.5" x14ac:dyDescent="0.25">
      <c r="A297" s="3">
        <f ca="1">IFERROR(__xludf.DUMMYFUNCTION("""COMPUTED_VALUE"""),45358.6666666666)</f>
        <v>45358.666666666599</v>
      </c>
      <c r="B297" s="2">
        <f ca="1">IFERROR(__xludf.DUMMYFUNCTION("""COMPUTED_VALUE"""),174.83)</f>
        <v>174.83</v>
      </c>
      <c r="C297" s="2">
        <f ca="1">IFERROR(__xludf.DUMMYFUNCTION("""COMPUTED_VALUE"""),177.99)</f>
        <v>177.99</v>
      </c>
      <c r="D297" s="2">
        <f ca="1">IFERROR(__xludf.DUMMYFUNCTION("""COMPUTED_VALUE"""),173.72)</f>
        <v>173.72</v>
      </c>
      <c r="E297" s="2">
        <f ca="1">IFERROR(__xludf.DUMMYFUNCTION("""COMPUTED_VALUE"""),176.82)</f>
        <v>176.82</v>
      </c>
      <c r="F297" s="2">
        <f ca="1">IFERROR(__xludf.DUMMYFUNCTION("""COMPUTED_VALUE"""),34063283)</f>
        <v>34063283</v>
      </c>
    </row>
    <row r="298" spans="1:6" ht="12.5" x14ac:dyDescent="0.25">
      <c r="A298" s="3">
        <f ca="1">IFERROR(__xludf.DUMMYFUNCTION("""COMPUTED_VALUE"""),45359.6666666666)</f>
        <v>45359.666666666599</v>
      </c>
      <c r="B298" s="2">
        <f ca="1">IFERROR(__xludf.DUMMYFUNCTION("""COMPUTED_VALUE"""),176.44)</f>
        <v>176.44</v>
      </c>
      <c r="C298" s="2">
        <f ca="1">IFERROR(__xludf.DUMMYFUNCTION("""COMPUTED_VALUE"""),178.79)</f>
        <v>178.79</v>
      </c>
      <c r="D298" s="2">
        <f ca="1">IFERROR(__xludf.DUMMYFUNCTION("""COMPUTED_VALUE"""),174.33)</f>
        <v>174.33</v>
      </c>
      <c r="E298" s="2">
        <f ca="1">IFERROR(__xludf.DUMMYFUNCTION("""COMPUTED_VALUE"""),175.35)</f>
        <v>175.35</v>
      </c>
      <c r="F298" s="2">
        <f ca="1">IFERROR(__xludf.DUMMYFUNCTION("""COMPUTED_VALUE"""),37893242)</f>
        <v>37893242</v>
      </c>
    </row>
    <row r="299" spans="1:6" ht="12.5" x14ac:dyDescent="0.25">
      <c r="A299" s="3">
        <f ca="1">IFERROR(__xludf.DUMMYFUNCTION("""COMPUTED_VALUE"""),45362.6666666666)</f>
        <v>45362.666666666599</v>
      </c>
      <c r="B299" s="2">
        <f ca="1">IFERROR(__xludf.DUMMYFUNCTION("""COMPUTED_VALUE"""),174.31)</f>
        <v>174.31</v>
      </c>
      <c r="C299" s="2">
        <f ca="1">IFERROR(__xludf.DUMMYFUNCTION("""COMPUTED_VALUE"""),174.47)</f>
        <v>174.47</v>
      </c>
      <c r="D299" s="2">
        <f ca="1">IFERROR(__xludf.DUMMYFUNCTION("""COMPUTED_VALUE"""),171.47)</f>
        <v>171.47</v>
      </c>
      <c r="E299" s="2">
        <f ca="1">IFERROR(__xludf.DUMMYFUNCTION("""COMPUTED_VALUE"""),171.96)</f>
        <v>171.96</v>
      </c>
      <c r="F299" s="2">
        <f ca="1">IFERROR(__xludf.DUMMYFUNCTION("""COMPUTED_VALUE"""),28484777)</f>
        <v>28484777</v>
      </c>
    </row>
    <row r="300" spans="1:6" ht="12.5" x14ac:dyDescent="0.25">
      <c r="A300" s="3">
        <f ca="1">IFERROR(__xludf.DUMMYFUNCTION("""COMPUTED_VALUE"""),45363.6666666666)</f>
        <v>45363.666666666599</v>
      </c>
      <c r="B300" s="2">
        <f ca="1">IFERROR(__xludf.DUMMYFUNCTION("""COMPUTED_VALUE"""),173.5)</f>
        <v>173.5</v>
      </c>
      <c r="C300" s="2">
        <f ca="1">IFERROR(__xludf.DUMMYFUNCTION("""COMPUTED_VALUE"""),176.76)</f>
        <v>176.76</v>
      </c>
      <c r="D300" s="2">
        <f ca="1">IFERROR(__xludf.DUMMYFUNCTION("""COMPUTED_VALUE"""),171.98)</f>
        <v>171.98</v>
      </c>
      <c r="E300" s="2">
        <f ca="1">IFERROR(__xludf.DUMMYFUNCTION("""COMPUTED_VALUE"""),175.39)</f>
        <v>175.39</v>
      </c>
      <c r="F300" s="2">
        <f ca="1">IFERROR(__xludf.DUMMYFUNCTION("""COMPUTED_VALUE"""),36610604)</f>
        <v>36610604</v>
      </c>
    </row>
    <row r="301" spans="1:6" ht="12.5" x14ac:dyDescent="0.25">
      <c r="A301" s="3">
        <f ca="1">IFERROR(__xludf.DUMMYFUNCTION("""COMPUTED_VALUE"""),45364.6666666666)</f>
        <v>45364.666666666599</v>
      </c>
      <c r="B301" s="2">
        <f ca="1">IFERROR(__xludf.DUMMYFUNCTION("""COMPUTED_VALUE"""),175.9)</f>
        <v>175.9</v>
      </c>
      <c r="C301" s="2">
        <f ca="1">IFERROR(__xludf.DUMMYFUNCTION("""COMPUTED_VALUE"""),177.62)</f>
        <v>177.62</v>
      </c>
      <c r="D301" s="2">
        <f ca="1">IFERROR(__xludf.DUMMYFUNCTION("""COMPUTED_VALUE"""),175.55)</f>
        <v>175.55</v>
      </c>
      <c r="E301" s="2">
        <f ca="1">IFERROR(__xludf.DUMMYFUNCTION("""COMPUTED_VALUE"""),176.56)</f>
        <v>176.56</v>
      </c>
      <c r="F301" s="2">
        <f ca="1">IFERROR(__xludf.DUMMYFUNCTION("""COMPUTED_VALUE"""),30772600)</f>
        <v>30772600</v>
      </c>
    </row>
    <row r="302" spans="1:6" ht="12.5" x14ac:dyDescent="0.25">
      <c r="A302" s="3">
        <f ca="1">IFERROR(__xludf.DUMMYFUNCTION("""COMPUTED_VALUE"""),45365.6666666666)</f>
        <v>45365.666666666599</v>
      </c>
      <c r="B302" s="2">
        <f ca="1">IFERROR(__xludf.DUMMYFUNCTION("""COMPUTED_VALUE"""),177.69)</f>
        <v>177.69</v>
      </c>
      <c r="C302" s="2">
        <f ca="1">IFERROR(__xludf.DUMMYFUNCTION("""COMPUTED_VALUE"""),179.53)</f>
        <v>179.53</v>
      </c>
      <c r="D302" s="2">
        <f ca="1">IFERROR(__xludf.DUMMYFUNCTION("""COMPUTED_VALUE"""),176.47)</f>
        <v>176.47</v>
      </c>
      <c r="E302" s="2">
        <f ca="1">IFERROR(__xludf.DUMMYFUNCTION("""COMPUTED_VALUE"""),178.75)</f>
        <v>178.75</v>
      </c>
      <c r="F302" s="2">
        <f ca="1">IFERROR(__xludf.DUMMYFUNCTION("""COMPUTED_VALUE"""),43705840)</f>
        <v>43705840</v>
      </c>
    </row>
    <row r="303" spans="1:6" ht="12.5" x14ac:dyDescent="0.25">
      <c r="A303" s="3">
        <f ca="1">IFERROR(__xludf.DUMMYFUNCTION("""COMPUTED_VALUE"""),45366.6666666666)</f>
        <v>45366.666666666599</v>
      </c>
      <c r="B303" s="2">
        <f ca="1">IFERROR(__xludf.DUMMYFUNCTION("""COMPUTED_VALUE"""),176.64)</f>
        <v>176.64</v>
      </c>
      <c r="C303" s="2">
        <f ca="1">IFERROR(__xludf.DUMMYFUNCTION("""COMPUTED_VALUE"""),177.93)</f>
        <v>177.93</v>
      </c>
      <c r="D303" s="2">
        <f ca="1">IFERROR(__xludf.DUMMYFUNCTION("""COMPUTED_VALUE"""),173.9)</f>
        <v>173.9</v>
      </c>
      <c r="E303" s="2">
        <f ca="1">IFERROR(__xludf.DUMMYFUNCTION("""COMPUTED_VALUE"""),174.42)</f>
        <v>174.42</v>
      </c>
      <c r="F303" s="2">
        <f ca="1">IFERROR(__xludf.DUMMYFUNCTION("""COMPUTED_VALUE"""),72147390)</f>
        <v>72147390</v>
      </c>
    </row>
    <row r="304" spans="1:6" ht="12.5" x14ac:dyDescent="0.25">
      <c r="A304" s="3">
        <f ca="1">IFERROR(__xludf.DUMMYFUNCTION("""COMPUTED_VALUE"""),45369.6666666666)</f>
        <v>45369.666666666599</v>
      </c>
      <c r="B304" s="2">
        <f ca="1">IFERROR(__xludf.DUMMYFUNCTION("""COMPUTED_VALUE"""),175.8)</f>
        <v>175.8</v>
      </c>
      <c r="C304" s="2">
        <f ca="1">IFERROR(__xludf.DUMMYFUNCTION("""COMPUTED_VALUE"""),176.69)</f>
        <v>176.69</v>
      </c>
      <c r="D304" s="2">
        <f ca="1">IFERROR(__xludf.DUMMYFUNCTION("""COMPUTED_VALUE"""),174.28)</f>
        <v>174.28</v>
      </c>
      <c r="E304" s="2">
        <f ca="1">IFERROR(__xludf.DUMMYFUNCTION("""COMPUTED_VALUE"""),174.48)</f>
        <v>174.48</v>
      </c>
      <c r="F304" s="2">
        <f ca="1">IFERROR(__xludf.DUMMYFUNCTION("""COMPUTED_VALUE"""),31250688)</f>
        <v>31250688</v>
      </c>
    </row>
    <row r="305" spans="1:6" ht="12.5" x14ac:dyDescent="0.25">
      <c r="A305" s="3">
        <f ca="1">IFERROR(__xludf.DUMMYFUNCTION("""COMPUTED_VALUE"""),45370.6666666666)</f>
        <v>45370.666666666599</v>
      </c>
      <c r="B305" s="2">
        <f ca="1">IFERROR(__xludf.DUMMYFUNCTION("""COMPUTED_VALUE"""),174.22)</f>
        <v>174.22</v>
      </c>
      <c r="C305" s="2">
        <f ca="1">IFERROR(__xludf.DUMMYFUNCTION("""COMPUTED_VALUE"""),176.09)</f>
        <v>176.09</v>
      </c>
      <c r="D305" s="2">
        <f ca="1">IFERROR(__xludf.DUMMYFUNCTION("""COMPUTED_VALUE"""),173.52)</f>
        <v>173.52</v>
      </c>
      <c r="E305" s="2">
        <f ca="1">IFERROR(__xludf.DUMMYFUNCTION("""COMPUTED_VALUE"""),175.9)</f>
        <v>175.9</v>
      </c>
      <c r="F305" s="2">
        <f ca="1">IFERROR(__xludf.DUMMYFUNCTION("""COMPUTED_VALUE"""),26880893)</f>
        <v>26880893</v>
      </c>
    </row>
    <row r="306" spans="1:6" ht="12.5" x14ac:dyDescent="0.25">
      <c r="A306" s="3">
        <f ca="1">IFERROR(__xludf.DUMMYFUNCTION("""COMPUTED_VALUE"""),45371.6666666666)</f>
        <v>45371.666666666599</v>
      </c>
      <c r="B306" s="2">
        <f ca="1">IFERROR(__xludf.DUMMYFUNCTION("""COMPUTED_VALUE"""),176.14)</f>
        <v>176.14</v>
      </c>
      <c r="C306" s="2">
        <f ca="1">IFERROR(__xludf.DUMMYFUNCTION("""COMPUTED_VALUE"""),178.53)</f>
        <v>178.53</v>
      </c>
      <c r="D306" s="2">
        <f ca="1">IFERROR(__xludf.DUMMYFUNCTION("""COMPUTED_VALUE"""),174.64)</f>
        <v>174.64</v>
      </c>
      <c r="E306" s="2">
        <f ca="1">IFERROR(__xludf.DUMMYFUNCTION("""COMPUTED_VALUE"""),178.15)</f>
        <v>178.15</v>
      </c>
      <c r="F306" s="2">
        <f ca="1">IFERROR(__xludf.DUMMYFUNCTION("""COMPUTED_VALUE"""),29947150)</f>
        <v>29947150</v>
      </c>
    </row>
    <row r="307" spans="1:6" ht="12.5" x14ac:dyDescent="0.25">
      <c r="A307" s="3">
        <f ca="1">IFERROR(__xludf.DUMMYFUNCTION("""COMPUTED_VALUE"""),45372.6666666666)</f>
        <v>45372.666666666599</v>
      </c>
      <c r="B307" s="2">
        <f ca="1">IFERROR(__xludf.DUMMYFUNCTION("""COMPUTED_VALUE"""),179.99)</f>
        <v>179.99</v>
      </c>
      <c r="C307" s="2">
        <f ca="1">IFERROR(__xludf.DUMMYFUNCTION("""COMPUTED_VALUE"""),181.42)</f>
        <v>181.42</v>
      </c>
      <c r="D307" s="2">
        <f ca="1">IFERROR(__xludf.DUMMYFUNCTION("""COMPUTED_VALUE"""),178.15)</f>
        <v>178.15</v>
      </c>
      <c r="E307" s="2">
        <f ca="1">IFERROR(__xludf.DUMMYFUNCTION("""COMPUTED_VALUE"""),178.15)</f>
        <v>178.15</v>
      </c>
      <c r="F307" s="2">
        <f ca="1">IFERROR(__xludf.DUMMYFUNCTION("""COMPUTED_VALUE"""),32824320)</f>
        <v>32824320</v>
      </c>
    </row>
    <row r="308" spans="1:6" ht="12.5" x14ac:dyDescent="0.25">
      <c r="A308" s="3">
        <f ca="1">IFERROR(__xludf.DUMMYFUNCTION("""COMPUTED_VALUE"""),45373.6666666666)</f>
        <v>45373.666666666599</v>
      </c>
      <c r="B308" s="2">
        <f ca="1">IFERROR(__xludf.DUMMYFUNCTION("""COMPUTED_VALUE"""),177.75)</f>
        <v>177.75</v>
      </c>
      <c r="C308" s="2">
        <f ca="1">IFERROR(__xludf.DUMMYFUNCTION("""COMPUTED_VALUE"""),179.26)</f>
        <v>179.26</v>
      </c>
      <c r="D308" s="2">
        <f ca="1">IFERROR(__xludf.DUMMYFUNCTION("""COMPUTED_VALUE"""),176.75)</f>
        <v>176.75</v>
      </c>
      <c r="E308" s="2">
        <f ca="1">IFERROR(__xludf.DUMMYFUNCTION("""COMPUTED_VALUE"""),178.87)</f>
        <v>178.87</v>
      </c>
      <c r="F308" s="2">
        <f ca="1">IFERROR(__xludf.DUMMYFUNCTION("""COMPUTED_VALUE"""),27995378)</f>
        <v>27995378</v>
      </c>
    </row>
    <row r="309" spans="1:6" ht="12.5" x14ac:dyDescent="0.25">
      <c r="A309" s="3">
        <f ca="1">IFERROR(__xludf.DUMMYFUNCTION("""COMPUTED_VALUE"""),45376.6666666666)</f>
        <v>45376.666666666599</v>
      </c>
      <c r="B309" s="2">
        <f ca="1">IFERROR(__xludf.DUMMYFUNCTION("""COMPUTED_VALUE"""),178.01)</f>
        <v>178.01</v>
      </c>
      <c r="C309" s="2">
        <f ca="1">IFERROR(__xludf.DUMMYFUNCTION("""COMPUTED_VALUE"""),180.99)</f>
        <v>180.99</v>
      </c>
      <c r="D309" s="2">
        <f ca="1">IFERROR(__xludf.DUMMYFUNCTION("""COMPUTED_VALUE"""),177.24)</f>
        <v>177.24</v>
      </c>
      <c r="E309" s="2">
        <f ca="1">IFERROR(__xludf.DUMMYFUNCTION("""COMPUTED_VALUE"""),179.71)</f>
        <v>179.71</v>
      </c>
      <c r="F309" s="2">
        <f ca="1">IFERROR(__xludf.DUMMYFUNCTION("""COMPUTED_VALUE"""),29815464)</f>
        <v>29815464</v>
      </c>
    </row>
    <row r="310" spans="1:6" ht="12.5" x14ac:dyDescent="0.25">
      <c r="A310" s="3">
        <f ca="1">IFERROR(__xludf.DUMMYFUNCTION("""COMPUTED_VALUE"""),45377.6666666666)</f>
        <v>45377.666666666599</v>
      </c>
      <c r="B310" s="2">
        <f ca="1">IFERROR(__xludf.DUMMYFUNCTION("""COMPUTED_VALUE"""),180.15)</f>
        <v>180.15</v>
      </c>
      <c r="C310" s="2">
        <f ca="1">IFERROR(__xludf.DUMMYFUNCTION("""COMPUTED_VALUE"""),180.45)</f>
        <v>180.45</v>
      </c>
      <c r="D310" s="2">
        <f ca="1">IFERROR(__xludf.DUMMYFUNCTION("""COMPUTED_VALUE"""),177.95)</f>
        <v>177.95</v>
      </c>
      <c r="E310" s="2">
        <f ca="1">IFERROR(__xludf.DUMMYFUNCTION("""COMPUTED_VALUE"""),178.3)</f>
        <v>178.3</v>
      </c>
      <c r="F310" s="2">
        <f ca="1">IFERROR(__xludf.DUMMYFUNCTION("""COMPUTED_VALUE"""),29658982)</f>
        <v>29658982</v>
      </c>
    </row>
    <row r="311" spans="1:6" ht="12.5" x14ac:dyDescent="0.25">
      <c r="A311" s="3">
        <f ca="1">IFERROR(__xludf.DUMMYFUNCTION("""COMPUTED_VALUE"""),45378.6666666666)</f>
        <v>45378.666666666599</v>
      </c>
      <c r="B311" s="2">
        <f ca="1">IFERROR(__xludf.DUMMYFUNCTION("""COMPUTED_VALUE"""),179.88)</f>
        <v>179.88</v>
      </c>
      <c r="C311" s="2">
        <f ca="1">IFERROR(__xludf.DUMMYFUNCTION("""COMPUTED_VALUE"""),180)</f>
        <v>180</v>
      </c>
      <c r="D311" s="2">
        <f ca="1">IFERROR(__xludf.DUMMYFUNCTION("""COMPUTED_VALUE"""),177.31)</f>
        <v>177.31</v>
      </c>
      <c r="E311" s="2">
        <f ca="1">IFERROR(__xludf.DUMMYFUNCTION("""COMPUTED_VALUE"""),179.83)</f>
        <v>179.83</v>
      </c>
      <c r="F311" s="2">
        <f ca="1">IFERROR(__xludf.DUMMYFUNCTION("""COMPUTED_VALUE"""),33272551)</f>
        <v>33272551</v>
      </c>
    </row>
    <row r="312" spans="1:6" ht="12.5" x14ac:dyDescent="0.25">
      <c r="A312" s="3">
        <f ca="1">IFERROR(__xludf.DUMMYFUNCTION("""COMPUTED_VALUE"""),45379.6666666666)</f>
        <v>45379.666666666599</v>
      </c>
      <c r="B312" s="2">
        <f ca="1">IFERROR(__xludf.DUMMYFUNCTION("""COMPUTED_VALUE"""),180.17)</f>
        <v>180.17</v>
      </c>
      <c r="C312" s="2">
        <f ca="1">IFERROR(__xludf.DUMMYFUNCTION("""COMPUTED_VALUE"""),181.7)</f>
        <v>181.7</v>
      </c>
      <c r="D312" s="2">
        <f ca="1">IFERROR(__xludf.DUMMYFUNCTION("""COMPUTED_VALUE"""),179.26)</f>
        <v>179.26</v>
      </c>
      <c r="E312" s="2">
        <f ca="1">IFERROR(__xludf.DUMMYFUNCTION("""COMPUTED_VALUE"""),180.38)</f>
        <v>180.38</v>
      </c>
      <c r="F312" s="2">
        <f ca="1">IFERROR(__xludf.DUMMYFUNCTION("""COMPUTED_VALUE"""),38051588)</f>
        <v>38051588</v>
      </c>
    </row>
    <row r="313" spans="1:6" ht="12.5" x14ac:dyDescent="0.25">
      <c r="A313" s="3">
        <f ca="1">IFERROR(__xludf.DUMMYFUNCTION("""COMPUTED_VALUE"""),45383.6666666666)</f>
        <v>45383.666666666599</v>
      </c>
      <c r="B313" s="2">
        <f ca="1">IFERROR(__xludf.DUMMYFUNCTION("""COMPUTED_VALUE"""),180.79)</f>
        <v>180.79</v>
      </c>
      <c r="C313" s="2">
        <f ca="1">IFERROR(__xludf.DUMMYFUNCTION("""COMPUTED_VALUE"""),183)</f>
        <v>183</v>
      </c>
      <c r="D313" s="2">
        <f ca="1">IFERROR(__xludf.DUMMYFUNCTION("""COMPUTED_VALUE"""),179.95)</f>
        <v>179.95</v>
      </c>
      <c r="E313" s="2">
        <f ca="1">IFERROR(__xludf.DUMMYFUNCTION("""COMPUTED_VALUE"""),180.97)</f>
        <v>180.97</v>
      </c>
      <c r="F313" s="2">
        <f ca="1">IFERROR(__xludf.DUMMYFUNCTION("""COMPUTED_VALUE"""),29174521)</f>
        <v>29174521</v>
      </c>
    </row>
    <row r="314" spans="1:6" ht="12.5" x14ac:dyDescent="0.25">
      <c r="A314" s="3">
        <f ca="1">IFERROR(__xludf.DUMMYFUNCTION("""COMPUTED_VALUE"""),45384.6666666666)</f>
        <v>45384.666666666599</v>
      </c>
      <c r="B314" s="2">
        <f ca="1">IFERROR(__xludf.DUMMYFUNCTION("""COMPUTED_VALUE"""),179.07)</f>
        <v>179.07</v>
      </c>
      <c r="C314" s="2">
        <f ca="1">IFERROR(__xludf.DUMMYFUNCTION("""COMPUTED_VALUE"""),180.79)</f>
        <v>180.79</v>
      </c>
      <c r="D314" s="2">
        <f ca="1">IFERROR(__xludf.DUMMYFUNCTION("""COMPUTED_VALUE"""),178.38)</f>
        <v>178.38</v>
      </c>
      <c r="E314" s="2">
        <f ca="1">IFERROR(__xludf.DUMMYFUNCTION("""COMPUTED_VALUE"""),180.69)</f>
        <v>180.69</v>
      </c>
      <c r="F314" s="2">
        <f ca="1">IFERROR(__xludf.DUMMYFUNCTION("""COMPUTED_VALUE"""),32611546)</f>
        <v>32611546</v>
      </c>
    </row>
    <row r="315" spans="1:6" ht="12.5" x14ac:dyDescent="0.25">
      <c r="A315" s="3">
        <f ca="1">IFERROR(__xludf.DUMMYFUNCTION("""COMPUTED_VALUE"""),45385.6666666666)</f>
        <v>45385.666666666599</v>
      </c>
      <c r="B315" s="2">
        <f ca="1">IFERROR(__xludf.DUMMYFUNCTION("""COMPUTED_VALUE"""),179.9)</f>
        <v>179.9</v>
      </c>
      <c r="C315" s="2">
        <f ca="1">IFERROR(__xludf.DUMMYFUNCTION("""COMPUTED_VALUE"""),182.87)</f>
        <v>182.87</v>
      </c>
      <c r="D315" s="2">
        <f ca="1">IFERROR(__xludf.DUMMYFUNCTION("""COMPUTED_VALUE"""),179.8)</f>
        <v>179.8</v>
      </c>
      <c r="E315" s="2">
        <f ca="1">IFERROR(__xludf.DUMMYFUNCTION("""COMPUTED_VALUE"""),182.41)</f>
        <v>182.41</v>
      </c>
      <c r="F315" s="2">
        <f ca="1">IFERROR(__xludf.DUMMYFUNCTION("""COMPUTED_VALUE"""),31046638)</f>
        <v>31046638</v>
      </c>
    </row>
    <row r="316" spans="1:6" ht="12.5" x14ac:dyDescent="0.25">
      <c r="A316" s="3">
        <f ca="1">IFERROR(__xludf.DUMMYFUNCTION("""COMPUTED_VALUE"""),45386.6666666666)</f>
        <v>45386.666666666599</v>
      </c>
      <c r="B316" s="2">
        <f ca="1">IFERROR(__xludf.DUMMYFUNCTION("""COMPUTED_VALUE"""),184)</f>
        <v>184</v>
      </c>
      <c r="C316" s="2">
        <f ca="1">IFERROR(__xludf.DUMMYFUNCTION("""COMPUTED_VALUE"""),185.1)</f>
        <v>185.1</v>
      </c>
      <c r="D316" s="2">
        <f ca="1">IFERROR(__xludf.DUMMYFUNCTION("""COMPUTED_VALUE"""),180)</f>
        <v>180</v>
      </c>
      <c r="E316" s="2">
        <f ca="1">IFERROR(__xludf.DUMMYFUNCTION("""COMPUTED_VALUE"""),180)</f>
        <v>180</v>
      </c>
      <c r="F316" s="2">
        <f ca="1">IFERROR(__xludf.DUMMYFUNCTION("""COMPUTED_VALUE"""),41624261)</f>
        <v>41624261</v>
      </c>
    </row>
    <row r="317" spans="1:6" ht="12.5" x14ac:dyDescent="0.25">
      <c r="A317" s="3">
        <f ca="1">IFERROR(__xludf.DUMMYFUNCTION("""COMPUTED_VALUE"""),45387.6666666666)</f>
        <v>45387.666666666599</v>
      </c>
      <c r="B317" s="2">
        <f ca="1">IFERROR(__xludf.DUMMYFUNCTION("""COMPUTED_VALUE"""),182.38)</f>
        <v>182.38</v>
      </c>
      <c r="C317" s="2">
        <f ca="1">IFERROR(__xludf.DUMMYFUNCTION("""COMPUTED_VALUE"""),186.27)</f>
        <v>186.27</v>
      </c>
      <c r="D317" s="2">
        <f ca="1">IFERROR(__xludf.DUMMYFUNCTION("""COMPUTED_VALUE"""),181.97)</f>
        <v>181.97</v>
      </c>
      <c r="E317" s="2">
        <f ca="1">IFERROR(__xludf.DUMMYFUNCTION("""COMPUTED_VALUE"""),185.07)</f>
        <v>185.07</v>
      </c>
      <c r="F317" s="2">
        <f ca="1">IFERROR(__xludf.DUMMYFUNCTION("""COMPUTED_VALUE"""),42373992)</f>
        <v>42373992</v>
      </c>
    </row>
    <row r="318" spans="1:6" ht="12.5" x14ac:dyDescent="0.25">
      <c r="A318" s="3">
        <f ca="1">IFERROR(__xludf.DUMMYFUNCTION("""COMPUTED_VALUE"""),45390.6666666666)</f>
        <v>45390.666666666599</v>
      </c>
      <c r="B318" s="2">
        <f ca="1">IFERROR(__xludf.DUMMYFUNCTION("""COMPUTED_VALUE"""),186.9)</f>
        <v>186.9</v>
      </c>
      <c r="C318" s="2">
        <f ca="1">IFERROR(__xludf.DUMMYFUNCTION("""COMPUTED_VALUE"""),187.29)</f>
        <v>187.29</v>
      </c>
      <c r="D318" s="2">
        <f ca="1">IFERROR(__xludf.DUMMYFUNCTION("""COMPUTED_VALUE"""),184.81)</f>
        <v>184.81</v>
      </c>
      <c r="E318" s="2">
        <f ca="1">IFERROR(__xludf.DUMMYFUNCTION("""COMPUTED_VALUE"""),185.19)</f>
        <v>185.19</v>
      </c>
      <c r="F318" s="2">
        <f ca="1">IFERROR(__xludf.DUMMYFUNCTION("""COMPUTED_VALUE"""),39221282)</f>
        <v>39221282</v>
      </c>
    </row>
    <row r="319" spans="1:6" ht="12.5" x14ac:dyDescent="0.25">
      <c r="A319" s="3">
        <f ca="1">IFERROR(__xludf.DUMMYFUNCTION("""COMPUTED_VALUE"""),45391.6666666666)</f>
        <v>45391.666666666599</v>
      </c>
      <c r="B319" s="2">
        <f ca="1">IFERROR(__xludf.DUMMYFUNCTION("""COMPUTED_VALUE"""),187.24)</f>
        <v>187.24</v>
      </c>
      <c r="C319" s="2">
        <f ca="1">IFERROR(__xludf.DUMMYFUNCTION("""COMPUTED_VALUE"""),187.34)</f>
        <v>187.34</v>
      </c>
      <c r="D319" s="2">
        <f ca="1">IFERROR(__xludf.DUMMYFUNCTION("""COMPUTED_VALUE"""),184.2)</f>
        <v>184.2</v>
      </c>
      <c r="E319" s="2">
        <f ca="1">IFERROR(__xludf.DUMMYFUNCTION("""COMPUTED_VALUE"""),185.67)</f>
        <v>185.67</v>
      </c>
      <c r="F319" s="2">
        <f ca="1">IFERROR(__xludf.DUMMYFUNCTION("""COMPUTED_VALUE"""),36546946)</f>
        <v>36546946</v>
      </c>
    </row>
    <row r="320" spans="1:6" ht="12.5" x14ac:dyDescent="0.25">
      <c r="A320" s="3">
        <f ca="1">IFERROR(__xludf.DUMMYFUNCTION("""COMPUTED_VALUE"""),45392.6666666666)</f>
        <v>45392.666666666599</v>
      </c>
      <c r="B320" s="2">
        <f ca="1">IFERROR(__xludf.DUMMYFUNCTION("""COMPUTED_VALUE"""),182.77)</f>
        <v>182.77</v>
      </c>
      <c r="C320" s="2">
        <f ca="1">IFERROR(__xludf.DUMMYFUNCTION("""COMPUTED_VALUE"""),186.27)</f>
        <v>186.27</v>
      </c>
      <c r="D320" s="2">
        <f ca="1">IFERROR(__xludf.DUMMYFUNCTION("""COMPUTED_VALUE"""),182.67)</f>
        <v>182.67</v>
      </c>
      <c r="E320" s="2">
        <f ca="1">IFERROR(__xludf.DUMMYFUNCTION("""COMPUTED_VALUE"""),185.95)</f>
        <v>185.95</v>
      </c>
      <c r="F320" s="2">
        <f ca="1">IFERROR(__xludf.DUMMYFUNCTION("""COMPUTED_VALUE"""),35879151)</f>
        <v>35879151</v>
      </c>
    </row>
    <row r="321" spans="1:6" ht="12.5" x14ac:dyDescent="0.25">
      <c r="A321" s="3">
        <f ca="1">IFERROR(__xludf.DUMMYFUNCTION("""COMPUTED_VALUE"""),45393.6666666666)</f>
        <v>45393.666666666599</v>
      </c>
      <c r="B321" s="2">
        <f ca="1">IFERROR(__xludf.DUMMYFUNCTION("""COMPUTED_VALUE"""),186.74)</f>
        <v>186.74</v>
      </c>
      <c r="C321" s="2">
        <f ca="1">IFERROR(__xludf.DUMMYFUNCTION("""COMPUTED_VALUE"""),189.77)</f>
        <v>189.77</v>
      </c>
      <c r="D321" s="2">
        <f ca="1">IFERROR(__xludf.DUMMYFUNCTION("""COMPUTED_VALUE"""),185.51)</f>
        <v>185.51</v>
      </c>
      <c r="E321" s="2">
        <f ca="1">IFERROR(__xludf.DUMMYFUNCTION("""COMPUTED_VALUE"""),189.05)</f>
        <v>189.05</v>
      </c>
      <c r="F321" s="2">
        <f ca="1">IFERROR(__xludf.DUMMYFUNCTION("""COMPUTED_VALUE"""),40020742)</f>
        <v>40020742</v>
      </c>
    </row>
    <row r="322" spans="1:6" ht="12.5" x14ac:dyDescent="0.25">
      <c r="A322" s="3">
        <f ca="1">IFERROR(__xludf.DUMMYFUNCTION("""COMPUTED_VALUE"""),45394.6666666666)</f>
        <v>45394.666666666599</v>
      </c>
      <c r="B322" s="2">
        <f ca="1">IFERROR(__xludf.DUMMYFUNCTION("""COMPUTED_VALUE"""),187.72)</f>
        <v>187.72</v>
      </c>
      <c r="C322" s="2">
        <f ca="1">IFERROR(__xludf.DUMMYFUNCTION("""COMPUTED_VALUE"""),188.38)</f>
        <v>188.38</v>
      </c>
      <c r="D322" s="2">
        <f ca="1">IFERROR(__xludf.DUMMYFUNCTION("""COMPUTED_VALUE"""),185.08)</f>
        <v>185.08</v>
      </c>
      <c r="E322" s="2">
        <f ca="1">IFERROR(__xludf.DUMMYFUNCTION("""COMPUTED_VALUE"""),186.13)</f>
        <v>186.13</v>
      </c>
      <c r="F322" s="2">
        <f ca="1">IFERROR(__xludf.DUMMYFUNCTION("""COMPUTED_VALUE"""),38608849)</f>
        <v>38608849</v>
      </c>
    </row>
    <row r="323" spans="1:6" ht="12.5" x14ac:dyDescent="0.25">
      <c r="A323" s="3">
        <f ca="1">IFERROR(__xludf.DUMMYFUNCTION("""COMPUTED_VALUE"""),45397.6666666666)</f>
        <v>45397.666666666599</v>
      </c>
      <c r="B323" s="2">
        <f ca="1">IFERROR(__xludf.DUMMYFUNCTION("""COMPUTED_VALUE"""),187.43)</f>
        <v>187.43</v>
      </c>
      <c r="C323" s="2">
        <f ca="1">IFERROR(__xludf.DUMMYFUNCTION("""COMPUTED_VALUE"""),188.69)</f>
        <v>188.69</v>
      </c>
      <c r="D323" s="2">
        <f ca="1">IFERROR(__xludf.DUMMYFUNCTION("""COMPUTED_VALUE"""),183)</f>
        <v>183</v>
      </c>
      <c r="E323" s="2">
        <f ca="1">IFERROR(__xludf.DUMMYFUNCTION("""COMPUTED_VALUE"""),183.62)</f>
        <v>183.62</v>
      </c>
      <c r="F323" s="2">
        <f ca="1">IFERROR(__xludf.DUMMYFUNCTION("""COMPUTED_VALUE"""),48052395)</f>
        <v>48052395</v>
      </c>
    </row>
    <row r="324" spans="1:6" ht="12.5" x14ac:dyDescent="0.25">
      <c r="A324" s="3">
        <f ca="1">IFERROR(__xludf.DUMMYFUNCTION("""COMPUTED_VALUE"""),45398.6666666666)</f>
        <v>45398.666666666599</v>
      </c>
      <c r="B324" s="2">
        <f ca="1">IFERROR(__xludf.DUMMYFUNCTION("""COMPUTED_VALUE"""),183.27)</f>
        <v>183.27</v>
      </c>
      <c r="C324" s="2">
        <f ca="1">IFERROR(__xludf.DUMMYFUNCTION("""COMPUTED_VALUE"""),184.83)</f>
        <v>184.83</v>
      </c>
      <c r="D324" s="2">
        <f ca="1">IFERROR(__xludf.DUMMYFUNCTION("""COMPUTED_VALUE"""),182.26)</f>
        <v>182.26</v>
      </c>
      <c r="E324" s="2">
        <f ca="1">IFERROR(__xludf.DUMMYFUNCTION("""COMPUTED_VALUE"""),183.32)</f>
        <v>183.32</v>
      </c>
      <c r="F324" s="2">
        <f ca="1">IFERROR(__xludf.DUMMYFUNCTION("""COMPUTED_VALUE"""),32891265)</f>
        <v>32891265</v>
      </c>
    </row>
    <row r="325" spans="1:6" ht="12.5" x14ac:dyDescent="0.25">
      <c r="A325" s="3">
        <f ca="1">IFERROR(__xludf.DUMMYFUNCTION("""COMPUTED_VALUE"""),45399.6666666666)</f>
        <v>45399.666666666599</v>
      </c>
      <c r="B325" s="2">
        <f ca="1">IFERROR(__xludf.DUMMYFUNCTION("""COMPUTED_VALUE"""),184.31)</f>
        <v>184.31</v>
      </c>
      <c r="C325" s="2">
        <f ca="1">IFERROR(__xludf.DUMMYFUNCTION("""COMPUTED_VALUE"""),184.57)</f>
        <v>184.57</v>
      </c>
      <c r="D325" s="2">
        <f ca="1">IFERROR(__xludf.DUMMYFUNCTION("""COMPUTED_VALUE"""),179.82)</f>
        <v>179.82</v>
      </c>
      <c r="E325" s="2">
        <f ca="1">IFERROR(__xludf.DUMMYFUNCTION("""COMPUTED_VALUE"""),181.28)</f>
        <v>181.28</v>
      </c>
      <c r="F325" s="2">
        <f ca="1">IFERROR(__xludf.DUMMYFUNCTION("""COMPUTED_VALUE"""),31359673)</f>
        <v>31359673</v>
      </c>
    </row>
    <row r="326" spans="1:6" ht="12.5" x14ac:dyDescent="0.25">
      <c r="A326" s="3">
        <f ca="1">IFERROR(__xludf.DUMMYFUNCTION("""COMPUTED_VALUE"""),45400.6666666666)</f>
        <v>45400.666666666599</v>
      </c>
      <c r="B326" s="2">
        <f ca="1">IFERROR(__xludf.DUMMYFUNCTION("""COMPUTED_VALUE"""),181.47)</f>
        <v>181.47</v>
      </c>
      <c r="C326" s="2">
        <f ca="1">IFERROR(__xludf.DUMMYFUNCTION("""COMPUTED_VALUE"""),182.39)</f>
        <v>182.39</v>
      </c>
      <c r="D326" s="2">
        <f ca="1">IFERROR(__xludf.DUMMYFUNCTION("""COMPUTED_VALUE"""),178.65)</f>
        <v>178.65</v>
      </c>
      <c r="E326" s="2">
        <f ca="1">IFERROR(__xludf.DUMMYFUNCTION("""COMPUTED_VALUE"""),179.22)</f>
        <v>179.22</v>
      </c>
      <c r="F326" s="2">
        <f ca="1">IFERROR(__xludf.DUMMYFUNCTION("""COMPUTED_VALUE"""),30723793)</f>
        <v>30723793</v>
      </c>
    </row>
    <row r="327" spans="1:6" ht="12.5" x14ac:dyDescent="0.25">
      <c r="A327" s="3">
        <f ca="1">IFERROR(__xludf.DUMMYFUNCTION("""COMPUTED_VALUE"""),45401.6666666666)</f>
        <v>45401.666666666599</v>
      </c>
      <c r="B327" s="2">
        <f ca="1">IFERROR(__xludf.DUMMYFUNCTION("""COMPUTED_VALUE"""),178.74)</f>
        <v>178.74</v>
      </c>
      <c r="C327" s="2">
        <f ca="1">IFERROR(__xludf.DUMMYFUNCTION("""COMPUTED_VALUE"""),179)</f>
        <v>179</v>
      </c>
      <c r="D327" s="2">
        <f ca="1">IFERROR(__xludf.DUMMYFUNCTION("""COMPUTED_VALUE"""),173.44)</f>
        <v>173.44</v>
      </c>
      <c r="E327" s="2">
        <f ca="1">IFERROR(__xludf.DUMMYFUNCTION("""COMPUTED_VALUE"""),174.63)</f>
        <v>174.63</v>
      </c>
      <c r="F327" s="2">
        <f ca="1">IFERROR(__xludf.DUMMYFUNCTION("""COMPUTED_VALUE"""),56000729)</f>
        <v>56000729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27"/>
  <sheetViews>
    <sheetView workbookViewId="0">
      <selection activeCell="F1" sqref="F1:F1048576"/>
    </sheetView>
  </sheetViews>
  <sheetFormatPr defaultColWidth="12.6328125" defaultRowHeight="15.75" customHeight="1" x14ac:dyDescent="0.25"/>
  <sheetData>
    <row r="1" spans="1:6" ht="15.75" customHeight="1" x14ac:dyDescent="0.25">
      <c r="A1" s="2" t="str">
        <f ca="1">IFERROR(__xludf.DUMMYFUNCTION("GOOGLEFINANCE(""SNOW"",""all"",DATE(2023,1,1), today())"),"Date")</f>
        <v>Date</v>
      </c>
      <c r="B1" s="2" t="str">
        <f ca="1">IFERROR(__xludf.DUMMYFUNCTION("""COMPUTED_VALUE"""),"Open")</f>
        <v>Open</v>
      </c>
      <c r="C1" s="2" t="str">
        <f ca="1">IFERROR(__xludf.DUMMYFUNCTION("""COMPUTED_VALUE"""),"High")</f>
        <v>High</v>
      </c>
      <c r="D1" s="2" t="str">
        <f ca="1">IFERROR(__xludf.DUMMYFUNCTION("""COMPUTED_VALUE"""),"Low")</f>
        <v>Low</v>
      </c>
      <c r="E1" s="2" t="str">
        <f ca="1">IFERROR(__xludf.DUMMYFUNCTION("""COMPUTED_VALUE"""),"Close")</f>
        <v>Close</v>
      </c>
      <c r="F1" s="2" t="str">
        <f ca="1">IFERROR(__xludf.DUMMYFUNCTION("""COMPUTED_VALUE"""),"Volume")</f>
        <v>Volume</v>
      </c>
    </row>
    <row r="2" spans="1:6" ht="15.75" customHeight="1" x14ac:dyDescent="0.25">
      <c r="A2" s="3">
        <f ca="1">IFERROR(__xludf.DUMMYFUNCTION("""COMPUTED_VALUE"""),44929.6666666666)</f>
        <v>44929.666666666599</v>
      </c>
      <c r="B2" s="2">
        <f ca="1">IFERROR(__xludf.DUMMYFUNCTION("""COMPUTED_VALUE"""),146.48)</f>
        <v>146.47999999999999</v>
      </c>
      <c r="C2" s="2">
        <f ca="1">IFERROR(__xludf.DUMMYFUNCTION("""COMPUTED_VALUE"""),149.2)</f>
        <v>149.19999999999999</v>
      </c>
      <c r="D2" s="2">
        <f ca="1">IFERROR(__xludf.DUMMYFUNCTION("""COMPUTED_VALUE"""),135.34)</f>
        <v>135.34</v>
      </c>
      <c r="E2" s="2">
        <f ca="1">IFERROR(__xludf.DUMMYFUNCTION("""COMPUTED_VALUE"""),135.5)</f>
        <v>135.5</v>
      </c>
      <c r="F2" s="2">
        <f ca="1">IFERROR(__xludf.DUMMYFUNCTION("""COMPUTED_VALUE"""),4441952)</f>
        <v>4441952</v>
      </c>
    </row>
    <row r="3" spans="1:6" ht="15.75" customHeight="1" x14ac:dyDescent="0.25">
      <c r="A3" s="3">
        <f ca="1">IFERROR(__xludf.DUMMYFUNCTION("""COMPUTED_VALUE"""),44930.6666666666)</f>
        <v>44930.666666666599</v>
      </c>
      <c r="B3" s="2">
        <f ca="1">IFERROR(__xludf.DUMMYFUNCTION("""COMPUTED_VALUE"""),137.28)</f>
        <v>137.28</v>
      </c>
      <c r="C3" s="2">
        <f ca="1">IFERROR(__xludf.DUMMYFUNCTION("""COMPUTED_VALUE"""),137.6)</f>
        <v>137.6</v>
      </c>
      <c r="D3" s="2">
        <f ca="1">IFERROR(__xludf.DUMMYFUNCTION("""COMPUTED_VALUE"""),128.58)</f>
        <v>128.58000000000001</v>
      </c>
      <c r="E3" s="2">
        <f ca="1">IFERROR(__xludf.DUMMYFUNCTION("""COMPUTED_VALUE"""),130.44)</f>
        <v>130.44</v>
      </c>
      <c r="F3" s="2">
        <f ca="1">IFERROR(__xludf.DUMMYFUNCTION("""COMPUTED_VALUE"""),6672904)</f>
        <v>6672904</v>
      </c>
    </row>
    <row r="4" spans="1:6" ht="15.75" customHeight="1" x14ac:dyDescent="0.25">
      <c r="A4" s="3">
        <f ca="1">IFERROR(__xludf.DUMMYFUNCTION("""COMPUTED_VALUE"""),44931.6666666666)</f>
        <v>44931.666666666599</v>
      </c>
      <c r="B4" s="2">
        <f ca="1">IFERROR(__xludf.DUMMYFUNCTION("""COMPUTED_VALUE"""),129.3)</f>
        <v>129.30000000000001</v>
      </c>
      <c r="C4" s="2">
        <f ca="1">IFERROR(__xludf.DUMMYFUNCTION("""COMPUTED_VALUE"""),129.49)</f>
        <v>129.49</v>
      </c>
      <c r="D4" s="2">
        <f ca="1">IFERROR(__xludf.DUMMYFUNCTION("""COMPUTED_VALUE"""),121.04)</f>
        <v>121.04</v>
      </c>
      <c r="E4" s="2">
        <f ca="1">IFERROR(__xludf.DUMMYFUNCTION("""COMPUTED_VALUE"""),121.56)</f>
        <v>121.56</v>
      </c>
      <c r="F4" s="2">
        <f ca="1">IFERROR(__xludf.DUMMYFUNCTION("""COMPUTED_VALUE"""),8231751)</f>
        <v>8231751</v>
      </c>
    </row>
    <row r="5" spans="1:6" ht="15.75" customHeight="1" x14ac:dyDescent="0.25">
      <c r="A5" s="3">
        <f ca="1">IFERROR(__xludf.DUMMYFUNCTION("""COMPUTED_VALUE"""),44932.6666666666)</f>
        <v>44932.666666666599</v>
      </c>
      <c r="B5" s="2">
        <f ca="1">IFERROR(__xludf.DUMMYFUNCTION("""COMPUTED_VALUE"""),122.09)</f>
        <v>122.09</v>
      </c>
      <c r="C5" s="2">
        <f ca="1">IFERROR(__xludf.DUMMYFUNCTION("""COMPUTED_VALUE"""),126.07)</f>
        <v>126.07</v>
      </c>
      <c r="D5" s="2">
        <f ca="1">IFERROR(__xludf.DUMMYFUNCTION("""COMPUTED_VALUE"""),119.27)</f>
        <v>119.27</v>
      </c>
      <c r="E5" s="2">
        <f ca="1">IFERROR(__xludf.DUMMYFUNCTION("""COMPUTED_VALUE"""),124.06)</f>
        <v>124.06</v>
      </c>
      <c r="F5" s="2">
        <f ca="1">IFERROR(__xludf.DUMMYFUNCTION("""COMPUTED_VALUE"""),5827362)</f>
        <v>5827362</v>
      </c>
    </row>
    <row r="6" spans="1:6" ht="15.75" customHeight="1" x14ac:dyDescent="0.25">
      <c r="A6" s="3">
        <f ca="1">IFERROR(__xludf.DUMMYFUNCTION("""COMPUTED_VALUE"""),44935.6666666666)</f>
        <v>44935.666666666599</v>
      </c>
      <c r="B6" s="2">
        <f ca="1">IFERROR(__xludf.DUMMYFUNCTION("""COMPUTED_VALUE"""),127.23)</f>
        <v>127.23</v>
      </c>
      <c r="C6" s="2">
        <f ca="1">IFERROR(__xludf.DUMMYFUNCTION("""COMPUTED_VALUE"""),137.64)</f>
        <v>137.63999999999999</v>
      </c>
      <c r="D6" s="2">
        <f ca="1">IFERROR(__xludf.DUMMYFUNCTION("""COMPUTED_VALUE"""),126.67)</f>
        <v>126.67</v>
      </c>
      <c r="E6" s="2">
        <f ca="1">IFERROR(__xludf.DUMMYFUNCTION("""COMPUTED_VALUE"""),134.43)</f>
        <v>134.43</v>
      </c>
      <c r="F6" s="2">
        <f ca="1">IFERROR(__xludf.DUMMYFUNCTION("""COMPUTED_VALUE"""),8192948)</f>
        <v>8192948</v>
      </c>
    </row>
    <row r="7" spans="1:6" ht="15.75" customHeight="1" x14ac:dyDescent="0.25">
      <c r="A7" s="3">
        <f ca="1">IFERROR(__xludf.DUMMYFUNCTION("""COMPUTED_VALUE"""),44936.6666666666)</f>
        <v>44936.666666666599</v>
      </c>
      <c r="B7" s="2">
        <f ca="1">IFERROR(__xludf.DUMMYFUNCTION("""COMPUTED_VALUE"""),134.86)</f>
        <v>134.86000000000001</v>
      </c>
      <c r="C7" s="2">
        <f ca="1">IFERROR(__xludf.DUMMYFUNCTION("""COMPUTED_VALUE"""),138.45)</f>
        <v>138.44999999999999</v>
      </c>
      <c r="D7" s="2">
        <f ca="1">IFERROR(__xludf.DUMMYFUNCTION("""COMPUTED_VALUE"""),133.74)</f>
        <v>133.74</v>
      </c>
      <c r="E7" s="2">
        <f ca="1">IFERROR(__xludf.DUMMYFUNCTION("""COMPUTED_VALUE"""),137.94)</f>
        <v>137.94</v>
      </c>
      <c r="F7" s="2">
        <f ca="1">IFERROR(__xludf.DUMMYFUNCTION("""COMPUTED_VALUE"""),4518407)</f>
        <v>4518407</v>
      </c>
    </row>
    <row r="8" spans="1:6" ht="15.75" customHeight="1" x14ac:dyDescent="0.25">
      <c r="A8" s="3">
        <f ca="1">IFERROR(__xludf.DUMMYFUNCTION("""COMPUTED_VALUE"""),44937.6666666666)</f>
        <v>44937.666666666599</v>
      </c>
      <c r="B8" s="2">
        <f ca="1">IFERROR(__xludf.DUMMYFUNCTION("""COMPUTED_VALUE"""),138.2)</f>
        <v>138.19999999999999</v>
      </c>
      <c r="C8" s="2">
        <f ca="1">IFERROR(__xludf.DUMMYFUNCTION("""COMPUTED_VALUE"""),141.07)</f>
        <v>141.07</v>
      </c>
      <c r="D8" s="2">
        <f ca="1">IFERROR(__xludf.DUMMYFUNCTION("""COMPUTED_VALUE"""),136.55)</f>
        <v>136.55000000000001</v>
      </c>
      <c r="E8" s="2">
        <f ca="1">IFERROR(__xludf.DUMMYFUNCTION("""COMPUTED_VALUE"""),139.71)</f>
        <v>139.71</v>
      </c>
      <c r="F8" s="2">
        <f ca="1">IFERROR(__xludf.DUMMYFUNCTION("""COMPUTED_VALUE"""),4290297)</f>
        <v>4290297</v>
      </c>
    </row>
    <row r="9" spans="1:6" ht="15.75" customHeight="1" x14ac:dyDescent="0.25">
      <c r="A9" s="3">
        <f ca="1">IFERROR(__xludf.DUMMYFUNCTION("""COMPUTED_VALUE"""),44938.6666666666)</f>
        <v>44938.666666666599</v>
      </c>
      <c r="B9" s="2">
        <f ca="1">IFERROR(__xludf.DUMMYFUNCTION("""COMPUTED_VALUE"""),140.39)</f>
        <v>140.38999999999999</v>
      </c>
      <c r="C9" s="2">
        <f ca="1">IFERROR(__xludf.DUMMYFUNCTION("""COMPUTED_VALUE"""),142.16)</f>
        <v>142.16</v>
      </c>
      <c r="D9" s="2">
        <f ca="1">IFERROR(__xludf.DUMMYFUNCTION("""COMPUTED_VALUE"""),135.1)</f>
        <v>135.1</v>
      </c>
      <c r="E9" s="2">
        <f ca="1">IFERROR(__xludf.DUMMYFUNCTION("""COMPUTED_VALUE"""),142.14)</f>
        <v>142.13999999999999</v>
      </c>
      <c r="F9" s="2">
        <f ca="1">IFERROR(__xludf.DUMMYFUNCTION("""COMPUTED_VALUE"""),3810038)</f>
        <v>3810038</v>
      </c>
    </row>
    <row r="10" spans="1:6" ht="15.75" customHeight="1" x14ac:dyDescent="0.25">
      <c r="A10" s="3">
        <f ca="1">IFERROR(__xludf.DUMMYFUNCTION("""COMPUTED_VALUE"""),44939.6666666666)</f>
        <v>44939.666666666599</v>
      </c>
      <c r="B10" s="2">
        <f ca="1">IFERROR(__xludf.DUMMYFUNCTION("""COMPUTED_VALUE"""),139.3)</f>
        <v>139.30000000000001</v>
      </c>
      <c r="C10" s="2">
        <f ca="1">IFERROR(__xludf.DUMMYFUNCTION("""COMPUTED_VALUE"""),141.77)</f>
        <v>141.77000000000001</v>
      </c>
      <c r="D10" s="2">
        <f ca="1">IFERROR(__xludf.DUMMYFUNCTION("""COMPUTED_VALUE"""),137.31)</f>
        <v>137.31</v>
      </c>
      <c r="E10" s="2">
        <f ca="1">IFERROR(__xludf.DUMMYFUNCTION("""COMPUTED_VALUE"""),140.87)</f>
        <v>140.87</v>
      </c>
      <c r="F10" s="2">
        <f ca="1">IFERROR(__xludf.DUMMYFUNCTION("""COMPUTED_VALUE"""),4919267)</f>
        <v>4919267</v>
      </c>
    </row>
    <row r="11" spans="1:6" ht="15.75" customHeight="1" x14ac:dyDescent="0.25">
      <c r="A11" s="3">
        <f ca="1">IFERROR(__xludf.DUMMYFUNCTION("""COMPUTED_VALUE"""),44943.6666666666)</f>
        <v>44943.666666666599</v>
      </c>
      <c r="B11" s="2">
        <f ca="1">IFERROR(__xludf.DUMMYFUNCTION("""COMPUTED_VALUE"""),141.15)</f>
        <v>141.15</v>
      </c>
      <c r="C11" s="2">
        <f ca="1">IFERROR(__xludf.DUMMYFUNCTION("""COMPUTED_VALUE"""),147.32)</f>
        <v>147.32</v>
      </c>
      <c r="D11" s="2">
        <f ca="1">IFERROR(__xludf.DUMMYFUNCTION("""COMPUTED_VALUE"""),139.46)</f>
        <v>139.46</v>
      </c>
      <c r="E11" s="2">
        <f ca="1">IFERROR(__xludf.DUMMYFUNCTION("""COMPUTED_VALUE"""),145.72)</f>
        <v>145.72</v>
      </c>
      <c r="F11" s="2">
        <f ca="1">IFERROR(__xludf.DUMMYFUNCTION("""COMPUTED_VALUE"""),4607410)</f>
        <v>4607410</v>
      </c>
    </row>
    <row r="12" spans="1:6" ht="15.75" customHeight="1" x14ac:dyDescent="0.25">
      <c r="A12" s="3">
        <f ca="1">IFERROR(__xludf.DUMMYFUNCTION("""COMPUTED_VALUE"""),44944.6666666666)</f>
        <v>44944.666666666599</v>
      </c>
      <c r="B12" s="2">
        <f ca="1">IFERROR(__xludf.DUMMYFUNCTION("""COMPUTED_VALUE"""),147.45)</f>
        <v>147.44999999999999</v>
      </c>
      <c r="C12" s="2">
        <f ca="1">IFERROR(__xludf.DUMMYFUNCTION("""COMPUTED_VALUE"""),148.57)</f>
        <v>148.57</v>
      </c>
      <c r="D12" s="2">
        <f ca="1">IFERROR(__xludf.DUMMYFUNCTION("""COMPUTED_VALUE"""),140.04)</f>
        <v>140.04</v>
      </c>
      <c r="E12" s="2">
        <f ca="1">IFERROR(__xludf.DUMMYFUNCTION("""COMPUTED_VALUE"""),140.11)</f>
        <v>140.11000000000001</v>
      </c>
      <c r="F12" s="2">
        <f ca="1">IFERROR(__xludf.DUMMYFUNCTION("""COMPUTED_VALUE"""),4336969)</f>
        <v>4336969</v>
      </c>
    </row>
    <row r="13" spans="1:6" ht="15.75" customHeight="1" x14ac:dyDescent="0.25">
      <c r="A13" s="3">
        <f ca="1">IFERROR(__xludf.DUMMYFUNCTION("""COMPUTED_VALUE"""),44945.6666666666)</f>
        <v>44945.666666666599</v>
      </c>
      <c r="B13" s="2">
        <f ca="1">IFERROR(__xludf.DUMMYFUNCTION("""COMPUTED_VALUE"""),137.5)</f>
        <v>137.5</v>
      </c>
      <c r="C13" s="2">
        <f ca="1">IFERROR(__xludf.DUMMYFUNCTION("""COMPUTED_VALUE"""),140.55)</f>
        <v>140.55000000000001</v>
      </c>
      <c r="D13" s="2">
        <f ca="1">IFERROR(__xludf.DUMMYFUNCTION("""COMPUTED_VALUE"""),135.08)</f>
        <v>135.08000000000001</v>
      </c>
      <c r="E13" s="2">
        <f ca="1">IFERROR(__xludf.DUMMYFUNCTION("""COMPUTED_VALUE"""),135.24)</f>
        <v>135.24</v>
      </c>
      <c r="F13" s="2">
        <f ca="1">IFERROR(__xludf.DUMMYFUNCTION("""COMPUTED_VALUE"""),4916404)</f>
        <v>4916404</v>
      </c>
    </row>
    <row r="14" spans="1:6" ht="15.75" customHeight="1" x14ac:dyDescent="0.25">
      <c r="A14" s="3">
        <f ca="1">IFERROR(__xludf.DUMMYFUNCTION("""COMPUTED_VALUE"""),44946.6666666666)</f>
        <v>44946.666666666599</v>
      </c>
      <c r="B14" s="2">
        <f ca="1">IFERROR(__xludf.DUMMYFUNCTION("""COMPUTED_VALUE"""),136.45)</f>
        <v>136.44999999999999</v>
      </c>
      <c r="C14" s="2">
        <f ca="1">IFERROR(__xludf.DUMMYFUNCTION("""COMPUTED_VALUE"""),145.08)</f>
        <v>145.08000000000001</v>
      </c>
      <c r="D14" s="2">
        <f ca="1">IFERROR(__xludf.DUMMYFUNCTION("""COMPUTED_VALUE"""),135.32)</f>
        <v>135.32</v>
      </c>
      <c r="E14" s="2">
        <f ca="1">IFERROR(__xludf.DUMMYFUNCTION("""COMPUTED_VALUE"""),144.82)</f>
        <v>144.82</v>
      </c>
      <c r="F14" s="2">
        <f ca="1">IFERROR(__xludf.DUMMYFUNCTION("""COMPUTED_VALUE"""),4714237)</f>
        <v>4714237</v>
      </c>
    </row>
    <row r="15" spans="1:6" ht="15.75" customHeight="1" x14ac:dyDescent="0.25">
      <c r="A15" s="3">
        <f ca="1">IFERROR(__xludf.DUMMYFUNCTION("""COMPUTED_VALUE"""),44949.6666666666)</f>
        <v>44949.666666666599</v>
      </c>
      <c r="B15" s="2">
        <f ca="1">IFERROR(__xludf.DUMMYFUNCTION("""COMPUTED_VALUE"""),146.5)</f>
        <v>146.5</v>
      </c>
      <c r="C15" s="2">
        <f ca="1">IFERROR(__xludf.DUMMYFUNCTION("""COMPUTED_VALUE"""),150.92)</f>
        <v>150.91999999999999</v>
      </c>
      <c r="D15" s="2">
        <f ca="1">IFERROR(__xludf.DUMMYFUNCTION("""COMPUTED_VALUE"""),144.74)</f>
        <v>144.74</v>
      </c>
      <c r="E15" s="2">
        <f ca="1">IFERROR(__xludf.DUMMYFUNCTION("""COMPUTED_VALUE"""),150.3)</f>
        <v>150.30000000000001</v>
      </c>
      <c r="F15" s="2">
        <f ca="1">IFERROR(__xludf.DUMMYFUNCTION("""COMPUTED_VALUE"""),4562743)</f>
        <v>4562743</v>
      </c>
    </row>
    <row r="16" spans="1:6" ht="15.75" customHeight="1" x14ac:dyDescent="0.25">
      <c r="A16" s="3">
        <f ca="1">IFERROR(__xludf.DUMMYFUNCTION("""COMPUTED_VALUE"""),44950.6666666666)</f>
        <v>44950.666666666599</v>
      </c>
      <c r="B16" s="2">
        <f ca="1">IFERROR(__xludf.DUMMYFUNCTION("""COMPUTED_VALUE"""),148.13)</f>
        <v>148.13</v>
      </c>
      <c r="C16" s="2">
        <f ca="1">IFERROR(__xludf.DUMMYFUNCTION("""COMPUTED_VALUE"""),152.76)</f>
        <v>152.76</v>
      </c>
      <c r="D16" s="2">
        <f ca="1">IFERROR(__xludf.DUMMYFUNCTION("""COMPUTED_VALUE"""),145.26)</f>
        <v>145.26</v>
      </c>
      <c r="E16" s="2">
        <f ca="1">IFERROR(__xludf.DUMMYFUNCTION("""COMPUTED_VALUE"""),145.79)</f>
        <v>145.79</v>
      </c>
      <c r="F16" s="2">
        <f ca="1">IFERROR(__xludf.DUMMYFUNCTION("""COMPUTED_VALUE"""),4086142)</f>
        <v>4086142</v>
      </c>
    </row>
    <row r="17" spans="1:6" ht="15.75" customHeight="1" x14ac:dyDescent="0.25">
      <c r="A17" s="3">
        <f ca="1">IFERROR(__xludf.DUMMYFUNCTION("""COMPUTED_VALUE"""),44951.6666666666)</f>
        <v>44951.666666666599</v>
      </c>
      <c r="B17" s="2">
        <f ca="1">IFERROR(__xludf.DUMMYFUNCTION("""COMPUTED_VALUE"""),138.27)</f>
        <v>138.27000000000001</v>
      </c>
      <c r="C17" s="2">
        <f ca="1">IFERROR(__xludf.DUMMYFUNCTION("""COMPUTED_VALUE"""),144.93)</f>
        <v>144.93</v>
      </c>
      <c r="D17" s="2">
        <f ca="1">IFERROR(__xludf.DUMMYFUNCTION("""COMPUTED_VALUE"""),134.34)</f>
        <v>134.34</v>
      </c>
      <c r="E17" s="2">
        <f ca="1">IFERROR(__xludf.DUMMYFUNCTION("""COMPUTED_VALUE"""),144.44)</f>
        <v>144.44</v>
      </c>
      <c r="F17" s="2">
        <f ca="1">IFERROR(__xludf.DUMMYFUNCTION("""COMPUTED_VALUE"""),7460129)</f>
        <v>7460129</v>
      </c>
    </row>
    <row r="18" spans="1:6" ht="15.75" customHeight="1" x14ac:dyDescent="0.25">
      <c r="A18" s="3">
        <f ca="1">IFERROR(__xludf.DUMMYFUNCTION("""COMPUTED_VALUE"""),44952.6666666666)</f>
        <v>44952.666666666599</v>
      </c>
      <c r="B18" s="2">
        <f ca="1">IFERROR(__xludf.DUMMYFUNCTION("""COMPUTED_VALUE"""),148.67)</f>
        <v>148.66999999999999</v>
      </c>
      <c r="C18" s="2">
        <f ca="1">IFERROR(__xludf.DUMMYFUNCTION("""COMPUTED_VALUE"""),152.49)</f>
        <v>152.49</v>
      </c>
      <c r="D18" s="2">
        <f ca="1">IFERROR(__xludf.DUMMYFUNCTION("""COMPUTED_VALUE"""),144.76)</f>
        <v>144.76</v>
      </c>
      <c r="E18" s="2">
        <f ca="1">IFERROR(__xludf.DUMMYFUNCTION("""COMPUTED_VALUE"""),152.45)</f>
        <v>152.44999999999999</v>
      </c>
      <c r="F18" s="2">
        <f ca="1">IFERROR(__xludf.DUMMYFUNCTION("""COMPUTED_VALUE"""),4450235)</f>
        <v>4450235</v>
      </c>
    </row>
    <row r="19" spans="1:6" ht="15.75" customHeight="1" x14ac:dyDescent="0.25">
      <c r="A19" s="3">
        <f ca="1">IFERROR(__xludf.DUMMYFUNCTION("""COMPUTED_VALUE"""),44953.6666666666)</f>
        <v>44953.666666666599</v>
      </c>
      <c r="B19" s="2">
        <f ca="1">IFERROR(__xludf.DUMMYFUNCTION("""COMPUTED_VALUE"""),150.59)</f>
        <v>150.59</v>
      </c>
      <c r="C19" s="2">
        <f ca="1">IFERROR(__xludf.DUMMYFUNCTION("""COMPUTED_VALUE"""),161.32)</f>
        <v>161.32</v>
      </c>
      <c r="D19" s="2">
        <f ca="1">IFERROR(__xludf.DUMMYFUNCTION("""COMPUTED_VALUE"""),150.38)</f>
        <v>150.38</v>
      </c>
      <c r="E19" s="2">
        <f ca="1">IFERROR(__xludf.DUMMYFUNCTION("""COMPUTED_VALUE"""),159.36)</f>
        <v>159.36000000000001</v>
      </c>
      <c r="F19" s="2">
        <f ca="1">IFERROR(__xludf.DUMMYFUNCTION("""COMPUTED_VALUE"""),11486765)</f>
        <v>11486765</v>
      </c>
    </row>
    <row r="20" spans="1:6" ht="15.75" customHeight="1" x14ac:dyDescent="0.25">
      <c r="A20" s="3">
        <f ca="1">IFERROR(__xludf.DUMMYFUNCTION("""COMPUTED_VALUE"""),44956.6666666666)</f>
        <v>44956.666666666599</v>
      </c>
      <c r="B20" s="2">
        <f ca="1">IFERROR(__xludf.DUMMYFUNCTION("""COMPUTED_VALUE"""),156.78)</f>
        <v>156.78</v>
      </c>
      <c r="C20" s="2">
        <f ca="1">IFERROR(__xludf.DUMMYFUNCTION("""COMPUTED_VALUE"""),159.73)</f>
        <v>159.72999999999999</v>
      </c>
      <c r="D20" s="2">
        <f ca="1">IFERROR(__xludf.DUMMYFUNCTION("""COMPUTED_VALUE"""),152.81)</f>
        <v>152.81</v>
      </c>
      <c r="E20" s="2">
        <f ca="1">IFERROR(__xludf.DUMMYFUNCTION("""COMPUTED_VALUE"""),152.92)</f>
        <v>152.91999999999999</v>
      </c>
      <c r="F20" s="2">
        <f ca="1">IFERROR(__xludf.DUMMYFUNCTION("""COMPUTED_VALUE"""),4239451)</f>
        <v>4239451</v>
      </c>
    </row>
    <row r="21" spans="1:6" ht="15.75" customHeight="1" x14ac:dyDescent="0.25">
      <c r="A21" s="3">
        <f ca="1">IFERROR(__xludf.DUMMYFUNCTION("""COMPUTED_VALUE"""),44957.6666666666)</f>
        <v>44957.666666666599</v>
      </c>
      <c r="B21" s="2">
        <f ca="1">IFERROR(__xludf.DUMMYFUNCTION("""COMPUTED_VALUE"""),153.77)</f>
        <v>153.77000000000001</v>
      </c>
      <c r="C21" s="2">
        <f ca="1">IFERROR(__xludf.DUMMYFUNCTION("""COMPUTED_VALUE"""),157.25)</f>
        <v>157.25</v>
      </c>
      <c r="D21" s="2">
        <f ca="1">IFERROR(__xludf.DUMMYFUNCTION("""COMPUTED_VALUE"""),151.21)</f>
        <v>151.21</v>
      </c>
      <c r="E21" s="2">
        <f ca="1">IFERROR(__xludf.DUMMYFUNCTION("""COMPUTED_VALUE"""),156.44)</f>
        <v>156.44</v>
      </c>
      <c r="F21" s="2">
        <f ca="1">IFERROR(__xludf.DUMMYFUNCTION("""COMPUTED_VALUE"""),5216153)</f>
        <v>5216153</v>
      </c>
    </row>
    <row r="22" spans="1:6" ht="15.75" customHeight="1" x14ac:dyDescent="0.25">
      <c r="A22" s="3">
        <f ca="1">IFERROR(__xludf.DUMMYFUNCTION("""COMPUTED_VALUE"""),44958.6666666666)</f>
        <v>44958.666666666599</v>
      </c>
      <c r="B22" s="2">
        <f ca="1">IFERROR(__xludf.DUMMYFUNCTION("""COMPUTED_VALUE"""),158.59)</f>
        <v>158.59</v>
      </c>
      <c r="C22" s="2">
        <f ca="1">IFERROR(__xludf.DUMMYFUNCTION("""COMPUTED_VALUE"""),166.83)</f>
        <v>166.83</v>
      </c>
      <c r="D22" s="2">
        <f ca="1">IFERROR(__xludf.DUMMYFUNCTION("""COMPUTED_VALUE"""),155.44)</f>
        <v>155.44</v>
      </c>
      <c r="E22" s="2">
        <f ca="1">IFERROR(__xludf.DUMMYFUNCTION("""COMPUTED_VALUE"""),165.22)</f>
        <v>165.22</v>
      </c>
      <c r="F22" s="2">
        <f ca="1">IFERROR(__xludf.DUMMYFUNCTION("""COMPUTED_VALUE"""),5056080)</f>
        <v>5056080</v>
      </c>
    </row>
    <row r="23" spans="1:6" ht="15.75" customHeight="1" x14ac:dyDescent="0.25">
      <c r="A23" s="3">
        <f ca="1">IFERROR(__xludf.DUMMYFUNCTION("""COMPUTED_VALUE"""),44959.6666666666)</f>
        <v>44959.666666666599</v>
      </c>
      <c r="B23" s="2">
        <f ca="1">IFERROR(__xludf.DUMMYFUNCTION("""COMPUTED_VALUE"""),173.84)</f>
        <v>173.84</v>
      </c>
      <c r="C23" s="2">
        <f ca="1">IFERROR(__xludf.DUMMYFUNCTION("""COMPUTED_VALUE"""),178.7)</f>
        <v>178.7</v>
      </c>
      <c r="D23" s="2">
        <f ca="1">IFERROR(__xludf.DUMMYFUNCTION("""COMPUTED_VALUE"""),170.26)</f>
        <v>170.26</v>
      </c>
      <c r="E23" s="2">
        <f ca="1">IFERROR(__xludf.DUMMYFUNCTION("""COMPUTED_VALUE"""),178.05)</f>
        <v>178.05</v>
      </c>
      <c r="F23" s="2">
        <f ca="1">IFERROR(__xludf.DUMMYFUNCTION("""COMPUTED_VALUE"""),8578224)</f>
        <v>8578224</v>
      </c>
    </row>
    <row r="24" spans="1:6" ht="15.75" customHeight="1" x14ac:dyDescent="0.25">
      <c r="A24" s="3">
        <f ca="1">IFERROR(__xludf.DUMMYFUNCTION("""COMPUTED_VALUE"""),44960.6666666666)</f>
        <v>44960.666666666599</v>
      </c>
      <c r="B24" s="2">
        <f ca="1">IFERROR(__xludf.DUMMYFUNCTION("""COMPUTED_VALUE"""),168)</f>
        <v>168</v>
      </c>
      <c r="C24" s="2">
        <f ca="1">IFERROR(__xludf.DUMMYFUNCTION("""COMPUTED_VALUE"""),175.49)</f>
        <v>175.49</v>
      </c>
      <c r="D24" s="2">
        <f ca="1">IFERROR(__xludf.DUMMYFUNCTION("""COMPUTED_VALUE"""),163)</f>
        <v>163</v>
      </c>
      <c r="E24" s="2">
        <f ca="1">IFERROR(__xludf.DUMMYFUNCTION("""COMPUTED_VALUE"""),163.29)</f>
        <v>163.29</v>
      </c>
      <c r="F24" s="2">
        <f ca="1">IFERROR(__xludf.DUMMYFUNCTION("""COMPUTED_VALUE"""),7312943)</f>
        <v>7312943</v>
      </c>
    </row>
    <row r="25" spans="1:6" ht="15.75" customHeight="1" x14ac:dyDescent="0.25">
      <c r="A25" s="3">
        <f ca="1">IFERROR(__xludf.DUMMYFUNCTION("""COMPUTED_VALUE"""),44963.6666666666)</f>
        <v>44963.666666666599</v>
      </c>
      <c r="B25" s="2">
        <f ca="1">IFERROR(__xludf.DUMMYFUNCTION("""COMPUTED_VALUE"""),159.74)</f>
        <v>159.74</v>
      </c>
      <c r="C25" s="2">
        <f ca="1">IFERROR(__xludf.DUMMYFUNCTION("""COMPUTED_VALUE"""),163.52)</f>
        <v>163.52000000000001</v>
      </c>
      <c r="D25" s="2">
        <f ca="1">IFERROR(__xludf.DUMMYFUNCTION("""COMPUTED_VALUE"""),156.79)</f>
        <v>156.79</v>
      </c>
      <c r="E25" s="2">
        <f ca="1">IFERROR(__xludf.DUMMYFUNCTION("""COMPUTED_VALUE"""),158.07)</f>
        <v>158.07</v>
      </c>
      <c r="F25" s="2">
        <f ca="1">IFERROR(__xludf.DUMMYFUNCTION("""COMPUTED_VALUE"""),5708704)</f>
        <v>5708704</v>
      </c>
    </row>
    <row r="26" spans="1:6" ht="15.75" customHeight="1" x14ac:dyDescent="0.25">
      <c r="A26" s="3">
        <f ca="1">IFERROR(__xludf.DUMMYFUNCTION("""COMPUTED_VALUE"""),44964.6666666666)</f>
        <v>44964.666666666599</v>
      </c>
      <c r="B26" s="2">
        <f ca="1">IFERROR(__xludf.DUMMYFUNCTION("""COMPUTED_VALUE"""),157.93)</f>
        <v>157.93</v>
      </c>
      <c r="C26" s="2">
        <f ca="1">IFERROR(__xludf.DUMMYFUNCTION("""COMPUTED_VALUE"""),161.5)</f>
        <v>161.5</v>
      </c>
      <c r="D26" s="2">
        <f ca="1">IFERROR(__xludf.DUMMYFUNCTION("""COMPUTED_VALUE"""),154.42)</f>
        <v>154.41999999999999</v>
      </c>
      <c r="E26" s="2">
        <f ca="1">IFERROR(__xludf.DUMMYFUNCTION("""COMPUTED_VALUE"""),160.77)</f>
        <v>160.77000000000001</v>
      </c>
      <c r="F26" s="2">
        <f ca="1">IFERROR(__xludf.DUMMYFUNCTION("""COMPUTED_VALUE"""),5343248)</f>
        <v>5343248</v>
      </c>
    </row>
    <row r="27" spans="1:6" ht="15.75" customHeight="1" x14ac:dyDescent="0.25">
      <c r="A27" s="3">
        <f ca="1">IFERROR(__xludf.DUMMYFUNCTION("""COMPUTED_VALUE"""),44965.6666666666)</f>
        <v>44965.666666666599</v>
      </c>
      <c r="B27" s="2">
        <f ca="1">IFERROR(__xludf.DUMMYFUNCTION("""COMPUTED_VALUE"""),161.26)</f>
        <v>161.26</v>
      </c>
      <c r="C27" s="2">
        <f ca="1">IFERROR(__xludf.DUMMYFUNCTION("""COMPUTED_VALUE"""),165)</f>
        <v>165</v>
      </c>
      <c r="D27" s="2">
        <f ca="1">IFERROR(__xludf.DUMMYFUNCTION("""COMPUTED_VALUE"""),158.04)</f>
        <v>158.04</v>
      </c>
      <c r="E27" s="2">
        <f ca="1">IFERROR(__xludf.DUMMYFUNCTION("""COMPUTED_VALUE"""),159.06)</f>
        <v>159.06</v>
      </c>
      <c r="F27" s="2">
        <f ca="1">IFERROR(__xludf.DUMMYFUNCTION("""COMPUTED_VALUE"""),3845306)</f>
        <v>3845306</v>
      </c>
    </row>
    <row r="28" spans="1:6" ht="15.75" customHeight="1" x14ac:dyDescent="0.25">
      <c r="A28" s="3">
        <f ca="1">IFERROR(__xludf.DUMMYFUNCTION("""COMPUTED_VALUE"""),44966.6666666666)</f>
        <v>44966.666666666599</v>
      </c>
      <c r="B28" s="2">
        <f ca="1">IFERROR(__xludf.DUMMYFUNCTION("""COMPUTED_VALUE"""),161.94)</f>
        <v>161.94</v>
      </c>
      <c r="C28" s="2">
        <f ca="1">IFERROR(__xludf.DUMMYFUNCTION("""COMPUTED_VALUE"""),166.72)</f>
        <v>166.72</v>
      </c>
      <c r="D28" s="2">
        <f ca="1">IFERROR(__xludf.DUMMYFUNCTION("""COMPUTED_VALUE"""),161.27)</f>
        <v>161.27000000000001</v>
      </c>
      <c r="E28" s="2">
        <f ca="1">IFERROR(__xludf.DUMMYFUNCTION("""COMPUTED_VALUE"""),162.68)</f>
        <v>162.68</v>
      </c>
      <c r="F28" s="2">
        <f ca="1">IFERROR(__xludf.DUMMYFUNCTION("""COMPUTED_VALUE"""),4534121)</f>
        <v>4534121</v>
      </c>
    </row>
    <row r="29" spans="1:6" ht="15.75" customHeight="1" x14ac:dyDescent="0.25">
      <c r="A29" s="3">
        <f ca="1">IFERROR(__xludf.DUMMYFUNCTION("""COMPUTED_VALUE"""),44967.6666666666)</f>
        <v>44967.666666666599</v>
      </c>
      <c r="B29" s="2">
        <f ca="1">IFERROR(__xludf.DUMMYFUNCTION("""COMPUTED_VALUE"""),159.66)</f>
        <v>159.66</v>
      </c>
      <c r="C29" s="2">
        <f ca="1">IFERROR(__xludf.DUMMYFUNCTION("""COMPUTED_VALUE"""),162.01)</f>
        <v>162.01</v>
      </c>
      <c r="D29" s="2">
        <f ca="1">IFERROR(__xludf.DUMMYFUNCTION("""COMPUTED_VALUE"""),154.73)</f>
        <v>154.72999999999999</v>
      </c>
      <c r="E29" s="2">
        <f ca="1">IFERROR(__xludf.DUMMYFUNCTION("""COMPUTED_VALUE"""),157.33)</f>
        <v>157.33000000000001</v>
      </c>
      <c r="F29" s="2">
        <f ca="1">IFERROR(__xludf.DUMMYFUNCTION("""COMPUTED_VALUE"""),4156649)</f>
        <v>4156649</v>
      </c>
    </row>
    <row r="30" spans="1:6" ht="15.75" customHeight="1" x14ac:dyDescent="0.25">
      <c r="A30" s="3">
        <f ca="1">IFERROR(__xludf.DUMMYFUNCTION("""COMPUTED_VALUE"""),44970.6666666666)</f>
        <v>44970.666666666599</v>
      </c>
      <c r="B30" s="2">
        <f ca="1">IFERROR(__xludf.DUMMYFUNCTION("""COMPUTED_VALUE"""),158.5)</f>
        <v>158.5</v>
      </c>
      <c r="C30" s="2">
        <f ca="1">IFERROR(__xludf.DUMMYFUNCTION("""COMPUTED_VALUE"""),165.06)</f>
        <v>165.06</v>
      </c>
      <c r="D30" s="2">
        <f ca="1">IFERROR(__xludf.DUMMYFUNCTION("""COMPUTED_VALUE"""),157.05)</f>
        <v>157.05000000000001</v>
      </c>
      <c r="E30" s="2">
        <f ca="1">IFERROR(__xludf.DUMMYFUNCTION("""COMPUTED_VALUE"""),161.96)</f>
        <v>161.96</v>
      </c>
      <c r="F30" s="2">
        <f ca="1">IFERROR(__xludf.DUMMYFUNCTION("""COMPUTED_VALUE"""),3615724)</f>
        <v>3615724</v>
      </c>
    </row>
    <row r="31" spans="1:6" ht="15.75" customHeight="1" x14ac:dyDescent="0.25">
      <c r="A31" s="3">
        <f ca="1">IFERROR(__xludf.DUMMYFUNCTION("""COMPUTED_VALUE"""),44971.6666666666)</f>
        <v>44971.666666666599</v>
      </c>
      <c r="B31" s="2">
        <f ca="1">IFERROR(__xludf.DUMMYFUNCTION("""COMPUTED_VALUE"""),159.97)</f>
        <v>159.97</v>
      </c>
      <c r="C31" s="2">
        <f ca="1">IFERROR(__xludf.DUMMYFUNCTION("""COMPUTED_VALUE"""),171.94)</f>
        <v>171.94</v>
      </c>
      <c r="D31" s="2">
        <f ca="1">IFERROR(__xludf.DUMMYFUNCTION("""COMPUTED_VALUE"""),158.24)</f>
        <v>158.24</v>
      </c>
      <c r="E31" s="2">
        <f ca="1">IFERROR(__xludf.DUMMYFUNCTION("""COMPUTED_VALUE"""),171.02)</f>
        <v>171.02</v>
      </c>
      <c r="F31" s="2">
        <f ca="1">IFERROR(__xludf.DUMMYFUNCTION("""COMPUTED_VALUE"""),4994848)</f>
        <v>4994848</v>
      </c>
    </row>
    <row r="32" spans="1:6" ht="15.75" customHeight="1" x14ac:dyDescent="0.25">
      <c r="A32" s="3">
        <f ca="1">IFERROR(__xludf.DUMMYFUNCTION("""COMPUTED_VALUE"""),44972.6666666666)</f>
        <v>44972.666666666599</v>
      </c>
      <c r="B32" s="2">
        <f ca="1">IFERROR(__xludf.DUMMYFUNCTION("""COMPUTED_VALUE"""),171.4)</f>
        <v>171.4</v>
      </c>
      <c r="C32" s="2">
        <f ca="1">IFERROR(__xludf.DUMMYFUNCTION("""COMPUTED_VALUE"""),175.95)</f>
        <v>175.95</v>
      </c>
      <c r="D32" s="2">
        <f ca="1">IFERROR(__xludf.DUMMYFUNCTION("""COMPUTED_VALUE"""),170.07)</f>
        <v>170.07</v>
      </c>
      <c r="E32" s="2">
        <f ca="1">IFERROR(__xludf.DUMMYFUNCTION("""COMPUTED_VALUE"""),175.28)</f>
        <v>175.28</v>
      </c>
      <c r="F32" s="2">
        <f ca="1">IFERROR(__xludf.DUMMYFUNCTION("""COMPUTED_VALUE"""),4445096)</f>
        <v>4445096</v>
      </c>
    </row>
    <row r="33" spans="1:6" ht="15.75" customHeight="1" x14ac:dyDescent="0.25">
      <c r="A33" s="3">
        <f ca="1">IFERROR(__xludf.DUMMYFUNCTION("""COMPUTED_VALUE"""),44973.6666666666)</f>
        <v>44973.666666666599</v>
      </c>
      <c r="B33" s="2">
        <f ca="1">IFERROR(__xludf.DUMMYFUNCTION("""COMPUTED_VALUE"""),171)</f>
        <v>171</v>
      </c>
      <c r="C33" s="2">
        <f ca="1">IFERROR(__xludf.DUMMYFUNCTION("""COMPUTED_VALUE"""),172.72)</f>
        <v>172.72</v>
      </c>
      <c r="D33" s="2">
        <f ca="1">IFERROR(__xludf.DUMMYFUNCTION("""COMPUTED_VALUE"""),163.92)</f>
        <v>163.92</v>
      </c>
      <c r="E33" s="2">
        <f ca="1">IFERROR(__xludf.DUMMYFUNCTION("""COMPUTED_VALUE"""),164.4)</f>
        <v>164.4</v>
      </c>
      <c r="F33" s="2">
        <f ca="1">IFERROR(__xludf.DUMMYFUNCTION("""COMPUTED_VALUE"""),4784586)</f>
        <v>4784586</v>
      </c>
    </row>
    <row r="34" spans="1:6" ht="15.75" customHeight="1" x14ac:dyDescent="0.25">
      <c r="A34" s="3">
        <f ca="1">IFERROR(__xludf.DUMMYFUNCTION("""COMPUTED_VALUE"""),44974.6666666666)</f>
        <v>44974.666666666599</v>
      </c>
      <c r="B34" s="2">
        <f ca="1">IFERROR(__xludf.DUMMYFUNCTION("""COMPUTED_VALUE"""),160.5)</f>
        <v>160.5</v>
      </c>
      <c r="C34" s="2">
        <f ca="1">IFERROR(__xludf.DUMMYFUNCTION("""COMPUTED_VALUE"""),160.77)</f>
        <v>160.77000000000001</v>
      </c>
      <c r="D34" s="2">
        <f ca="1">IFERROR(__xludf.DUMMYFUNCTION("""COMPUTED_VALUE"""),151.55)</f>
        <v>151.55000000000001</v>
      </c>
      <c r="E34" s="2">
        <f ca="1">IFERROR(__xludf.DUMMYFUNCTION("""COMPUTED_VALUE"""),154.08)</f>
        <v>154.08000000000001</v>
      </c>
      <c r="F34" s="2">
        <f ca="1">IFERROR(__xludf.DUMMYFUNCTION("""COMPUTED_VALUE"""),7951490)</f>
        <v>7951490</v>
      </c>
    </row>
    <row r="35" spans="1:6" ht="15.75" customHeight="1" x14ac:dyDescent="0.25">
      <c r="A35" s="3">
        <f ca="1">IFERROR(__xludf.DUMMYFUNCTION("""COMPUTED_VALUE"""),44978.6666666666)</f>
        <v>44978.666666666599</v>
      </c>
      <c r="B35" s="2">
        <f ca="1">IFERROR(__xludf.DUMMYFUNCTION("""COMPUTED_VALUE"""),150.6)</f>
        <v>150.6</v>
      </c>
      <c r="C35" s="2">
        <f ca="1">IFERROR(__xludf.DUMMYFUNCTION("""COMPUTED_VALUE"""),155)</f>
        <v>155</v>
      </c>
      <c r="D35" s="2">
        <f ca="1">IFERROR(__xludf.DUMMYFUNCTION("""COMPUTED_VALUE"""),150.08)</f>
        <v>150.08000000000001</v>
      </c>
      <c r="E35" s="2">
        <f ca="1">IFERROR(__xludf.DUMMYFUNCTION("""COMPUTED_VALUE"""),151.26)</f>
        <v>151.26</v>
      </c>
      <c r="F35" s="2">
        <f ca="1">IFERROR(__xludf.DUMMYFUNCTION("""COMPUTED_VALUE"""),3410995)</f>
        <v>3410995</v>
      </c>
    </row>
    <row r="36" spans="1:6" ht="15.75" customHeight="1" x14ac:dyDescent="0.25">
      <c r="A36" s="3">
        <f ca="1">IFERROR(__xludf.DUMMYFUNCTION("""COMPUTED_VALUE"""),44979.6666666666)</f>
        <v>44979.666666666599</v>
      </c>
      <c r="B36" s="2">
        <f ca="1">IFERROR(__xludf.DUMMYFUNCTION("""COMPUTED_VALUE"""),149.5)</f>
        <v>149.5</v>
      </c>
      <c r="C36" s="2">
        <f ca="1">IFERROR(__xludf.DUMMYFUNCTION("""COMPUTED_VALUE"""),155.38)</f>
        <v>155.38</v>
      </c>
      <c r="D36" s="2">
        <f ca="1">IFERROR(__xludf.DUMMYFUNCTION("""COMPUTED_VALUE"""),149.5)</f>
        <v>149.5</v>
      </c>
      <c r="E36" s="2">
        <f ca="1">IFERROR(__xludf.DUMMYFUNCTION("""COMPUTED_VALUE"""),150.66)</f>
        <v>150.66</v>
      </c>
      <c r="F36" s="2">
        <f ca="1">IFERROR(__xludf.DUMMYFUNCTION("""COMPUTED_VALUE"""),4101858)</f>
        <v>4101858</v>
      </c>
    </row>
    <row r="37" spans="1:6" ht="15.75" customHeight="1" x14ac:dyDescent="0.25">
      <c r="A37" s="3">
        <f ca="1">IFERROR(__xludf.DUMMYFUNCTION("""COMPUTED_VALUE"""),44980.6666666666)</f>
        <v>44980.666666666599</v>
      </c>
      <c r="B37" s="2">
        <f ca="1">IFERROR(__xludf.DUMMYFUNCTION("""COMPUTED_VALUE"""),153.5)</f>
        <v>153.5</v>
      </c>
      <c r="C37" s="2">
        <f ca="1">IFERROR(__xludf.DUMMYFUNCTION("""COMPUTED_VALUE"""),154.09)</f>
        <v>154.09</v>
      </c>
      <c r="D37" s="2">
        <f ca="1">IFERROR(__xludf.DUMMYFUNCTION("""COMPUTED_VALUE"""),147.75)</f>
        <v>147.75</v>
      </c>
      <c r="E37" s="2">
        <f ca="1">IFERROR(__xludf.DUMMYFUNCTION("""COMPUTED_VALUE"""),153.12)</f>
        <v>153.12</v>
      </c>
      <c r="F37" s="2">
        <f ca="1">IFERROR(__xludf.DUMMYFUNCTION("""COMPUTED_VALUE"""),4105824)</f>
        <v>4105824</v>
      </c>
    </row>
    <row r="38" spans="1:6" ht="15.75" customHeight="1" x14ac:dyDescent="0.25">
      <c r="A38" s="3">
        <f ca="1">IFERROR(__xludf.DUMMYFUNCTION("""COMPUTED_VALUE"""),44981.6666666666)</f>
        <v>44981.666666666599</v>
      </c>
      <c r="B38" s="2">
        <f ca="1">IFERROR(__xludf.DUMMYFUNCTION("""COMPUTED_VALUE"""),149.85)</f>
        <v>149.85</v>
      </c>
      <c r="C38" s="2">
        <f ca="1">IFERROR(__xludf.DUMMYFUNCTION("""COMPUTED_VALUE"""),150.75)</f>
        <v>150.75</v>
      </c>
      <c r="D38" s="2">
        <f ca="1">IFERROR(__xludf.DUMMYFUNCTION("""COMPUTED_VALUE"""),145.28)</f>
        <v>145.28</v>
      </c>
      <c r="E38" s="2">
        <f ca="1">IFERROR(__xludf.DUMMYFUNCTION("""COMPUTED_VALUE"""),148.44)</f>
        <v>148.44</v>
      </c>
      <c r="F38" s="2">
        <f ca="1">IFERROR(__xludf.DUMMYFUNCTION("""COMPUTED_VALUE"""),3791718)</f>
        <v>3791718</v>
      </c>
    </row>
    <row r="39" spans="1:6" ht="15.75" customHeight="1" x14ac:dyDescent="0.25">
      <c r="A39" s="3">
        <f ca="1">IFERROR(__xludf.DUMMYFUNCTION("""COMPUTED_VALUE"""),44984.6666666666)</f>
        <v>44984.666666666599</v>
      </c>
      <c r="B39" s="2">
        <f ca="1">IFERROR(__xludf.DUMMYFUNCTION("""COMPUTED_VALUE"""),150.2)</f>
        <v>150.19999999999999</v>
      </c>
      <c r="C39" s="2">
        <f ca="1">IFERROR(__xludf.DUMMYFUNCTION("""COMPUTED_VALUE"""),154.7)</f>
        <v>154.69999999999999</v>
      </c>
      <c r="D39" s="2">
        <f ca="1">IFERROR(__xludf.DUMMYFUNCTION("""COMPUTED_VALUE"""),148.58)</f>
        <v>148.58000000000001</v>
      </c>
      <c r="E39" s="2">
        <f ca="1">IFERROR(__xludf.DUMMYFUNCTION("""COMPUTED_VALUE"""),154.65)</f>
        <v>154.65</v>
      </c>
      <c r="F39" s="2">
        <f ca="1">IFERROR(__xludf.DUMMYFUNCTION("""COMPUTED_VALUE"""),4499976)</f>
        <v>4499976</v>
      </c>
    </row>
    <row r="40" spans="1:6" ht="12.5" x14ac:dyDescent="0.25">
      <c r="A40" s="3">
        <f ca="1">IFERROR(__xludf.DUMMYFUNCTION("""COMPUTED_VALUE"""),44985.6666666666)</f>
        <v>44985.666666666599</v>
      </c>
      <c r="B40" s="2">
        <f ca="1">IFERROR(__xludf.DUMMYFUNCTION("""COMPUTED_VALUE"""),154.68)</f>
        <v>154.68</v>
      </c>
      <c r="C40" s="2">
        <f ca="1">IFERROR(__xludf.DUMMYFUNCTION("""COMPUTED_VALUE"""),155.72)</f>
        <v>155.72</v>
      </c>
      <c r="D40" s="2">
        <f ca="1">IFERROR(__xludf.DUMMYFUNCTION("""COMPUTED_VALUE"""),152.93)</f>
        <v>152.93</v>
      </c>
      <c r="E40" s="2">
        <f ca="1">IFERROR(__xludf.DUMMYFUNCTION("""COMPUTED_VALUE"""),154.38)</f>
        <v>154.38</v>
      </c>
      <c r="F40" s="2">
        <f ca="1">IFERROR(__xludf.DUMMYFUNCTION("""COMPUTED_VALUE"""),4395010)</f>
        <v>4395010</v>
      </c>
    </row>
    <row r="41" spans="1:6" ht="12.5" x14ac:dyDescent="0.25">
      <c r="A41" s="3">
        <f ca="1">IFERROR(__xludf.DUMMYFUNCTION("""COMPUTED_VALUE"""),44986.6666666666)</f>
        <v>44986.666666666599</v>
      </c>
      <c r="B41" s="2">
        <f ca="1">IFERROR(__xludf.DUMMYFUNCTION("""COMPUTED_VALUE"""),154.22)</f>
        <v>154.22</v>
      </c>
      <c r="C41" s="2">
        <f ca="1">IFERROR(__xludf.DUMMYFUNCTION("""COMPUTED_VALUE"""),156.65)</f>
        <v>156.65</v>
      </c>
      <c r="D41" s="2">
        <f ca="1">IFERROR(__xludf.DUMMYFUNCTION("""COMPUTED_VALUE"""),153)</f>
        <v>153</v>
      </c>
      <c r="E41" s="2">
        <f ca="1">IFERROR(__xludf.DUMMYFUNCTION("""COMPUTED_VALUE"""),154.5)</f>
        <v>154.5</v>
      </c>
      <c r="F41" s="2">
        <f ca="1">IFERROR(__xludf.DUMMYFUNCTION("""COMPUTED_VALUE"""),8186394)</f>
        <v>8186394</v>
      </c>
    </row>
    <row r="42" spans="1:6" ht="12.5" x14ac:dyDescent="0.25">
      <c r="A42" s="3">
        <f ca="1">IFERROR(__xludf.DUMMYFUNCTION("""COMPUTED_VALUE"""),44987.6666666666)</f>
        <v>44987.666666666599</v>
      </c>
      <c r="B42" s="2">
        <f ca="1">IFERROR(__xludf.DUMMYFUNCTION("""COMPUTED_VALUE"""),139.04)</f>
        <v>139.04</v>
      </c>
      <c r="C42" s="2">
        <f ca="1">IFERROR(__xludf.DUMMYFUNCTION("""COMPUTED_VALUE"""),140.15)</f>
        <v>140.15</v>
      </c>
      <c r="D42" s="2">
        <f ca="1">IFERROR(__xludf.DUMMYFUNCTION("""COMPUTED_VALUE"""),131.12)</f>
        <v>131.12</v>
      </c>
      <c r="E42" s="2">
        <f ca="1">IFERROR(__xludf.DUMMYFUNCTION("""COMPUTED_VALUE"""),135.28)</f>
        <v>135.28</v>
      </c>
      <c r="F42" s="2">
        <f ca="1">IFERROR(__xludf.DUMMYFUNCTION("""COMPUTED_VALUE"""),25866458)</f>
        <v>25866458</v>
      </c>
    </row>
    <row r="43" spans="1:6" ht="12.5" x14ac:dyDescent="0.25">
      <c r="A43" s="3">
        <f ca="1">IFERROR(__xludf.DUMMYFUNCTION("""COMPUTED_VALUE"""),44988.6666666666)</f>
        <v>44988.666666666599</v>
      </c>
      <c r="B43" s="2">
        <f ca="1">IFERROR(__xludf.DUMMYFUNCTION("""COMPUTED_VALUE"""),135.51)</f>
        <v>135.51</v>
      </c>
      <c r="C43" s="2">
        <f ca="1">IFERROR(__xludf.DUMMYFUNCTION("""COMPUTED_VALUE"""),143.33)</f>
        <v>143.33000000000001</v>
      </c>
      <c r="D43" s="2">
        <f ca="1">IFERROR(__xludf.DUMMYFUNCTION("""COMPUTED_VALUE"""),135.5)</f>
        <v>135.5</v>
      </c>
      <c r="E43" s="2">
        <f ca="1">IFERROR(__xludf.DUMMYFUNCTION("""COMPUTED_VALUE"""),142.11)</f>
        <v>142.11000000000001</v>
      </c>
      <c r="F43" s="2">
        <f ca="1">IFERROR(__xludf.DUMMYFUNCTION("""COMPUTED_VALUE"""),9894354)</f>
        <v>9894354</v>
      </c>
    </row>
    <row r="44" spans="1:6" ht="12.5" x14ac:dyDescent="0.25">
      <c r="A44" s="3">
        <f ca="1">IFERROR(__xludf.DUMMYFUNCTION("""COMPUTED_VALUE"""),44991.6666666666)</f>
        <v>44991.666666666599</v>
      </c>
      <c r="B44" s="2">
        <f ca="1">IFERROR(__xludf.DUMMYFUNCTION("""COMPUTED_VALUE"""),142.65)</f>
        <v>142.65</v>
      </c>
      <c r="C44" s="2">
        <f ca="1">IFERROR(__xludf.DUMMYFUNCTION("""COMPUTED_VALUE"""),146.74)</f>
        <v>146.74</v>
      </c>
      <c r="D44" s="2">
        <f ca="1">IFERROR(__xludf.DUMMYFUNCTION("""COMPUTED_VALUE"""),140.85)</f>
        <v>140.85</v>
      </c>
      <c r="E44" s="2">
        <f ca="1">IFERROR(__xludf.DUMMYFUNCTION("""COMPUTED_VALUE"""),142.07)</f>
        <v>142.07</v>
      </c>
      <c r="F44" s="2">
        <f ca="1">IFERROR(__xludf.DUMMYFUNCTION("""COMPUTED_VALUE"""),5419188)</f>
        <v>5419188</v>
      </c>
    </row>
    <row r="45" spans="1:6" ht="12.5" x14ac:dyDescent="0.25">
      <c r="A45" s="3">
        <f ca="1">IFERROR(__xludf.DUMMYFUNCTION("""COMPUTED_VALUE"""),44992.6666666666)</f>
        <v>44992.666666666599</v>
      </c>
      <c r="B45" s="2">
        <f ca="1">IFERROR(__xludf.DUMMYFUNCTION("""COMPUTED_VALUE"""),141)</f>
        <v>141</v>
      </c>
      <c r="C45" s="2">
        <f ca="1">IFERROR(__xludf.DUMMYFUNCTION("""COMPUTED_VALUE"""),146.19)</f>
        <v>146.19</v>
      </c>
      <c r="D45" s="2">
        <f ca="1">IFERROR(__xludf.DUMMYFUNCTION("""COMPUTED_VALUE"""),140.1)</f>
        <v>140.1</v>
      </c>
      <c r="E45" s="2">
        <f ca="1">IFERROR(__xludf.DUMMYFUNCTION("""COMPUTED_VALUE"""),142.45)</f>
        <v>142.44999999999999</v>
      </c>
      <c r="F45" s="2">
        <f ca="1">IFERROR(__xludf.DUMMYFUNCTION("""COMPUTED_VALUE"""),4371918)</f>
        <v>4371918</v>
      </c>
    </row>
    <row r="46" spans="1:6" ht="12.5" x14ac:dyDescent="0.25">
      <c r="A46" s="3">
        <f ca="1">IFERROR(__xludf.DUMMYFUNCTION("""COMPUTED_VALUE"""),44993.6666666666)</f>
        <v>44993.666666666599</v>
      </c>
      <c r="B46" s="2">
        <f ca="1">IFERROR(__xludf.DUMMYFUNCTION("""COMPUTED_VALUE"""),140.23)</f>
        <v>140.22999999999999</v>
      </c>
      <c r="C46" s="2">
        <f ca="1">IFERROR(__xludf.DUMMYFUNCTION("""COMPUTED_VALUE"""),144.38)</f>
        <v>144.38</v>
      </c>
      <c r="D46" s="2">
        <f ca="1">IFERROR(__xludf.DUMMYFUNCTION("""COMPUTED_VALUE"""),139.29)</f>
        <v>139.29</v>
      </c>
      <c r="E46" s="2">
        <f ca="1">IFERROR(__xludf.DUMMYFUNCTION("""COMPUTED_VALUE"""),142.65)</f>
        <v>142.65</v>
      </c>
      <c r="F46" s="2">
        <f ca="1">IFERROR(__xludf.DUMMYFUNCTION("""COMPUTED_VALUE"""),3831703)</f>
        <v>3831703</v>
      </c>
    </row>
    <row r="47" spans="1:6" ht="12.5" x14ac:dyDescent="0.25">
      <c r="A47" s="3">
        <f ca="1">IFERROR(__xludf.DUMMYFUNCTION("""COMPUTED_VALUE"""),44994.6666666666)</f>
        <v>44994.666666666599</v>
      </c>
      <c r="B47" s="2">
        <f ca="1">IFERROR(__xludf.DUMMYFUNCTION("""COMPUTED_VALUE"""),141.38)</f>
        <v>141.38</v>
      </c>
      <c r="C47" s="2">
        <f ca="1">IFERROR(__xludf.DUMMYFUNCTION("""COMPUTED_VALUE"""),144.1)</f>
        <v>144.1</v>
      </c>
      <c r="D47" s="2">
        <f ca="1">IFERROR(__xludf.DUMMYFUNCTION("""COMPUTED_VALUE"""),136.05)</f>
        <v>136.05000000000001</v>
      </c>
      <c r="E47" s="2">
        <f ca="1">IFERROR(__xludf.DUMMYFUNCTION("""COMPUTED_VALUE"""),136.3)</f>
        <v>136.30000000000001</v>
      </c>
      <c r="F47" s="2">
        <f ca="1">IFERROR(__xludf.DUMMYFUNCTION("""COMPUTED_VALUE"""),5078181)</f>
        <v>5078181</v>
      </c>
    </row>
    <row r="48" spans="1:6" ht="12.5" x14ac:dyDescent="0.25">
      <c r="A48" s="3">
        <f ca="1">IFERROR(__xludf.DUMMYFUNCTION("""COMPUTED_VALUE"""),44995.6666666666)</f>
        <v>44995.666666666599</v>
      </c>
      <c r="B48" s="2">
        <f ca="1">IFERROR(__xludf.DUMMYFUNCTION("""COMPUTED_VALUE"""),135.02)</f>
        <v>135.02000000000001</v>
      </c>
      <c r="C48" s="2">
        <f ca="1">IFERROR(__xludf.DUMMYFUNCTION("""COMPUTED_VALUE"""),135.79)</f>
        <v>135.79</v>
      </c>
      <c r="D48" s="2">
        <f ca="1">IFERROR(__xludf.DUMMYFUNCTION("""COMPUTED_VALUE"""),128.56)</f>
        <v>128.56</v>
      </c>
      <c r="E48" s="2">
        <f ca="1">IFERROR(__xludf.DUMMYFUNCTION("""COMPUTED_VALUE"""),131.46)</f>
        <v>131.46</v>
      </c>
      <c r="F48" s="2">
        <f ca="1">IFERROR(__xludf.DUMMYFUNCTION("""COMPUTED_VALUE"""),8882289)</f>
        <v>8882289</v>
      </c>
    </row>
    <row r="49" spans="1:6" ht="12.5" x14ac:dyDescent="0.25">
      <c r="A49" s="3">
        <f ca="1">IFERROR(__xludf.DUMMYFUNCTION("""COMPUTED_VALUE"""),44998.6666666666)</f>
        <v>44998.666666666599</v>
      </c>
      <c r="B49" s="2">
        <f ca="1">IFERROR(__xludf.DUMMYFUNCTION("""COMPUTED_VALUE"""),129.98)</f>
        <v>129.97999999999999</v>
      </c>
      <c r="C49" s="2">
        <f ca="1">IFERROR(__xludf.DUMMYFUNCTION("""COMPUTED_VALUE"""),140.46)</f>
        <v>140.46</v>
      </c>
      <c r="D49" s="2">
        <f ca="1">IFERROR(__xludf.DUMMYFUNCTION("""COMPUTED_VALUE"""),128.76)</f>
        <v>128.76</v>
      </c>
      <c r="E49" s="2">
        <f ca="1">IFERROR(__xludf.DUMMYFUNCTION("""COMPUTED_VALUE"""),137.73)</f>
        <v>137.72999999999999</v>
      </c>
      <c r="F49" s="2">
        <f ca="1">IFERROR(__xludf.DUMMYFUNCTION("""COMPUTED_VALUE"""),7589634)</f>
        <v>7589634</v>
      </c>
    </row>
    <row r="50" spans="1:6" ht="12.5" x14ac:dyDescent="0.25">
      <c r="A50" s="3">
        <f ca="1">IFERROR(__xludf.DUMMYFUNCTION("""COMPUTED_VALUE"""),44999.6666666666)</f>
        <v>44999.666666666599</v>
      </c>
      <c r="B50" s="2">
        <f ca="1">IFERROR(__xludf.DUMMYFUNCTION("""COMPUTED_VALUE"""),138.64)</f>
        <v>138.63999999999999</v>
      </c>
      <c r="C50" s="2">
        <f ca="1">IFERROR(__xludf.DUMMYFUNCTION("""COMPUTED_VALUE"""),140.08)</f>
        <v>140.08000000000001</v>
      </c>
      <c r="D50" s="2">
        <f ca="1">IFERROR(__xludf.DUMMYFUNCTION("""COMPUTED_VALUE"""),134.88)</f>
        <v>134.88</v>
      </c>
      <c r="E50" s="2">
        <f ca="1">IFERROR(__xludf.DUMMYFUNCTION("""COMPUTED_VALUE"""),139.82)</f>
        <v>139.82</v>
      </c>
      <c r="F50" s="2">
        <f ca="1">IFERROR(__xludf.DUMMYFUNCTION("""COMPUTED_VALUE"""),6550384)</f>
        <v>6550384</v>
      </c>
    </row>
    <row r="51" spans="1:6" ht="12.5" x14ac:dyDescent="0.25">
      <c r="A51" s="3">
        <f ca="1">IFERROR(__xludf.DUMMYFUNCTION("""COMPUTED_VALUE"""),45000.6666666666)</f>
        <v>45000.666666666599</v>
      </c>
      <c r="B51" s="2">
        <f ca="1">IFERROR(__xludf.DUMMYFUNCTION("""COMPUTED_VALUE"""),136.28)</f>
        <v>136.28</v>
      </c>
      <c r="C51" s="2">
        <f ca="1">IFERROR(__xludf.DUMMYFUNCTION("""COMPUTED_VALUE"""),140.17)</f>
        <v>140.16999999999999</v>
      </c>
      <c r="D51" s="2">
        <f ca="1">IFERROR(__xludf.DUMMYFUNCTION("""COMPUTED_VALUE"""),135.3)</f>
        <v>135.30000000000001</v>
      </c>
      <c r="E51" s="2">
        <f ca="1">IFERROR(__xludf.DUMMYFUNCTION("""COMPUTED_VALUE"""),139.58)</f>
        <v>139.58000000000001</v>
      </c>
      <c r="F51" s="2">
        <f ca="1">IFERROR(__xludf.DUMMYFUNCTION("""COMPUTED_VALUE"""),4008229)</f>
        <v>4008229</v>
      </c>
    </row>
    <row r="52" spans="1:6" ht="12.5" x14ac:dyDescent="0.25">
      <c r="A52" s="3">
        <f ca="1">IFERROR(__xludf.DUMMYFUNCTION("""COMPUTED_VALUE"""),45001.6666666666)</f>
        <v>45001.666666666599</v>
      </c>
      <c r="B52" s="2">
        <f ca="1">IFERROR(__xludf.DUMMYFUNCTION("""COMPUTED_VALUE"""),140)</f>
        <v>140</v>
      </c>
      <c r="C52" s="2">
        <f ca="1">IFERROR(__xludf.DUMMYFUNCTION("""COMPUTED_VALUE"""),142.44)</f>
        <v>142.44</v>
      </c>
      <c r="D52" s="2">
        <f ca="1">IFERROR(__xludf.DUMMYFUNCTION("""COMPUTED_VALUE"""),137.4)</f>
        <v>137.4</v>
      </c>
      <c r="E52" s="2">
        <f ca="1">IFERROR(__xludf.DUMMYFUNCTION("""COMPUTED_VALUE"""),138.92)</f>
        <v>138.91999999999999</v>
      </c>
      <c r="F52" s="2">
        <f ca="1">IFERROR(__xludf.DUMMYFUNCTION("""COMPUTED_VALUE"""),4689052)</f>
        <v>4689052</v>
      </c>
    </row>
    <row r="53" spans="1:6" ht="12.5" x14ac:dyDescent="0.25">
      <c r="A53" s="3">
        <f ca="1">IFERROR(__xludf.DUMMYFUNCTION("""COMPUTED_VALUE"""),45002.6666666666)</f>
        <v>45002.666666666599</v>
      </c>
      <c r="B53" s="2">
        <f ca="1">IFERROR(__xludf.DUMMYFUNCTION("""COMPUTED_VALUE"""),138.64)</f>
        <v>138.63999999999999</v>
      </c>
      <c r="C53" s="2">
        <f ca="1">IFERROR(__xludf.DUMMYFUNCTION("""COMPUTED_VALUE"""),139.44)</f>
        <v>139.44</v>
      </c>
      <c r="D53" s="2">
        <f ca="1">IFERROR(__xludf.DUMMYFUNCTION("""COMPUTED_VALUE"""),133.56)</f>
        <v>133.56</v>
      </c>
      <c r="E53" s="2">
        <f ca="1">IFERROR(__xludf.DUMMYFUNCTION("""COMPUTED_VALUE"""),135.62)</f>
        <v>135.62</v>
      </c>
      <c r="F53" s="2">
        <f ca="1">IFERROR(__xludf.DUMMYFUNCTION("""COMPUTED_VALUE"""),5409629)</f>
        <v>5409629</v>
      </c>
    </row>
    <row r="54" spans="1:6" ht="12.5" x14ac:dyDescent="0.25">
      <c r="A54" s="3">
        <f ca="1">IFERROR(__xludf.DUMMYFUNCTION("""COMPUTED_VALUE"""),45005.6666666666)</f>
        <v>45005.666666666599</v>
      </c>
      <c r="B54" s="2">
        <f ca="1">IFERROR(__xludf.DUMMYFUNCTION("""COMPUTED_VALUE"""),133.81)</f>
        <v>133.81</v>
      </c>
      <c r="C54" s="2">
        <f ca="1">IFERROR(__xludf.DUMMYFUNCTION("""COMPUTED_VALUE"""),135.58)</f>
        <v>135.58000000000001</v>
      </c>
      <c r="D54" s="2">
        <f ca="1">IFERROR(__xludf.DUMMYFUNCTION("""COMPUTED_VALUE"""),131.62)</f>
        <v>131.62</v>
      </c>
      <c r="E54" s="2">
        <f ca="1">IFERROR(__xludf.DUMMYFUNCTION("""COMPUTED_VALUE"""),135.47)</f>
        <v>135.47</v>
      </c>
      <c r="F54" s="2">
        <f ca="1">IFERROR(__xludf.DUMMYFUNCTION("""COMPUTED_VALUE"""),3577383)</f>
        <v>3577383</v>
      </c>
    </row>
    <row r="55" spans="1:6" ht="12.5" x14ac:dyDescent="0.25">
      <c r="A55" s="3">
        <f ca="1">IFERROR(__xludf.DUMMYFUNCTION("""COMPUTED_VALUE"""),45006.6666666666)</f>
        <v>45006.666666666599</v>
      </c>
      <c r="B55" s="2">
        <f ca="1">IFERROR(__xludf.DUMMYFUNCTION("""COMPUTED_VALUE"""),136.97)</f>
        <v>136.97</v>
      </c>
      <c r="C55" s="2">
        <f ca="1">IFERROR(__xludf.DUMMYFUNCTION("""COMPUTED_VALUE"""),142.29)</f>
        <v>142.29</v>
      </c>
      <c r="D55" s="2">
        <f ca="1">IFERROR(__xludf.DUMMYFUNCTION("""COMPUTED_VALUE"""),135.31)</f>
        <v>135.31</v>
      </c>
      <c r="E55" s="2">
        <f ca="1">IFERROR(__xludf.DUMMYFUNCTION("""COMPUTED_VALUE"""),141.47)</f>
        <v>141.47</v>
      </c>
      <c r="F55" s="2">
        <f ca="1">IFERROR(__xludf.DUMMYFUNCTION("""COMPUTED_VALUE"""),4402331)</f>
        <v>4402331</v>
      </c>
    </row>
    <row r="56" spans="1:6" ht="12.5" x14ac:dyDescent="0.25">
      <c r="A56" s="3">
        <f ca="1">IFERROR(__xludf.DUMMYFUNCTION("""COMPUTED_VALUE"""),45007.6666666666)</f>
        <v>45007.666666666599</v>
      </c>
      <c r="B56" s="2">
        <f ca="1">IFERROR(__xludf.DUMMYFUNCTION("""COMPUTED_VALUE"""),141.2)</f>
        <v>141.19999999999999</v>
      </c>
      <c r="C56" s="2">
        <f ca="1">IFERROR(__xludf.DUMMYFUNCTION("""COMPUTED_VALUE"""),142.8)</f>
        <v>142.80000000000001</v>
      </c>
      <c r="D56" s="2">
        <f ca="1">IFERROR(__xludf.DUMMYFUNCTION("""COMPUTED_VALUE"""),135.48)</f>
        <v>135.47999999999999</v>
      </c>
      <c r="E56" s="2">
        <f ca="1">IFERROR(__xludf.DUMMYFUNCTION("""COMPUTED_VALUE"""),135.63)</f>
        <v>135.63</v>
      </c>
      <c r="F56" s="2">
        <f ca="1">IFERROR(__xludf.DUMMYFUNCTION("""COMPUTED_VALUE"""),4525711)</f>
        <v>4525711</v>
      </c>
    </row>
    <row r="57" spans="1:6" ht="12.5" x14ac:dyDescent="0.25">
      <c r="A57" s="3">
        <f ca="1">IFERROR(__xludf.DUMMYFUNCTION("""COMPUTED_VALUE"""),45008.6666666666)</f>
        <v>45008.666666666599</v>
      </c>
      <c r="B57" s="2">
        <f ca="1">IFERROR(__xludf.DUMMYFUNCTION("""COMPUTED_VALUE"""),137.99)</f>
        <v>137.99</v>
      </c>
      <c r="C57" s="2">
        <f ca="1">IFERROR(__xludf.DUMMYFUNCTION("""COMPUTED_VALUE"""),141.1)</f>
        <v>141.1</v>
      </c>
      <c r="D57" s="2">
        <f ca="1">IFERROR(__xludf.DUMMYFUNCTION("""COMPUTED_VALUE"""),135.03)</f>
        <v>135.03</v>
      </c>
      <c r="E57" s="2">
        <f ca="1">IFERROR(__xludf.DUMMYFUNCTION("""COMPUTED_VALUE"""),140.57)</f>
        <v>140.57</v>
      </c>
      <c r="F57" s="2">
        <f ca="1">IFERROR(__xludf.DUMMYFUNCTION("""COMPUTED_VALUE"""),6318822)</f>
        <v>6318822</v>
      </c>
    </row>
    <row r="58" spans="1:6" ht="12.5" x14ac:dyDescent="0.25">
      <c r="A58" s="3">
        <f ca="1">IFERROR(__xludf.DUMMYFUNCTION("""COMPUTED_VALUE"""),45009.6666666666)</f>
        <v>45009.666666666599</v>
      </c>
      <c r="B58" s="2">
        <f ca="1">IFERROR(__xludf.DUMMYFUNCTION("""COMPUTED_VALUE"""),139.3)</f>
        <v>139.30000000000001</v>
      </c>
      <c r="C58" s="2">
        <f ca="1">IFERROR(__xludf.DUMMYFUNCTION("""COMPUTED_VALUE"""),141.98)</f>
        <v>141.97999999999999</v>
      </c>
      <c r="D58" s="2">
        <f ca="1">IFERROR(__xludf.DUMMYFUNCTION("""COMPUTED_VALUE"""),135.55)</f>
        <v>135.55000000000001</v>
      </c>
      <c r="E58" s="2">
        <f ca="1">IFERROR(__xludf.DUMMYFUNCTION("""COMPUTED_VALUE"""),136.53)</f>
        <v>136.53</v>
      </c>
      <c r="F58" s="2">
        <f ca="1">IFERROR(__xludf.DUMMYFUNCTION("""COMPUTED_VALUE"""),3657496)</f>
        <v>3657496</v>
      </c>
    </row>
    <row r="59" spans="1:6" ht="12.5" x14ac:dyDescent="0.25">
      <c r="A59" s="3">
        <f ca="1">IFERROR(__xludf.DUMMYFUNCTION("""COMPUTED_VALUE"""),45012.6666666666)</f>
        <v>45012.666666666599</v>
      </c>
      <c r="B59" s="2">
        <f ca="1">IFERROR(__xludf.DUMMYFUNCTION("""COMPUTED_VALUE"""),136.49)</f>
        <v>136.49</v>
      </c>
      <c r="C59" s="2">
        <f ca="1">IFERROR(__xludf.DUMMYFUNCTION("""COMPUTED_VALUE"""),137.87)</f>
        <v>137.87</v>
      </c>
      <c r="D59" s="2">
        <f ca="1">IFERROR(__xludf.DUMMYFUNCTION("""COMPUTED_VALUE"""),134.4)</f>
        <v>134.4</v>
      </c>
      <c r="E59" s="2">
        <f ca="1">IFERROR(__xludf.DUMMYFUNCTION("""COMPUTED_VALUE"""),134.97)</f>
        <v>134.97</v>
      </c>
      <c r="F59" s="2">
        <f ca="1">IFERROR(__xludf.DUMMYFUNCTION("""COMPUTED_VALUE"""),3940424)</f>
        <v>3940424</v>
      </c>
    </row>
    <row r="60" spans="1:6" ht="12.5" x14ac:dyDescent="0.25">
      <c r="A60" s="3">
        <f ca="1">IFERROR(__xludf.DUMMYFUNCTION("""COMPUTED_VALUE"""),45013.6666666666)</f>
        <v>45013.666666666599</v>
      </c>
      <c r="B60" s="2">
        <f ca="1">IFERROR(__xludf.DUMMYFUNCTION("""COMPUTED_VALUE"""),136)</f>
        <v>136</v>
      </c>
      <c r="C60" s="2">
        <f ca="1">IFERROR(__xludf.DUMMYFUNCTION("""COMPUTED_VALUE"""),136.72)</f>
        <v>136.72</v>
      </c>
      <c r="D60" s="2">
        <f ca="1">IFERROR(__xludf.DUMMYFUNCTION("""COMPUTED_VALUE"""),134.17)</f>
        <v>134.16999999999999</v>
      </c>
      <c r="E60" s="2">
        <f ca="1">IFERROR(__xludf.DUMMYFUNCTION("""COMPUTED_VALUE"""),134.81)</f>
        <v>134.81</v>
      </c>
      <c r="F60" s="2">
        <f ca="1">IFERROR(__xludf.DUMMYFUNCTION("""COMPUTED_VALUE"""),2692733)</f>
        <v>2692733</v>
      </c>
    </row>
    <row r="61" spans="1:6" ht="12.5" x14ac:dyDescent="0.25">
      <c r="A61" s="3">
        <f ca="1">IFERROR(__xludf.DUMMYFUNCTION("""COMPUTED_VALUE"""),45014.6666666666)</f>
        <v>45014.666666666599</v>
      </c>
      <c r="B61" s="2">
        <f ca="1">IFERROR(__xludf.DUMMYFUNCTION("""COMPUTED_VALUE"""),136.26)</f>
        <v>136.26</v>
      </c>
      <c r="C61" s="2">
        <f ca="1">IFERROR(__xludf.DUMMYFUNCTION("""COMPUTED_VALUE"""),138.6)</f>
        <v>138.6</v>
      </c>
      <c r="D61" s="2">
        <f ca="1">IFERROR(__xludf.DUMMYFUNCTION("""COMPUTED_VALUE"""),135.6)</f>
        <v>135.6</v>
      </c>
      <c r="E61" s="2">
        <f ca="1">IFERROR(__xludf.DUMMYFUNCTION("""COMPUTED_VALUE"""),137.46)</f>
        <v>137.46</v>
      </c>
      <c r="F61" s="2">
        <f ca="1">IFERROR(__xludf.DUMMYFUNCTION("""COMPUTED_VALUE"""),4051078)</f>
        <v>4051078</v>
      </c>
    </row>
    <row r="62" spans="1:6" ht="12.5" x14ac:dyDescent="0.25">
      <c r="A62" s="3">
        <f ca="1">IFERROR(__xludf.DUMMYFUNCTION("""COMPUTED_VALUE"""),45015.6666666666)</f>
        <v>45015.666666666599</v>
      </c>
      <c r="B62" s="2">
        <f ca="1">IFERROR(__xludf.DUMMYFUNCTION("""COMPUTED_VALUE"""),139.99)</f>
        <v>139.99</v>
      </c>
      <c r="C62" s="2">
        <f ca="1">IFERROR(__xludf.DUMMYFUNCTION("""COMPUTED_VALUE"""),145.33)</f>
        <v>145.33000000000001</v>
      </c>
      <c r="D62" s="2">
        <f ca="1">IFERROR(__xludf.DUMMYFUNCTION("""COMPUTED_VALUE"""),138.76)</f>
        <v>138.76</v>
      </c>
      <c r="E62" s="2">
        <f ca="1">IFERROR(__xludf.DUMMYFUNCTION("""COMPUTED_VALUE"""),142.11)</f>
        <v>142.11000000000001</v>
      </c>
      <c r="F62" s="2">
        <f ca="1">IFERROR(__xludf.DUMMYFUNCTION("""COMPUTED_VALUE"""),5171853)</f>
        <v>5171853</v>
      </c>
    </row>
    <row r="63" spans="1:6" ht="12.5" x14ac:dyDescent="0.25">
      <c r="A63" s="3">
        <f ca="1">IFERROR(__xludf.DUMMYFUNCTION("""COMPUTED_VALUE"""),45016.6666666666)</f>
        <v>45016.666666666599</v>
      </c>
      <c r="B63" s="2">
        <f ca="1">IFERROR(__xludf.DUMMYFUNCTION("""COMPUTED_VALUE"""),142.81)</f>
        <v>142.81</v>
      </c>
      <c r="C63" s="2">
        <f ca="1">IFERROR(__xludf.DUMMYFUNCTION("""COMPUTED_VALUE"""),154.44)</f>
        <v>154.44</v>
      </c>
      <c r="D63" s="2">
        <f ca="1">IFERROR(__xludf.DUMMYFUNCTION("""COMPUTED_VALUE"""),141.83)</f>
        <v>141.83000000000001</v>
      </c>
      <c r="E63" s="2">
        <f ca="1">IFERROR(__xludf.DUMMYFUNCTION("""COMPUTED_VALUE"""),154.29)</f>
        <v>154.29</v>
      </c>
      <c r="F63" s="2">
        <f ca="1">IFERROR(__xludf.DUMMYFUNCTION("""COMPUTED_VALUE"""),8611582)</f>
        <v>8611582</v>
      </c>
    </row>
    <row r="64" spans="1:6" ht="12.5" x14ac:dyDescent="0.25">
      <c r="A64" s="3">
        <f ca="1">IFERROR(__xludf.DUMMYFUNCTION("""COMPUTED_VALUE"""),45019.6666666666)</f>
        <v>45019.666666666599</v>
      </c>
      <c r="B64" s="2">
        <f ca="1">IFERROR(__xludf.DUMMYFUNCTION("""COMPUTED_VALUE"""),152.78)</f>
        <v>152.78</v>
      </c>
      <c r="C64" s="2">
        <f ca="1">IFERROR(__xludf.DUMMYFUNCTION("""COMPUTED_VALUE"""),154.25)</f>
        <v>154.25</v>
      </c>
      <c r="D64" s="2">
        <f ca="1">IFERROR(__xludf.DUMMYFUNCTION("""COMPUTED_VALUE"""),148.72)</f>
        <v>148.72</v>
      </c>
      <c r="E64" s="2">
        <f ca="1">IFERROR(__xludf.DUMMYFUNCTION("""COMPUTED_VALUE"""),150)</f>
        <v>150</v>
      </c>
      <c r="F64" s="2">
        <f ca="1">IFERROR(__xludf.DUMMYFUNCTION("""COMPUTED_VALUE"""),4290127)</f>
        <v>4290127</v>
      </c>
    </row>
    <row r="65" spans="1:6" ht="12.5" x14ac:dyDescent="0.25">
      <c r="A65" s="3">
        <f ca="1">IFERROR(__xludf.DUMMYFUNCTION("""COMPUTED_VALUE"""),45020.6666666666)</f>
        <v>45020.666666666599</v>
      </c>
      <c r="B65" s="2">
        <f ca="1">IFERROR(__xludf.DUMMYFUNCTION("""COMPUTED_VALUE"""),151)</f>
        <v>151</v>
      </c>
      <c r="C65" s="2">
        <f ca="1">IFERROR(__xludf.DUMMYFUNCTION("""COMPUTED_VALUE"""),158)</f>
        <v>158</v>
      </c>
      <c r="D65" s="2">
        <f ca="1">IFERROR(__xludf.DUMMYFUNCTION("""COMPUTED_VALUE"""),150.75)</f>
        <v>150.75</v>
      </c>
      <c r="E65" s="2">
        <f ca="1">IFERROR(__xludf.DUMMYFUNCTION("""COMPUTED_VALUE"""),155.43)</f>
        <v>155.43</v>
      </c>
      <c r="F65" s="2">
        <f ca="1">IFERROR(__xludf.DUMMYFUNCTION("""COMPUTED_VALUE"""),9213654)</f>
        <v>9213654</v>
      </c>
    </row>
    <row r="66" spans="1:6" ht="12.5" x14ac:dyDescent="0.25">
      <c r="A66" s="3">
        <f ca="1">IFERROR(__xludf.DUMMYFUNCTION("""COMPUTED_VALUE"""),45021.6666666666)</f>
        <v>45021.666666666599</v>
      </c>
      <c r="B66" s="2">
        <f ca="1">IFERROR(__xludf.DUMMYFUNCTION("""COMPUTED_VALUE"""),154.83)</f>
        <v>154.83000000000001</v>
      </c>
      <c r="C66" s="2">
        <f ca="1">IFERROR(__xludf.DUMMYFUNCTION("""COMPUTED_VALUE"""),156.04)</f>
        <v>156.04</v>
      </c>
      <c r="D66" s="2">
        <f ca="1">IFERROR(__xludf.DUMMYFUNCTION("""COMPUTED_VALUE"""),144.14)</f>
        <v>144.13999999999999</v>
      </c>
      <c r="E66" s="2">
        <f ca="1">IFERROR(__xludf.DUMMYFUNCTION("""COMPUTED_VALUE"""),146.48)</f>
        <v>146.47999999999999</v>
      </c>
      <c r="F66" s="2">
        <f ca="1">IFERROR(__xludf.DUMMYFUNCTION("""COMPUTED_VALUE"""),5422068)</f>
        <v>5422068</v>
      </c>
    </row>
    <row r="67" spans="1:6" ht="12.5" x14ac:dyDescent="0.25">
      <c r="A67" s="3">
        <f ca="1">IFERROR(__xludf.DUMMYFUNCTION("""COMPUTED_VALUE"""),45022.6666666666)</f>
        <v>45022.666666666599</v>
      </c>
      <c r="B67" s="2">
        <f ca="1">IFERROR(__xludf.DUMMYFUNCTION("""COMPUTED_VALUE"""),144.59)</f>
        <v>144.59</v>
      </c>
      <c r="C67" s="2">
        <f ca="1">IFERROR(__xludf.DUMMYFUNCTION("""COMPUTED_VALUE"""),146.06)</f>
        <v>146.06</v>
      </c>
      <c r="D67" s="2">
        <f ca="1">IFERROR(__xludf.DUMMYFUNCTION("""COMPUTED_VALUE"""),140.88)</f>
        <v>140.88</v>
      </c>
      <c r="E67" s="2">
        <f ca="1">IFERROR(__xludf.DUMMYFUNCTION("""COMPUTED_VALUE"""),145.68)</f>
        <v>145.68</v>
      </c>
      <c r="F67" s="2">
        <f ca="1">IFERROR(__xludf.DUMMYFUNCTION("""COMPUTED_VALUE"""),3326902)</f>
        <v>3326902</v>
      </c>
    </row>
    <row r="68" spans="1:6" ht="12.5" x14ac:dyDescent="0.25">
      <c r="A68" s="3">
        <f ca="1">IFERROR(__xludf.DUMMYFUNCTION("""COMPUTED_VALUE"""),45026.6666666666)</f>
        <v>45026.666666666599</v>
      </c>
      <c r="B68" s="2">
        <f ca="1">IFERROR(__xludf.DUMMYFUNCTION("""COMPUTED_VALUE"""),143.34)</f>
        <v>143.34</v>
      </c>
      <c r="C68" s="2">
        <f ca="1">IFERROR(__xludf.DUMMYFUNCTION("""COMPUTED_VALUE"""),147.99)</f>
        <v>147.99</v>
      </c>
      <c r="D68" s="2">
        <f ca="1">IFERROR(__xludf.DUMMYFUNCTION("""COMPUTED_VALUE"""),141.6)</f>
        <v>141.6</v>
      </c>
      <c r="E68" s="2">
        <f ca="1">IFERROR(__xludf.DUMMYFUNCTION("""COMPUTED_VALUE"""),147.77)</f>
        <v>147.77000000000001</v>
      </c>
      <c r="F68" s="2">
        <f ca="1">IFERROR(__xludf.DUMMYFUNCTION("""COMPUTED_VALUE"""),3484912)</f>
        <v>3484912</v>
      </c>
    </row>
    <row r="69" spans="1:6" ht="12.5" x14ac:dyDescent="0.25">
      <c r="A69" s="3">
        <f ca="1">IFERROR(__xludf.DUMMYFUNCTION("""COMPUTED_VALUE"""),45027.6666666666)</f>
        <v>45027.666666666599</v>
      </c>
      <c r="B69" s="2">
        <f ca="1">IFERROR(__xludf.DUMMYFUNCTION("""COMPUTED_VALUE"""),139.68)</f>
        <v>139.68</v>
      </c>
      <c r="C69" s="2">
        <f ca="1">IFERROR(__xludf.DUMMYFUNCTION("""COMPUTED_VALUE"""),142.4)</f>
        <v>142.4</v>
      </c>
      <c r="D69" s="2">
        <f ca="1">IFERROR(__xludf.DUMMYFUNCTION("""COMPUTED_VALUE"""),136.59)</f>
        <v>136.59</v>
      </c>
      <c r="E69" s="2">
        <f ca="1">IFERROR(__xludf.DUMMYFUNCTION("""COMPUTED_VALUE"""),139.19)</f>
        <v>139.19</v>
      </c>
      <c r="F69" s="2">
        <f ca="1">IFERROR(__xludf.DUMMYFUNCTION("""COMPUTED_VALUE"""),10945816)</f>
        <v>10945816</v>
      </c>
    </row>
    <row r="70" spans="1:6" ht="12.5" x14ac:dyDescent="0.25">
      <c r="A70" s="3">
        <f ca="1">IFERROR(__xludf.DUMMYFUNCTION("""COMPUTED_VALUE"""),45028.6666666666)</f>
        <v>45028.666666666599</v>
      </c>
      <c r="B70" s="2">
        <f ca="1">IFERROR(__xludf.DUMMYFUNCTION("""COMPUTED_VALUE"""),141.9)</f>
        <v>141.9</v>
      </c>
      <c r="C70" s="2">
        <f ca="1">IFERROR(__xludf.DUMMYFUNCTION("""COMPUTED_VALUE"""),144.5)</f>
        <v>144.5</v>
      </c>
      <c r="D70" s="2">
        <f ca="1">IFERROR(__xludf.DUMMYFUNCTION("""COMPUTED_VALUE"""),139.32)</f>
        <v>139.32</v>
      </c>
      <c r="E70" s="2">
        <f ca="1">IFERROR(__xludf.DUMMYFUNCTION("""COMPUTED_VALUE"""),139.66)</f>
        <v>139.66</v>
      </c>
      <c r="F70" s="2">
        <f ca="1">IFERROR(__xludf.DUMMYFUNCTION("""COMPUTED_VALUE"""),6993540)</f>
        <v>6993540</v>
      </c>
    </row>
    <row r="71" spans="1:6" ht="12.5" x14ac:dyDescent="0.25">
      <c r="A71" s="3">
        <f ca="1">IFERROR(__xludf.DUMMYFUNCTION("""COMPUTED_VALUE"""),45029.6666666666)</f>
        <v>45029.666666666599</v>
      </c>
      <c r="B71" s="2">
        <f ca="1">IFERROR(__xludf.DUMMYFUNCTION("""COMPUTED_VALUE"""),141.09)</f>
        <v>141.09</v>
      </c>
      <c r="C71" s="2">
        <f ca="1">IFERROR(__xludf.DUMMYFUNCTION("""COMPUTED_VALUE"""),144.55)</f>
        <v>144.55000000000001</v>
      </c>
      <c r="D71" s="2">
        <f ca="1">IFERROR(__xludf.DUMMYFUNCTION("""COMPUTED_VALUE"""),140.55)</f>
        <v>140.55000000000001</v>
      </c>
      <c r="E71" s="2">
        <f ca="1">IFERROR(__xludf.DUMMYFUNCTION("""COMPUTED_VALUE"""),141.38)</f>
        <v>141.38</v>
      </c>
      <c r="F71" s="2">
        <f ca="1">IFERROR(__xludf.DUMMYFUNCTION("""COMPUTED_VALUE"""),4832512)</f>
        <v>4832512</v>
      </c>
    </row>
    <row r="72" spans="1:6" ht="12.5" x14ac:dyDescent="0.25">
      <c r="A72" s="3">
        <f ca="1">IFERROR(__xludf.DUMMYFUNCTION("""COMPUTED_VALUE"""),45030.6666666666)</f>
        <v>45030.666666666599</v>
      </c>
      <c r="B72" s="2">
        <f ca="1">IFERROR(__xludf.DUMMYFUNCTION("""COMPUTED_VALUE"""),140)</f>
        <v>140</v>
      </c>
      <c r="C72" s="2">
        <f ca="1">IFERROR(__xludf.DUMMYFUNCTION("""COMPUTED_VALUE"""),142.2)</f>
        <v>142.19999999999999</v>
      </c>
      <c r="D72" s="2">
        <f ca="1">IFERROR(__xludf.DUMMYFUNCTION("""COMPUTED_VALUE"""),138.31)</f>
        <v>138.31</v>
      </c>
      <c r="E72" s="2">
        <f ca="1">IFERROR(__xludf.DUMMYFUNCTION("""COMPUTED_VALUE"""),142.13)</f>
        <v>142.13</v>
      </c>
      <c r="F72" s="2">
        <f ca="1">IFERROR(__xludf.DUMMYFUNCTION("""COMPUTED_VALUE"""),5472627)</f>
        <v>5472627</v>
      </c>
    </row>
    <row r="73" spans="1:6" ht="12.5" x14ac:dyDescent="0.25">
      <c r="A73" s="3">
        <f ca="1">IFERROR(__xludf.DUMMYFUNCTION("""COMPUTED_VALUE"""),45033.6666666666)</f>
        <v>45033.666666666599</v>
      </c>
      <c r="B73" s="2">
        <f ca="1">IFERROR(__xludf.DUMMYFUNCTION("""COMPUTED_VALUE"""),142.13)</f>
        <v>142.13</v>
      </c>
      <c r="C73" s="2">
        <f ca="1">IFERROR(__xludf.DUMMYFUNCTION("""COMPUTED_VALUE"""),145.85)</f>
        <v>145.85</v>
      </c>
      <c r="D73" s="2">
        <f ca="1">IFERROR(__xludf.DUMMYFUNCTION("""COMPUTED_VALUE"""),141.83)</f>
        <v>141.83000000000001</v>
      </c>
      <c r="E73" s="2">
        <f ca="1">IFERROR(__xludf.DUMMYFUNCTION("""COMPUTED_VALUE"""),145.26)</f>
        <v>145.26</v>
      </c>
      <c r="F73" s="2">
        <f ca="1">IFERROR(__xludf.DUMMYFUNCTION("""COMPUTED_VALUE"""),3970463)</f>
        <v>3970463</v>
      </c>
    </row>
    <row r="74" spans="1:6" ht="12.5" x14ac:dyDescent="0.25">
      <c r="A74" s="3">
        <f ca="1">IFERROR(__xludf.DUMMYFUNCTION("""COMPUTED_VALUE"""),45034.6666666666)</f>
        <v>45034.666666666599</v>
      </c>
      <c r="B74" s="2">
        <f ca="1">IFERROR(__xludf.DUMMYFUNCTION("""COMPUTED_VALUE"""),147.53)</f>
        <v>147.53</v>
      </c>
      <c r="C74" s="2">
        <f ca="1">IFERROR(__xludf.DUMMYFUNCTION("""COMPUTED_VALUE"""),147.57)</f>
        <v>147.57</v>
      </c>
      <c r="D74" s="2">
        <f ca="1">IFERROR(__xludf.DUMMYFUNCTION("""COMPUTED_VALUE"""),142.17)</f>
        <v>142.16999999999999</v>
      </c>
      <c r="E74" s="2">
        <f ca="1">IFERROR(__xludf.DUMMYFUNCTION("""COMPUTED_VALUE"""),145.89)</f>
        <v>145.88999999999999</v>
      </c>
      <c r="F74" s="2">
        <f ca="1">IFERROR(__xludf.DUMMYFUNCTION("""COMPUTED_VALUE"""),4021831)</f>
        <v>4021831</v>
      </c>
    </row>
    <row r="75" spans="1:6" ht="12.5" x14ac:dyDescent="0.25">
      <c r="A75" s="3">
        <f ca="1">IFERROR(__xludf.DUMMYFUNCTION("""COMPUTED_VALUE"""),45035.6666666666)</f>
        <v>45035.666666666599</v>
      </c>
      <c r="B75" s="2">
        <f ca="1">IFERROR(__xludf.DUMMYFUNCTION("""COMPUTED_VALUE"""),144.45)</f>
        <v>144.44999999999999</v>
      </c>
      <c r="C75" s="2">
        <f ca="1">IFERROR(__xludf.DUMMYFUNCTION("""COMPUTED_VALUE"""),146.46)</f>
        <v>146.46</v>
      </c>
      <c r="D75" s="2">
        <f ca="1">IFERROR(__xludf.DUMMYFUNCTION("""COMPUTED_VALUE"""),143.65)</f>
        <v>143.65</v>
      </c>
      <c r="E75" s="2">
        <f ca="1">IFERROR(__xludf.DUMMYFUNCTION("""COMPUTED_VALUE"""),144.55)</f>
        <v>144.55000000000001</v>
      </c>
      <c r="F75" s="2">
        <f ca="1">IFERROR(__xludf.DUMMYFUNCTION("""COMPUTED_VALUE"""),2887438)</f>
        <v>2887438</v>
      </c>
    </row>
    <row r="76" spans="1:6" ht="12.5" x14ac:dyDescent="0.25">
      <c r="A76" s="3">
        <f ca="1">IFERROR(__xludf.DUMMYFUNCTION("""COMPUTED_VALUE"""),45036.6666666666)</f>
        <v>45036.666666666599</v>
      </c>
      <c r="B76" s="2">
        <f ca="1">IFERROR(__xludf.DUMMYFUNCTION("""COMPUTED_VALUE"""),142.3)</f>
        <v>142.30000000000001</v>
      </c>
      <c r="C76" s="2">
        <f ca="1">IFERROR(__xludf.DUMMYFUNCTION("""COMPUTED_VALUE"""),144.13)</f>
        <v>144.13</v>
      </c>
      <c r="D76" s="2">
        <f ca="1">IFERROR(__xludf.DUMMYFUNCTION("""COMPUTED_VALUE"""),141.74)</f>
        <v>141.74</v>
      </c>
      <c r="E76" s="2">
        <f ca="1">IFERROR(__xludf.DUMMYFUNCTION("""COMPUTED_VALUE"""),142.72)</f>
        <v>142.72</v>
      </c>
      <c r="F76" s="2">
        <f ca="1">IFERROR(__xludf.DUMMYFUNCTION("""COMPUTED_VALUE"""),2993922)</f>
        <v>2993922</v>
      </c>
    </row>
    <row r="77" spans="1:6" ht="12.5" x14ac:dyDescent="0.25">
      <c r="A77" s="3">
        <f ca="1">IFERROR(__xludf.DUMMYFUNCTION("""COMPUTED_VALUE"""),45037.6666666666)</f>
        <v>45037.666666666599</v>
      </c>
      <c r="B77" s="2">
        <f ca="1">IFERROR(__xludf.DUMMYFUNCTION("""COMPUTED_VALUE"""),144.07)</f>
        <v>144.07</v>
      </c>
      <c r="C77" s="2">
        <f ca="1">IFERROR(__xludf.DUMMYFUNCTION("""COMPUTED_VALUE"""),146.8)</f>
        <v>146.80000000000001</v>
      </c>
      <c r="D77" s="2">
        <f ca="1">IFERROR(__xludf.DUMMYFUNCTION("""COMPUTED_VALUE"""),143.52)</f>
        <v>143.52000000000001</v>
      </c>
      <c r="E77" s="2">
        <f ca="1">IFERROR(__xludf.DUMMYFUNCTION("""COMPUTED_VALUE"""),145.19)</f>
        <v>145.19</v>
      </c>
      <c r="F77" s="2">
        <f ca="1">IFERROR(__xludf.DUMMYFUNCTION("""COMPUTED_VALUE"""),3672166)</f>
        <v>3672166</v>
      </c>
    </row>
    <row r="78" spans="1:6" ht="12.5" x14ac:dyDescent="0.25">
      <c r="A78" s="3">
        <f ca="1">IFERROR(__xludf.DUMMYFUNCTION("""COMPUTED_VALUE"""),45040.6666666666)</f>
        <v>45040.666666666599</v>
      </c>
      <c r="B78" s="2">
        <f ca="1">IFERROR(__xludf.DUMMYFUNCTION("""COMPUTED_VALUE"""),144.85)</f>
        <v>144.85</v>
      </c>
      <c r="C78" s="2">
        <f ca="1">IFERROR(__xludf.DUMMYFUNCTION("""COMPUTED_VALUE"""),145.81)</f>
        <v>145.81</v>
      </c>
      <c r="D78" s="2">
        <f ca="1">IFERROR(__xludf.DUMMYFUNCTION("""COMPUTED_VALUE"""),140.77)</f>
        <v>140.77000000000001</v>
      </c>
      <c r="E78" s="2">
        <f ca="1">IFERROR(__xludf.DUMMYFUNCTION("""COMPUTED_VALUE"""),142.51)</f>
        <v>142.51</v>
      </c>
      <c r="F78" s="2">
        <f ca="1">IFERROR(__xludf.DUMMYFUNCTION("""COMPUTED_VALUE"""),3472436)</f>
        <v>3472436</v>
      </c>
    </row>
    <row r="79" spans="1:6" ht="12.5" x14ac:dyDescent="0.25">
      <c r="A79" s="3">
        <f ca="1">IFERROR(__xludf.DUMMYFUNCTION("""COMPUTED_VALUE"""),45041.6666666666)</f>
        <v>45041.666666666599</v>
      </c>
      <c r="B79" s="2">
        <f ca="1">IFERROR(__xludf.DUMMYFUNCTION("""COMPUTED_VALUE"""),140.56)</f>
        <v>140.56</v>
      </c>
      <c r="C79" s="2">
        <f ca="1">IFERROR(__xludf.DUMMYFUNCTION("""COMPUTED_VALUE"""),140.66)</f>
        <v>140.66</v>
      </c>
      <c r="D79" s="2">
        <f ca="1">IFERROR(__xludf.DUMMYFUNCTION("""COMPUTED_VALUE"""),135.26)</f>
        <v>135.26</v>
      </c>
      <c r="E79" s="2">
        <f ca="1">IFERROR(__xludf.DUMMYFUNCTION("""COMPUTED_VALUE"""),135.48)</f>
        <v>135.47999999999999</v>
      </c>
      <c r="F79" s="2">
        <f ca="1">IFERROR(__xludf.DUMMYFUNCTION("""COMPUTED_VALUE"""),7176410)</f>
        <v>7176410</v>
      </c>
    </row>
    <row r="80" spans="1:6" ht="12.5" x14ac:dyDescent="0.25">
      <c r="A80" s="3">
        <f ca="1">IFERROR(__xludf.DUMMYFUNCTION("""COMPUTED_VALUE"""),45042.6666666666)</f>
        <v>45042.666666666599</v>
      </c>
      <c r="B80" s="2">
        <f ca="1">IFERROR(__xludf.DUMMYFUNCTION("""COMPUTED_VALUE"""),142.78)</f>
        <v>142.78</v>
      </c>
      <c r="C80" s="2">
        <f ca="1">IFERROR(__xludf.DUMMYFUNCTION("""COMPUTED_VALUE"""),149.28)</f>
        <v>149.28</v>
      </c>
      <c r="D80" s="2">
        <f ca="1">IFERROR(__xludf.DUMMYFUNCTION("""COMPUTED_VALUE"""),142.6)</f>
        <v>142.6</v>
      </c>
      <c r="E80" s="2">
        <f ca="1">IFERROR(__xludf.DUMMYFUNCTION("""COMPUTED_VALUE"""),147.06)</f>
        <v>147.06</v>
      </c>
      <c r="F80" s="2">
        <f ca="1">IFERROR(__xludf.DUMMYFUNCTION("""COMPUTED_VALUE"""),9439700)</f>
        <v>9439700</v>
      </c>
    </row>
    <row r="81" spans="1:6" ht="12.5" x14ac:dyDescent="0.25">
      <c r="A81" s="3">
        <f ca="1">IFERROR(__xludf.DUMMYFUNCTION("""COMPUTED_VALUE"""),45043.6666666666)</f>
        <v>45043.666666666599</v>
      </c>
      <c r="B81" s="2">
        <f ca="1">IFERROR(__xludf.DUMMYFUNCTION("""COMPUTED_VALUE"""),148.32)</f>
        <v>148.32</v>
      </c>
      <c r="C81" s="2">
        <f ca="1">IFERROR(__xludf.DUMMYFUNCTION("""COMPUTED_VALUE"""),149.88)</f>
        <v>149.88</v>
      </c>
      <c r="D81" s="2">
        <f ca="1">IFERROR(__xludf.DUMMYFUNCTION("""COMPUTED_VALUE"""),145.13)</f>
        <v>145.13</v>
      </c>
      <c r="E81" s="2">
        <f ca="1">IFERROR(__xludf.DUMMYFUNCTION("""COMPUTED_VALUE"""),148.77)</f>
        <v>148.77000000000001</v>
      </c>
      <c r="F81" s="2">
        <f ca="1">IFERROR(__xludf.DUMMYFUNCTION("""COMPUTED_VALUE"""),5736423)</f>
        <v>5736423</v>
      </c>
    </row>
    <row r="82" spans="1:6" ht="12.5" x14ac:dyDescent="0.25">
      <c r="A82" s="3">
        <f ca="1">IFERROR(__xludf.DUMMYFUNCTION("""COMPUTED_VALUE"""),45044.6666666666)</f>
        <v>45044.666666666599</v>
      </c>
      <c r="B82" s="2">
        <f ca="1">IFERROR(__xludf.DUMMYFUNCTION("""COMPUTED_VALUE"""),145.67)</f>
        <v>145.66999999999999</v>
      </c>
      <c r="C82" s="2">
        <f ca="1">IFERROR(__xludf.DUMMYFUNCTION("""COMPUTED_VALUE"""),148.76)</f>
        <v>148.76</v>
      </c>
      <c r="D82" s="2">
        <f ca="1">IFERROR(__xludf.DUMMYFUNCTION("""COMPUTED_VALUE"""),140.87)</f>
        <v>140.87</v>
      </c>
      <c r="E82" s="2">
        <f ca="1">IFERROR(__xludf.DUMMYFUNCTION("""COMPUTED_VALUE"""),148.08)</f>
        <v>148.08000000000001</v>
      </c>
      <c r="F82" s="2">
        <f ca="1">IFERROR(__xludf.DUMMYFUNCTION("""COMPUTED_VALUE"""),5223139)</f>
        <v>5223139</v>
      </c>
    </row>
    <row r="83" spans="1:6" ht="12.5" x14ac:dyDescent="0.25">
      <c r="A83" s="3">
        <f ca="1">IFERROR(__xludf.DUMMYFUNCTION("""COMPUTED_VALUE"""),45047.6666666666)</f>
        <v>45047.666666666599</v>
      </c>
      <c r="B83" s="2">
        <f ca="1">IFERROR(__xludf.DUMMYFUNCTION("""COMPUTED_VALUE"""),148.15)</f>
        <v>148.15</v>
      </c>
      <c r="C83" s="2">
        <f ca="1">IFERROR(__xludf.DUMMYFUNCTION("""COMPUTED_VALUE"""),148.46)</f>
        <v>148.46</v>
      </c>
      <c r="D83" s="2">
        <f ca="1">IFERROR(__xludf.DUMMYFUNCTION("""COMPUTED_VALUE"""),145.01)</f>
        <v>145.01</v>
      </c>
      <c r="E83" s="2">
        <f ca="1">IFERROR(__xludf.DUMMYFUNCTION("""COMPUTED_VALUE"""),146.97)</f>
        <v>146.97</v>
      </c>
      <c r="F83" s="2">
        <f ca="1">IFERROR(__xludf.DUMMYFUNCTION("""COMPUTED_VALUE"""),3011139)</f>
        <v>3011139</v>
      </c>
    </row>
    <row r="84" spans="1:6" ht="12.5" x14ac:dyDescent="0.25">
      <c r="A84" s="3">
        <f ca="1">IFERROR(__xludf.DUMMYFUNCTION("""COMPUTED_VALUE"""),45048.6666666666)</f>
        <v>45048.666666666599</v>
      </c>
      <c r="B84" s="2">
        <f ca="1">IFERROR(__xludf.DUMMYFUNCTION("""COMPUTED_VALUE"""),146.44)</f>
        <v>146.44</v>
      </c>
      <c r="C84" s="2">
        <f ca="1">IFERROR(__xludf.DUMMYFUNCTION("""COMPUTED_VALUE"""),147.05)</f>
        <v>147.05000000000001</v>
      </c>
      <c r="D84" s="2">
        <f ca="1">IFERROR(__xludf.DUMMYFUNCTION("""COMPUTED_VALUE"""),143.54)</f>
        <v>143.54</v>
      </c>
      <c r="E84" s="2">
        <f ca="1">IFERROR(__xludf.DUMMYFUNCTION("""COMPUTED_VALUE"""),144.84)</f>
        <v>144.84</v>
      </c>
      <c r="F84" s="2">
        <f ca="1">IFERROR(__xludf.DUMMYFUNCTION("""COMPUTED_VALUE"""),2845502)</f>
        <v>2845502</v>
      </c>
    </row>
    <row r="85" spans="1:6" ht="12.5" x14ac:dyDescent="0.25">
      <c r="A85" s="3">
        <f ca="1">IFERROR(__xludf.DUMMYFUNCTION("""COMPUTED_VALUE"""),45049.6666666666)</f>
        <v>45049.666666666599</v>
      </c>
      <c r="B85" s="2">
        <f ca="1">IFERROR(__xludf.DUMMYFUNCTION("""COMPUTED_VALUE"""),144.07)</f>
        <v>144.07</v>
      </c>
      <c r="C85" s="2">
        <f ca="1">IFERROR(__xludf.DUMMYFUNCTION("""COMPUTED_VALUE"""),147.59)</f>
        <v>147.59</v>
      </c>
      <c r="D85" s="2">
        <f ca="1">IFERROR(__xludf.DUMMYFUNCTION("""COMPUTED_VALUE"""),142.44)</f>
        <v>142.44</v>
      </c>
      <c r="E85" s="2">
        <f ca="1">IFERROR(__xludf.DUMMYFUNCTION("""COMPUTED_VALUE"""),144.64)</f>
        <v>144.63999999999999</v>
      </c>
      <c r="F85" s="2">
        <f ca="1">IFERROR(__xludf.DUMMYFUNCTION("""COMPUTED_VALUE"""),3309104)</f>
        <v>3309104</v>
      </c>
    </row>
    <row r="86" spans="1:6" ht="12.5" x14ac:dyDescent="0.25">
      <c r="A86" s="3">
        <f ca="1">IFERROR(__xludf.DUMMYFUNCTION("""COMPUTED_VALUE"""),45050.6666666666)</f>
        <v>45050.666666666599</v>
      </c>
      <c r="B86" s="2">
        <f ca="1">IFERROR(__xludf.DUMMYFUNCTION("""COMPUTED_VALUE"""),148.98)</f>
        <v>148.97999999999999</v>
      </c>
      <c r="C86" s="2">
        <f ca="1">IFERROR(__xludf.DUMMYFUNCTION("""COMPUTED_VALUE"""),156.59)</f>
        <v>156.59</v>
      </c>
      <c r="D86" s="2">
        <f ca="1">IFERROR(__xludf.DUMMYFUNCTION("""COMPUTED_VALUE"""),148.86)</f>
        <v>148.86000000000001</v>
      </c>
      <c r="E86" s="2">
        <f ca="1">IFERROR(__xludf.DUMMYFUNCTION("""COMPUTED_VALUE"""),155.27)</f>
        <v>155.27000000000001</v>
      </c>
      <c r="F86" s="2">
        <f ca="1">IFERROR(__xludf.DUMMYFUNCTION("""COMPUTED_VALUE"""),7030450)</f>
        <v>7030450</v>
      </c>
    </row>
    <row r="87" spans="1:6" ht="12.5" x14ac:dyDescent="0.25">
      <c r="A87" s="3">
        <f ca="1">IFERROR(__xludf.DUMMYFUNCTION("""COMPUTED_VALUE"""),45051.6666666666)</f>
        <v>45051.666666666599</v>
      </c>
      <c r="B87" s="2">
        <f ca="1">IFERROR(__xludf.DUMMYFUNCTION("""COMPUTED_VALUE"""),155.75)</f>
        <v>155.75</v>
      </c>
      <c r="C87" s="2">
        <f ca="1">IFERROR(__xludf.DUMMYFUNCTION("""COMPUTED_VALUE"""),159.05)</f>
        <v>159.05000000000001</v>
      </c>
      <c r="D87" s="2">
        <f ca="1">IFERROR(__xludf.DUMMYFUNCTION("""COMPUTED_VALUE"""),153)</f>
        <v>153</v>
      </c>
      <c r="E87" s="2">
        <f ca="1">IFERROR(__xludf.DUMMYFUNCTION("""COMPUTED_VALUE"""),154.17)</f>
        <v>154.16999999999999</v>
      </c>
      <c r="F87" s="2">
        <f ca="1">IFERROR(__xludf.DUMMYFUNCTION("""COMPUTED_VALUE"""),4538512)</f>
        <v>4538512</v>
      </c>
    </row>
    <row r="88" spans="1:6" ht="12.5" x14ac:dyDescent="0.25">
      <c r="A88" s="3">
        <f ca="1">IFERROR(__xludf.DUMMYFUNCTION("""COMPUTED_VALUE"""),45054.6666666666)</f>
        <v>45054.666666666599</v>
      </c>
      <c r="B88" s="2">
        <f ca="1">IFERROR(__xludf.DUMMYFUNCTION("""COMPUTED_VALUE"""),160.11)</f>
        <v>160.11000000000001</v>
      </c>
      <c r="C88" s="2">
        <f ca="1">IFERROR(__xludf.DUMMYFUNCTION("""COMPUTED_VALUE"""),163.18)</f>
        <v>163.18</v>
      </c>
      <c r="D88" s="2">
        <f ca="1">IFERROR(__xludf.DUMMYFUNCTION("""COMPUTED_VALUE"""),156.29)</f>
        <v>156.29</v>
      </c>
      <c r="E88" s="2">
        <f ca="1">IFERROR(__xludf.DUMMYFUNCTION("""COMPUTED_VALUE"""),160.42)</f>
        <v>160.41999999999999</v>
      </c>
      <c r="F88" s="2">
        <f ca="1">IFERROR(__xludf.DUMMYFUNCTION("""COMPUTED_VALUE"""),5587240)</f>
        <v>5587240</v>
      </c>
    </row>
    <row r="89" spans="1:6" ht="12.5" x14ac:dyDescent="0.25">
      <c r="A89" s="3">
        <f ca="1">IFERROR(__xludf.DUMMYFUNCTION("""COMPUTED_VALUE"""),45055.6666666666)</f>
        <v>45055.666666666599</v>
      </c>
      <c r="B89" s="2">
        <f ca="1">IFERROR(__xludf.DUMMYFUNCTION("""COMPUTED_VALUE"""),158.97)</f>
        <v>158.97</v>
      </c>
      <c r="C89" s="2">
        <f ca="1">IFERROR(__xludf.DUMMYFUNCTION("""COMPUTED_VALUE"""),164.56)</f>
        <v>164.56</v>
      </c>
      <c r="D89" s="2">
        <f ca="1">IFERROR(__xludf.DUMMYFUNCTION("""COMPUTED_VALUE"""),158.61)</f>
        <v>158.61000000000001</v>
      </c>
      <c r="E89" s="2">
        <f ca="1">IFERROR(__xludf.DUMMYFUNCTION("""COMPUTED_VALUE"""),163.87)</f>
        <v>163.87</v>
      </c>
      <c r="F89" s="2">
        <f ca="1">IFERROR(__xludf.DUMMYFUNCTION("""COMPUTED_VALUE"""),3770447)</f>
        <v>3770447</v>
      </c>
    </row>
    <row r="90" spans="1:6" ht="12.5" x14ac:dyDescent="0.25">
      <c r="A90" s="3">
        <f ca="1">IFERROR(__xludf.DUMMYFUNCTION("""COMPUTED_VALUE"""),45056.6666666666)</f>
        <v>45056.666666666599</v>
      </c>
      <c r="B90" s="2">
        <f ca="1">IFERROR(__xludf.DUMMYFUNCTION("""COMPUTED_VALUE"""),165.81)</f>
        <v>165.81</v>
      </c>
      <c r="C90" s="2">
        <f ca="1">IFERROR(__xludf.DUMMYFUNCTION("""COMPUTED_VALUE"""),173.27)</f>
        <v>173.27</v>
      </c>
      <c r="D90" s="2">
        <f ca="1">IFERROR(__xludf.DUMMYFUNCTION("""COMPUTED_VALUE"""),165.2)</f>
        <v>165.2</v>
      </c>
      <c r="E90" s="2">
        <f ca="1">IFERROR(__xludf.DUMMYFUNCTION("""COMPUTED_VALUE"""),172.04)</f>
        <v>172.04</v>
      </c>
      <c r="F90" s="2">
        <f ca="1">IFERROR(__xludf.DUMMYFUNCTION("""COMPUTED_VALUE"""),6799409)</f>
        <v>6799409</v>
      </c>
    </row>
    <row r="91" spans="1:6" ht="12.5" x14ac:dyDescent="0.25">
      <c r="A91" s="3">
        <f ca="1">IFERROR(__xludf.DUMMYFUNCTION("""COMPUTED_VALUE"""),45057.6666666666)</f>
        <v>45057.666666666599</v>
      </c>
      <c r="B91" s="2">
        <f ca="1">IFERROR(__xludf.DUMMYFUNCTION("""COMPUTED_VALUE"""),170.21)</f>
        <v>170.21</v>
      </c>
      <c r="C91" s="2">
        <f ca="1">IFERROR(__xludf.DUMMYFUNCTION("""COMPUTED_VALUE"""),171.78)</f>
        <v>171.78</v>
      </c>
      <c r="D91" s="2">
        <f ca="1">IFERROR(__xludf.DUMMYFUNCTION("""COMPUTED_VALUE"""),168.85)</f>
        <v>168.85</v>
      </c>
      <c r="E91" s="2">
        <f ca="1">IFERROR(__xludf.DUMMYFUNCTION("""COMPUTED_VALUE"""),170.07)</f>
        <v>170.07</v>
      </c>
      <c r="F91" s="2">
        <f ca="1">IFERROR(__xludf.DUMMYFUNCTION("""COMPUTED_VALUE"""),3466383)</f>
        <v>3466383</v>
      </c>
    </row>
    <row r="92" spans="1:6" ht="12.5" x14ac:dyDescent="0.25">
      <c r="A92" s="3">
        <f ca="1">IFERROR(__xludf.DUMMYFUNCTION("""COMPUTED_VALUE"""),45058.6666666666)</f>
        <v>45058.666666666599</v>
      </c>
      <c r="B92" s="2">
        <f ca="1">IFERROR(__xludf.DUMMYFUNCTION("""COMPUTED_VALUE"""),169.2)</f>
        <v>169.2</v>
      </c>
      <c r="C92" s="2">
        <f ca="1">IFERROR(__xludf.DUMMYFUNCTION("""COMPUTED_VALUE"""),171.32)</f>
        <v>171.32</v>
      </c>
      <c r="D92" s="2">
        <f ca="1">IFERROR(__xludf.DUMMYFUNCTION("""COMPUTED_VALUE"""),166.42)</f>
        <v>166.42</v>
      </c>
      <c r="E92" s="2">
        <f ca="1">IFERROR(__xludf.DUMMYFUNCTION("""COMPUTED_VALUE"""),167.4)</f>
        <v>167.4</v>
      </c>
      <c r="F92" s="2">
        <f ca="1">IFERROR(__xludf.DUMMYFUNCTION("""COMPUTED_VALUE"""),4041019)</f>
        <v>4041019</v>
      </c>
    </row>
    <row r="93" spans="1:6" ht="12.5" x14ac:dyDescent="0.25">
      <c r="A93" s="3">
        <f ca="1">IFERROR(__xludf.DUMMYFUNCTION("""COMPUTED_VALUE"""),45061.6666666666)</f>
        <v>45061.666666666599</v>
      </c>
      <c r="B93" s="2">
        <f ca="1">IFERROR(__xludf.DUMMYFUNCTION("""COMPUTED_VALUE"""),167.66)</f>
        <v>167.66</v>
      </c>
      <c r="C93" s="2">
        <f ca="1">IFERROR(__xludf.DUMMYFUNCTION("""COMPUTED_VALUE"""),172.88)</f>
        <v>172.88</v>
      </c>
      <c r="D93" s="2">
        <f ca="1">IFERROR(__xludf.DUMMYFUNCTION("""COMPUTED_VALUE"""),166.9)</f>
        <v>166.9</v>
      </c>
      <c r="E93" s="2">
        <f ca="1">IFERROR(__xludf.DUMMYFUNCTION("""COMPUTED_VALUE"""),172.05)</f>
        <v>172.05</v>
      </c>
      <c r="F93" s="2">
        <f ca="1">IFERROR(__xludf.DUMMYFUNCTION("""COMPUTED_VALUE"""),3436500)</f>
        <v>3436500</v>
      </c>
    </row>
    <row r="94" spans="1:6" ht="12.5" x14ac:dyDescent="0.25">
      <c r="A94" s="3">
        <f ca="1">IFERROR(__xludf.DUMMYFUNCTION("""COMPUTED_VALUE"""),45062.6666666666)</f>
        <v>45062.666666666599</v>
      </c>
      <c r="B94" s="2">
        <f ca="1">IFERROR(__xludf.DUMMYFUNCTION("""COMPUTED_VALUE"""),170.14)</f>
        <v>170.14</v>
      </c>
      <c r="C94" s="2">
        <f ca="1">IFERROR(__xludf.DUMMYFUNCTION("""COMPUTED_VALUE"""),173.05)</f>
        <v>173.05</v>
      </c>
      <c r="D94" s="2">
        <f ca="1">IFERROR(__xludf.DUMMYFUNCTION("""COMPUTED_VALUE"""),168.79)</f>
        <v>168.79</v>
      </c>
      <c r="E94" s="2">
        <f ca="1">IFERROR(__xludf.DUMMYFUNCTION("""COMPUTED_VALUE"""),171.71)</f>
        <v>171.71</v>
      </c>
      <c r="F94" s="2">
        <f ca="1">IFERROR(__xludf.DUMMYFUNCTION("""COMPUTED_VALUE"""),3482860)</f>
        <v>3482860</v>
      </c>
    </row>
    <row r="95" spans="1:6" ht="12.5" x14ac:dyDescent="0.25">
      <c r="A95" s="3">
        <f ca="1">IFERROR(__xludf.DUMMYFUNCTION("""COMPUTED_VALUE"""),45063.6666666666)</f>
        <v>45063.666666666599</v>
      </c>
      <c r="B95" s="2">
        <f ca="1">IFERROR(__xludf.DUMMYFUNCTION("""COMPUTED_VALUE"""),172.09)</f>
        <v>172.09</v>
      </c>
      <c r="C95" s="2">
        <f ca="1">IFERROR(__xludf.DUMMYFUNCTION("""COMPUTED_VALUE"""),174.55)</f>
        <v>174.55</v>
      </c>
      <c r="D95" s="2">
        <f ca="1">IFERROR(__xludf.DUMMYFUNCTION("""COMPUTED_VALUE"""),170.3)</f>
        <v>170.3</v>
      </c>
      <c r="E95" s="2">
        <f ca="1">IFERROR(__xludf.DUMMYFUNCTION("""COMPUTED_VALUE"""),174.02)</f>
        <v>174.02</v>
      </c>
      <c r="F95" s="2">
        <f ca="1">IFERROR(__xludf.DUMMYFUNCTION("""COMPUTED_VALUE"""),4335566)</f>
        <v>4335566</v>
      </c>
    </row>
    <row r="96" spans="1:6" ht="12.5" x14ac:dyDescent="0.25">
      <c r="A96" s="3">
        <f ca="1">IFERROR(__xludf.DUMMYFUNCTION("""COMPUTED_VALUE"""),45064.6666666666)</f>
        <v>45064.666666666599</v>
      </c>
      <c r="B96" s="2">
        <f ca="1">IFERROR(__xludf.DUMMYFUNCTION("""COMPUTED_VALUE"""),175.97)</f>
        <v>175.97</v>
      </c>
      <c r="C96" s="2">
        <f ca="1">IFERROR(__xludf.DUMMYFUNCTION("""COMPUTED_VALUE"""),185)</f>
        <v>185</v>
      </c>
      <c r="D96" s="2">
        <f ca="1">IFERROR(__xludf.DUMMYFUNCTION("""COMPUTED_VALUE"""),175.51)</f>
        <v>175.51</v>
      </c>
      <c r="E96" s="2">
        <f ca="1">IFERROR(__xludf.DUMMYFUNCTION("""COMPUTED_VALUE"""),184.31)</f>
        <v>184.31</v>
      </c>
      <c r="F96" s="2">
        <f ca="1">IFERROR(__xludf.DUMMYFUNCTION("""COMPUTED_VALUE"""),7229138)</f>
        <v>7229138</v>
      </c>
    </row>
    <row r="97" spans="1:6" ht="12.5" x14ac:dyDescent="0.25">
      <c r="A97" s="3">
        <f ca="1">IFERROR(__xludf.DUMMYFUNCTION("""COMPUTED_VALUE"""),45065.6666666666)</f>
        <v>45065.666666666599</v>
      </c>
      <c r="B97" s="2">
        <f ca="1">IFERROR(__xludf.DUMMYFUNCTION("""COMPUTED_VALUE"""),181.18)</f>
        <v>181.18</v>
      </c>
      <c r="C97" s="2">
        <f ca="1">IFERROR(__xludf.DUMMYFUNCTION("""COMPUTED_VALUE"""),182.46)</f>
        <v>182.46</v>
      </c>
      <c r="D97" s="2">
        <f ca="1">IFERROR(__xludf.DUMMYFUNCTION("""COMPUTED_VALUE"""),175.71)</f>
        <v>175.71</v>
      </c>
      <c r="E97" s="2">
        <f ca="1">IFERROR(__xludf.DUMMYFUNCTION("""COMPUTED_VALUE"""),176.82)</f>
        <v>176.82</v>
      </c>
      <c r="F97" s="2">
        <f ca="1">IFERROR(__xludf.DUMMYFUNCTION("""COMPUTED_VALUE"""),6704978)</f>
        <v>6704978</v>
      </c>
    </row>
    <row r="98" spans="1:6" ht="12.5" x14ac:dyDescent="0.25">
      <c r="A98" s="3">
        <f ca="1">IFERROR(__xludf.DUMMYFUNCTION("""COMPUTED_VALUE"""),45068.6666666666)</f>
        <v>45068.666666666599</v>
      </c>
      <c r="B98" s="2">
        <f ca="1">IFERROR(__xludf.DUMMYFUNCTION("""COMPUTED_VALUE"""),176.51)</f>
        <v>176.51</v>
      </c>
      <c r="C98" s="2">
        <f ca="1">IFERROR(__xludf.DUMMYFUNCTION("""COMPUTED_VALUE"""),182.2)</f>
        <v>182.2</v>
      </c>
      <c r="D98" s="2">
        <f ca="1">IFERROR(__xludf.DUMMYFUNCTION("""COMPUTED_VALUE"""),175.39)</f>
        <v>175.39</v>
      </c>
      <c r="E98" s="2">
        <f ca="1">IFERROR(__xludf.DUMMYFUNCTION("""COMPUTED_VALUE"""),178.47)</f>
        <v>178.47</v>
      </c>
      <c r="F98" s="2">
        <f ca="1">IFERROR(__xludf.DUMMYFUNCTION("""COMPUTED_VALUE"""),4424320)</f>
        <v>4424320</v>
      </c>
    </row>
    <row r="99" spans="1:6" ht="12.5" x14ac:dyDescent="0.25">
      <c r="A99" s="3">
        <f ca="1">IFERROR(__xludf.DUMMYFUNCTION("""COMPUTED_VALUE"""),45069.6666666666)</f>
        <v>45069.666666666599</v>
      </c>
      <c r="B99" s="2">
        <f ca="1">IFERROR(__xludf.DUMMYFUNCTION("""COMPUTED_VALUE"""),177.04)</f>
        <v>177.04</v>
      </c>
      <c r="C99" s="2">
        <f ca="1">IFERROR(__xludf.DUMMYFUNCTION("""COMPUTED_VALUE"""),182.5)</f>
        <v>182.5</v>
      </c>
      <c r="D99" s="2">
        <f ca="1">IFERROR(__xludf.DUMMYFUNCTION("""COMPUTED_VALUE"""),175.08)</f>
        <v>175.08</v>
      </c>
      <c r="E99" s="2">
        <f ca="1">IFERROR(__xludf.DUMMYFUNCTION("""COMPUTED_VALUE"""),175.16)</f>
        <v>175.16</v>
      </c>
      <c r="F99" s="2">
        <f ca="1">IFERROR(__xludf.DUMMYFUNCTION("""COMPUTED_VALUE"""),4558489)</f>
        <v>4558489</v>
      </c>
    </row>
    <row r="100" spans="1:6" ht="12.5" x14ac:dyDescent="0.25">
      <c r="A100" s="3">
        <f ca="1">IFERROR(__xludf.DUMMYFUNCTION("""COMPUTED_VALUE"""),45070.6666666666)</f>
        <v>45070.666666666599</v>
      </c>
      <c r="B100" s="2">
        <f ca="1">IFERROR(__xludf.DUMMYFUNCTION("""COMPUTED_VALUE"""),173.64)</f>
        <v>173.64</v>
      </c>
      <c r="C100" s="2">
        <f ca="1">IFERROR(__xludf.DUMMYFUNCTION("""COMPUTED_VALUE"""),178.4)</f>
        <v>178.4</v>
      </c>
      <c r="D100" s="2">
        <f ca="1">IFERROR(__xludf.DUMMYFUNCTION("""COMPUTED_VALUE"""),172.12)</f>
        <v>172.12</v>
      </c>
      <c r="E100" s="2">
        <f ca="1">IFERROR(__xludf.DUMMYFUNCTION("""COMPUTED_VALUE"""),177.14)</f>
        <v>177.14</v>
      </c>
      <c r="F100" s="2">
        <f ca="1">IFERROR(__xludf.DUMMYFUNCTION("""COMPUTED_VALUE"""),10020835)</f>
        <v>10020835</v>
      </c>
    </row>
    <row r="101" spans="1:6" ht="12.5" x14ac:dyDescent="0.25">
      <c r="A101" s="3">
        <f ca="1">IFERROR(__xludf.DUMMYFUNCTION("""COMPUTED_VALUE"""),45071.6666666666)</f>
        <v>45071.666666666599</v>
      </c>
      <c r="B101" s="2">
        <f ca="1">IFERROR(__xludf.DUMMYFUNCTION("""COMPUTED_VALUE"""),150.47)</f>
        <v>150.47</v>
      </c>
      <c r="C101" s="2">
        <f ca="1">IFERROR(__xludf.DUMMYFUNCTION("""COMPUTED_VALUE"""),158.73)</f>
        <v>158.72999999999999</v>
      </c>
      <c r="D101" s="2">
        <f ca="1">IFERROR(__xludf.DUMMYFUNCTION("""COMPUTED_VALUE"""),143.11)</f>
        <v>143.11000000000001</v>
      </c>
      <c r="E101" s="2">
        <f ca="1">IFERROR(__xludf.DUMMYFUNCTION("""COMPUTED_VALUE"""),147.91)</f>
        <v>147.91</v>
      </c>
      <c r="F101" s="2">
        <f ca="1">IFERROR(__xludf.DUMMYFUNCTION("""COMPUTED_VALUE"""),23969998)</f>
        <v>23969998</v>
      </c>
    </row>
    <row r="102" spans="1:6" ht="12.5" x14ac:dyDescent="0.25">
      <c r="A102" s="3">
        <f ca="1">IFERROR(__xludf.DUMMYFUNCTION("""COMPUTED_VALUE"""),45072.6666666666)</f>
        <v>45072.666666666599</v>
      </c>
      <c r="B102" s="2">
        <f ca="1">IFERROR(__xludf.DUMMYFUNCTION("""COMPUTED_VALUE"""),146.86)</f>
        <v>146.86000000000001</v>
      </c>
      <c r="C102" s="2">
        <f ca="1">IFERROR(__xludf.DUMMYFUNCTION("""COMPUTED_VALUE"""),152.9)</f>
        <v>152.9</v>
      </c>
      <c r="D102" s="2">
        <f ca="1">IFERROR(__xludf.DUMMYFUNCTION("""COMPUTED_VALUE"""),144.82)</f>
        <v>144.82</v>
      </c>
      <c r="E102" s="2">
        <f ca="1">IFERROR(__xludf.DUMMYFUNCTION("""COMPUTED_VALUE"""),150.01)</f>
        <v>150.01</v>
      </c>
      <c r="F102" s="2">
        <f ca="1">IFERROR(__xludf.DUMMYFUNCTION("""COMPUTED_VALUE"""),11512197)</f>
        <v>11512197</v>
      </c>
    </row>
    <row r="103" spans="1:6" ht="12.5" x14ac:dyDescent="0.25">
      <c r="A103" s="3">
        <f ca="1">IFERROR(__xludf.DUMMYFUNCTION("""COMPUTED_VALUE"""),45076.6666666666)</f>
        <v>45076.666666666599</v>
      </c>
      <c r="B103" s="2">
        <f ca="1">IFERROR(__xludf.DUMMYFUNCTION("""COMPUTED_VALUE"""),151.18)</f>
        <v>151.18</v>
      </c>
      <c r="C103" s="2">
        <f ca="1">IFERROR(__xludf.DUMMYFUNCTION("""COMPUTED_VALUE"""),159.99)</f>
        <v>159.99</v>
      </c>
      <c r="D103" s="2">
        <f ca="1">IFERROR(__xludf.DUMMYFUNCTION("""COMPUTED_VALUE"""),150.5)</f>
        <v>150.5</v>
      </c>
      <c r="E103" s="2">
        <f ca="1">IFERROR(__xludf.DUMMYFUNCTION("""COMPUTED_VALUE"""),158.65)</f>
        <v>158.65</v>
      </c>
      <c r="F103" s="2">
        <f ca="1">IFERROR(__xludf.DUMMYFUNCTION("""COMPUTED_VALUE"""),9655841)</f>
        <v>9655841</v>
      </c>
    </row>
    <row r="104" spans="1:6" ht="12.5" x14ac:dyDescent="0.25">
      <c r="A104" s="3">
        <f ca="1">IFERROR(__xludf.DUMMYFUNCTION("""COMPUTED_VALUE"""),45077.6666666666)</f>
        <v>45077.666666666599</v>
      </c>
      <c r="B104" s="2">
        <f ca="1">IFERROR(__xludf.DUMMYFUNCTION("""COMPUTED_VALUE"""),158)</f>
        <v>158</v>
      </c>
      <c r="C104" s="2">
        <f ca="1">IFERROR(__xludf.DUMMYFUNCTION("""COMPUTED_VALUE"""),168.98)</f>
        <v>168.98</v>
      </c>
      <c r="D104" s="2">
        <f ca="1">IFERROR(__xludf.DUMMYFUNCTION("""COMPUTED_VALUE"""),157.43)</f>
        <v>157.43</v>
      </c>
      <c r="E104" s="2">
        <f ca="1">IFERROR(__xludf.DUMMYFUNCTION("""COMPUTED_VALUE"""),165.36)</f>
        <v>165.36</v>
      </c>
      <c r="F104" s="2">
        <f ca="1">IFERROR(__xludf.DUMMYFUNCTION("""COMPUTED_VALUE"""),14605655)</f>
        <v>14605655</v>
      </c>
    </row>
    <row r="105" spans="1:6" ht="12.5" x14ac:dyDescent="0.25">
      <c r="A105" s="3">
        <f ca="1">IFERROR(__xludf.DUMMYFUNCTION("""COMPUTED_VALUE"""),45078.6666666666)</f>
        <v>45078.666666666599</v>
      </c>
      <c r="B105" s="2">
        <f ca="1">IFERROR(__xludf.DUMMYFUNCTION("""COMPUTED_VALUE"""),160.37)</f>
        <v>160.37</v>
      </c>
      <c r="C105" s="2">
        <f ca="1">IFERROR(__xludf.DUMMYFUNCTION("""COMPUTED_VALUE"""),169.46)</f>
        <v>169.46</v>
      </c>
      <c r="D105" s="2">
        <f ca="1">IFERROR(__xludf.DUMMYFUNCTION("""COMPUTED_VALUE"""),160)</f>
        <v>160</v>
      </c>
      <c r="E105" s="2">
        <f ca="1">IFERROR(__xludf.DUMMYFUNCTION("""COMPUTED_VALUE"""),167.28)</f>
        <v>167.28</v>
      </c>
      <c r="F105" s="2">
        <f ca="1">IFERROR(__xludf.DUMMYFUNCTION("""COMPUTED_VALUE"""),5597720)</f>
        <v>5597720</v>
      </c>
    </row>
    <row r="106" spans="1:6" ht="12.5" x14ac:dyDescent="0.25">
      <c r="A106" s="3">
        <f ca="1">IFERROR(__xludf.DUMMYFUNCTION("""COMPUTED_VALUE"""),45079.6666666666)</f>
        <v>45079.666666666599</v>
      </c>
      <c r="B106" s="2">
        <f ca="1">IFERROR(__xludf.DUMMYFUNCTION("""COMPUTED_VALUE"""),172.3)</f>
        <v>172.3</v>
      </c>
      <c r="C106" s="2">
        <f ca="1">IFERROR(__xludf.DUMMYFUNCTION("""COMPUTED_VALUE"""),182.95)</f>
        <v>182.95</v>
      </c>
      <c r="D106" s="2">
        <f ca="1">IFERROR(__xludf.DUMMYFUNCTION("""COMPUTED_VALUE"""),172.08)</f>
        <v>172.08</v>
      </c>
      <c r="E106" s="2">
        <f ca="1">IFERROR(__xludf.DUMMYFUNCTION("""COMPUTED_VALUE"""),175.21)</f>
        <v>175.21</v>
      </c>
      <c r="F106" s="2">
        <f ca="1">IFERROR(__xludf.DUMMYFUNCTION("""COMPUTED_VALUE"""),9757340)</f>
        <v>9757340</v>
      </c>
    </row>
    <row r="107" spans="1:6" ht="12.5" x14ac:dyDescent="0.25">
      <c r="A107" s="3">
        <f ca="1">IFERROR(__xludf.DUMMYFUNCTION("""COMPUTED_VALUE"""),45082.6666666666)</f>
        <v>45082.666666666599</v>
      </c>
      <c r="B107" s="2">
        <f ca="1">IFERROR(__xludf.DUMMYFUNCTION("""COMPUTED_VALUE"""),175.81)</f>
        <v>175.81</v>
      </c>
      <c r="C107" s="2">
        <f ca="1">IFERROR(__xludf.DUMMYFUNCTION("""COMPUTED_VALUE"""),183.55)</f>
        <v>183.55</v>
      </c>
      <c r="D107" s="2">
        <f ca="1">IFERROR(__xludf.DUMMYFUNCTION("""COMPUTED_VALUE"""),175.5)</f>
        <v>175.5</v>
      </c>
      <c r="E107" s="2">
        <f ca="1">IFERROR(__xludf.DUMMYFUNCTION("""COMPUTED_VALUE"""),181.75)</f>
        <v>181.75</v>
      </c>
      <c r="F107" s="2">
        <f ca="1">IFERROR(__xludf.DUMMYFUNCTION("""COMPUTED_VALUE"""),5608728)</f>
        <v>5608728</v>
      </c>
    </row>
    <row r="108" spans="1:6" ht="12.5" x14ac:dyDescent="0.25">
      <c r="A108" s="3">
        <f ca="1">IFERROR(__xludf.DUMMYFUNCTION("""COMPUTED_VALUE"""),45083.6666666666)</f>
        <v>45083.666666666599</v>
      </c>
      <c r="B108" s="2">
        <f ca="1">IFERROR(__xludf.DUMMYFUNCTION("""COMPUTED_VALUE"""),181.25)</f>
        <v>181.25</v>
      </c>
      <c r="C108" s="2">
        <f ca="1">IFERROR(__xludf.DUMMYFUNCTION("""COMPUTED_VALUE"""),185.04)</f>
        <v>185.04</v>
      </c>
      <c r="D108" s="2">
        <f ca="1">IFERROR(__xludf.DUMMYFUNCTION("""COMPUTED_VALUE"""),181.17)</f>
        <v>181.17</v>
      </c>
      <c r="E108" s="2">
        <f ca="1">IFERROR(__xludf.DUMMYFUNCTION("""COMPUTED_VALUE"""),182.22)</f>
        <v>182.22</v>
      </c>
      <c r="F108" s="2">
        <f ca="1">IFERROR(__xludf.DUMMYFUNCTION("""COMPUTED_VALUE"""),5827714)</f>
        <v>5827714</v>
      </c>
    </row>
    <row r="109" spans="1:6" ht="12.5" x14ac:dyDescent="0.25">
      <c r="A109" s="3">
        <f ca="1">IFERROR(__xludf.DUMMYFUNCTION("""COMPUTED_VALUE"""),45084.6666666666)</f>
        <v>45084.666666666599</v>
      </c>
      <c r="B109" s="2">
        <f ca="1">IFERROR(__xludf.DUMMYFUNCTION("""COMPUTED_VALUE"""),182.01)</f>
        <v>182.01</v>
      </c>
      <c r="C109" s="2">
        <f ca="1">IFERROR(__xludf.DUMMYFUNCTION("""COMPUTED_VALUE"""),183)</f>
        <v>183</v>
      </c>
      <c r="D109" s="2">
        <f ca="1">IFERROR(__xludf.DUMMYFUNCTION("""COMPUTED_VALUE"""),167.37)</f>
        <v>167.37</v>
      </c>
      <c r="E109" s="2">
        <f ca="1">IFERROR(__xludf.DUMMYFUNCTION("""COMPUTED_VALUE"""),169.07)</f>
        <v>169.07</v>
      </c>
      <c r="F109" s="2">
        <f ca="1">IFERROR(__xludf.DUMMYFUNCTION("""COMPUTED_VALUE"""),8407551)</f>
        <v>8407551</v>
      </c>
    </row>
    <row r="110" spans="1:6" ht="12.5" x14ac:dyDescent="0.25">
      <c r="A110" s="3">
        <f ca="1">IFERROR(__xludf.DUMMYFUNCTION("""COMPUTED_VALUE"""),45085.6666666666)</f>
        <v>45085.666666666599</v>
      </c>
      <c r="B110" s="2">
        <f ca="1">IFERROR(__xludf.DUMMYFUNCTION("""COMPUTED_VALUE"""),167.66)</f>
        <v>167.66</v>
      </c>
      <c r="C110" s="2">
        <f ca="1">IFERROR(__xludf.DUMMYFUNCTION("""COMPUTED_VALUE"""),174.66)</f>
        <v>174.66</v>
      </c>
      <c r="D110" s="2">
        <f ca="1">IFERROR(__xludf.DUMMYFUNCTION("""COMPUTED_VALUE"""),166.4)</f>
        <v>166.4</v>
      </c>
      <c r="E110" s="2">
        <f ca="1">IFERROR(__xludf.DUMMYFUNCTION("""COMPUTED_VALUE"""),174.31)</f>
        <v>174.31</v>
      </c>
      <c r="F110" s="2">
        <f ca="1">IFERROR(__xludf.DUMMYFUNCTION("""COMPUTED_VALUE"""),5847401)</f>
        <v>5847401</v>
      </c>
    </row>
    <row r="111" spans="1:6" ht="12.5" x14ac:dyDescent="0.25">
      <c r="A111" s="3">
        <f ca="1">IFERROR(__xludf.DUMMYFUNCTION("""COMPUTED_VALUE"""),45086.6666666666)</f>
        <v>45086.666666666599</v>
      </c>
      <c r="B111" s="2">
        <f ca="1">IFERROR(__xludf.DUMMYFUNCTION("""COMPUTED_VALUE"""),174.31)</f>
        <v>174.31</v>
      </c>
      <c r="C111" s="2">
        <f ca="1">IFERROR(__xludf.DUMMYFUNCTION("""COMPUTED_VALUE"""),176.53)</f>
        <v>176.53</v>
      </c>
      <c r="D111" s="2">
        <f ca="1">IFERROR(__xludf.DUMMYFUNCTION("""COMPUTED_VALUE"""),169.29)</f>
        <v>169.29</v>
      </c>
      <c r="E111" s="2">
        <f ca="1">IFERROR(__xludf.DUMMYFUNCTION("""COMPUTED_VALUE"""),170.65)</f>
        <v>170.65</v>
      </c>
      <c r="F111" s="2">
        <f ca="1">IFERROR(__xludf.DUMMYFUNCTION("""COMPUTED_VALUE"""),5314504)</f>
        <v>5314504</v>
      </c>
    </row>
    <row r="112" spans="1:6" ht="12.5" x14ac:dyDescent="0.25">
      <c r="A112" s="3">
        <f ca="1">IFERROR(__xludf.DUMMYFUNCTION("""COMPUTED_VALUE"""),45089.6666666666)</f>
        <v>45089.666666666599</v>
      </c>
      <c r="B112" s="2">
        <f ca="1">IFERROR(__xludf.DUMMYFUNCTION("""COMPUTED_VALUE"""),170.27)</f>
        <v>170.27</v>
      </c>
      <c r="C112" s="2">
        <f ca="1">IFERROR(__xludf.DUMMYFUNCTION("""COMPUTED_VALUE"""),172.38)</f>
        <v>172.38</v>
      </c>
      <c r="D112" s="2">
        <f ca="1">IFERROR(__xludf.DUMMYFUNCTION("""COMPUTED_VALUE"""),167.84)</f>
        <v>167.84</v>
      </c>
      <c r="E112" s="2">
        <f ca="1">IFERROR(__xludf.DUMMYFUNCTION("""COMPUTED_VALUE"""),171.89)</f>
        <v>171.89</v>
      </c>
      <c r="F112" s="2">
        <f ca="1">IFERROR(__xludf.DUMMYFUNCTION("""COMPUTED_VALUE"""),5098018)</f>
        <v>5098018</v>
      </c>
    </row>
    <row r="113" spans="1:6" ht="12.5" x14ac:dyDescent="0.25">
      <c r="A113" s="3">
        <f ca="1">IFERROR(__xludf.DUMMYFUNCTION("""COMPUTED_VALUE"""),45090.6666666666)</f>
        <v>45090.666666666599</v>
      </c>
      <c r="B113" s="2">
        <f ca="1">IFERROR(__xludf.DUMMYFUNCTION("""COMPUTED_VALUE"""),173.03)</f>
        <v>173.03</v>
      </c>
      <c r="C113" s="2">
        <f ca="1">IFERROR(__xludf.DUMMYFUNCTION("""COMPUTED_VALUE"""),174.86)</f>
        <v>174.86</v>
      </c>
      <c r="D113" s="2">
        <f ca="1">IFERROR(__xludf.DUMMYFUNCTION("""COMPUTED_VALUE"""),168.76)</f>
        <v>168.76</v>
      </c>
      <c r="E113" s="2">
        <f ca="1">IFERROR(__xludf.DUMMYFUNCTION("""COMPUTED_VALUE"""),173.44)</f>
        <v>173.44</v>
      </c>
      <c r="F113" s="2">
        <f ca="1">IFERROR(__xludf.DUMMYFUNCTION("""COMPUTED_VALUE"""),4182986)</f>
        <v>4182986</v>
      </c>
    </row>
    <row r="114" spans="1:6" ht="12.5" x14ac:dyDescent="0.25">
      <c r="A114" s="3">
        <f ca="1">IFERROR(__xludf.DUMMYFUNCTION("""COMPUTED_VALUE"""),45091.6666666666)</f>
        <v>45091.666666666599</v>
      </c>
      <c r="B114" s="2">
        <f ca="1">IFERROR(__xludf.DUMMYFUNCTION("""COMPUTED_VALUE"""),172.73)</f>
        <v>172.73</v>
      </c>
      <c r="C114" s="2">
        <f ca="1">IFERROR(__xludf.DUMMYFUNCTION("""COMPUTED_VALUE"""),181.33)</f>
        <v>181.33</v>
      </c>
      <c r="D114" s="2">
        <f ca="1">IFERROR(__xludf.DUMMYFUNCTION("""COMPUTED_VALUE"""),171.11)</f>
        <v>171.11</v>
      </c>
      <c r="E114" s="2">
        <f ca="1">IFERROR(__xludf.DUMMYFUNCTION("""COMPUTED_VALUE"""),181.07)</f>
        <v>181.07</v>
      </c>
      <c r="F114" s="2">
        <f ca="1">IFERROR(__xludf.DUMMYFUNCTION("""COMPUTED_VALUE"""),6664442)</f>
        <v>6664442</v>
      </c>
    </row>
    <row r="115" spans="1:6" ht="12.5" x14ac:dyDescent="0.25">
      <c r="A115" s="3">
        <f ca="1">IFERROR(__xludf.DUMMYFUNCTION("""COMPUTED_VALUE"""),45092.6666666666)</f>
        <v>45092.666666666599</v>
      </c>
      <c r="B115" s="2">
        <f ca="1">IFERROR(__xludf.DUMMYFUNCTION("""COMPUTED_VALUE"""),179.18)</f>
        <v>179.18</v>
      </c>
      <c r="C115" s="2">
        <f ca="1">IFERROR(__xludf.DUMMYFUNCTION("""COMPUTED_VALUE"""),191.65)</f>
        <v>191.65</v>
      </c>
      <c r="D115" s="2">
        <f ca="1">IFERROR(__xludf.DUMMYFUNCTION("""COMPUTED_VALUE"""),178.35)</f>
        <v>178.35</v>
      </c>
      <c r="E115" s="2">
        <f ca="1">IFERROR(__xludf.DUMMYFUNCTION("""COMPUTED_VALUE"""),190.98)</f>
        <v>190.98</v>
      </c>
      <c r="F115" s="2">
        <f ca="1">IFERROR(__xludf.DUMMYFUNCTION("""COMPUTED_VALUE"""),9779343)</f>
        <v>9779343</v>
      </c>
    </row>
    <row r="116" spans="1:6" ht="12.5" x14ac:dyDescent="0.25">
      <c r="A116" s="3">
        <f ca="1">IFERROR(__xludf.DUMMYFUNCTION("""COMPUTED_VALUE"""),45093.6666666666)</f>
        <v>45093.666666666599</v>
      </c>
      <c r="B116" s="2">
        <f ca="1">IFERROR(__xludf.DUMMYFUNCTION("""COMPUTED_VALUE"""),191.57)</f>
        <v>191.57</v>
      </c>
      <c r="C116" s="2">
        <f ca="1">IFERROR(__xludf.DUMMYFUNCTION("""COMPUTED_VALUE"""),193.94)</f>
        <v>193.94</v>
      </c>
      <c r="D116" s="2">
        <f ca="1">IFERROR(__xludf.DUMMYFUNCTION("""COMPUTED_VALUE"""),182.92)</f>
        <v>182.92</v>
      </c>
      <c r="E116" s="2">
        <f ca="1">IFERROR(__xludf.DUMMYFUNCTION("""COMPUTED_VALUE"""),184.18)</f>
        <v>184.18</v>
      </c>
      <c r="F116" s="2">
        <f ca="1">IFERROR(__xludf.DUMMYFUNCTION("""COMPUTED_VALUE"""),6589530)</f>
        <v>6589530</v>
      </c>
    </row>
    <row r="117" spans="1:6" ht="12.5" x14ac:dyDescent="0.25">
      <c r="A117" s="3">
        <f ca="1">IFERROR(__xludf.DUMMYFUNCTION("""COMPUTED_VALUE"""),45097.6666666666)</f>
        <v>45097.666666666599</v>
      </c>
      <c r="B117" s="2">
        <f ca="1">IFERROR(__xludf.DUMMYFUNCTION("""COMPUTED_VALUE"""),183.3)</f>
        <v>183.3</v>
      </c>
      <c r="C117" s="2">
        <f ca="1">IFERROR(__xludf.DUMMYFUNCTION("""COMPUTED_VALUE"""),185.67)</f>
        <v>185.67</v>
      </c>
      <c r="D117" s="2">
        <f ca="1">IFERROR(__xludf.DUMMYFUNCTION("""COMPUTED_VALUE"""),176.71)</f>
        <v>176.71</v>
      </c>
      <c r="E117" s="2">
        <f ca="1">IFERROR(__xludf.DUMMYFUNCTION("""COMPUTED_VALUE"""),179.08)</f>
        <v>179.08</v>
      </c>
      <c r="F117" s="2">
        <f ca="1">IFERROR(__xludf.DUMMYFUNCTION("""COMPUTED_VALUE"""),5305499)</f>
        <v>5305499</v>
      </c>
    </row>
    <row r="118" spans="1:6" ht="12.5" x14ac:dyDescent="0.25">
      <c r="A118" s="3">
        <f ca="1">IFERROR(__xludf.DUMMYFUNCTION("""COMPUTED_VALUE"""),45098.6666666666)</f>
        <v>45098.666666666599</v>
      </c>
      <c r="B118" s="2">
        <f ca="1">IFERROR(__xludf.DUMMYFUNCTION("""COMPUTED_VALUE"""),180.7)</f>
        <v>180.7</v>
      </c>
      <c r="C118" s="2">
        <f ca="1">IFERROR(__xludf.DUMMYFUNCTION("""COMPUTED_VALUE"""),183.6)</f>
        <v>183.6</v>
      </c>
      <c r="D118" s="2">
        <f ca="1">IFERROR(__xludf.DUMMYFUNCTION("""COMPUTED_VALUE"""),173.26)</f>
        <v>173.26</v>
      </c>
      <c r="E118" s="2">
        <f ca="1">IFERROR(__xludf.DUMMYFUNCTION("""COMPUTED_VALUE"""),173.39)</f>
        <v>173.39</v>
      </c>
      <c r="F118" s="2">
        <f ca="1">IFERROR(__xludf.DUMMYFUNCTION("""COMPUTED_VALUE"""),5463254)</f>
        <v>5463254</v>
      </c>
    </row>
    <row r="119" spans="1:6" ht="12.5" x14ac:dyDescent="0.25">
      <c r="A119" s="3">
        <f ca="1">IFERROR(__xludf.DUMMYFUNCTION("""COMPUTED_VALUE"""),45099.6666666666)</f>
        <v>45099.666666666599</v>
      </c>
      <c r="B119" s="2">
        <f ca="1">IFERROR(__xludf.DUMMYFUNCTION("""COMPUTED_VALUE"""),171.18)</f>
        <v>171.18</v>
      </c>
      <c r="C119" s="2">
        <f ca="1">IFERROR(__xludf.DUMMYFUNCTION("""COMPUTED_VALUE"""),179.74)</f>
        <v>179.74</v>
      </c>
      <c r="D119" s="2">
        <f ca="1">IFERROR(__xludf.DUMMYFUNCTION("""COMPUTED_VALUE"""),170.82)</f>
        <v>170.82</v>
      </c>
      <c r="E119" s="2">
        <f ca="1">IFERROR(__xludf.DUMMYFUNCTION("""COMPUTED_VALUE"""),178.6)</f>
        <v>178.6</v>
      </c>
      <c r="F119" s="2">
        <f ca="1">IFERROR(__xludf.DUMMYFUNCTION("""COMPUTED_VALUE"""),5189855)</f>
        <v>5189855</v>
      </c>
    </row>
    <row r="120" spans="1:6" ht="12.5" x14ac:dyDescent="0.25">
      <c r="A120" s="3">
        <f ca="1">IFERROR(__xludf.DUMMYFUNCTION("""COMPUTED_VALUE"""),45100.6666666666)</f>
        <v>45100.666666666599</v>
      </c>
      <c r="B120" s="2">
        <f ca="1">IFERROR(__xludf.DUMMYFUNCTION("""COMPUTED_VALUE"""),175.75)</f>
        <v>175.75</v>
      </c>
      <c r="C120" s="2">
        <f ca="1">IFERROR(__xludf.DUMMYFUNCTION("""COMPUTED_VALUE"""),181.82)</f>
        <v>181.82</v>
      </c>
      <c r="D120" s="2">
        <f ca="1">IFERROR(__xludf.DUMMYFUNCTION("""COMPUTED_VALUE"""),174.61)</f>
        <v>174.61</v>
      </c>
      <c r="E120" s="2">
        <f ca="1">IFERROR(__xludf.DUMMYFUNCTION("""COMPUTED_VALUE"""),178.25)</f>
        <v>178.25</v>
      </c>
      <c r="F120" s="2">
        <f ca="1">IFERROR(__xludf.DUMMYFUNCTION("""COMPUTED_VALUE"""),6259299)</f>
        <v>6259299</v>
      </c>
    </row>
    <row r="121" spans="1:6" ht="12.5" x14ac:dyDescent="0.25">
      <c r="A121" s="3">
        <f ca="1">IFERROR(__xludf.DUMMYFUNCTION("""COMPUTED_VALUE"""),45103.6666666666)</f>
        <v>45103.666666666599</v>
      </c>
      <c r="B121" s="2">
        <f ca="1">IFERROR(__xludf.DUMMYFUNCTION("""COMPUTED_VALUE"""),180.59)</f>
        <v>180.59</v>
      </c>
      <c r="C121" s="2">
        <f ca="1">IFERROR(__xludf.DUMMYFUNCTION("""COMPUTED_VALUE"""),183.39)</f>
        <v>183.39</v>
      </c>
      <c r="D121" s="2">
        <f ca="1">IFERROR(__xludf.DUMMYFUNCTION("""COMPUTED_VALUE"""),169.51)</f>
        <v>169.51</v>
      </c>
      <c r="E121" s="2">
        <f ca="1">IFERROR(__xludf.DUMMYFUNCTION("""COMPUTED_VALUE"""),169.84)</f>
        <v>169.84</v>
      </c>
      <c r="F121" s="2">
        <f ca="1">IFERROR(__xludf.DUMMYFUNCTION("""COMPUTED_VALUE"""),6906768)</f>
        <v>6906768</v>
      </c>
    </row>
    <row r="122" spans="1:6" ht="12.5" x14ac:dyDescent="0.25">
      <c r="A122" s="3">
        <f ca="1">IFERROR(__xludf.DUMMYFUNCTION("""COMPUTED_VALUE"""),45104.6666666666)</f>
        <v>45104.666666666599</v>
      </c>
      <c r="B122" s="2">
        <f ca="1">IFERROR(__xludf.DUMMYFUNCTION("""COMPUTED_VALUE"""),176.99)</f>
        <v>176.99</v>
      </c>
      <c r="C122" s="2">
        <f ca="1">IFERROR(__xludf.DUMMYFUNCTION("""COMPUTED_VALUE"""),179.15)</f>
        <v>179.15</v>
      </c>
      <c r="D122" s="2">
        <f ca="1">IFERROR(__xludf.DUMMYFUNCTION("""COMPUTED_VALUE"""),170.56)</f>
        <v>170.56</v>
      </c>
      <c r="E122" s="2">
        <f ca="1">IFERROR(__xludf.DUMMYFUNCTION("""COMPUTED_VALUE"""),177.02)</f>
        <v>177.02</v>
      </c>
      <c r="F122" s="2">
        <f ca="1">IFERROR(__xludf.DUMMYFUNCTION("""COMPUTED_VALUE"""),9516416)</f>
        <v>9516416</v>
      </c>
    </row>
    <row r="123" spans="1:6" ht="12.5" x14ac:dyDescent="0.25">
      <c r="A123" s="3">
        <f ca="1">IFERROR(__xludf.DUMMYFUNCTION("""COMPUTED_VALUE"""),45105.6666666666)</f>
        <v>45105.666666666599</v>
      </c>
      <c r="B123" s="2">
        <f ca="1">IFERROR(__xludf.DUMMYFUNCTION("""COMPUTED_VALUE"""),179.18)</f>
        <v>179.18</v>
      </c>
      <c r="C123" s="2">
        <f ca="1">IFERROR(__xludf.DUMMYFUNCTION("""COMPUTED_VALUE"""),191.94)</f>
        <v>191.94</v>
      </c>
      <c r="D123" s="2">
        <f ca="1">IFERROR(__xludf.DUMMYFUNCTION("""COMPUTED_VALUE"""),178.85)</f>
        <v>178.85</v>
      </c>
      <c r="E123" s="2">
        <f ca="1">IFERROR(__xludf.DUMMYFUNCTION("""COMPUTED_VALUE"""),183.85)</f>
        <v>183.85</v>
      </c>
      <c r="F123" s="2">
        <f ca="1">IFERROR(__xludf.DUMMYFUNCTION("""COMPUTED_VALUE"""),13895559)</f>
        <v>13895559</v>
      </c>
    </row>
    <row r="124" spans="1:6" ht="12.5" x14ac:dyDescent="0.25">
      <c r="A124" s="3">
        <f ca="1">IFERROR(__xludf.DUMMYFUNCTION("""COMPUTED_VALUE"""),45106.6666666666)</f>
        <v>45106.666666666599</v>
      </c>
      <c r="B124" s="2">
        <f ca="1">IFERROR(__xludf.DUMMYFUNCTION("""COMPUTED_VALUE"""),183.55)</f>
        <v>183.55</v>
      </c>
      <c r="C124" s="2">
        <f ca="1">IFERROR(__xludf.DUMMYFUNCTION("""COMPUTED_VALUE"""),186.17)</f>
        <v>186.17</v>
      </c>
      <c r="D124" s="2">
        <f ca="1">IFERROR(__xludf.DUMMYFUNCTION("""COMPUTED_VALUE"""),175.12)</f>
        <v>175.12</v>
      </c>
      <c r="E124" s="2">
        <f ca="1">IFERROR(__xludf.DUMMYFUNCTION("""COMPUTED_VALUE"""),175.77)</f>
        <v>175.77</v>
      </c>
      <c r="F124" s="2">
        <f ca="1">IFERROR(__xludf.DUMMYFUNCTION("""COMPUTED_VALUE"""),9010567)</f>
        <v>9010567</v>
      </c>
    </row>
    <row r="125" spans="1:6" ht="12.5" x14ac:dyDescent="0.25">
      <c r="A125" s="3">
        <f ca="1">IFERROR(__xludf.DUMMYFUNCTION("""COMPUTED_VALUE"""),45107.6666666666)</f>
        <v>45107.666666666599</v>
      </c>
      <c r="B125" s="2">
        <f ca="1">IFERROR(__xludf.DUMMYFUNCTION("""COMPUTED_VALUE"""),179.33)</f>
        <v>179.33</v>
      </c>
      <c r="C125" s="2">
        <f ca="1">IFERROR(__xludf.DUMMYFUNCTION("""COMPUTED_VALUE"""),181.5)</f>
        <v>181.5</v>
      </c>
      <c r="D125" s="2">
        <f ca="1">IFERROR(__xludf.DUMMYFUNCTION("""COMPUTED_VALUE"""),175.75)</f>
        <v>175.75</v>
      </c>
      <c r="E125" s="2">
        <f ca="1">IFERROR(__xludf.DUMMYFUNCTION("""COMPUTED_VALUE"""),175.98)</f>
        <v>175.98</v>
      </c>
      <c r="F125" s="2">
        <f ca="1">IFERROR(__xludf.DUMMYFUNCTION("""COMPUTED_VALUE"""),7345166)</f>
        <v>7345166</v>
      </c>
    </row>
    <row r="126" spans="1:6" ht="12.5" x14ac:dyDescent="0.25">
      <c r="A126" s="3">
        <f ca="1">IFERROR(__xludf.DUMMYFUNCTION("""COMPUTED_VALUE"""),45110.5416666666)</f>
        <v>45110.541666666599</v>
      </c>
      <c r="B126" s="2">
        <f ca="1">IFERROR(__xludf.DUMMYFUNCTION("""COMPUTED_VALUE"""),176)</f>
        <v>176</v>
      </c>
      <c r="C126" s="2">
        <f ca="1">IFERROR(__xludf.DUMMYFUNCTION("""COMPUTED_VALUE"""),178.1)</f>
        <v>178.1</v>
      </c>
      <c r="D126" s="2">
        <f ca="1">IFERROR(__xludf.DUMMYFUNCTION("""COMPUTED_VALUE"""),174.65)</f>
        <v>174.65</v>
      </c>
      <c r="E126" s="2">
        <f ca="1">IFERROR(__xludf.DUMMYFUNCTION("""COMPUTED_VALUE"""),176.99)</f>
        <v>176.99</v>
      </c>
      <c r="F126" s="2">
        <f ca="1">IFERROR(__xludf.DUMMYFUNCTION("""COMPUTED_VALUE"""),2665332)</f>
        <v>2665332</v>
      </c>
    </row>
    <row r="127" spans="1:6" ht="12.5" x14ac:dyDescent="0.25">
      <c r="A127" s="3">
        <f ca="1">IFERROR(__xludf.DUMMYFUNCTION("""COMPUTED_VALUE"""),45112.6666666666)</f>
        <v>45112.666666666599</v>
      </c>
      <c r="B127" s="2">
        <f ca="1">IFERROR(__xludf.DUMMYFUNCTION("""COMPUTED_VALUE"""),175)</f>
        <v>175</v>
      </c>
      <c r="C127" s="2">
        <f ca="1">IFERROR(__xludf.DUMMYFUNCTION("""COMPUTED_VALUE"""),175.9)</f>
        <v>175.9</v>
      </c>
      <c r="D127" s="2">
        <f ca="1">IFERROR(__xludf.DUMMYFUNCTION("""COMPUTED_VALUE"""),170.63)</f>
        <v>170.63</v>
      </c>
      <c r="E127" s="2">
        <f ca="1">IFERROR(__xludf.DUMMYFUNCTION("""COMPUTED_VALUE"""),172.55)</f>
        <v>172.55</v>
      </c>
      <c r="F127" s="2">
        <f ca="1">IFERROR(__xludf.DUMMYFUNCTION("""COMPUTED_VALUE"""),6166775)</f>
        <v>6166775</v>
      </c>
    </row>
    <row r="128" spans="1:6" ht="12.5" x14ac:dyDescent="0.25">
      <c r="A128" s="3">
        <f ca="1">IFERROR(__xludf.DUMMYFUNCTION("""COMPUTED_VALUE"""),45113.6666666666)</f>
        <v>45113.666666666599</v>
      </c>
      <c r="B128" s="2">
        <f ca="1">IFERROR(__xludf.DUMMYFUNCTION("""COMPUTED_VALUE"""),169.82)</f>
        <v>169.82</v>
      </c>
      <c r="C128" s="2">
        <f ca="1">IFERROR(__xludf.DUMMYFUNCTION("""COMPUTED_VALUE"""),173.1)</f>
        <v>173.1</v>
      </c>
      <c r="D128" s="2">
        <f ca="1">IFERROR(__xludf.DUMMYFUNCTION("""COMPUTED_VALUE"""),167.49)</f>
        <v>167.49</v>
      </c>
      <c r="E128" s="2">
        <f ca="1">IFERROR(__xludf.DUMMYFUNCTION("""COMPUTED_VALUE"""),172.19)</f>
        <v>172.19</v>
      </c>
      <c r="F128" s="2">
        <f ca="1">IFERROR(__xludf.DUMMYFUNCTION("""COMPUTED_VALUE"""),4752968)</f>
        <v>4752968</v>
      </c>
    </row>
    <row r="129" spans="1:6" ht="12.5" x14ac:dyDescent="0.25">
      <c r="A129" s="3">
        <f ca="1">IFERROR(__xludf.DUMMYFUNCTION("""COMPUTED_VALUE"""),45114.6666666666)</f>
        <v>45114.666666666599</v>
      </c>
      <c r="B129" s="2">
        <f ca="1">IFERROR(__xludf.DUMMYFUNCTION("""COMPUTED_VALUE"""),173.37)</f>
        <v>173.37</v>
      </c>
      <c r="C129" s="2">
        <f ca="1">IFERROR(__xludf.DUMMYFUNCTION("""COMPUTED_VALUE"""),176.41)</f>
        <v>176.41</v>
      </c>
      <c r="D129" s="2">
        <f ca="1">IFERROR(__xludf.DUMMYFUNCTION("""COMPUTED_VALUE"""),170.49)</f>
        <v>170.49</v>
      </c>
      <c r="E129" s="2">
        <f ca="1">IFERROR(__xludf.DUMMYFUNCTION("""COMPUTED_VALUE"""),170.61)</f>
        <v>170.61</v>
      </c>
      <c r="F129" s="2">
        <f ca="1">IFERROR(__xludf.DUMMYFUNCTION("""COMPUTED_VALUE"""),3212306)</f>
        <v>3212306</v>
      </c>
    </row>
    <row r="130" spans="1:6" ht="12.5" x14ac:dyDescent="0.25">
      <c r="A130" s="3">
        <f ca="1">IFERROR(__xludf.DUMMYFUNCTION("""COMPUTED_VALUE"""),45117.6666666666)</f>
        <v>45117.666666666599</v>
      </c>
      <c r="B130" s="2">
        <f ca="1">IFERROR(__xludf.DUMMYFUNCTION("""COMPUTED_VALUE"""),166.53)</f>
        <v>166.53</v>
      </c>
      <c r="C130" s="2">
        <f ca="1">IFERROR(__xludf.DUMMYFUNCTION("""COMPUTED_VALUE"""),170.48)</f>
        <v>170.48</v>
      </c>
      <c r="D130" s="2">
        <f ca="1">IFERROR(__xludf.DUMMYFUNCTION("""COMPUTED_VALUE"""),162.6)</f>
        <v>162.6</v>
      </c>
      <c r="E130" s="2">
        <f ca="1">IFERROR(__xludf.DUMMYFUNCTION("""COMPUTED_VALUE"""),169.65)</f>
        <v>169.65</v>
      </c>
      <c r="F130" s="2">
        <f ca="1">IFERROR(__xludf.DUMMYFUNCTION("""COMPUTED_VALUE"""),6857264)</f>
        <v>6857264</v>
      </c>
    </row>
    <row r="131" spans="1:6" ht="12.5" x14ac:dyDescent="0.25">
      <c r="A131" s="3">
        <f ca="1">IFERROR(__xludf.DUMMYFUNCTION("""COMPUTED_VALUE"""),45118.6666666666)</f>
        <v>45118.666666666599</v>
      </c>
      <c r="B131" s="2">
        <f ca="1">IFERROR(__xludf.DUMMYFUNCTION("""COMPUTED_VALUE"""),171.2)</f>
        <v>171.2</v>
      </c>
      <c r="C131" s="2">
        <f ca="1">IFERROR(__xludf.DUMMYFUNCTION("""COMPUTED_VALUE"""),174.34)</f>
        <v>174.34</v>
      </c>
      <c r="D131" s="2">
        <f ca="1">IFERROR(__xludf.DUMMYFUNCTION("""COMPUTED_VALUE"""),169.32)</f>
        <v>169.32</v>
      </c>
      <c r="E131" s="2">
        <f ca="1">IFERROR(__xludf.DUMMYFUNCTION("""COMPUTED_VALUE"""),172.05)</f>
        <v>172.05</v>
      </c>
      <c r="F131" s="2">
        <f ca="1">IFERROR(__xludf.DUMMYFUNCTION("""COMPUTED_VALUE"""),4267383)</f>
        <v>4267383</v>
      </c>
    </row>
    <row r="132" spans="1:6" ht="12.5" x14ac:dyDescent="0.25">
      <c r="A132" s="3">
        <f ca="1">IFERROR(__xludf.DUMMYFUNCTION("""COMPUTED_VALUE"""),45119.6666666666)</f>
        <v>45119.666666666599</v>
      </c>
      <c r="B132" s="2">
        <f ca="1">IFERROR(__xludf.DUMMYFUNCTION("""COMPUTED_VALUE"""),175.09)</f>
        <v>175.09</v>
      </c>
      <c r="C132" s="2">
        <f ca="1">IFERROR(__xludf.DUMMYFUNCTION("""COMPUTED_VALUE"""),175.76)</f>
        <v>175.76</v>
      </c>
      <c r="D132" s="2">
        <f ca="1">IFERROR(__xludf.DUMMYFUNCTION("""COMPUTED_VALUE"""),170.22)</f>
        <v>170.22</v>
      </c>
      <c r="E132" s="2">
        <f ca="1">IFERROR(__xludf.DUMMYFUNCTION("""COMPUTED_VALUE"""),171.93)</f>
        <v>171.93</v>
      </c>
      <c r="F132" s="2">
        <f ca="1">IFERROR(__xludf.DUMMYFUNCTION("""COMPUTED_VALUE"""),4546896)</f>
        <v>4546896</v>
      </c>
    </row>
    <row r="133" spans="1:6" ht="12.5" x14ac:dyDescent="0.25">
      <c r="A133" s="3">
        <f ca="1">IFERROR(__xludf.DUMMYFUNCTION("""COMPUTED_VALUE"""),45120.6666666666)</f>
        <v>45120.666666666599</v>
      </c>
      <c r="B133" s="2">
        <f ca="1">IFERROR(__xludf.DUMMYFUNCTION("""COMPUTED_VALUE"""),175.83)</f>
        <v>175.83</v>
      </c>
      <c r="C133" s="2">
        <f ca="1">IFERROR(__xludf.DUMMYFUNCTION("""COMPUTED_VALUE"""),184.45)</f>
        <v>184.45</v>
      </c>
      <c r="D133" s="2">
        <f ca="1">IFERROR(__xludf.DUMMYFUNCTION("""COMPUTED_VALUE"""),175.27)</f>
        <v>175.27</v>
      </c>
      <c r="E133" s="2">
        <f ca="1">IFERROR(__xludf.DUMMYFUNCTION("""COMPUTED_VALUE"""),184.22)</f>
        <v>184.22</v>
      </c>
      <c r="F133" s="2">
        <f ca="1">IFERROR(__xludf.DUMMYFUNCTION("""COMPUTED_VALUE"""),8873521)</f>
        <v>8873521</v>
      </c>
    </row>
    <row r="134" spans="1:6" ht="12.5" x14ac:dyDescent="0.25">
      <c r="A134" s="3">
        <f ca="1">IFERROR(__xludf.DUMMYFUNCTION("""COMPUTED_VALUE"""),45121.6666666666)</f>
        <v>45121.666666666599</v>
      </c>
      <c r="B134" s="2">
        <f ca="1">IFERROR(__xludf.DUMMYFUNCTION("""COMPUTED_VALUE"""),184.94)</f>
        <v>184.94</v>
      </c>
      <c r="C134" s="2">
        <f ca="1">IFERROR(__xludf.DUMMYFUNCTION("""COMPUTED_VALUE"""),187.79)</f>
        <v>187.79</v>
      </c>
      <c r="D134" s="2">
        <f ca="1">IFERROR(__xludf.DUMMYFUNCTION("""COMPUTED_VALUE"""),180.07)</f>
        <v>180.07</v>
      </c>
      <c r="E134" s="2">
        <f ca="1">IFERROR(__xludf.DUMMYFUNCTION("""COMPUTED_VALUE"""),180.79)</f>
        <v>180.79</v>
      </c>
      <c r="F134" s="2">
        <f ca="1">IFERROR(__xludf.DUMMYFUNCTION("""COMPUTED_VALUE"""),5361029)</f>
        <v>5361029</v>
      </c>
    </row>
    <row r="135" spans="1:6" ht="12.5" x14ac:dyDescent="0.25">
      <c r="A135" s="3">
        <f ca="1">IFERROR(__xludf.DUMMYFUNCTION("""COMPUTED_VALUE"""),45124.6666666666)</f>
        <v>45124.666666666599</v>
      </c>
      <c r="B135" s="2">
        <f ca="1">IFERROR(__xludf.DUMMYFUNCTION("""COMPUTED_VALUE"""),182.5)</f>
        <v>182.5</v>
      </c>
      <c r="C135" s="2">
        <f ca="1">IFERROR(__xludf.DUMMYFUNCTION("""COMPUTED_VALUE"""),185.58)</f>
        <v>185.58</v>
      </c>
      <c r="D135" s="2">
        <f ca="1">IFERROR(__xludf.DUMMYFUNCTION("""COMPUTED_VALUE"""),181.11)</f>
        <v>181.11</v>
      </c>
      <c r="E135" s="2">
        <f ca="1">IFERROR(__xludf.DUMMYFUNCTION("""COMPUTED_VALUE"""),184.21)</f>
        <v>184.21</v>
      </c>
      <c r="F135" s="2">
        <f ca="1">IFERROR(__xludf.DUMMYFUNCTION("""COMPUTED_VALUE"""),3675461)</f>
        <v>3675461</v>
      </c>
    </row>
    <row r="136" spans="1:6" ht="12.5" x14ac:dyDescent="0.25">
      <c r="A136" s="3">
        <f ca="1">IFERROR(__xludf.DUMMYFUNCTION("""COMPUTED_VALUE"""),45125.6666666666)</f>
        <v>45125.666666666599</v>
      </c>
      <c r="B136" s="2">
        <f ca="1">IFERROR(__xludf.DUMMYFUNCTION("""COMPUTED_VALUE"""),185.48)</f>
        <v>185.48</v>
      </c>
      <c r="C136" s="2">
        <f ca="1">IFERROR(__xludf.DUMMYFUNCTION("""COMPUTED_VALUE"""),189.24)</f>
        <v>189.24</v>
      </c>
      <c r="D136" s="2">
        <f ca="1">IFERROR(__xludf.DUMMYFUNCTION("""COMPUTED_VALUE"""),182.1)</f>
        <v>182.1</v>
      </c>
      <c r="E136" s="2">
        <f ca="1">IFERROR(__xludf.DUMMYFUNCTION("""COMPUTED_VALUE"""),188.2)</f>
        <v>188.2</v>
      </c>
      <c r="F136" s="2">
        <f ca="1">IFERROR(__xludf.DUMMYFUNCTION("""COMPUTED_VALUE"""),4361144)</f>
        <v>4361144</v>
      </c>
    </row>
    <row r="137" spans="1:6" ht="12.5" x14ac:dyDescent="0.25">
      <c r="A137" s="3">
        <f ca="1">IFERROR(__xludf.DUMMYFUNCTION("""COMPUTED_VALUE"""),45126.6666666666)</f>
        <v>45126.666666666599</v>
      </c>
      <c r="B137" s="2">
        <f ca="1">IFERROR(__xludf.DUMMYFUNCTION("""COMPUTED_VALUE"""),191.86)</f>
        <v>191.86</v>
      </c>
      <c r="C137" s="2">
        <f ca="1">IFERROR(__xludf.DUMMYFUNCTION("""COMPUTED_VALUE"""),193.23)</f>
        <v>193.23</v>
      </c>
      <c r="D137" s="2">
        <f ca="1">IFERROR(__xludf.DUMMYFUNCTION("""COMPUTED_VALUE"""),185.15)</f>
        <v>185.15</v>
      </c>
      <c r="E137" s="2">
        <f ca="1">IFERROR(__xludf.DUMMYFUNCTION("""COMPUTED_VALUE"""),185.45)</f>
        <v>185.45</v>
      </c>
      <c r="F137" s="2">
        <f ca="1">IFERROR(__xludf.DUMMYFUNCTION("""COMPUTED_VALUE"""),3933188)</f>
        <v>3933188</v>
      </c>
    </row>
    <row r="138" spans="1:6" ht="12.5" x14ac:dyDescent="0.25">
      <c r="A138" s="3">
        <f ca="1">IFERROR(__xludf.DUMMYFUNCTION("""COMPUTED_VALUE"""),45127.6666666666)</f>
        <v>45127.666666666599</v>
      </c>
      <c r="B138" s="2">
        <f ca="1">IFERROR(__xludf.DUMMYFUNCTION("""COMPUTED_VALUE"""),182.47)</f>
        <v>182.47</v>
      </c>
      <c r="C138" s="2">
        <f ca="1">IFERROR(__xludf.DUMMYFUNCTION("""COMPUTED_VALUE"""),183.95)</f>
        <v>183.95</v>
      </c>
      <c r="D138" s="2">
        <f ca="1">IFERROR(__xludf.DUMMYFUNCTION("""COMPUTED_VALUE"""),175.55)</f>
        <v>175.55</v>
      </c>
      <c r="E138" s="2">
        <f ca="1">IFERROR(__xludf.DUMMYFUNCTION("""COMPUTED_VALUE"""),176.33)</f>
        <v>176.33</v>
      </c>
      <c r="F138" s="2">
        <f ca="1">IFERROR(__xludf.DUMMYFUNCTION("""COMPUTED_VALUE"""),6092855)</f>
        <v>6092855</v>
      </c>
    </row>
    <row r="139" spans="1:6" ht="12.5" x14ac:dyDescent="0.25">
      <c r="A139" s="3">
        <f ca="1">IFERROR(__xludf.DUMMYFUNCTION("""COMPUTED_VALUE"""),45128.6666666666)</f>
        <v>45128.666666666599</v>
      </c>
      <c r="B139" s="2">
        <f ca="1">IFERROR(__xludf.DUMMYFUNCTION("""COMPUTED_VALUE"""),178.68)</f>
        <v>178.68</v>
      </c>
      <c r="C139" s="2">
        <f ca="1">IFERROR(__xludf.DUMMYFUNCTION("""COMPUTED_VALUE"""),180.81)</f>
        <v>180.81</v>
      </c>
      <c r="D139" s="2">
        <f ca="1">IFERROR(__xludf.DUMMYFUNCTION("""COMPUTED_VALUE"""),175.85)</f>
        <v>175.85</v>
      </c>
      <c r="E139" s="2">
        <f ca="1">IFERROR(__xludf.DUMMYFUNCTION("""COMPUTED_VALUE"""),175.9)</f>
        <v>175.9</v>
      </c>
      <c r="F139" s="2">
        <f ca="1">IFERROR(__xludf.DUMMYFUNCTION("""COMPUTED_VALUE"""),4020471)</f>
        <v>4020471</v>
      </c>
    </row>
    <row r="140" spans="1:6" ht="12.5" x14ac:dyDescent="0.25">
      <c r="A140" s="3">
        <f ca="1">IFERROR(__xludf.DUMMYFUNCTION("""COMPUTED_VALUE"""),45131.6666666666)</f>
        <v>45131.666666666599</v>
      </c>
      <c r="B140" s="2">
        <f ca="1">IFERROR(__xludf.DUMMYFUNCTION("""COMPUTED_VALUE"""),176.11)</f>
        <v>176.11</v>
      </c>
      <c r="C140" s="2">
        <f ca="1">IFERROR(__xludf.DUMMYFUNCTION("""COMPUTED_VALUE"""),177.35)</f>
        <v>177.35</v>
      </c>
      <c r="D140" s="2">
        <f ca="1">IFERROR(__xludf.DUMMYFUNCTION("""COMPUTED_VALUE"""),172.86)</f>
        <v>172.86</v>
      </c>
      <c r="E140" s="2">
        <f ca="1">IFERROR(__xludf.DUMMYFUNCTION("""COMPUTED_VALUE"""),174.8)</f>
        <v>174.8</v>
      </c>
      <c r="F140" s="2">
        <f ca="1">IFERROR(__xludf.DUMMYFUNCTION("""COMPUTED_VALUE"""),3464828)</f>
        <v>3464828</v>
      </c>
    </row>
    <row r="141" spans="1:6" ht="12.5" x14ac:dyDescent="0.25">
      <c r="A141" s="3">
        <f ca="1">IFERROR(__xludf.DUMMYFUNCTION("""COMPUTED_VALUE"""),45132.6666666666)</f>
        <v>45132.666666666599</v>
      </c>
      <c r="B141" s="2">
        <f ca="1">IFERROR(__xludf.DUMMYFUNCTION("""COMPUTED_VALUE"""),177)</f>
        <v>177</v>
      </c>
      <c r="C141" s="2">
        <f ca="1">IFERROR(__xludf.DUMMYFUNCTION("""COMPUTED_VALUE"""),181.8)</f>
        <v>181.8</v>
      </c>
      <c r="D141" s="2">
        <f ca="1">IFERROR(__xludf.DUMMYFUNCTION("""COMPUTED_VALUE"""),176.31)</f>
        <v>176.31</v>
      </c>
      <c r="E141" s="2">
        <f ca="1">IFERROR(__xludf.DUMMYFUNCTION("""COMPUTED_VALUE"""),179.29)</f>
        <v>179.29</v>
      </c>
      <c r="F141" s="2">
        <f ca="1">IFERROR(__xludf.DUMMYFUNCTION("""COMPUTED_VALUE"""),3775621)</f>
        <v>3775621</v>
      </c>
    </row>
    <row r="142" spans="1:6" ht="12.5" x14ac:dyDescent="0.25">
      <c r="A142" s="3">
        <f ca="1">IFERROR(__xludf.DUMMYFUNCTION("""COMPUTED_VALUE"""),45133.6666666666)</f>
        <v>45133.666666666599</v>
      </c>
      <c r="B142" s="2">
        <f ca="1">IFERROR(__xludf.DUMMYFUNCTION("""COMPUTED_VALUE"""),174.2)</f>
        <v>174.2</v>
      </c>
      <c r="C142" s="2">
        <f ca="1">IFERROR(__xludf.DUMMYFUNCTION("""COMPUTED_VALUE"""),174.3)</f>
        <v>174.3</v>
      </c>
      <c r="D142" s="2">
        <f ca="1">IFERROR(__xludf.DUMMYFUNCTION("""COMPUTED_VALUE"""),168.25)</f>
        <v>168.25</v>
      </c>
      <c r="E142" s="2">
        <f ca="1">IFERROR(__xludf.DUMMYFUNCTION("""COMPUTED_VALUE"""),170)</f>
        <v>170</v>
      </c>
      <c r="F142" s="2">
        <f ca="1">IFERROR(__xludf.DUMMYFUNCTION("""COMPUTED_VALUE"""),6916274)</f>
        <v>6916274</v>
      </c>
    </row>
    <row r="143" spans="1:6" ht="12.5" x14ac:dyDescent="0.25">
      <c r="A143" s="3">
        <f ca="1">IFERROR(__xludf.DUMMYFUNCTION("""COMPUTED_VALUE"""),45134.6666666666)</f>
        <v>45134.666666666599</v>
      </c>
      <c r="B143" s="2">
        <f ca="1">IFERROR(__xludf.DUMMYFUNCTION("""COMPUTED_VALUE"""),174.32)</f>
        <v>174.32</v>
      </c>
      <c r="C143" s="2">
        <f ca="1">IFERROR(__xludf.DUMMYFUNCTION("""COMPUTED_VALUE"""),175.4)</f>
        <v>175.4</v>
      </c>
      <c r="D143" s="2">
        <f ca="1">IFERROR(__xludf.DUMMYFUNCTION("""COMPUTED_VALUE"""),167.02)</f>
        <v>167.02</v>
      </c>
      <c r="E143" s="2">
        <f ca="1">IFERROR(__xludf.DUMMYFUNCTION("""COMPUTED_VALUE"""),168.27)</f>
        <v>168.27</v>
      </c>
      <c r="F143" s="2">
        <f ca="1">IFERROR(__xludf.DUMMYFUNCTION("""COMPUTED_VALUE"""),4820652)</f>
        <v>4820652</v>
      </c>
    </row>
    <row r="144" spans="1:6" ht="12.5" x14ac:dyDescent="0.25">
      <c r="A144" s="3">
        <f ca="1">IFERROR(__xludf.DUMMYFUNCTION("""COMPUTED_VALUE"""),45135.6666666666)</f>
        <v>45135.666666666599</v>
      </c>
      <c r="B144" s="2">
        <f ca="1">IFERROR(__xludf.DUMMYFUNCTION("""COMPUTED_VALUE"""),170.96)</f>
        <v>170.96</v>
      </c>
      <c r="C144" s="2">
        <f ca="1">IFERROR(__xludf.DUMMYFUNCTION("""COMPUTED_VALUE"""),175.35)</f>
        <v>175.35</v>
      </c>
      <c r="D144" s="2">
        <f ca="1">IFERROR(__xludf.DUMMYFUNCTION("""COMPUTED_VALUE"""),169.72)</f>
        <v>169.72</v>
      </c>
      <c r="E144" s="2">
        <f ca="1">IFERROR(__xludf.DUMMYFUNCTION("""COMPUTED_VALUE"""),174.83)</f>
        <v>174.83</v>
      </c>
      <c r="F144" s="2">
        <f ca="1">IFERROR(__xludf.DUMMYFUNCTION("""COMPUTED_VALUE"""),4764960)</f>
        <v>4764960</v>
      </c>
    </row>
    <row r="145" spans="1:6" ht="12.5" x14ac:dyDescent="0.25">
      <c r="A145" s="3">
        <f ca="1">IFERROR(__xludf.DUMMYFUNCTION("""COMPUTED_VALUE"""),45138.6666666666)</f>
        <v>45138.666666666599</v>
      </c>
      <c r="B145" s="2">
        <f ca="1">IFERROR(__xludf.DUMMYFUNCTION("""COMPUTED_VALUE"""),176.98)</f>
        <v>176.98</v>
      </c>
      <c r="C145" s="2">
        <f ca="1">IFERROR(__xludf.DUMMYFUNCTION("""COMPUTED_VALUE"""),181.36)</f>
        <v>181.36</v>
      </c>
      <c r="D145" s="2">
        <f ca="1">IFERROR(__xludf.DUMMYFUNCTION("""COMPUTED_VALUE"""),176.98)</f>
        <v>176.98</v>
      </c>
      <c r="E145" s="2">
        <f ca="1">IFERROR(__xludf.DUMMYFUNCTION("""COMPUTED_VALUE"""),177.71)</f>
        <v>177.71</v>
      </c>
      <c r="F145" s="2">
        <f ca="1">IFERROR(__xludf.DUMMYFUNCTION("""COMPUTED_VALUE"""),3489661)</f>
        <v>3489661</v>
      </c>
    </row>
    <row r="146" spans="1:6" ht="12.5" x14ac:dyDescent="0.25">
      <c r="A146" s="3">
        <f ca="1">IFERROR(__xludf.DUMMYFUNCTION("""COMPUTED_VALUE"""),45139.6666666666)</f>
        <v>45139.666666666599</v>
      </c>
      <c r="B146" s="2">
        <f ca="1">IFERROR(__xludf.DUMMYFUNCTION("""COMPUTED_VALUE"""),175.23)</f>
        <v>175.23</v>
      </c>
      <c r="C146" s="2">
        <f ca="1">IFERROR(__xludf.DUMMYFUNCTION("""COMPUTED_VALUE"""),177.71)</f>
        <v>177.71</v>
      </c>
      <c r="D146" s="2">
        <f ca="1">IFERROR(__xludf.DUMMYFUNCTION("""COMPUTED_VALUE"""),174.82)</f>
        <v>174.82</v>
      </c>
      <c r="E146" s="2">
        <f ca="1">IFERROR(__xludf.DUMMYFUNCTION("""COMPUTED_VALUE"""),176.58)</f>
        <v>176.58</v>
      </c>
      <c r="F146" s="2">
        <f ca="1">IFERROR(__xludf.DUMMYFUNCTION("""COMPUTED_VALUE"""),2464778)</f>
        <v>2464778</v>
      </c>
    </row>
    <row r="147" spans="1:6" ht="12.5" x14ac:dyDescent="0.25">
      <c r="A147" s="3">
        <f ca="1">IFERROR(__xludf.DUMMYFUNCTION("""COMPUTED_VALUE"""),45140.6666666666)</f>
        <v>45140.666666666599</v>
      </c>
      <c r="B147" s="2">
        <f ca="1">IFERROR(__xludf.DUMMYFUNCTION("""COMPUTED_VALUE"""),172.5)</f>
        <v>172.5</v>
      </c>
      <c r="C147" s="2">
        <f ca="1">IFERROR(__xludf.DUMMYFUNCTION("""COMPUTED_VALUE"""),172.8)</f>
        <v>172.8</v>
      </c>
      <c r="D147" s="2">
        <f ca="1">IFERROR(__xludf.DUMMYFUNCTION("""COMPUTED_VALUE"""),164.51)</f>
        <v>164.51</v>
      </c>
      <c r="E147" s="2">
        <f ca="1">IFERROR(__xludf.DUMMYFUNCTION("""COMPUTED_VALUE"""),164.6)</f>
        <v>164.6</v>
      </c>
      <c r="F147" s="2">
        <f ca="1">IFERROR(__xludf.DUMMYFUNCTION("""COMPUTED_VALUE"""),5348439)</f>
        <v>5348439</v>
      </c>
    </row>
    <row r="148" spans="1:6" ht="12.5" x14ac:dyDescent="0.25">
      <c r="A148" s="3">
        <f ca="1">IFERROR(__xludf.DUMMYFUNCTION("""COMPUTED_VALUE"""),45141.6666666666)</f>
        <v>45141.666666666599</v>
      </c>
      <c r="B148" s="2">
        <f ca="1">IFERROR(__xludf.DUMMYFUNCTION("""COMPUTED_VALUE"""),163.46)</f>
        <v>163.46</v>
      </c>
      <c r="C148" s="2">
        <f ca="1">IFERROR(__xludf.DUMMYFUNCTION("""COMPUTED_VALUE"""),164.72)</f>
        <v>164.72</v>
      </c>
      <c r="D148" s="2">
        <f ca="1">IFERROR(__xludf.DUMMYFUNCTION("""COMPUTED_VALUE"""),159.53)</f>
        <v>159.53</v>
      </c>
      <c r="E148" s="2">
        <f ca="1">IFERROR(__xludf.DUMMYFUNCTION("""COMPUTED_VALUE"""),161.05)</f>
        <v>161.05000000000001</v>
      </c>
      <c r="F148" s="2">
        <f ca="1">IFERROR(__xludf.DUMMYFUNCTION("""COMPUTED_VALUE"""),7812111)</f>
        <v>7812111</v>
      </c>
    </row>
    <row r="149" spans="1:6" ht="12.5" x14ac:dyDescent="0.25">
      <c r="A149" s="3">
        <f ca="1">IFERROR(__xludf.DUMMYFUNCTION("""COMPUTED_VALUE"""),45142.6666666666)</f>
        <v>45142.666666666599</v>
      </c>
      <c r="B149" s="2">
        <f ca="1">IFERROR(__xludf.DUMMYFUNCTION("""COMPUTED_VALUE"""),171.36)</f>
        <v>171.36</v>
      </c>
      <c r="C149" s="2">
        <f ca="1">IFERROR(__xludf.DUMMYFUNCTION("""COMPUTED_VALUE"""),172.44)</f>
        <v>172.44</v>
      </c>
      <c r="D149" s="2">
        <f ca="1">IFERROR(__xludf.DUMMYFUNCTION("""COMPUTED_VALUE"""),165.09)</f>
        <v>165.09</v>
      </c>
      <c r="E149" s="2">
        <f ca="1">IFERROR(__xludf.DUMMYFUNCTION("""COMPUTED_VALUE"""),166.67)</f>
        <v>166.67</v>
      </c>
      <c r="F149" s="2">
        <f ca="1">IFERROR(__xludf.DUMMYFUNCTION("""COMPUTED_VALUE"""),7332568)</f>
        <v>7332568</v>
      </c>
    </row>
    <row r="150" spans="1:6" ht="12.5" x14ac:dyDescent="0.25">
      <c r="A150" s="3">
        <f ca="1">IFERROR(__xludf.DUMMYFUNCTION("""COMPUTED_VALUE"""),45145.6666666666)</f>
        <v>45145.666666666599</v>
      </c>
      <c r="B150" s="2">
        <f ca="1">IFERROR(__xludf.DUMMYFUNCTION("""COMPUTED_VALUE"""),168.01)</f>
        <v>168.01</v>
      </c>
      <c r="C150" s="2">
        <f ca="1">IFERROR(__xludf.DUMMYFUNCTION("""COMPUTED_VALUE"""),168.61)</f>
        <v>168.61</v>
      </c>
      <c r="D150" s="2">
        <f ca="1">IFERROR(__xludf.DUMMYFUNCTION("""COMPUTED_VALUE"""),163.62)</f>
        <v>163.62</v>
      </c>
      <c r="E150" s="2">
        <f ca="1">IFERROR(__xludf.DUMMYFUNCTION("""COMPUTED_VALUE"""),166.67)</f>
        <v>166.67</v>
      </c>
      <c r="F150" s="2">
        <f ca="1">IFERROR(__xludf.DUMMYFUNCTION("""COMPUTED_VALUE"""),3540487)</f>
        <v>3540487</v>
      </c>
    </row>
    <row r="151" spans="1:6" ht="12.5" x14ac:dyDescent="0.25">
      <c r="A151" s="3">
        <f ca="1">IFERROR(__xludf.DUMMYFUNCTION("""COMPUTED_VALUE"""),45146.6666666666)</f>
        <v>45146.666666666599</v>
      </c>
      <c r="B151" s="2">
        <f ca="1">IFERROR(__xludf.DUMMYFUNCTION("""COMPUTED_VALUE"""),157.23)</f>
        <v>157.22999999999999</v>
      </c>
      <c r="C151" s="2">
        <f ca="1">IFERROR(__xludf.DUMMYFUNCTION("""COMPUTED_VALUE"""),160.72)</f>
        <v>160.72</v>
      </c>
      <c r="D151" s="2">
        <f ca="1">IFERROR(__xludf.DUMMYFUNCTION("""COMPUTED_VALUE"""),154.17)</f>
        <v>154.16999999999999</v>
      </c>
      <c r="E151" s="2">
        <f ca="1">IFERROR(__xludf.DUMMYFUNCTION("""COMPUTED_VALUE"""),156.33)</f>
        <v>156.33000000000001</v>
      </c>
      <c r="F151" s="2">
        <f ca="1">IFERROR(__xludf.DUMMYFUNCTION("""COMPUTED_VALUE"""),11725254)</f>
        <v>11725254</v>
      </c>
    </row>
    <row r="152" spans="1:6" ht="12.5" x14ac:dyDescent="0.25">
      <c r="A152" s="3">
        <f ca="1">IFERROR(__xludf.DUMMYFUNCTION("""COMPUTED_VALUE"""),45147.6666666666)</f>
        <v>45147.666666666599</v>
      </c>
      <c r="B152" s="2">
        <f ca="1">IFERROR(__xludf.DUMMYFUNCTION("""COMPUTED_VALUE"""),157.85)</f>
        <v>157.85</v>
      </c>
      <c r="C152" s="2">
        <f ca="1">IFERROR(__xludf.DUMMYFUNCTION("""COMPUTED_VALUE"""),158.95)</f>
        <v>158.94999999999999</v>
      </c>
      <c r="D152" s="2">
        <f ca="1">IFERROR(__xludf.DUMMYFUNCTION("""COMPUTED_VALUE"""),153.32)</f>
        <v>153.32</v>
      </c>
      <c r="E152" s="2">
        <f ca="1">IFERROR(__xludf.DUMMYFUNCTION("""COMPUTED_VALUE"""),154.07)</f>
        <v>154.07</v>
      </c>
      <c r="F152" s="2">
        <f ca="1">IFERROR(__xludf.DUMMYFUNCTION("""COMPUTED_VALUE"""),4363803)</f>
        <v>4363803</v>
      </c>
    </row>
    <row r="153" spans="1:6" ht="12.5" x14ac:dyDescent="0.25">
      <c r="A153" s="3">
        <f ca="1">IFERROR(__xludf.DUMMYFUNCTION("""COMPUTED_VALUE"""),45148.6666666666)</f>
        <v>45148.666666666599</v>
      </c>
      <c r="B153" s="2">
        <f ca="1">IFERROR(__xludf.DUMMYFUNCTION("""COMPUTED_VALUE"""),155.41)</f>
        <v>155.41</v>
      </c>
      <c r="C153" s="2">
        <f ca="1">IFERROR(__xludf.DUMMYFUNCTION("""COMPUTED_VALUE"""),158.83)</f>
        <v>158.83000000000001</v>
      </c>
      <c r="D153" s="2">
        <f ca="1">IFERROR(__xludf.DUMMYFUNCTION("""COMPUTED_VALUE"""),153.96)</f>
        <v>153.96</v>
      </c>
      <c r="E153" s="2">
        <f ca="1">IFERROR(__xludf.DUMMYFUNCTION("""COMPUTED_VALUE"""),155.02)</f>
        <v>155.02000000000001</v>
      </c>
      <c r="F153" s="2">
        <f ca="1">IFERROR(__xludf.DUMMYFUNCTION("""COMPUTED_VALUE"""),3248942)</f>
        <v>3248942</v>
      </c>
    </row>
    <row r="154" spans="1:6" ht="12.5" x14ac:dyDescent="0.25">
      <c r="A154" s="3">
        <f ca="1">IFERROR(__xludf.DUMMYFUNCTION("""COMPUTED_VALUE"""),45149.6666666666)</f>
        <v>45149.666666666599</v>
      </c>
      <c r="B154" s="2">
        <f ca="1">IFERROR(__xludf.DUMMYFUNCTION("""COMPUTED_VALUE"""),153.3)</f>
        <v>153.30000000000001</v>
      </c>
      <c r="C154" s="2">
        <f ca="1">IFERROR(__xludf.DUMMYFUNCTION("""COMPUTED_VALUE"""),155.43)</f>
        <v>155.43</v>
      </c>
      <c r="D154" s="2">
        <f ca="1">IFERROR(__xludf.DUMMYFUNCTION("""COMPUTED_VALUE"""),151.37)</f>
        <v>151.37</v>
      </c>
      <c r="E154" s="2">
        <f ca="1">IFERROR(__xludf.DUMMYFUNCTION("""COMPUTED_VALUE"""),153.37)</f>
        <v>153.37</v>
      </c>
      <c r="F154" s="2">
        <f ca="1">IFERROR(__xludf.DUMMYFUNCTION("""COMPUTED_VALUE"""),3974439)</f>
        <v>3974439</v>
      </c>
    </row>
    <row r="155" spans="1:6" ht="12.5" x14ac:dyDescent="0.25">
      <c r="A155" s="3">
        <f ca="1">IFERROR(__xludf.DUMMYFUNCTION("""COMPUTED_VALUE"""),45152.6666666666)</f>
        <v>45152.666666666599</v>
      </c>
      <c r="B155" s="2">
        <f ca="1">IFERROR(__xludf.DUMMYFUNCTION("""COMPUTED_VALUE"""),151.54)</f>
        <v>151.54</v>
      </c>
      <c r="C155" s="2">
        <f ca="1">IFERROR(__xludf.DUMMYFUNCTION("""COMPUTED_VALUE"""),153.15)</f>
        <v>153.15</v>
      </c>
      <c r="D155" s="2">
        <f ca="1">IFERROR(__xludf.DUMMYFUNCTION("""COMPUTED_VALUE"""),150.07)</f>
        <v>150.07</v>
      </c>
      <c r="E155" s="2">
        <f ca="1">IFERROR(__xludf.DUMMYFUNCTION("""COMPUTED_VALUE"""),152.86)</f>
        <v>152.86000000000001</v>
      </c>
      <c r="F155" s="2">
        <f ca="1">IFERROR(__xludf.DUMMYFUNCTION("""COMPUTED_VALUE"""),3136721)</f>
        <v>3136721</v>
      </c>
    </row>
    <row r="156" spans="1:6" ht="12.5" x14ac:dyDescent="0.25">
      <c r="A156" s="3">
        <f ca="1">IFERROR(__xludf.DUMMYFUNCTION("""COMPUTED_VALUE"""),45153.6666666666)</f>
        <v>45153.666666666599</v>
      </c>
      <c r="B156" s="2">
        <f ca="1">IFERROR(__xludf.DUMMYFUNCTION("""COMPUTED_VALUE"""),151.57)</f>
        <v>151.57</v>
      </c>
      <c r="C156" s="2">
        <f ca="1">IFERROR(__xludf.DUMMYFUNCTION("""COMPUTED_VALUE"""),153.4)</f>
        <v>153.4</v>
      </c>
      <c r="D156" s="2">
        <f ca="1">IFERROR(__xludf.DUMMYFUNCTION("""COMPUTED_VALUE"""),150.08)</f>
        <v>150.08000000000001</v>
      </c>
      <c r="E156" s="2">
        <f ca="1">IFERROR(__xludf.DUMMYFUNCTION("""COMPUTED_VALUE"""),151.1)</f>
        <v>151.1</v>
      </c>
      <c r="F156" s="2">
        <f ca="1">IFERROR(__xludf.DUMMYFUNCTION("""COMPUTED_VALUE"""),2644577)</f>
        <v>2644577</v>
      </c>
    </row>
    <row r="157" spans="1:6" ht="12.5" x14ac:dyDescent="0.25">
      <c r="A157" s="3">
        <f ca="1">IFERROR(__xludf.DUMMYFUNCTION("""COMPUTED_VALUE"""),45154.6666666666)</f>
        <v>45154.666666666599</v>
      </c>
      <c r="B157" s="2">
        <f ca="1">IFERROR(__xludf.DUMMYFUNCTION("""COMPUTED_VALUE"""),151.2)</f>
        <v>151.19999999999999</v>
      </c>
      <c r="C157" s="2">
        <f ca="1">IFERROR(__xludf.DUMMYFUNCTION("""COMPUTED_VALUE"""),152.75)</f>
        <v>152.75</v>
      </c>
      <c r="D157" s="2">
        <f ca="1">IFERROR(__xludf.DUMMYFUNCTION("""COMPUTED_VALUE"""),148.84)</f>
        <v>148.84</v>
      </c>
      <c r="E157" s="2">
        <f ca="1">IFERROR(__xludf.DUMMYFUNCTION("""COMPUTED_VALUE"""),149.69)</f>
        <v>149.69</v>
      </c>
      <c r="F157" s="2">
        <f ca="1">IFERROR(__xludf.DUMMYFUNCTION("""COMPUTED_VALUE"""),3561562)</f>
        <v>3561562</v>
      </c>
    </row>
    <row r="158" spans="1:6" ht="12.5" x14ac:dyDescent="0.25">
      <c r="A158" s="3">
        <f ca="1">IFERROR(__xludf.DUMMYFUNCTION("""COMPUTED_VALUE"""),45155.6666666666)</f>
        <v>45155.666666666599</v>
      </c>
      <c r="B158" s="2">
        <f ca="1">IFERROR(__xludf.DUMMYFUNCTION("""COMPUTED_VALUE"""),149.87)</f>
        <v>149.87</v>
      </c>
      <c r="C158" s="2">
        <f ca="1">IFERROR(__xludf.DUMMYFUNCTION("""COMPUTED_VALUE"""),150.89)</f>
        <v>150.88999999999999</v>
      </c>
      <c r="D158" s="2">
        <f ca="1">IFERROR(__xludf.DUMMYFUNCTION("""COMPUTED_VALUE"""),146.09)</f>
        <v>146.09</v>
      </c>
      <c r="E158" s="2">
        <f ca="1">IFERROR(__xludf.DUMMYFUNCTION("""COMPUTED_VALUE"""),146.94)</f>
        <v>146.94</v>
      </c>
      <c r="F158" s="2">
        <f ca="1">IFERROR(__xludf.DUMMYFUNCTION("""COMPUTED_VALUE"""),4348368)</f>
        <v>4348368</v>
      </c>
    </row>
    <row r="159" spans="1:6" ht="12.5" x14ac:dyDescent="0.25">
      <c r="A159" s="3">
        <f ca="1">IFERROR(__xludf.DUMMYFUNCTION("""COMPUTED_VALUE"""),45156.6666666666)</f>
        <v>45156.666666666599</v>
      </c>
      <c r="B159" s="2">
        <f ca="1">IFERROR(__xludf.DUMMYFUNCTION("""COMPUTED_VALUE"""),144.49)</f>
        <v>144.49</v>
      </c>
      <c r="C159" s="2">
        <f ca="1">IFERROR(__xludf.DUMMYFUNCTION("""COMPUTED_VALUE"""),147.86)</f>
        <v>147.86000000000001</v>
      </c>
      <c r="D159" s="2">
        <f ca="1">IFERROR(__xludf.DUMMYFUNCTION("""COMPUTED_VALUE"""),142.4)</f>
        <v>142.4</v>
      </c>
      <c r="E159" s="2">
        <f ca="1">IFERROR(__xludf.DUMMYFUNCTION("""COMPUTED_VALUE"""),147.63)</f>
        <v>147.63</v>
      </c>
      <c r="F159" s="2">
        <f ca="1">IFERROR(__xludf.DUMMYFUNCTION("""COMPUTED_VALUE"""),5852293)</f>
        <v>5852293</v>
      </c>
    </row>
    <row r="160" spans="1:6" ht="12.5" x14ac:dyDescent="0.25">
      <c r="A160" s="3">
        <f ca="1">IFERROR(__xludf.DUMMYFUNCTION("""COMPUTED_VALUE"""),45159.6666666666)</f>
        <v>45159.666666666599</v>
      </c>
      <c r="B160" s="2">
        <f ca="1">IFERROR(__xludf.DUMMYFUNCTION("""COMPUTED_VALUE"""),149.06)</f>
        <v>149.06</v>
      </c>
      <c r="C160" s="2">
        <f ca="1">IFERROR(__xludf.DUMMYFUNCTION("""COMPUTED_VALUE"""),153.11)</f>
        <v>153.11000000000001</v>
      </c>
      <c r="D160" s="2">
        <f ca="1">IFERROR(__xludf.DUMMYFUNCTION("""COMPUTED_VALUE"""),149.06)</f>
        <v>149.06</v>
      </c>
      <c r="E160" s="2">
        <f ca="1">IFERROR(__xludf.DUMMYFUNCTION("""COMPUTED_VALUE"""),151.88)</f>
        <v>151.88</v>
      </c>
      <c r="F160" s="2">
        <f ca="1">IFERROR(__xludf.DUMMYFUNCTION("""COMPUTED_VALUE"""),5671008)</f>
        <v>5671008</v>
      </c>
    </row>
    <row r="161" spans="1:6" ht="12.5" x14ac:dyDescent="0.25">
      <c r="A161" s="3">
        <f ca="1">IFERROR(__xludf.DUMMYFUNCTION("""COMPUTED_VALUE"""),45160.6666666666)</f>
        <v>45160.666666666599</v>
      </c>
      <c r="B161" s="2">
        <f ca="1">IFERROR(__xludf.DUMMYFUNCTION("""COMPUTED_VALUE"""),153.88)</f>
        <v>153.88</v>
      </c>
      <c r="C161" s="2">
        <f ca="1">IFERROR(__xludf.DUMMYFUNCTION("""COMPUTED_VALUE"""),154.19)</f>
        <v>154.19</v>
      </c>
      <c r="D161" s="2">
        <f ca="1">IFERROR(__xludf.DUMMYFUNCTION("""COMPUTED_VALUE"""),151.55)</f>
        <v>151.55000000000001</v>
      </c>
      <c r="E161" s="2">
        <f ca="1">IFERROR(__xludf.DUMMYFUNCTION("""COMPUTED_VALUE"""),152.58)</f>
        <v>152.58000000000001</v>
      </c>
      <c r="F161" s="2">
        <f ca="1">IFERROR(__xludf.DUMMYFUNCTION("""COMPUTED_VALUE"""),4994093)</f>
        <v>4994093</v>
      </c>
    </row>
    <row r="162" spans="1:6" ht="12.5" x14ac:dyDescent="0.25">
      <c r="A162" s="3">
        <f ca="1">IFERROR(__xludf.DUMMYFUNCTION("""COMPUTED_VALUE"""),45161.6666666666)</f>
        <v>45161.666666666599</v>
      </c>
      <c r="B162" s="2">
        <f ca="1">IFERROR(__xludf.DUMMYFUNCTION("""COMPUTED_VALUE"""),151.87)</f>
        <v>151.87</v>
      </c>
      <c r="C162" s="2">
        <f ca="1">IFERROR(__xludf.DUMMYFUNCTION("""COMPUTED_VALUE"""),157.46)</f>
        <v>157.46</v>
      </c>
      <c r="D162" s="2">
        <f ca="1">IFERROR(__xludf.DUMMYFUNCTION("""COMPUTED_VALUE"""),151.8)</f>
        <v>151.80000000000001</v>
      </c>
      <c r="E162" s="2">
        <f ca="1">IFERROR(__xludf.DUMMYFUNCTION("""COMPUTED_VALUE"""),155.7)</f>
        <v>155.69999999999999</v>
      </c>
      <c r="F162" s="2">
        <f ca="1">IFERROR(__xludf.DUMMYFUNCTION("""COMPUTED_VALUE"""),10302589)</f>
        <v>10302589</v>
      </c>
    </row>
    <row r="163" spans="1:6" ht="12.5" x14ac:dyDescent="0.25">
      <c r="A163" s="3">
        <f ca="1">IFERROR(__xludf.DUMMYFUNCTION("""COMPUTED_VALUE"""),45162.6666666666)</f>
        <v>45162.666666666599</v>
      </c>
      <c r="B163" s="2">
        <f ca="1">IFERROR(__xludf.DUMMYFUNCTION("""COMPUTED_VALUE"""),161.55)</f>
        <v>161.55000000000001</v>
      </c>
      <c r="C163" s="2">
        <f ca="1">IFERROR(__xludf.DUMMYFUNCTION("""COMPUTED_VALUE"""),161.93)</f>
        <v>161.93</v>
      </c>
      <c r="D163" s="2">
        <f ca="1">IFERROR(__xludf.DUMMYFUNCTION("""COMPUTED_VALUE"""),145.4)</f>
        <v>145.4</v>
      </c>
      <c r="E163" s="2">
        <f ca="1">IFERROR(__xludf.DUMMYFUNCTION("""COMPUTED_VALUE"""),147.67)</f>
        <v>147.66999999999999</v>
      </c>
      <c r="F163" s="2">
        <f ca="1">IFERROR(__xludf.DUMMYFUNCTION("""COMPUTED_VALUE"""),14065805)</f>
        <v>14065805</v>
      </c>
    </row>
    <row r="164" spans="1:6" ht="12.5" x14ac:dyDescent="0.25">
      <c r="A164" s="3">
        <f ca="1">IFERROR(__xludf.DUMMYFUNCTION("""COMPUTED_VALUE"""),45163.6666666666)</f>
        <v>45163.666666666599</v>
      </c>
      <c r="B164" s="2">
        <f ca="1">IFERROR(__xludf.DUMMYFUNCTION("""COMPUTED_VALUE"""),147.1)</f>
        <v>147.1</v>
      </c>
      <c r="C164" s="2">
        <f ca="1">IFERROR(__xludf.DUMMYFUNCTION("""COMPUTED_VALUE"""),153.6)</f>
        <v>153.6</v>
      </c>
      <c r="D164" s="2">
        <f ca="1">IFERROR(__xludf.DUMMYFUNCTION("""COMPUTED_VALUE"""),146.87)</f>
        <v>146.87</v>
      </c>
      <c r="E164" s="2">
        <f ca="1">IFERROR(__xludf.DUMMYFUNCTION("""COMPUTED_VALUE"""),152.55)</f>
        <v>152.55000000000001</v>
      </c>
      <c r="F164" s="2">
        <f ca="1">IFERROR(__xludf.DUMMYFUNCTION("""COMPUTED_VALUE"""),6322800)</f>
        <v>6322800</v>
      </c>
    </row>
    <row r="165" spans="1:6" ht="12.5" x14ac:dyDescent="0.25">
      <c r="A165" s="3">
        <f ca="1">IFERROR(__xludf.DUMMYFUNCTION("""COMPUTED_VALUE"""),45166.6666666666)</f>
        <v>45166.666666666599</v>
      </c>
      <c r="B165" s="2">
        <f ca="1">IFERROR(__xludf.DUMMYFUNCTION("""COMPUTED_VALUE"""),152.82)</f>
        <v>152.82</v>
      </c>
      <c r="C165" s="2">
        <f ca="1">IFERROR(__xludf.DUMMYFUNCTION("""COMPUTED_VALUE"""),154.97)</f>
        <v>154.97</v>
      </c>
      <c r="D165" s="2">
        <f ca="1">IFERROR(__xludf.DUMMYFUNCTION("""COMPUTED_VALUE"""),148.37)</f>
        <v>148.37</v>
      </c>
      <c r="E165" s="2">
        <f ca="1">IFERROR(__xludf.DUMMYFUNCTION("""COMPUTED_VALUE"""),148.75)</f>
        <v>148.75</v>
      </c>
      <c r="F165" s="2">
        <f ca="1">IFERROR(__xludf.DUMMYFUNCTION("""COMPUTED_VALUE"""),5474615)</f>
        <v>5474615</v>
      </c>
    </row>
    <row r="166" spans="1:6" ht="12.5" x14ac:dyDescent="0.25">
      <c r="A166" s="3">
        <f ca="1">IFERROR(__xludf.DUMMYFUNCTION("""COMPUTED_VALUE"""),45167.6666666666)</f>
        <v>45167.666666666599</v>
      </c>
      <c r="B166" s="2">
        <f ca="1">IFERROR(__xludf.DUMMYFUNCTION("""COMPUTED_VALUE"""),148.08)</f>
        <v>148.08000000000001</v>
      </c>
      <c r="C166" s="2">
        <f ca="1">IFERROR(__xludf.DUMMYFUNCTION("""COMPUTED_VALUE"""),153.77)</f>
        <v>153.77000000000001</v>
      </c>
      <c r="D166" s="2">
        <f ca="1">IFERROR(__xludf.DUMMYFUNCTION("""COMPUTED_VALUE"""),147.96)</f>
        <v>147.96</v>
      </c>
      <c r="E166" s="2">
        <f ca="1">IFERROR(__xludf.DUMMYFUNCTION("""COMPUTED_VALUE"""),153.3)</f>
        <v>153.30000000000001</v>
      </c>
      <c r="F166" s="2">
        <f ca="1">IFERROR(__xludf.DUMMYFUNCTION("""COMPUTED_VALUE"""),4601099)</f>
        <v>4601099</v>
      </c>
    </row>
    <row r="167" spans="1:6" ht="12.5" x14ac:dyDescent="0.25">
      <c r="A167" s="3">
        <f ca="1">IFERROR(__xludf.DUMMYFUNCTION("""COMPUTED_VALUE"""),45168.6666666666)</f>
        <v>45168.666666666599</v>
      </c>
      <c r="B167" s="2">
        <f ca="1">IFERROR(__xludf.DUMMYFUNCTION("""COMPUTED_VALUE"""),152.99)</f>
        <v>152.99</v>
      </c>
      <c r="C167" s="2">
        <f ca="1">IFERROR(__xludf.DUMMYFUNCTION("""COMPUTED_VALUE"""),156.74)</f>
        <v>156.74</v>
      </c>
      <c r="D167" s="2">
        <f ca="1">IFERROR(__xludf.DUMMYFUNCTION("""COMPUTED_VALUE"""),151.87)</f>
        <v>151.87</v>
      </c>
      <c r="E167" s="2">
        <f ca="1">IFERROR(__xludf.DUMMYFUNCTION("""COMPUTED_VALUE"""),155.34)</f>
        <v>155.34</v>
      </c>
      <c r="F167" s="2">
        <f ca="1">IFERROR(__xludf.DUMMYFUNCTION("""COMPUTED_VALUE"""),3573080)</f>
        <v>3573080</v>
      </c>
    </row>
    <row r="168" spans="1:6" ht="12.5" x14ac:dyDescent="0.25">
      <c r="A168" s="3">
        <f ca="1">IFERROR(__xludf.DUMMYFUNCTION("""COMPUTED_VALUE"""),45169.6666666666)</f>
        <v>45169.666666666599</v>
      </c>
      <c r="B168" s="2">
        <f ca="1">IFERROR(__xludf.DUMMYFUNCTION("""COMPUTED_VALUE"""),156)</f>
        <v>156</v>
      </c>
      <c r="C168" s="2">
        <f ca="1">IFERROR(__xludf.DUMMYFUNCTION("""COMPUTED_VALUE"""),158.5)</f>
        <v>158.5</v>
      </c>
      <c r="D168" s="2">
        <f ca="1">IFERROR(__xludf.DUMMYFUNCTION("""COMPUTED_VALUE"""),155.56)</f>
        <v>155.56</v>
      </c>
      <c r="E168" s="2">
        <f ca="1">IFERROR(__xludf.DUMMYFUNCTION("""COMPUTED_VALUE"""),156.85)</f>
        <v>156.85</v>
      </c>
      <c r="F168" s="2">
        <f ca="1">IFERROR(__xludf.DUMMYFUNCTION("""COMPUTED_VALUE"""),4404132)</f>
        <v>4404132</v>
      </c>
    </row>
    <row r="169" spans="1:6" ht="12.5" x14ac:dyDescent="0.25">
      <c r="A169" s="3">
        <f ca="1">IFERROR(__xludf.DUMMYFUNCTION("""COMPUTED_VALUE"""),45170.6666666666)</f>
        <v>45170.666666666599</v>
      </c>
      <c r="B169" s="2">
        <f ca="1">IFERROR(__xludf.DUMMYFUNCTION("""COMPUTED_VALUE"""),158.1)</f>
        <v>158.1</v>
      </c>
      <c r="C169" s="2">
        <f ca="1">IFERROR(__xludf.DUMMYFUNCTION("""COMPUTED_VALUE"""),160.02)</f>
        <v>160.02000000000001</v>
      </c>
      <c r="D169" s="2">
        <f ca="1">IFERROR(__xludf.DUMMYFUNCTION("""COMPUTED_VALUE"""),156.75)</f>
        <v>156.75</v>
      </c>
      <c r="E169" s="2">
        <f ca="1">IFERROR(__xludf.DUMMYFUNCTION("""COMPUTED_VALUE"""),157.08)</f>
        <v>157.08000000000001</v>
      </c>
      <c r="F169" s="2">
        <f ca="1">IFERROR(__xludf.DUMMYFUNCTION("""COMPUTED_VALUE"""),3685404)</f>
        <v>3685404</v>
      </c>
    </row>
    <row r="170" spans="1:6" ht="12.5" x14ac:dyDescent="0.25">
      <c r="A170" s="3">
        <f ca="1">IFERROR(__xludf.DUMMYFUNCTION("""COMPUTED_VALUE"""),45174.6666666666)</f>
        <v>45174.666666666599</v>
      </c>
      <c r="B170" s="2">
        <f ca="1">IFERROR(__xludf.DUMMYFUNCTION("""COMPUTED_VALUE"""),156.3)</f>
        <v>156.30000000000001</v>
      </c>
      <c r="C170" s="2">
        <f ca="1">IFERROR(__xludf.DUMMYFUNCTION("""COMPUTED_VALUE"""),159.77)</f>
        <v>159.77000000000001</v>
      </c>
      <c r="D170" s="2">
        <f ca="1">IFERROR(__xludf.DUMMYFUNCTION("""COMPUTED_VALUE"""),155.99)</f>
        <v>155.99</v>
      </c>
      <c r="E170" s="2">
        <f ca="1">IFERROR(__xludf.DUMMYFUNCTION("""COMPUTED_VALUE"""),159.38)</f>
        <v>159.38</v>
      </c>
      <c r="F170" s="2">
        <f ca="1">IFERROR(__xludf.DUMMYFUNCTION("""COMPUTED_VALUE"""),3219056)</f>
        <v>3219056</v>
      </c>
    </row>
    <row r="171" spans="1:6" ht="12.5" x14ac:dyDescent="0.25">
      <c r="A171" s="3">
        <f ca="1">IFERROR(__xludf.DUMMYFUNCTION("""COMPUTED_VALUE"""),45175.6666666666)</f>
        <v>45175.666666666599</v>
      </c>
      <c r="B171" s="2">
        <f ca="1">IFERROR(__xludf.DUMMYFUNCTION("""COMPUTED_VALUE"""),157.49)</f>
        <v>157.49</v>
      </c>
      <c r="C171" s="2">
        <f ca="1">IFERROR(__xludf.DUMMYFUNCTION("""COMPUTED_VALUE"""),159.01)</f>
        <v>159.01</v>
      </c>
      <c r="D171" s="2">
        <f ca="1">IFERROR(__xludf.DUMMYFUNCTION("""COMPUTED_VALUE"""),155.97)</f>
        <v>155.97</v>
      </c>
      <c r="E171" s="2">
        <f ca="1">IFERROR(__xludf.DUMMYFUNCTION("""COMPUTED_VALUE"""),157.49)</f>
        <v>157.49</v>
      </c>
      <c r="F171" s="2">
        <f ca="1">IFERROR(__xludf.DUMMYFUNCTION("""COMPUTED_VALUE"""),2161261)</f>
        <v>2161261</v>
      </c>
    </row>
    <row r="172" spans="1:6" ht="12.5" x14ac:dyDescent="0.25">
      <c r="A172" s="3">
        <f ca="1">IFERROR(__xludf.DUMMYFUNCTION("""COMPUTED_VALUE"""),45176.6666666666)</f>
        <v>45176.666666666599</v>
      </c>
      <c r="B172" s="2">
        <f ca="1">IFERROR(__xludf.DUMMYFUNCTION("""COMPUTED_VALUE"""),153.82)</f>
        <v>153.82</v>
      </c>
      <c r="C172" s="2">
        <f ca="1">IFERROR(__xludf.DUMMYFUNCTION("""COMPUTED_VALUE"""),159.95)</f>
        <v>159.94999999999999</v>
      </c>
      <c r="D172" s="2">
        <f ca="1">IFERROR(__xludf.DUMMYFUNCTION("""COMPUTED_VALUE"""),153.33)</f>
        <v>153.33000000000001</v>
      </c>
      <c r="E172" s="2">
        <f ca="1">IFERROR(__xludf.DUMMYFUNCTION("""COMPUTED_VALUE"""),159.84)</f>
        <v>159.84</v>
      </c>
      <c r="F172" s="2">
        <f ca="1">IFERROR(__xludf.DUMMYFUNCTION("""COMPUTED_VALUE"""),2884181)</f>
        <v>2884181</v>
      </c>
    </row>
    <row r="173" spans="1:6" ht="12.5" x14ac:dyDescent="0.25">
      <c r="A173" s="3">
        <f ca="1">IFERROR(__xludf.DUMMYFUNCTION("""COMPUTED_VALUE"""),45177.6666666666)</f>
        <v>45177.666666666599</v>
      </c>
      <c r="B173" s="2">
        <f ca="1">IFERROR(__xludf.DUMMYFUNCTION("""COMPUTED_VALUE"""),165.21)</f>
        <v>165.21</v>
      </c>
      <c r="C173" s="2">
        <f ca="1">IFERROR(__xludf.DUMMYFUNCTION("""COMPUTED_VALUE"""),167.75)</f>
        <v>167.75</v>
      </c>
      <c r="D173" s="2">
        <f ca="1">IFERROR(__xludf.DUMMYFUNCTION("""COMPUTED_VALUE"""),163.92)</f>
        <v>163.92</v>
      </c>
      <c r="E173" s="2">
        <f ca="1">IFERROR(__xludf.DUMMYFUNCTION("""COMPUTED_VALUE"""),165.95)</f>
        <v>165.95</v>
      </c>
      <c r="F173" s="2">
        <f ca="1">IFERROR(__xludf.DUMMYFUNCTION("""COMPUTED_VALUE"""),7728682)</f>
        <v>7728682</v>
      </c>
    </row>
    <row r="174" spans="1:6" ht="12.5" x14ac:dyDescent="0.25">
      <c r="A174" s="3">
        <f ca="1">IFERROR(__xludf.DUMMYFUNCTION("""COMPUTED_VALUE"""),45180.6666666666)</f>
        <v>45180.666666666599</v>
      </c>
      <c r="B174" s="2">
        <f ca="1">IFERROR(__xludf.DUMMYFUNCTION("""COMPUTED_VALUE"""),166.27)</f>
        <v>166.27</v>
      </c>
      <c r="C174" s="2">
        <f ca="1">IFERROR(__xludf.DUMMYFUNCTION("""COMPUTED_VALUE"""),172.35)</f>
        <v>172.35</v>
      </c>
      <c r="D174" s="2">
        <f ca="1">IFERROR(__xludf.DUMMYFUNCTION("""COMPUTED_VALUE"""),166.26)</f>
        <v>166.26</v>
      </c>
      <c r="E174" s="2">
        <f ca="1">IFERROR(__xludf.DUMMYFUNCTION("""COMPUTED_VALUE"""),170.17)</f>
        <v>170.17</v>
      </c>
      <c r="F174" s="2">
        <f ca="1">IFERROR(__xludf.DUMMYFUNCTION("""COMPUTED_VALUE"""),5628752)</f>
        <v>5628752</v>
      </c>
    </row>
    <row r="175" spans="1:6" ht="12.5" x14ac:dyDescent="0.25">
      <c r="A175" s="3">
        <f ca="1">IFERROR(__xludf.DUMMYFUNCTION("""COMPUTED_VALUE"""),45181.6666666666)</f>
        <v>45181.666666666599</v>
      </c>
      <c r="B175" s="2">
        <f ca="1">IFERROR(__xludf.DUMMYFUNCTION("""COMPUTED_VALUE"""),168.92)</f>
        <v>168.92</v>
      </c>
      <c r="C175" s="2">
        <f ca="1">IFERROR(__xludf.DUMMYFUNCTION("""COMPUTED_VALUE"""),171.52)</f>
        <v>171.52</v>
      </c>
      <c r="D175" s="2">
        <f ca="1">IFERROR(__xludf.DUMMYFUNCTION("""COMPUTED_VALUE"""),166.47)</f>
        <v>166.47</v>
      </c>
      <c r="E175" s="2">
        <f ca="1">IFERROR(__xludf.DUMMYFUNCTION("""COMPUTED_VALUE"""),166.83)</f>
        <v>166.83</v>
      </c>
      <c r="F175" s="2">
        <f ca="1">IFERROR(__xludf.DUMMYFUNCTION("""COMPUTED_VALUE"""),3957143)</f>
        <v>3957143</v>
      </c>
    </row>
    <row r="176" spans="1:6" ht="12.5" x14ac:dyDescent="0.25">
      <c r="A176" s="3">
        <f ca="1">IFERROR(__xludf.DUMMYFUNCTION("""COMPUTED_VALUE"""),45182.6666666666)</f>
        <v>45182.666666666599</v>
      </c>
      <c r="B176" s="2">
        <f ca="1">IFERROR(__xludf.DUMMYFUNCTION("""COMPUTED_VALUE"""),166.23)</f>
        <v>166.23</v>
      </c>
      <c r="C176" s="2">
        <f ca="1">IFERROR(__xludf.DUMMYFUNCTION("""COMPUTED_VALUE"""),167.88)</f>
        <v>167.88</v>
      </c>
      <c r="D176" s="2">
        <f ca="1">IFERROR(__xludf.DUMMYFUNCTION("""COMPUTED_VALUE"""),163.79)</f>
        <v>163.79</v>
      </c>
      <c r="E176" s="2">
        <f ca="1">IFERROR(__xludf.DUMMYFUNCTION("""COMPUTED_VALUE"""),165.34)</f>
        <v>165.34</v>
      </c>
      <c r="F176" s="2">
        <f ca="1">IFERROR(__xludf.DUMMYFUNCTION("""COMPUTED_VALUE"""),2714538)</f>
        <v>2714538</v>
      </c>
    </row>
    <row r="177" spans="1:6" ht="12.5" x14ac:dyDescent="0.25">
      <c r="A177" s="3">
        <f ca="1">IFERROR(__xludf.DUMMYFUNCTION("""COMPUTED_VALUE"""),45183.6666666666)</f>
        <v>45183.666666666599</v>
      </c>
      <c r="B177" s="2">
        <f ca="1">IFERROR(__xludf.DUMMYFUNCTION("""COMPUTED_VALUE"""),166.89)</f>
        <v>166.89</v>
      </c>
      <c r="C177" s="2">
        <f ca="1">IFERROR(__xludf.DUMMYFUNCTION("""COMPUTED_VALUE"""),167.4)</f>
        <v>167.4</v>
      </c>
      <c r="D177" s="2">
        <f ca="1">IFERROR(__xludf.DUMMYFUNCTION("""COMPUTED_VALUE"""),161.13)</f>
        <v>161.13</v>
      </c>
      <c r="E177" s="2">
        <f ca="1">IFERROR(__xludf.DUMMYFUNCTION("""COMPUTED_VALUE"""),162.98)</f>
        <v>162.97999999999999</v>
      </c>
      <c r="F177" s="2">
        <f ca="1">IFERROR(__xludf.DUMMYFUNCTION("""COMPUTED_VALUE"""),4021612)</f>
        <v>4021612</v>
      </c>
    </row>
    <row r="178" spans="1:6" ht="12.5" x14ac:dyDescent="0.25">
      <c r="A178" s="3">
        <f ca="1">IFERROR(__xludf.DUMMYFUNCTION("""COMPUTED_VALUE"""),45184.6666666666)</f>
        <v>45184.666666666599</v>
      </c>
      <c r="B178" s="2">
        <f ca="1">IFERROR(__xludf.DUMMYFUNCTION("""COMPUTED_VALUE"""),161.64)</f>
        <v>161.63999999999999</v>
      </c>
      <c r="C178" s="2">
        <f ca="1">IFERROR(__xludf.DUMMYFUNCTION("""COMPUTED_VALUE"""),163.71)</f>
        <v>163.71</v>
      </c>
      <c r="D178" s="2">
        <f ca="1">IFERROR(__xludf.DUMMYFUNCTION("""COMPUTED_VALUE"""),160.26)</f>
        <v>160.26</v>
      </c>
      <c r="E178" s="2">
        <f ca="1">IFERROR(__xludf.DUMMYFUNCTION("""COMPUTED_VALUE"""),162.41)</f>
        <v>162.41</v>
      </c>
      <c r="F178" s="2">
        <f ca="1">IFERROR(__xludf.DUMMYFUNCTION("""COMPUTED_VALUE"""),6661747)</f>
        <v>6661747</v>
      </c>
    </row>
    <row r="179" spans="1:6" ht="12.5" x14ac:dyDescent="0.25">
      <c r="A179" s="3">
        <f ca="1">IFERROR(__xludf.DUMMYFUNCTION("""COMPUTED_VALUE"""),45187.6666666666)</f>
        <v>45187.666666666599</v>
      </c>
      <c r="B179" s="2">
        <f ca="1">IFERROR(__xludf.DUMMYFUNCTION("""COMPUTED_VALUE"""),160.37)</f>
        <v>160.37</v>
      </c>
      <c r="C179" s="2">
        <f ca="1">IFERROR(__xludf.DUMMYFUNCTION("""COMPUTED_VALUE"""),162.87)</f>
        <v>162.87</v>
      </c>
      <c r="D179" s="2">
        <f ca="1">IFERROR(__xludf.DUMMYFUNCTION("""COMPUTED_VALUE"""),159.57)</f>
        <v>159.57</v>
      </c>
      <c r="E179" s="2">
        <f ca="1">IFERROR(__xludf.DUMMYFUNCTION("""COMPUTED_VALUE"""),161.45)</f>
        <v>161.44999999999999</v>
      </c>
      <c r="F179" s="2">
        <f ca="1">IFERROR(__xludf.DUMMYFUNCTION("""COMPUTED_VALUE"""),2368142)</f>
        <v>2368142</v>
      </c>
    </row>
    <row r="180" spans="1:6" ht="12.5" x14ac:dyDescent="0.25">
      <c r="A180" s="3">
        <f ca="1">IFERROR(__xludf.DUMMYFUNCTION("""COMPUTED_VALUE"""),45188.6666666666)</f>
        <v>45188.666666666599</v>
      </c>
      <c r="B180" s="2">
        <f ca="1">IFERROR(__xludf.DUMMYFUNCTION("""COMPUTED_VALUE"""),161.14)</f>
        <v>161.13999999999999</v>
      </c>
      <c r="C180" s="2">
        <f ca="1">IFERROR(__xludf.DUMMYFUNCTION("""COMPUTED_VALUE"""),161.85)</f>
        <v>161.85</v>
      </c>
      <c r="D180" s="2">
        <f ca="1">IFERROR(__xludf.DUMMYFUNCTION("""COMPUTED_VALUE"""),156.96)</f>
        <v>156.96</v>
      </c>
      <c r="E180" s="2">
        <f ca="1">IFERROR(__xludf.DUMMYFUNCTION("""COMPUTED_VALUE"""),159.74)</f>
        <v>159.74</v>
      </c>
      <c r="F180" s="2">
        <f ca="1">IFERROR(__xludf.DUMMYFUNCTION("""COMPUTED_VALUE"""),3794632)</f>
        <v>3794632</v>
      </c>
    </row>
    <row r="181" spans="1:6" ht="12.5" x14ac:dyDescent="0.25">
      <c r="A181" s="3">
        <f ca="1">IFERROR(__xludf.DUMMYFUNCTION("""COMPUTED_VALUE"""),45189.6666666666)</f>
        <v>45189.666666666599</v>
      </c>
      <c r="B181" s="2">
        <f ca="1">IFERROR(__xludf.DUMMYFUNCTION("""COMPUTED_VALUE"""),159.56)</f>
        <v>159.56</v>
      </c>
      <c r="C181" s="2">
        <f ca="1">IFERROR(__xludf.DUMMYFUNCTION("""COMPUTED_VALUE"""),161.28)</f>
        <v>161.28</v>
      </c>
      <c r="D181" s="2">
        <f ca="1">IFERROR(__xludf.DUMMYFUNCTION("""COMPUTED_VALUE"""),157.94)</f>
        <v>157.94</v>
      </c>
      <c r="E181" s="2">
        <f ca="1">IFERROR(__xludf.DUMMYFUNCTION("""COMPUTED_VALUE"""),158.63)</f>
        <v>158.63</v>
      </c>
      <c r="F181" s="2">
        <f ca="1">IFERROR(__xludf.DUMMYFUNCTION("""COMPUTED_VALUE"""),3341733)</f>
        <v>3341733</v>
      </c>
    </row>
    <row r="182" spans="1:6" ht="12.5" x14ac:dyDescent="0.25">
      <c r="A182" s="3">
        <f ca="1">IFERROR(__xludf.DUMMYFUNCTION("""COMPUTED_VALUE"""),45190.6666666666)</f>
        <v>45190.666666666599</v>
      </c>
      <c r="B182" s="2">
        <f ca="1">IFERROR(__xludf.DUMMYFUNCTION("""COMPUTED_VALUE"""),155.19)</f>
        <v>155.19</v>
      </c>
      <c r="C182" s="2">
        <f ca="1">IFERROR(__xludf.DUMMYFUNCTION("""COMPUTED_VALUE"""),156.19)</f>
        <v>156.19</v>
      </c>
      <c r="D182" s="2">
        <f ca="1">IFERROR(__xludf.DUMMYFUNCTION("""COMPUTED_VALUE"""),148.54)</f>
        <v>148.54</v>
      </c>
      <c r="E182" s="2">
        <f ca="1">IFERROR(__xludf.DUMMYFUNCTION("""COMPUTED_VALUE"""),149.03)</f>
        <v>149.03</v>
      </c>
      <c r="F182" s="2">
        <f ca="1">IFERROR(__xludf.DUMMYFUNCTION("""COMPUTED_VALUE"""),6629347)</f>
        <v>6629347</v>
      </c>
    </row>
    <row r="183" spans="1:6" ht="12.5" x14ac:dyDescent="0.25">
      <c r="A183" s="3">
        <f ca="1">IFERROR(__xludf.DUMMYFUNCTION("""COMPUTED_VALUE"""),45191.6666666666)</f>
        <v>45191.666666666599</v>
      </c>
      <c r="B183" s="2">
        <f ca="1">IFERROR(__xludf.DUMMYFUNCTION("""COMPUTED_VALUE"""),151.42)</f>
        <v>151.41999999999999</v>
      </c>
      <c r="C183" s="2">
        <f ca="1">IFERROR(__xludf.DUMMYFUNCTION("""COMPUTED_VALUE"""),152.63)</f>
        <v>152.63</v>
      </c>
      <c r="D183" s="2">
        <f ca="1">IFERROR(__xludf.DUMMYFUNCTION("""COMPUTED_VALUE"""),149.67)</f>
        <v>149.66999999999999</v>
      </c>
      <c r="E183" s="2">
        <f ca="1">IFERROR(__xludf.DUMMYFUNCTION("""COMPUTED_VALUE"""),149.7)</f>
        <v>149.69999999999999</v>
      </c>
      <c r="F183" s="2">
        <f ca="1">IFERROR(__xludf.DUMMYFUNCTION("""COMPUTED_VALUE"""),2916354)</f>
        <v>2916354</v>
      </c>
    </row>
    <row r="184" spans="1:6" ht="12.5" x14ac:dyDescent="0.25">
      <c r="A184" s="3">
        <f ca="1">IFERROR(__xludf.DUMMYFUNCTION("""COMPUTED_VALUE"""),45194.6666666666)</f>
        <v>45194.666666666599</v>
      </c>
      <c r="B184" s="2">
        <f ca="1">IFERROR(__xludf.DUMMYFUNCTION("""COMPUTED_VALUE"""),148.82)</f>
        <v>148.82</v>
      </c>
      <c r="C184" s="2">
        <f ca="1">IFERROR(__xludf.DUMMYFUNCTION("""COMPUTED_VALUE"""),150.47)</f>
        <v>150.47</v>
      </c>
      <c r="D184" s="2">
        <f ca="1">IFERROR(__xludf.DUMMYFUNCTION("""COMPUTED_VALUE"""),147.67)</f>
        <v>147.66999999999999</v>
      </c>
      <c r="E184" s="2">
        <f ca="1">IFERROR(__xludf.DUMMYFUNCTION("""COMPUTED_VALUE"""),149.74)</f>
        <v>149.74</v>
      </c>
      <c r="F184" s="2">
        <f ca="1">IFERROR(__xludf.DUMMYFUNCTION("""COMPUTED_VALUE"""),3271861)</f>
        <v>3271861</v>
      </c>
    </row>
    <row r="185" spans="1:6" ht="12.5" x14ac:dyDescent="0.25">
      <c r="A185" s="3">
        <f ca="1">IFERROR(__xludf.DUMMYFUNCTION("""COMPUTED_VALUE"""),45195.6666666666)</f>
        <v>45195.666666666599</v>
      </c>
      <c r="B185" s="2">
        <f ca="1">IFERROR(__xludf.DUMMYFUNCTION("""COMPUTED_VALUE"""),148.8)</f>
        <v>148.80000000000001</v>
      </c>
      <c r="C185" s="2">
        <f ca="1">IFERROR(__xludf.DUMMYFUNCTION("""COMPUTED_VALUE"""),150.65)</f>
        <v>150.65</v>
      </c>
      <c r="D185" s="2">
        <f ca="1">IFERROR(__xludf.DUMMYFUNCTION("""COMPUTED_VALUE"""),146.51)</f>
        <v>146.51</v>
      </c>
      <c r="E185" s="2">
        <f ca="1">IFERROR(__xludf.DUMMYFUNCTION("""COMPUTED_VALUE"""),147.05)</f>
        <v>147.05000000000001</v>
      </c>
      <c r="F185" s="2">
        <f ca="1">IFERROR(__xludf.DUMMYFUNCTION("""COMPUTED_VALUE"""),3225165)</f>
        <v>3225165</v>
      </c>
    </row>
    <row r="186" spans="1:6" ht="12.5" x14ac:dyDescent="0.25">
      <c r="A186" s="3">
        <f ca="1">IFERROR(__xludf.DUMMYFUNCTION("""COMPUTED_VALUE"""),45196.6666666666)</f>
        <v>45196.666666666599</v>
      </c>
      <c r="B186" s="2">
        <f ca="1">IFERROR(__xludf.DUMMYFUNCTION("""COMPUTED_VALUE"""),148.07)</f>
        <v>148.07</v>
      </c>
      <c r="C186" s="2">
        <f ca="1">IFERROR(__xludf.DUMMYFUNCTION("""COMPUTED_VALUE"""),149.47)</f>
        <v>149.47</v>
      </c>
      <c r="D186" s="2">
        <f ca="1">IFERROR(__xludf.DUMMYFUNCTION("""COMPUTED_VALUE"""),146.1)</f>
        <v>146.1</v>
      </c>
      <c r="E186" s="2">
        <f ca="1">IFERROR(__xludf.DUMMYFUNCTION("""COMPUTED_VALUE"""),147.52)</f>
        <v>147.52000000000001</v>
      </c>
      <c r="F186" s="2">
        <f ca="1">IFERROR(__xludf.DUMMYFUNCTION("""COMPUTED_VALUE"""),3515837)</f>
        <v>3515837</v>
      </c>
    </row>
    <row r="187" spans="1:6" ht="12.5" x14ac:dyDescent="0.25">
      <c r="A187" s="3">
        <f ca="1">IFERROR(__xludf.DUMMYFUNCTION("""COMPUTED_VALUE"""),45197.6666666666)</f>
        <v>45197.666666666599</v>
      </c>
      <c r="B187" s="2">
        <f ca="1">IFERROR(__xludf.DUMMYFUNCTION("""COMPUTED_VALUE"""),145.52)</f>
        <v>145.52000000000001</v>
      </c>
      <c r="C187" s="2">
        <f ca="1">IFERROR(__xludf.DUMMYFUNCTION("""COMPUTED_VALUE"""),151.55)</f>
        <v>151.55000000000001</v>
      </c>
      <c r="D187" s="2">
        <f ca="1">IFERROR(__xludf.DUMMYFUNCTION("""COMPUTED_VALUE"""),141.79)</f>
        <v>141.79</v>
      </c>
      <c r="E187" s="2">
        <f ca="1">IFERROR(__xludf.DUMMYFUNCTION("""COMPUTED_VALUE"""),151.12)</f>
        <v>151.12</v>
      </c>
      <c r="F187" s="2">
        <f ca="1">IFERROR(__xludf.DUMMYFUNCTION("""COMPUTED_VALUE"""),5110053)</f>
        <v>5110053</v>
      </c>
    </row>
    <row r="188" spans="1:6" ht="12.5" x14ac:dyDescent="0.25">
      <c r="A188" s="3">
        <f ca="1">IFERROR(__xludf.DUMMYFUNCTION("""COMPUTED_VALUE"""),45198.6666666666)</f>
        <v>45198.666666666599</v>
      </c>
      <c r="B188" s="2">
        <f ca="1">IFERROR(__xludf.DUMMYFUNCTION("""COMPUTED_VALUE"""),153.41)</f>
        <v>153.41</v>
      </c>
      <c r="C188" s="2">
        <f ca="1">IFERROR(__xludf.DUMMYFUNCTION("""COMPUTED_VALUE"""),155.17)</f>
        <v>155.16999999999999</v>
      </c>
      <c r="D188" s="2">
        <f ca="1">IFERROR(__xludf.DUMMYFUNCTION("""COMPUTED_VALUE"""),152.46)</f>
        <v>152.46</v>
      </c>
      <c r="E188" s="2">
        <f ca="1">IFERROR(__xludf.DUMMYFUNCTION("""COMPUTED_VALUE"""),152.77)</f>
        <v>152.77000000000001</v>
      </c>
      <c r="F188" s="2">
        <f ca="1">IFERROR(__xludf.DUMMYFUNCTION("""COMPUTED_VALUE"""),4295518)</f>
        <v>4295518</v>
      </c>
    </row>
    <row r="189" spans="1:6" ht="12.5" x14ac:dyDescent="0.25">
      <c r="A189" s="3">
        <f ca="1">IFERROR(__xludf.DUMMYFUNCTION("""COMPUTED_VALUE"""),45201.6666666666)</f>
        <v>45201.666666666599</v>
      </c>
      <c r="B189" s="2">
        <f ca="1">IFERROR(__xludf.DUMMYFUNCTION("""COMPUTED_VALUE"""),152.27)</f>
        <v>152.27000000000001</v>
      </c>
      <c r="C189" s="2">
        <f ca="1">IFERROR(__xludf.DUMMYFUNCTION("""COMPUTED_VALUE"""),153.29)</f>
        <v>153.29</v>
      </c>
      <c r="D189" s="2">
        <f ca="1">IFERROR(__xludf.DUMMYFUNCTION("""COMPUTED_VALUE"""),149.8)</f>
        <v>149.80000000000001</v>
      </c>
      <c r="E189" s="2">
        <f ca="1">IFERROR(__xludf.DUMMYFUNCTION("""COMPUTED_VALUE"""),151.17)</f>
        <v>151.16999999999999</v>
      </c>
      <c r="F189" s="2">
        <f ca="1">IFERROR(__xludf.DUMMYFUNCTION("""COMPUTED_VALUE"""),3414823)</f>
        <v>3414823</v>
      </c>
    </row>
    <row r="190" spans="1:6" ht="12.5" x14ac:dyDescent="0.25">
      <c r="A190" s="3">
        <f ca="1">IFERROR(__xludf.DUMMYFUNCTION("""COMPUTED_VALUE"""),45202.6666666666)</f>
        <v>45202.666666666599</v>
      </c>
      <c r="B190" s="2">
        <f ca="1">IFERROR(__xludf.DUMMYFUNCTION("""COMPUTED_VALUE"""),149.08)</f>
        <v>149.08000000000001</v>
      </c>
      <c r="C190" s="2">
        <f ca="1">IFERROR(__xludf.DUMMYFUNCTION("""COMPUTED_VALUE"""),151.91)</f>
        <v>151.91</v>
      </c>
      <c r="D190" s="2">
        <f ca="1">IFERROR(__xludf.DUMMYFUNCTION("""COMPUTED_VALUE"""),147.87)</f>
        <v>147.87</v>
      </c>
      <c r="E190" s="2">
        <f ca="1">IFERROR(__xludf.DUMMYFUNCTION("""COMPUTED_VALUE"""),148.79)</f>
        <v>148.79</v>
      </c>
      <c r="F190" s="2">
        <f ca="1">IFERROR(__xludf.DUMMYFUNCTION("""COMPUTED_VALUE"""),4035759)</f>
        <v>4035759</v>
      </c>
    </row>
    <row r="191" spans="1:6" ht="12.5" x14ac:dyDescent="0.25">
      <c r="A191" s="3">
        <f ca="1">IFERROR(__xludf.DUMMYFUNCTION("""COMPUTED_VALUE"""),45203.6666666666)</f>
        <v>45203.666666666599</v>
      </c>
      <c r="B191" s="2">
        <f ca="1">IFERROR(__xludf.DUMMYFUNCTION("""COMPUTED_VALUE"""),150.75)</f>
        <v>150.75</v>
      </c>
      <c r="C191" s="2">
        <f ca="1">IFERROR(__xludf.DUMMYFUNCTION("""COMPUTED_VALUE"""),152.7)</f>
        <v>152.69999999999999</v>
      </c>
      <c r="D191" s="2">
        <f ca="1">IFERROR(__xludf.DUMMYFUNCTION("""COMPUTED_VALUE"""),149.24)</f>
        <v>149.24</v>
      </c>
      <c r="E191" s="2">
        <f ca="1">IFERROR(__xludf.DUMMYFUNCTION("""COMPUTED_VALUE"""),151.96)</f>
        <v>151.96</v>
      </c>
      <c r="F191" s="2">
        <f ca="1">IFERROR(__xludf.DUMMYFUNCTION("""COMPUTED_VALUE"""),3040209)</f>
        <v>3040209</v>
      </c>
    </row>
    <row r="192" spans="1:6" ht="12.5" x14ac:dyDescent="0.25">
      <c r="A192" s="3">
        <f ca="1">IFERROR(__xludf.DUMMYFUNCTION("""COMPUTED_VALUE"""),45204.6666666666)</f>
        <v>45204.666666666599</v>
      </c>
      <c r="B192" s="2">
        <f ca="1">IFERROR(__xludf.DUMMYFUNCTION("""COMPUTED_VALUE"""),154.05)</f>
        <v>154.05000000000001</v>
      </c>
      <c r="C192" s="2">
        <f ca="1">IFERROR(__xludf.DUMMYFUNCTION("""COMPUTED_VALUE"""),155.31)</f>
        <v>155.31</v>
      </c>
      <c r="D192" s="2">
        <f ca="1">IFERROR(__xludf.DUMMYFUNCTION("""COMPUTED_VALUE"""),149.67)</f>
        <v>149.66999999999999</v>
      </c>
      <c r="E192" s="2">
        <f ca="1">IFERROR(__xludf.DUMMYFUNCTION("""COMPUTED_VALUE"""),150.25)</f>
        <v>150.25</v>
      </c>
      <c r="F192" s="2">
        <f ca="1">IFERROR(__xludf.DUMMYFUNCTION("""COMPUTED_VALUE"""),3931654)</f>
        <v>3931654</v>
      </c>
    </row>
    <row r="193" spans="1:6" ht="12.5" x14ac:dyDescent="0.25">
      <c r="A193" s="3">
        <f ca="1">IFERROR(__xludf.DUMMYFUNCTION("""COMPUTED_VALUE"""),45205.6666666666)</f>
        <v>45205.666666666599</v>
      </c>
      <c r="B193" s="2">
        <f ca="1">IFERROR(__xludf.DUMMYFUNCTION("""COMPUTED_VALUE"""),148)</f>
        <v>148</v>
      </c>
      <c r="C193" s="2">
        <f ca="1">IFERROR(__xludf.DUMMYFUNCTION("""COMPUTED_VALUE"""),160.35)</f>
        <v>160.35</v>
      </c>
      <c r="D193" s="2">
        <f ca="1">IFERROR(__xludf.DUMMYFUNCTION("""COMPUTED_VALUE"""),148)</f>
        <v>148</v>
      </c>
      <c r="E193" s="2">
        <f ca="1">IFERROR(__xludf.DUMMYFUNCTION("""COMPUTED_VALUE"""),159.95)</f>
        <v>159.94999999999999</v>
      </c>
      <c r="F193" s="2">
        <f ca="1">IFERROR(__xludf.DUMMYFUNCTION("""COMPUTED_VALUE"""),5659676)</f>
        <v>5659676</v>
      </c>
    </row>
    <row r="194" spans="1:6" ht="12.5" x14ac:dyDescent="0.25">
      <c r="A194" s="3">
        <f ca="1">IFERROR(__xludf.DUMMYFUNCTION("""COMPUTED_VALUE"""),45208.6666666666)</f>
        <v>45208.666666666599</v>
      </c>
      <c r="B194" s="2">
        <f ca="1">IFERROR(__xludf.DUMMYFUNCTION("""COMPUTED_VALUE"""),158.5)</f>
        <v>158.5</v>
      </c>
      <c r="C194" s="2">
        <f ca="1">IFERROR(__xludf.DUMMYFUNCTION("""COMPUTED_VALUE"""),163.29)</f>
        <v>163.29</v>
      </c>
      <c r="D194" s="2">
        <f ca="1">IFERROR(__xludf.DUMMYFUNCTION("""COMPUTED_VALUE"""),158.29)</f>
        <v>158.29</v>
      </c>
      <c r="E194" s="2">
        <f ca="1">IFERROR(__xludf.DUMMYFUNCTION("""COMPUTED_VALUE"""),161.81)</f>
        <v>161.81</v>
      </c>
      <c r="F194" s="2">
        <f ca="1">IFERROR(__xludf.DUMMYFUNCTION("""COMPUTED_VALUE"""),2901524)</f>
        <v>2901524</v>
      </c>
    </row>
    <row r="195" spans="1:6" ht="12.5" x14ac:dyDescent="0.25">
      <c r="A195" s="3">
        <f ca="1">IFERROR(__xludf.DUMMYFUNCTION("""COMPUTED_VALUE"""),45209.6666666666)</f>
        <v>45209.666666666599</v>
      </c>
      <c r="B195" s="2">
        <f ca="1">IFERROR(__xludf.DUMMYFUNCTION("""COMPUTED_VALUE"""),163)</f>
        <v>163</v>
      </c>
      <c r="C195" s="2">
        <f ca="1">IFERROR(__xludf.DUMMYFUNCTION("""COMPUTED_VALUE"""),166.43)</f>
        <v>166.43</v>
      </c>
      <c r="D195" s="2">
        <f ca="1">IFERROR(__xludf.DUMMYFUNCTION("""COMPUTED_VALUE"""),162.5)</f>
        <v>162.5</v>
      </c>
      <c r="E195" s="2">
        <f ca="1">IFERROR(__xludf.DUMMYFUNCTION("""COMPUTED_VALUE"""),163.13)</f>
        <v>163.13</v>
      </c>
      <c r="F195" s="2">
        <f ca="1">IFERROR(__xludf.DUMMYFUNCTION("""COMPUTED_VALUE"""),3207673)</f>
        <v>3207673</v>
      </c>
    </row>
    <row r="196" spans="1:6" ht="12.5" x14ac:dyDescent="0.25">
      <c r="A196" s="3">
        <f ca="1">IFERROR(__xludf.DUMMYFUNCTION("""COMPUTED_VALUE"""),45210.6666666666)</f>
        <v>45210.666666666599</v>
      </c>
      <c r="B196" s="2">
        <f ca="1">IFERROR(__xludf.DUMMYFUNCTION("""COMPUTED_VALUE"""),163.92)</f>
        <v>163.92</v>
      </c>
      <c r="C196" s="2">
        <f ca="1">IFERROR(__xludf.DUMMYFUNCTION("""COMPUTED_VALUE"""),165.8)</f>
        <v>165.8</v>
      </c>
      <c r="D196" s="2">
        <f ca="1">IFERROR(__xludf.DUMMYFUNCTION("""COMPUTED_VALUE"""),162.44)</f>
        <v>162.44</v>
      </c>
      <c r="E196" s="2">
        <f ca="1">IFERROR(__xludf.DUMMYFUNCTION("""COMPUTED_VALUE"""),163.54)</f>
        <v>163.54</v>
      </c>
      <c r="F196" s="2">
        <f ca="1">IFERROR(__xludf.DUMMYFUNCTION("""COMPUTED_VALUE"""),2263249)</f>
        <v>2263249</v>
      </c>
    </row>
    <row r="197" spans="1:6" ht="12.5" x14ac:dyDescent="0.25">
      <c r="A197" s="3">
        <f ca="1">IFERROR(__xludf.DUMMYFUNCTION("""COMPUTED_VALUE"""),45211.6666666666)</f>
        <v>45211.666666666599</v>
      </c>
      <c r="B197" s="2">
        <f ca="1">IFERROR(__xludf.DUMMYFUNCTION("""COMPUTED_VALUE"""),161.72)</f>
        <v>161.72</v>
      </c>
      <c r="C197" s="2">
        <f ca="1">IFERROR(__xludf.DUMMYFUNCTION("""COMPUTED_VALUE"""),163.8)</f>
        <v>163.80000000000001</v>
      </c>
      <c r="D197" s="2">
        <f ca="1">IFERROR(__xludf.DUMMYFUNCTION("""COMPUTED_VALUE"""),159.31)</f>
        <v>159.31</v>
      </c>
      <c r="E197" s="2">
        <f ca="1">IFERROR(__xludf.DUMMYFUNCTION("""COMPUTED_VALUE"""),159.96)</f>
        <v>159.96</v>
      </c>
      <c r="F197" s="2">
        <f ca="1">IFERROR(__xludf.DUMMYFUNCTION("""COMPUTED_VALUE"""),2872230)</f>
        <v>2872230</v>
      </c>
    </row>
    <row r="198" spans="1:6" ht="12.5" x14ac:dyDescent="0.25">
      <c r="A198" s="3">
        <f ca="1">IFERROR(__xludf.DUMMYFUNCTION("""COMPUTED_VALUE"""),45212.6666666666)</f>
        <v>45212.666666666599</v>
      </c>
      <c r="B198" s="2">
        <f ca="1">IFERROR(__xludf.DUMMYFUNCTION("""COMPUTED_VALUE"""),160.66)</f>
        <v>160.66</v>
      </c>
      <c r="C198" s="2">
        <f ca="1">IFERROR(__xludf.DUMMYFUNCTION("""COMPUTED_VALUE"""),161.54)</f>
        <v>161.54</v>
      </c>
      <c r="D198" s="2">
        <f ca="1">IFERROR(__xludf.DUMMYFUNCTION("""COMPUTED_VALUE"""),156.97)</f>
        <v>156.97</v>
      </c>
      <c r="E198" s="2">
        <f ca="1">IFERROR(__xludf.DUMMYFUNCTION("""COMPUTED_VALUE"""),157.16)</f>
        <v>157.16</v>
      </c>
      <c r="F198" s="2">
        <f ca="1">IFERROR(__xludf.DUMMYFUNCTION("""COMPUTED_VALUE"""),2818908)</f>
        <v>2818908</v>
      </c>
    </row>
    <row r="199" spans="1:6" ht="12.5" x14ac:dyDescent="0.25">
      <c r="A199" s="3">
        <f ca="1">IFERROR(__xludf.DUMMYFUNCTION("""COMPUTED_VALUE"""),45215.6666666666)</f>
        <v>45215.666666666599</v>
      </c>
      <c r="B199" s="2">
        <f ca="1">IFERROR(__xludf.DUMMYFUNCTION("""COMPUTED_VALUE"""),157.9)</f>
        <v>157.9</v>
      </c>
      <c r="C199" s="2">
        <f ca="1">IFERROR(__xludf.DUMMYFUNCTION("""COMPUTED_VALUE"""),163.13)</f>
        <v>163.13</v>
      </c>
      <c r="D199" s="2">
        <f ca="1">IFERROR(__xludf.DUMMYFUNCTION("""COMPUTED_VALUE"""),156.91)</f>
        <v>156.91</v>
      </c>
      <c r="E199" s="2">
        <f ca="1">IFERROR(__xludf.DUMMYFUNCTION("""COMPUTED_VALUE"""),162.13)</f>
        <v>162.13</v>
      </c>
      <c r="F199" s="2">
        <f ca="1">IFERROR(__xludf.DUMMYFUNCTION("""COMPUTED_VALUE"""),2777002)</f>
        <v>2777002</v>
      </c>
    </row>
    <row r="200" spans="1:6" ht="12.5" x14ac:dyDescent="0.25">
      <c r="A200" s="3">
        <f ca="1">IFERROR(__xludf.DUMMYFUNCTION("""COMPUTED_VALUE"""),45216.6666666666)</f>
        <v>45216.666666666599</v>
      </c>
      <c r="B200" s="2">
        <f ca="1">IFERROR(__xludf.DUMMYFUNCTION("""COMPUTED_VALUE"""),158.98)</f>
        <v>158.97999999999999</v>
      </c>
      <c r="C200" s="2">
        <f ca="1">IFERROR(__xludf.DUMMYFUNCTION("""COMPUTED_VALUE"""),162.7)</f>
        <v>162.69999999999999</v>
      </c>
      <c r="D200" s="2">
        <f ca="1">IFERROR(__xludf.DUMMYFUNCTION("""COMPUTED_VALUE"""),158.58)</f>
        <v>158.58000000000001</v>
      </c>
      <c r="E200" s="2">
        <f ca="1">IFERROR(__xludf.DUMMYFUNCTION("""COMPUTED_VALUE"""),159.39)</f>
        <v>159.38999999999999</v>
      </c>
      <c r="F200" s="2">
        <f ca="1">IFERROR(__xludf.DUMMYFUNCTION("""COMPUTED_VALUE"""),3376002)</f>
        <v>3376002</v>
      </c>
    </row>
    <row r="201" spans="1:6" ht="12.5" x14ac:dyDescent="0.25">
      <c r="A201" s="3">
        <f ca="1">IFERROR(__xludf.DUMMYFUNCTION("""COMPUTED_VALUE"""),45217.6666666666)</f>
        <v>45217.666666666599</v>
      </c>
      <c r="B201" s="2">
        <f ca="1">IFERROR(__xludf.DUMMYFUNCTION("""COMPUTED_VALUE"""),159.4)</f>
        <v>159.4</v>
      </c>
      <c r="C201" s="2">
        <f ca="1">IFERROR(__xludf.DUMMYFUNCTION("""COMPUTED_VALUE"""),160.59)</f>
        <v>160.59</v>
      </c>
      <c r="D201" s="2">
        <f ca="1">IFERROR(__xludf.DUMMYFUNCTION("""COMPUTED_VALUE"""),152.34)</f>
        <v>152.34</v>
      </c>
      <c r="E201" s="2">
        <f ca="1">IFERROR(__xludf.DUMMYFUNCTION("""COMPUTED_VALUE"""),153.23)</f>
        <v>153.22999999999999</v>
      </c>
      <c r="F201" s="2">
        <f ca="1">IFERROR(__xludf.DUMMYFUNCTION("""COMPUTED_VALUE"""),3229186)</f>
        <v>3229186</v>
      </c>
    </row>
    <row r="202" spans="1:6" ht="12.5" x14ac:dyDescent="0.25">
      <c r="A202" s="3">
        <f ca="1">IFERROR(__xludf.DUMMYFUNCTION("""COMPUTED_VALUE"""),45218.6666666666)</f>
        <v>45218.666666666599</v>
      </c>
      <c r="B202" s="2">
        <f ca="1">IFERROR(__xludf.DUMMYFUNCTION("""COMPUTED_VALUE"""),154.76)</f>
        <v>154.76</v>
      </c>
      <c r="C202" s="2">
        <f ca="1">IFERROR(__xludf.DUMMYFUNCTION("""COMPUTED_VALUE"""),158.09)</f>
        <v>158.09</v>
      </c>
      <c r="D202" s="2">
        <f ca="1">IFERROR(__xludf.DUMMYFUNCTION("""COMPUTED_VALUE"""),153.12)</f>
        <v>153.12</v>
      </c>
      <c r="E202" s="2">
        <f ca="1">IFERROR(__xludf.DUMMYFUNCTION("""COMPUTED_VALUE"""),153.43)</f>
        <v>153.43</v>
      </c>
      <c r="F202" s="2">
        <f ca="1">IFERROR(__xludf.DUMMYFUNCTION("""COMPUTED_VALUE"""),2687485)</f>
        <v>2687485</v>
      </c>
    </row>
    <row r="203" spans="1:6" ht="12.5" x14ac:dyDescent="0.25">
      <c r="A203" s="3">
        <f ca="1">IFERROR(__xludf.DUMMYFUNCTION("""COMPUTED_VALUE"""),45219.6666666666)</f>
        <v>45219.666666666599</v>
      </c>
      <c r="B203" s="2">
        <f ca="1">IFERROR(__xludf.DUMMYFUNCTION("""COMPUTED_VALUE"""),153)</f>
        <v>153</v>
      </c>
      <c r="C203" s="2">
        <f ca="1">IFERROR(__xludf.DUMMYFUNCTION("""COMPUTED_VALUE"""),154.09)</f>
        <v>154.09</v>
      </c>
      <c r="D203" s="2">
        <f ca="1">IFERROR(__xludf.DUMMYFUNCTION("""COMPUTED_VALUE"""),147.35)</f>
        <v>147.35</v>
      </c>
      <c r="E203" s="2">
        <f ca="1">IFERROR(__xludf.DUMMYFUNCTION("""COMPUTED_VALUE"""),147.67)</f>
        <v>147.66999999999999</v>
      </c>
      <c r="F203" s="2">
        <f ca="1">IFERROR(__xludf.DUMMYFUNCTION("""COMPUTED_VALUE"""),3651742)</f>
        <v>3651742</v>
      </c>
    </row>
    <row r="204" spans="1:6" ht="12.5" x14ac:dyDescent="0.25">
      <c r="A204" s="3">
        <f ca="1">IFERROR(__xludf.DUMMYFUNCTION("""COMPUTED_VALUE"""),45222.6666666666)</f>
        <v>45222.666666666599</v>
      </c>
      <c r="B204" s="2">
        <f ca="1">IFERROR(__xludf.DUMMYFUNCTION("""COMPUTED_VALUE"""),145.86)</f>
        <v>145.86000000000001</v>
      </c>
      <c r="C204" s="2">
        <f ca="1">IFERROR(__xludf.DUMMYFUNCTION("""COMPUTED_VALUE"""),150.83)</f>
        <v>150.83000000000001</v>
      </c>
      <c r="D204" s="2">
        <f ca="1">IFERROR(__xludf.DUMMYFUNCTION("""COMPUTED_VALUE"""),144.81)</f>
        <v>144.81</v>
      </c>
      <c r="E204" s="2">
        <f ca="1">IFERROR(__xludf.DUMMYFUNCTION("""COMPUTED_VALUE"""),148.59)</f>
        <v>148.59</v>
      </c>
      <c r="F204" s="2">
        <f ca="1">IFERROR(__xludf.DUMMYFUNCTION("""COMPUTED_VALUE"""),2861430)</f>
        <v>2861430</v>
      </c>
    </row>
    <row r="205" spans="1:6" ht="12.5" x14ac:dyDescent="0.25">
      <c r="A205" s="3">
        <f ca="1">IFERROR(__xludf.DUMMYFUNCTION("""COMPUTED_VALUE"""),45223.6666666666)</f>
        <v>45223.666666666599</v>
      </c>
      <c r="B205" s="2">
        <f ca="1">IFERROR(__xludf.DUMMYFUNCTION("""COMPUTED_VALUE"""),149.73)</f>
        <v>149.72999999999999</v>
      </c>
      <c r="C205" s="2">
        <f ca="1">IFERROR(__xludf.DUMMYFUNCTION("""COMPUTED_VALUE"""),152.62)</f>
        <v>152.62</v>
      </c>
      <c r="D205" s="2">
        <f ca="1">IFERROR(__xludf.DUMMYFUNCTION("""COMPUTED_VALUE"""),148.94)</f>
        <v>148.94</v>
      </c>
      <c r="E205" s="2">
        <f ca="1">IFERROR(__xludf.DUMMYFUNCTION("""COMPUTED_VALUE"""),151.12)</f>
        <v>151.12</v>
      </c>
      <c r="F205" s="2">
        <f ca="1">IFERROR(__xludf.DUMMYFUNCTION("""COMPUTED_VALUE"""),2460125)</f>
        <v>2460125</v>
      </c>
    </row>
    <row r="206" spans="1:6" ht="12.5" x14ac:dyDescent="0.25">
      <c r="A206" s="3">
        <f ca="1">IFERROR(__xludf.DUMMYFUNCTION("""COMPUTED_VALUE"""),45224.6666666666)</f>
        <v>45224.666666666599</v>
      </c>
      <c r="B206" s="2">
        <f ca="1">IFERROR(__xludf.DUMMYFUNCTION("""COMPUTED_VALUE"""),150.89)</f>
        <v>150.88999999999999</v>
      </c>
      <c r="C206" s="2">
        <f ca="1">IFERROR(__xludf.DUMMYFUNCTION("""COMPUTED_VALUE"""),150.96)</f>
        <v>150.96</v>
      </c>
      <c r="D206" s="2">
        <f ca="1">IFERROR(__xludf.DUMMYFUNCTION("""COMPUTED_VALUE"""),141.54)</f>
        <v>141.54</v>
      </c>
      <c r="E206" s="2">
        <f ca="1">IFERROR(__xludf.DUMMYFUNCTION("""COMPUTED_VALUE"""),142.4)</f>
        <v>142.4</v>
      </c>
      <c r="F206" s="2">
        <f ca="1">IFERROR(__xludf.DUMMYFUNCTION("""COMPUTED_VALUE"""),4543594)</f>
        <v>4543594</v>
      </c>
    </row>
    <row r="207" spans="1:6" ht="12.5" x14ac:dyDescent="0.25">
      <c r="A207" s="3">
        <f ca="1">IFERROR(__xludf.DUMMYFUNCTION("""COMPUTED_VALUE"""),45225.6666666666)</f>
        <v>45225.666666666599</v>
      </c>
      <c r="B207" s="2">
        <f ca="1">IFERROR(__xludf.DUMMYFUNCTION("""COMPUTED_VALUE"""),142.06)</f>
        <v>142.06</v>
      </c>
      <c r="C207" s="2">
        <f ca="1">IFERROR(__xludf.DUMMYFUNCTION("""COMPUTED_VALUE"""),144.06)</f>
        <v>144.06</v>
      </c>
      <c r="D207" s="2">
        <f ca="1">IFERROR(__xludf.DUMMYFUNCTION("""COMPUTED_VALUE"""),138.4)</f>
        <v>138.4</v>
      </c>
      <c r="E207" s="2">
        <f ca="1">IFERROR(__xludf.DUMMYFUNCTION("""COMPUTED_VALUE"""),140.84)</f>
        <v>140.84</v>
      </c>
      <c r="F207" s="2">
        <f ca="1">IFERROR(__xludf.DUMMYFUNCTION("""COMPUTED_VALUE"""),4801111)</f>
        <v>4801111</v>
      </c>
    </row>
    <row r="208" spans="1:6" ht="12.5" x14ac:dyDescent="0.25">
      <c r="A208" s="3">
        <f ca="1">IFERROR(__xludf.DUMMYFUNCTION("""COMPUTED_VALUE"""),45226.6666666666)</f>
        <v>45226.666666666599</v>
      </c>
      <c r="B208" s="2">
        <f ca="1">IFERROR(__xludf.DUMMYFUNCTION("""COMPUTED_VALUE"""),144.1)</f>
        <v>144.1</v>
      </c>
      <c r="C208" s="2">
        <f ca="1">IFERROR(__xludf.DUMMYFUNCTION("""COMPUTED_VALUE"""),145.39)</f>
        <v>145.38999999999999</v>
      </c>
      <c r="D208" s="2">
        <f ca="1">IFERROR(__xludf.DUMMYFUNCTION("""COMPUTED_VALUE"""),141.89)</f>
        <v>141.88999999999999</v>
      </c>
      <c r="E208" s="2">
        <f ca="1">IFERROR(__xludf.DUMMYFUNCTION("""COMPUTED_VALUE"""),143.38)</f>
        <v>143.38</v>
      </c>
      <c r="F208" s="2">
        <f ca="1">IFERROR(__xludf.DUMMYFUNCTION("""COMPUTED_VALUE"""),3393761)</f>
        <v>3393761</v>
      </c>
    </row>
    <row r="209" spans="1:6" ht="12.5" x14ac:dyDescent="0.25">
      <c r="A209" s="3">
        <f ca="1">IFERROR(__xludf.DUMMYFUNCTION("""COMPUTED_VALUE"""),45229.6666666666)</f>
        <v>45229.666666666599</v>
      </c>
      <c r="B209" s="2">
        <f ca="1">IFERROR(__xludf.DUMMYFUNCTION("""COMPUTED_VALUE"""),144)</f>
        <v>144</v>
      </c>
      <c r="C209" s="2">
        <f ca="1">IFERROR(__xludf.DUMMYFUNCTION("""COMPUTED_VALUE"""),145.75)</f>
        <v>145.75</v>
      </c>
      <c r="D209" s="2">
        <f ca="1">IFERROR(__xludf.DUMMYFUNCTION("""COMPUTED_VALUE"""),142.68)</f>
        <v>142.68</v>
      </c>
      <c r="E209" s="2">
        <f ca="1">IFERROR(__xludf.DUMMYFUNCTION("""COMPUTED_VALUE"""),144.16)</f>
        <v>144.16</v>
      </c>
      <c r="F209" s="2">
        <f ca="1">IFERROR(__xludf.DUMMYFUNCTION("""COMPUTED_VALUE"""),2089728)</f>
        <v>2089728</v>
      </c>
    </row>
    <row r="210" spans="1:6" ht="12.5" x14ac:dyDescent="0.25">
      <c r="A210" s="3">
        <f ca="1">IFERROR(__xludf.DUMMYFUNCTION("""COMPUTED_VALUE"""),45230.6666666666)</f>
        <v>45230.666666666599</v>
      </c>
      <c r="B210" s="2">
        <f ca="1">IFERROR(__xludf.DUMMYFUNCTION("""COMPUTED_VALUE"""),144.79)</f>
        <v>144.79</v>
      </c>
      <c r="C210" s="2">
        <f ca="1">IFERROR(__xludf.DUMMYFUNCTION("""COMPUTED_VALUE"""),145.97)</f>
        <v>145.97</v>
      </c>
      <c r="D210" s="2">
        <f ca="1">IFERROR(__xludf.DUMMYFUNCTION("""COMPUTED_VALUE"""),141.59)</f>
        <v>141.59</v>
      </c>
      <c r="E210" s="2">
        <f ca="1">IFERROR(__xludf.DUMMYFUNCTION("""COMPUTED_VALUE"""),145.13)</f>
        <v>145.13</v>
      </c>
      <c r="F210" s="2">
        <f ca="1">IFERROR(__xludf.DUMMYFUNCTION("""COMPUTED_VALUE"""),2860416)</f>
        <v>2860416</v>
      </c>
    </row>
    <row r="211" spans="1:6" ht="12.5" x14ac:dyDescent="0.25">
      <c r="A211" s="3">
        <f ca="1">IFERROR(__xludf.DUMMYFUNCTION("""COMPUTED_VALUE"""),45231.6666666666)</f>
        <v>45231.666666666599</v>
      </c>
      <c r="B211" s="2">
        <f ca="1">IFERROR(__xludf.DUMMYFUNCTION("""COMPUTED_VALUE"""),145.3)</f>
        <v>145.30000000000001</v>
      </c>
      <c r="C211" s="2">
        <f ca="1">IFERROR(__xludf.DUMMYFUNCTION("""COMPUTED_VALUE"""),145.72)</f>
        <v>145.72</v>
      </c>
      <c r="D211" s="2">
        <f ca="1">IFERROR(__xludf.DUMMYFUNCTION("""COMPUTED_VALUE"""),142.32)</f>
        <v>142.32</v>
      </c>
      <c r="E211" s="2">
        <f ca="1">IFERROR(__xludf.DUMMYFUNCTION("""COMPUTED_VALUE"""),144.26)</f>
        <v>144.26</v>
      </c>
      <c r="F211" s="2">
        <f ca="1">IFERROR(__xludf.DUMMYFUNCTION("""COMPUTED_VALUE"""),3688286)</f>
        <v>3688286</v>
      </c>
    </row>
    <row r="212" spans="1:6" ht="12.5" x14ac:dyDescent="0.25">
      <c r="A212" s="3">
        <f ca="1">IFERROR(__xludf.DUMMYFUNCTION("""COMPUTED_VALUE"""),45232.6666666666)</f>
        <v>45232.666666666599</v>
      </c>
      <c r="B212" s="2">
        <f ca="1">IFERROR(__xludf.DUMMYFUNCTION("""COMPUTED_VALUE"""),145.22)</f>
        <v>145.22</v>
      </c>
      <c r="C212" s="2">
        <f ca="1">IFERROR(__xludf.DUMMYFUNCTION("""COMPUTED_VALUE"""),147.84)</f>
        <v>147.84</v>
      </c>
      <c r="D212" s="2">
        <f ca="1">IFERROR(__xludf.DUMMYFUNCTION("""COMPUTED_VALUE"""),140.14)</f>
        <v>140.13999999999999</v>
      </c>
      <c r="E212" s="2">
        <f ca="1">IFERROR(__xludf.DUMMYFUNCTION("""COMPUTED_VALUE"""),142.75)</f>
        <v>142.75</v>
      </c>
      <c r="F212" s="2">
        <f ca="1">IFERROR(__xludf.DUMMYFUNCTION("""COMPUTED_VALUE"""),6822701)</f>
        <v>6822701</v>
      </c>
    </row>
    <row r="213" spans="1:6" ht="12.5" x14ac:dyDescent="0.25">
      <c r="A213" s="3">
        <f ca="1">IFERROR(__xludf.DUMMYFUNCTION("""COMPUTED_VALUE"""),45233.6666666666)</f>
        <v>45233.666666666599</v>
      </c>
      <c r="B213" s="2">
        <f ca="1">IFERROR(__xludf.DUMMYFUNCTION("""COMPUTED_VALUE"""),143)</f>
        <v>143</v>
      </c>
      <c r="C213" s="2">
        <f ca="1">IFERROR(__xludf.DUMMYFUNCTION("""COMPUTED_VALUE"""),150.28)</f>
        <v>150.28</v>
      </c>
      <c r="D213" s="2">
        <f ca="1">IFERROR(__xludf.DUMMYFUNCTION("""COMPUTED_VALUE"""),142.72)</f>
        <v>142.72</v>
      </c>
      <c r="E213" s="2">
        <f ca="1">IFERROR(__xludf.DUMMYFUNCTION("""COMPUTED_VALUE"""),149.99)</f>
        <v>149.99</v>
      </c>
      <c r="F213" s="2">
        <f ca="1">IFERROR(__xludf.DUMMYFUNCTION("""COMPUTED_VALUE"""),5105651)</f>
        <v>5105651</v>
      </c>
    </row>
    <row r="214" spans="1:6" ht="12.5" x14ac:dyDescent="0.25">
      <c r="A214" s="3">
        <f ca="1">IFERROR(__xludf.DUMMYFUNCTION("""COMPUTED_VALUE"""),45236.6666666666)</f>
        <v>45236.666666666599</v>
      </c>
      <c r="B214" s="2">
        <f ca="1">IFERROR(__xludf.DUMMYFUNCTION("""COMPUTED_VALUE"""),150)</f>
        <v>150</v>
      </c>
      <c r="C214" s="2">
        <f ca="1">IFERROR(__xludf.DUMMYFUNCTION("""COMPUTED_VALUE"""),150.45)</f>
        <v>150.44999999999999</v>
      </c>
      <c r="D214" s="2">
        <f ca="1">IFERROR(__xludf.DUMMYFUNCTION("""COMPUTED_VALUE"""),141.93)</f>
        <v>141.93</v>
      </c>
      <c r="E214" s="2">
        <f ca="1">IFERROR(__xludf.DUMMYFUNCTION("""COMPUTED_VALUE"""),144.2)</f>
        <v>144.19999999999999</v>
      </c>
      <c r="F214" s="2">
        <f ca="1">IFERROR(__xludf.DUMMYFUNCTION("""COMPUTED_VALUE"""),4881540)</f>
        <v>4881540</v>
      </c>
    </row>
    <row r="215" spans="1:6" ht="12.5" x14ac:dyDescent="0.25">
      <c r="A215" s="3">
        <f ca="1">IFERROR(__xludf.DUMMYFUNCTION("""COMPUTED_VALUE"""),45237.6666666666)</f>
        <v>45237.666666666599</v>
      </c>
      <c r="B215" s="2">
        <f ca="1">IFERROR(__xludf.DUMMYFUNCTION("""COMPUTED_VALUE"""),155.77)</f>
        <v>155.77000000000001</v>
      </c>
      <c r="C215" s="2">
        <f ca="1">IFERROR(__xludf.DUMMYFUNCTION("""COMPUTED_VALUE"""),162.5)</f>
        <v>162.5</v>
      </c>
      <c r="D215" s="2">
        <f ca="1">IFERROR(__xludf.DUMMYFUNCTION("""COMPUTED_VALUE"""),153.85)</f>
        <v>153.85</v>
      </c>
      <c r="E215" s="2">
        <f ca="1">IFERROR(__xludf.DUMMYFUNCTION("""COMPUTED_VALUE"""),159.57)</f>
        <v>159.57</v>
      </c>
      <c r="F215" s="2">
        <f ca="1">IFERROR(__xludf.DUMMYFUNCTION("""COMPUTED_VALUE"""),12553291)</f>
        <v>12553291</v>
      </c>
    </row>
    <row r="216" spans="1:6" ht="12.5" x14ac:dyDescent="0.25">
      <c r="A216" s="3">
        <f ca="1">IFERROR(__xludf.DUMMYFUNCTION("""COMPUTED_VALUE"""),45238.6666666666)</f>
        <v>45238.666666666599</v>
      </c>
      <c r="B216" s="2">
        <f ca="1">IFERROR(__xludf.DUMMYFUNCTION("""COMPUTED_VALUE"""),160.2)</f>
        <v>160.19999999999999</v>
      </c>
      <c r="C216" s="2">
        <f ca="1">IFERROR(__xludf.DUMMYFUNCTION("""COMPUTED_VALUE"""),161.49)</f>
        <v>161.49</v>
      </c>
      <c r="D216" s="2">
        <f ca="1">IFERROR(__xludf.DUMMYFUNCTION("""COMPUTED_VALUE"""),156.01)</f>
        <v>156.01</v>
      </c>
      <c r="E216" s="2">
        <f ca="1">IFERROR(__xludf.DUMMYFUNCTION("""COMPUTED_VALUE"""),158.58)</f>
        <v>158.58000000000001</v>
      </c>
      <c r="F216" s="2">
        <f ca="1">IFERROR(__xludf.DUMMYFUNCTION("""COMPUTED_VALUE"""),4197978)</f>
        <v>4197978</v>
      </c>
    </row>
    <row r="217" spans="1:6" ht="12.5" x14ac:dyDescent="0.25">
      <c r="A217" s="3">
        <f ca="1">IFERROR(__xludf.DUMMYFUNCTION("""COMPUTED_VALUE"""),45239.6666666666)</f>
        <v>45239.666666666599</v>
      </c>
      <c r="B217" s="2">
        <f ca="1">IFERROR(__xludf.DUMMYFUNCTION("""COMPUTED_VALUE"""),159.5)</f>
        <v>159.5</v>
      </c>
      <c r="C217" s="2">
        <f ca="1">IFERROR(__xludf.DUMMYFUNCTION("""COMPUTED_VALUE"""),162.4)</f>
        <v>162.4</v>
      </c>
      <c r="D217" s="2">
        <f ca="1">IFERROR(__xludf.DUMMYFUNCTION("""COMPUTED_VALUE"""),156.11)</f>
        <v>156.11000000000001</v>
      </c>
      <c r="E217" s="2">
        <f ca="1">IFERROR(__xludf.DUMMYFUNCTION("""COMPUTED_VALUE"""),156.35)</f>
        <v>156.35</v>
      </c>
      <c r="F217" s="2">
        <f ca="1">IFERROR(__xludf.DUMMYFUNCTION("""COMPUTED_VALUE"""),3982258)</f>
        <v>3982258</v>
      </c>
    </row>
    <row r="218" spans="1:6" ht="12.5" x14ac:dyDescent="0.25">
      <c r="A218" s="3">
        <f ca="1">IFERROR(__xludf.DUMMYFUNCTION("""COMPUTED_VALUE"""),45240.6666666666)</f>
        <v>45240.666666666599</v>
      </c>
      <c r="B218" s="2">
        <f ca="1">IFERROR(__xludf.DUMMYFUNCTION("""COMPUTED_VALUE"""),155.85)</f>
        <v>155.85</v>
      </c>
      <c r="C218" s="2">
        <f ca="1">IFERROR(__xludf.DUMMYFUNCTION("""COMPUTED_VALUE"""),161.22)</f>
        <v>161.22</v>
      </c>
      <c r="D218" s="2">
        <f ca="1">IFERROR(__xludf.DUMMYFUNCTION("""COMPUTED_VALUE"""),153.53)</f>
        <v>153.53</v>
      </c>
      <c r="E218" s="2">
        <f ca="1">IFERROR(__xludf.DUMMYFUNCTION("""COMPUTED_VALUE"""),160.4)</f>
        <v>160.4</v>
      </c>
      <c r="F218" s="2">
        <f ca="1">IFERROR(__xludf.DUMMYFUNCTION("""COMPUTED_VALUE"""),3982683)</f>
        <v>3982683</v>
      </c>
    </row>
    <row r="219" spans="1:6" ht="12.5" x14ac:dyDescent="0.25">
      <c r="A219" s="3">
        <f ca="1">IFERROR(__xludf.DUMMYFUNCTION("""COMPUTED_VALUE"""),45243.6666666666)</f>
        <v>45243.666666666599</v>
      </c>
      <c r="B219" s="2">
        <f ca="1">IFERROR(__xludf.DUMMYFUNCTION("""COMPUTED_VALUE"""),160.04)</f>
        <v>160.04</v>
      </c>
      <c r="C219" s="2">
        <f ca="1">IFERROR(__xludf.DUMMYFUNCTION("""COMPUTED_VALUE"""),161.15)</f>
        <v>161.15</v>
      </c>
      <c r="D219" s="2">
        <f ca="1">IFERROR(__xludf.DUMMYFUNCTION("""COMPUTED_VALUE"""),157.28)</f>
        <v>157.28</v>
      </c>
      <c r="E219" s="2">
        <f ca="1">IFERROR(__xludf.DUMMYFUNCTION("""COMPUTED_VALUE"""),158.7)</f>
        <v>158.69999999999999</v>
      </c>
      <c r="F219" s="2">
        <f ca="1">IFERROR(__xludf.DUMMYFUNCTION("""COMPUTED_VALUE"""),3286665)</f>
        <v>3286665</v>
      </c>
    </row>
    <row r="220" spans="1:6" ht="12.5" x14ac:dyDescent="0.25">
      <c r="A220" s="3">
        <f ca="1">IFERROR(__xludf.DUMMYFUNCTION("""COMPUTED_VALUE"""),45244.6666666666)</f>
        <v>45244.666666666599</v>
      </c>
      <c r="B220" s="2">
        <f ca="1">IFERROR(__xludf.DUMMYFUNCTION("""COMPUTED_VALUE"""),164.5)</f>
        <v>164.5</v>
      </c>
      <c r="C220" s="2">
        <f ca="1">IFERROR(__xludf.DUMMYFUNCTION("""COMPUTED_VALUE"""),166.28)</f>
        <v>166.28</v>
      </c>
      <c r="D220" s="2">
        <f ca="1">IFERROR(__xludf.DUMMYFUNCTION("""COMPUTED_VALUE"""),163.16)</f>
        <v>163.16</v>
      </c>
      <c r="E220" s="2">
        <f ca="1">IFERROR(__xludf.DUMMYFUNCTION("""COMPUTED_VALUE"""),165.86)</f>
        <v>165.86</v>
      </c>
      <c r="F220" s="2">
        <f ca="1">IFERROR(__xludf.DUMMYFUNCTION("""COMPUTED_VALUE"""),5141766)</f>
        <v>5141766</v>
      </c>
    </row>
    <row r="221" spans="1:6" ht="12.5" x14ac:dyDescent="0.25">
      <c r="A221" s="3">
        <f ca="1">IFERROR(__xludf.DUMMYFUNCTION("""COMPUTED_VALUE"""),45245.6666666666)</f>
        <v>45245.666666666599</v>
      </c>
      <c r="B221" s="2">
        <f ca="1">IFERROR(__xludf.DUMMYFUNCTION("""COMPUTED_VALUE"""),166.57)</f>
        <v>166.57</v>
      </c>
      <c r="C221" s="2">
        <f ca="1">IFERROR(__xludf.DUMMYFUNCTION("""COMPUTED_VALUE"""),169.19)</f>
        <v>169.19</v>
      </c>
      <c r="D221" s="2">
        <f ca="1">IFERROR(__xludf.DUMMYFUNCTION("""COMPUTED_VALUE"""),162.84)</f>
        <v>162.84</v>
      </c>
      <c r="E221" s="2">
        <f ca="1">IFERROR(__xludf.DUMMYFUNCTION("""COMPUTED_VALUE"""),163.03)</f>
        <v>163.03</v>
      </c>
      <c r="F221" s="2">
        <f ca="1">IFERROR(__xludf.DUMMYFUNCTION("""COMPUTED_VALUE"""),4150023)</f>
        <v>4150023</v>
      </c>
    </row>
    <row r="222" spans="1:6" ht="12.5" x14ac:dyDescent="0.25">
      <c r="A222" s="3">
        <f ca="1">IFERROR(__xludf.DUMMYFUNCTION("""COMPUTED_VALUE"""),45246.6666666666)</f>
        <v>45246.666666666599</v>
      </c>
      <c r="B222" s="2">
        <f ca="1">IFERROR(__xludf.DUMMYFUNCTION("""COMPUTED_VALUE"""),162.94)</f>
        <v>162.94</v>
      </c>
      <c r="C222" s="2">
        <f ca="1">IFERROR(__xludf.DUMMYFUNCTION("""COMPUTED_VALUE"""),163)</f>
        <v>163</v>
      </c>
      <c r="D222" s="2">
        <f ca="1">IFERROR(__xludf.DUMMYFUNCTION("""COMPUTED_VALUE"""),159.51)</f>
        <v>159.51</v>
      </c>
      <c r="E222" s="2">
        <f ca="1">IFERROR(__xludf.DUMMYFUNCTION("""COMPUTED_VALUE"""),160.97)</f>
        <v>160.97</v>
      </c>
      <c r="F222" s="2">
        <f ca="1">IFERROR(__xludf.DUMMYFUNCTION("""COMPUTED_VALUE"""),3358519)</f>
        <v>3358519</v>
      </c>
    </row>
    <row r="223" spans="1:6" ht="12.5" x14ac:dyDescent="0.25">
      <c r="A223" s="3">
        <f ca="1">IFERROR(__xludf.DUMMYFUNCTION("""COMPUTED_VALUE"""),45247.6666666666)</f>
        <v>45247.666666666599</v>
      </c>
      <c r="B223" s="2">
        <f ca="1">IFERROR(__xludf.DUMMYFUNCTION("""COMPUTED_VALUE"""),160.71)</f>
        <v>160.71</v>
      </c>
      <c r="C223" s="2">
        <f ca="1">IFERROR(__xludf.DUMMYFUNCTION("""COMPUTED_VALUE"""),162.73)</f>
        <v>162.72999999999999</v>
      </c>
      <c r="D223" s="2">
        <f ca="1">IFERROR(__xludf.DUMMYFUNCTION("""COMPUTED_VALUE"""),160.33)</f>
        <v>160.33000000000001</v>
      </c>
      <c r="E223" s="2">
        <f ca="1">IFERROR(__xludf.DUMMYFUNCTION("""COMPUTED_VALUE"""),161.85)</f>
        <v>161.85</v>
      </c>
      <c r="F223" s="2">
        <f ca="1">IFERROR(__xludf.DUMMYFUNCTION("""COMPUTED_VALUE"""),1896456)</f>
        <v>1896456</v>
      </c>
    </row>
    <row r="224" spans="1:6" ht="12.5" x14ac:dyDescent="0.25">
      <c r="A224" s="3">
        <f ca="1">IFERROR(__xludf.DUMMYFUNCTION("""COMPUTED_VALUE"""),45250.6666666666)</f>
        <v>45250.666666666599</v>
      </c>
      <c r="B224" s="2">
        <f ca="1">IFERROR(__xludf.DUMMYFUNCTION("""COMPUTED_VALUE"""),162)</f>
        <v>162</v>
      </c>
      <c r="C224" s="2">
        <f ca="1">IFERROR(__xludf.DUMMYFUNCTION("""COMPUTED_VALUE"""),168.82)</f>
        <v>168.82</v>
      </c>
      <c r="D224" s="2">
        <f ca="1">IFERROR(__xludf.DUMMYFUNCTION("""COMPUTED_VALUE"""),162)</f>
        <v>162</v>
      </c>
      <c r="E224" s="2">
        <f ca="1">IFERROR(__xludf.DUMMYFUNCTION("""COMPUTED_VALUE"""),166.73)</f>
        <v>166.73</v>
      </c>
      <c r="F224" s="2">
        <f ca="1">IFERROR(__xludf.DUMMYFUNCTION("""COMPUTED_VALUE"""),3755270)</f>
        <v>3755270</v>
      </c>
    </row>
    <row r="225" spans="1:6" ht="12.5" x14ac:dyDescent="0.25">
      <c r="A225" s="3">
        <f ca="1">IFERROR(__xludf.DUMMYFUNCTION("""COMPUTED_VALUE"""),45251.6666666666)</f>
        <v>45251.666666666599</v>
      </c>
      <c r="B225" s="2">
        <f ca="1">IFERROR(__xludf.DUMMYFUNCTION("""COMPUTED_VALUE"""),164.93)</f>
        <v>164.93</v>
      </c>
      <c r="C225" s="2">
        <f ca="1">IFERROR(__xludf.DUMMYFUNCTION("""COMPUTED_VALUE"""),168.11)</f>
        <v>168.11</v>
      </c>
      <c r="D225" s="2">
        <f ca="1">IFERROR(__xludf.DUMMYFUNCTION("""COMPUTED_VALUE"""),164.29)</f>
        <v>164.29</v>
      </c>
      <c r="E225" s="2">
        <f ca="1">IFERROR(__xludf.DUMMYFUNCTION("""COMPUTED_VALUE"""),166.67)</f>
        <v>166.67</v>
      </c>
      <c r="F225" s="2">
        <f ca="1">IFERROR(__xludf.DUMMYFUNCTION("""COMPUTED_VALUE"""),2834590)</f>
        <v>2834590</v>
      </c>
    </row>
    <row r="226" spans="1:6" ht="12.5" x14ac:dyDescent="0.25">
      <c r="A226" s="3">
        <f ca="1">IFERROR(__xludf.DUMMYFUNCTION("""COMPUTED_VALUE"""),45252.6666666666)</f>
        <v>45252.666666666599</v>
      </c>
      <c r="B226" s="2">
        <f ca="1">IFERROR(__xludf.DUMMYFUNCTION("""COMPUTED_VALUE"""),168.9)</f>
        <v>168.9</v>
      </c>
      <c r="C226" s="2">
        <f ca="1">IFERROR(__xludf.DUMMYFUNCTION("""COMPUTED_VALUE"""),171.22)</f>
        <v>171.22</v>
      </c>
      <c r="D226" s="2">
        <f ca="1">IFERROR(__xludf.DUMMYFUNCTION("""COMPUTED_VALUE"""),167.3)</f>
        <v>167.3</v>
      </c>
      <c r="E226" s="2">
        <f ca="1">IFERROR(__xludf.DUMMYFUNCTION("""COMPUTED_VALUE"""),168.92)</f>
        <v>168.92</v>
      </c>
      <c r="F226" s="2">
        <f ca="1">IFERROR(__xludf.DUMMYFUNCTION("""COMPUTED_VALUE"""),3015395)</f>
        <v>3015395</v>
      </c>
    </row>
    <row r="227" spans="1:6" ht="12.5" x14ac:dyDescent="0.25">
      <c r="A227" s="3">
        <f ca="1">IFERROR(__xludf.DUMMYFUNCTION("""COMPUTED_VALUE"""),45254.5416666666)</f>
        <v>45254.541666666599</v>
      </c>
      <c r="B227" s="2">
        <f ca="1">IFERROR(__xludf.DUMMYFUNCTION("""COMPUTED_VALUE"""),168.04)</f>
        <v>168.04</v>
      </c>
      <c r="C227" s="2">
        <f ca="1">IFERROR(__xludf.DUMMYFUNCTION("""COMPUTED_VALUE"""),171.48)</f>
        <v>171.48</v>
      </c>
      <c r="D227" s="2">
        <f ca="1">IFERROR(__xludf.DUMMYFUNCTION("""COMPUTED_VALUE"""),167.49)</f>
        <v>167.49</v>
      </c>
      <c r="E227" s="2">
        <f ca="1">IFERROR(__xludf.DUMMYFUNCTION("""COMPUTED_VALUE"""),171.16)</f>
        <v>171.16</v>
      </c>
      <c r="F227" s="2">
        <f ca="1">IFERROR(__xludf.DUMMYFUNCTION("""COMPUTED_VALUE"""),1738385)</f>
        <v>1738385</v>
      </c>
    </row>
    <row r="228" spans="1:6" ht="12.5" x14ac:dyDescent="0.25">
      <c r="A228" s="3">
        <f ca="1">IFERROR(__xludf.DUMMYFUNCTION("""COMPUTED_VALUE"""),45257.6666666666)</f>
        <v>45257.666666666599</v>
      </c>
      <c r="B228" s="2">
        <f ca="1">IFERROR(__xludf.DUMMYFUNCTION("""COMPUTED_VALUE"""),171)</f>
        <v>171</v>
      </c>
      <c r="C228" s="2">
        <f ca="1">IFERROR(__xludf.DUMMYFUNCTION("""COMPUTED_VALUE"""),172.68)</f>
        <v>172.68</v>
      </c>
      <c r="D228" s="2">
        <f ca="1">IFERROR(__xludf.DUMMYFUNCTION("""COMPUTED_VALUE"""),170.05)</f>
        <v>170.05</v>
      </c>
      <c r="E228" s="2">
        <f ca="1">IFERROR(__xludf.DUMMYFUNCTION("""COMPUTED_VALUE"""),170.3)</f>
        <v>170.3</v>
      </c>
      <c r="F228" s="2">
        <f ca="1">IFERROR(__xludf.DUMMYFUNCTION("""COMPUTED_VALUE"""),4214149)</f>
        <v>4214149</v>
      </c>
    </row>
    <row r="229" spans="1:6" ht="12.5" x14ac:dyDescent="0.25">
      <c r="A229" s="3">
        <f ca="1">IFERROR(__xludf.DUMMYFUNCTION("""COMPUTED_VALUE"""),45258.6666666666)</f>
        <v>45258.666666666599</v>
      </c>
      <c r="B229" s="2">
        <f ca="1">IFERROR(__xludf.DUMMYFUNCTION("""COMPUTED_VALUE"""),170)</f>
        <v>170</v>
      </c>
      <c r="C229" s="2">
        <f ca="1">IFERROR(__xludf.DUMMYFUNCTION("""COMPUTED_VALUE"""),172.18)</f>
        <v>172.18</v>
      </c>
      <c r="D229" s="2">
        <f ca="1">IFERROR(__xludf.DUMMYFUNCTION("""COMPUTED_VALUE"""),167.91)</f>
        <v>167.91</v>
      </c>
      <c r="E229" s="2">
        <f ca="1">IFERROR(__xludf.DUMMYFUNCTION("""COMPUTED_VALUE"""),171.55)</f>
        <v>171.55</v>
      </c>
      <c r="F229" s="2">
        <f ca="1">IFERROR(__xludf.DUMMYFUNCTION("""COMPUTED_VALUE"""),3829799)</f>
        <v>3829799</v>
      </c>
    </row>
    <row r="230" spans="1:6" ht="12.5" x14ac:dyDescent="0.25">
      <c r="A230" s="3">
        <f ca="1">IFERROR(__xludf.DUMMYFUNCTION("""COMPUTED_VALUE"""),45259.6666666666)</f>
        <v>45259.666666666599</v>
      </c>
      <c r="B230" s="2">
        <f ca="1">IFERROR(__xludf.DUMMYFUNCTION("""COMPUTED_VALUE"""),175.02)</f>
        <v>175.02</v>
      </c>
      <c r="C230" s="2">
        <f ca="1">IFERROR(__xludf.DUMMYFUNCTION("""COMPUTED_VALUE"""),177.6)</f>
        <v>177.6</v>
      </c>
      <c r="D230" s="2">
        <f ca="1">IFERROR(__xludf.DUMMYFUNCTION("""COMPUTED_VALUE"""),174.35)</f>
        <v>174.35</v>
      </c>
      <c r="E230" s="2">
        <f ca="1">IFERROR(__xludf.DUMMYFUNCTION("""COMPUTED_VALUE"""),175.32)</f>
        <v>175.32</v>
      </c>
      <c r="F230" s="2">
        <f ca="1">IFERROR(__xludf.DUMMYFUNCTION("""COMPUTED_VALUE"""),10298419)</f>
        <v>10298419</v>
      </c>
    </row>
    <row r="231" spans="1:6" ht="12.5" x14ac:dyDescent="0.25">
      <c r="A231" s="3">
        <f ca="1">IFERROR(__xludf.DUMMYFUNCTION("""COMPUTED_VALUE"""),45260.6666666666)</f>
        <v>45260.666666666599</v>
      </c>
      <c r="B231" s="2">
        <f ca="1">IFERROR(__xludf.DUMMYFUNCTION("""COMPUTED_VALUE"""),188)</f>
        <v>188</v>
      </c>
      <c r="C231" s="2">
        <f ca="1">IFERROR(__xludf.DUMMYFUNCTION("""COMPUTED_VALUE"""),192.66)</f>
        <v>192.66</v>
      </c>
      <c r="D231" s="2">
        <f ca="1">IFERROR(__xludf.DUMMYFUNCTION("""COMPUTED_VALUE"""),180.27)</f>
        <v>180.27</v>
      </c>
      <c r="E231" s="2">
        <f ca="1">IFERROR(__xludf.DUMMYFUNCTION("""COMPUTED_VALUE"""),187.68)</f>
        <v>187.68</v>
      </c>
      <c r="F231" s="2">
        <f ca="1">IFERROR(__xludf.DUMMYFUNCTION("""COMPUTED_VALUE"""),22593509)</f>
        <v>22593509</v>
      </c>
    </row>
    <row r="232" spans="1:6" ht="12.5" x14ac:dyDescent="0.25">
      <c r="A232" s="3">
        <f ca="1">IFERROR(__xludf.DUMMYFUNCTION("""COMPUTED_VALUE"""),45261.6666666666)</f>
        <v>45261.666666666599</v>
      </c>
      <c r="B232" s="2">
        <f ca="1">IFERROR(__xludf.DUMMYFUNCTION("""COMPUTED_VALUE"""),185.25)</f>
        <v>185.25</v>
      </c>
      <c r="C232" s="2">
        <f ca="1">IFERROR(__xludf.DUMMYFUNCTION("""COMPUTED_VALUE"""),188.56)</f>
        <v>188.56</v>
      </c>
      <c r="D232" s="2">
        <f ca="1">IFERROR(__xludf.DUMMYFUNCTION("""COMPUTED_VALUE"""),180.8)</f>
        <v>180.8</v>
      </c>
      <c r="E232" s="2">
        <f ca="1">IFERROR(__xludf.DUMMYFUNCTION("""COMPUTED_VALUE"""),185.97)</f>
        <v>185.97</v>
      </c>
      <c r="F232" s="2">
        <f ca="1">IFERROR(__xludf.DUMMYFUNCTION("""COMPUTED_VALUE"""),10315162)</f>
        <v>10315162</v>
      </c>
    </row>
    <row r="233" spans="1:6" ht="12.5" x14ac:dyDescent="0.25">
      <c r="A233" s="3">
        <f ca="1">IFERROR(__xludf.DUMMYFUNCTION("""COMPUTED_VALUE"""),45264.6666666666)</f>
        <v>45264.666666666599</v>
      </c>
      <c r="B233" s="2">
        <f ca="1">IFERROR(__xludf.DUMMYFUNCTION("""COMPUTED_VALUE"""),184.81)</f>
        <v>184.81</v>
      </c>
      <c r="C233" s="2">
        <f ca="1">IFERROR(__xludf.DUMMYFUNCTION("""COMPUTED_VALUE"""),191)</f>
        <v>191</v>
      </c>
      <c r="D233" s="2">
        <f ca="1">IFERROR(__xludf.DUMMYFUNCTION("""COMPUTED_VALUE"""),183.61)</f>
        <v>183.61</v>
      </c>
      <c r="E233" s="2">
        <f ca="1">IFERROR(__xludf.DUMMYFUNCTION("""COMPUTED_VALUE"""),188.3)</f>
        <v>188.3</v>
      </c>
      <c r="F233" s="2">
        <f ca="1">IFERROR(__xludf.DUMMYFUNCTION("""COMPUTED_VALUE"""),8530965)</f>
        <v>8530965</v>
      </c>
    </row>
    <row r="234" spans="1:6" ht="12.5" x14ac:dyDescent="0.25">
      <c r="A234" s="3">
        <f ca="1">IFERROR(__xludf.DUMMYFUNCTION("""COMPUTED_VALUE"""),45265.6666666666)</f>
        <v>45265.666666666599</v>
      </c>
      <c r="B234" s="2">
        <f ca="1">IFERROR(__xludf.DUMMYFUNCTION("""COMPUTED_VALUE"""),186.53)</f>
        <v>186.53</v>
      </c>
      <c r="C234" s="2">
        <f ca="1">IFERROR(__xludf.DUMMYFUNCTION("""COMPUTED_VALUE"""),188.52)</f>
        <v>188.52</v>
      </c>
      <c r="D234" s="2">
        <f ca="1">IFERROR(__xludf.DUMMYFUNCTION("""COMPUTED_VALUE"""),184.08)</f>
        <v>184.08</v>
      </c>
      <c r="E234" s="2">
        <f ca="1">IFERROR(__xludf.DUMMYFUNCTION("""COMPUTED_VALUE"""),186.16)</f>
        <v>186.16</v>
      </c>
      <c r="F234" s="2">
        <f ca="1">IFERROR(__xludf.DUMMYFUNCTION("""COMPUTED_VALUE"""),4060490)</f>
        <v>4060490</v>
      </c>
    </row>
    <row r="235" spans="1:6" ht="12.5" x14ac:dyDescent="0.25">
      <c r="A235" s="3">
        <f ca="1">IFERROR(__xludf.DUMMYFUNCTION("""COMPUTED_VALUE"""),45266.6666666666)</f>
        <v>45266.666666666599</v>
      </c>
      <c r="B235" s="2">
        <f ca="1">IFERROR(__xludf.DUMMYFUNCTION("""COMPUTED_VALUE"""),187.41)</f>
        <v>187.41</v>
      </c>
      <c r="C235" s="2">
        <f ca="1">IFERROR(__xludf.DUMMYFUNCTION("""COMPUTED_VALUE"""),190.62)</f>
        <v>190.62</v>
      </c>
      <c r="D235" s="2">
        <f ca="1">IFERROR(__xludf.DUMMYFUNCTION("""COMPUTED_VALUE"""),184.4)</f>
        <v>184.4</v>
      </c>
      <c r="E235" s="2">
        <f ca="1">IFERROR(__xludf.DUMMYFUNCTION("""COMPUTED_VALUE"""),184.47)</f>
        <v>184.47</v>
      </c>
      <c r="F235" s="2">
        <f ca="1">IFERROR(__xludf.DUMMYFUNCTION("""COMPUTED_VALUE"""),5358674)</f>
        <v>5358674</v>
      </c>
    </row>
    <row r="236" spans="1:6" ht="12.5" x14ac:dyDescent="0.25">
      <c r="A236" s="3">
        <f ca="1">IFERROR(__xludf.DUMMYFUNCTION("""COMPUTED_VALUE"""),45267.6666666666)</f>
        <v>45267.666666666599</v>
      </c>
      <c r="B236" s="2">
        <f ca="1">IFERROR(__xludf.DUMMYFUNCTION("""COMPUTED_VALUE"""),184.61)</f>
        <v>184.61</v>
      </c>
      <c r="C236" s="2">
        <f ca="1">IFERROR(__xludf.DUMMYFUNCTION("""COMPUTED_VALUE"""),188.78)</f>
        <v>188.78</v>
      </c>
      <c r="D236" s="2">
        <f ca="1">IFERROR(__xludf.DUMMYFUNCTION("""COMPUTED_VALUE"""),183.03)</f>
        <v>183.03</v>
      </c>
      <c r="E236" s="2">
        <f ca="1">IFERROR(__xludf.DUMMYFUNCTION("""COMPUTED_VALUE"""),187.31)</f>
        <v>187.31</v>
      </c>
      <c r="F236" s="2">
        <f ca="1">IFERROR(__xludf.DUMMYFUNCTION("""COMPUTED_VALUE"""),4824379)</f>
        <v>4824379</v>
      </c>
    </row>
    <row r="237" spans="1:6" ht="12.5" x14ac:dyDescent="0.25">
      <c r="A237" s="3">
        <f ca="1">IFERROR(__xludf.DUMMYFUNCTION("""COMPUTED_VALUE"""),45268.6666666666)</f>
        <v>45268.666666666599</v>
      </c>
      <c r="B237" s="2">
        <f ca="1">IFERROR(__xludf.DUMMYFUNCTION("""COMPUTED_VALUE"""),187)</f>
        <v>187</v>
      </c>
      <c r="C237" s="2">
        <f ca="1">IFERROR(__xludf.DUMMYFUNCTION("""COMPUTED_VALUE"""),191.64)</f>
        <v>191.64</v>
      </c>
      <c r="D237" s="2">
        <f ca="1">IFERROR(__xludf.DUMMYFUNCTION("""COMPUTED_VALUE"""),185.8)</f>
        <v>185.8</v>
      </c>
      <c r="E237" s="2">
        <f ca="1">IFERROR(__xludf.DUMMYFUNCTION("""COMPUTED_VALUE"""),190.67)</f>
        <v>190.67</v>
      </c>
      <c r="F237" s="2">
        <f ca="1">IFERROR(__xludf.DUMMYFUNCTION("""COMPUTED_VALUE"""),5294921)</f>
        <v>5294921</v>
      </c>
    </row>
    <row r="238" spans="1:6" ht="12.5" x14ac:dyDescent="0.25">
      <c r="A238" s="3">
        <f ca="1">IFERROR(__xludf.DUMMYFUNCTION("""COMPUTED_VALUE"""),45271.6666666666)</f>
        <v>45271.666666666599</v>
      </c>
      <c r="B238" s="2">
        <f ca="1">IFERROR(__xludf.DUMMYFUNCTION("""COMPUTED_VALUE"""),188.51)</f>
        <v>188.51</v>
      </c>
      <c r="C238" s="2">
        <f ca="1">IFERROR(__xludf.DUMMYFUNCTION("""COMPUTED_VALUE"""),196.66)</f>
        <v>196.66</v>
      </c>
      <c r="D238" s="2">
        <f ca="1">IFERROR(__xludf.DUMMYFUNCTION("""COMPUTED_VALUE"""),187.77)</f>
        <v>187.77</v>
      </c>
      <c r="E238" s="2">
        <f ca="1">IFERROR(__xludf.DUMMYFUNCTION("""COMPUTED_VALUE"""),192.99)</f>
        <v>192.99</v>
      </c>
      <c r="F238" s="2">
        <f ca="1">IFERROR(__xludf.DUMMYFUNCTION("""COMPUTED_VALUE"""),7350847)</f>
        <v>7350847</v>
      </c>
    </row>
    <row r="239" spans="1:6" ht="12.5" x14ac:dyDescent="0.25">
      <c r="A239" s="3">
        <f ca="1">IFERROR(__xludf.DUMMYFUNCTION("""COMPUTED_VALUE"""),45272.6666666666)</f>
        <v>45272.666666666599</v>
      </c>
      <c r="B239" s="2">
        <f ca="1">IFERROR(__xludf.DUMMYFUNCTION("""COMPUTED_VALUE"""),190.84)</f>
        <v>190.84</v>
      </c>
      <c r="C239" s="2">
        <f ca="1">IFERROR(__xludf.DUMMYFUNCTION("""COMPUTED_VALUE"""),194.21)</f>
        <v>194.21</v>
      </c>
      <c r="D239" s="2">
        <f ca="1">IFERROR(__xludf.DUMMYFUNCTION("""COMPUTED_VALUE"""),189.69)</f>
        <v>189.69</v>
      </c>
      <c r="E239" s="2">
        <f ca="1">IFERROR(__xludf.DUMMYFUNCTION("""COMPUTED_VALUE"""),193.49)</f>
        <v>193.49</v>
      </c>
      <c r="F239" s="2">
        <f ca="1">IFERROR(__xludf.DUMMYFUNCTION("""COMPUTED_VALUE"""),3825737)</f>
        <v>3825737</v>
      </c>
    </row>
    <row r="240" spans="1:6" ht="12.5" x14ac:dyDescent="0.25">
      <c r="A240" s="3">
        <f ca="1">IFERROR(__xludf.DUMMYFUNCTION("""COMPUTED_VALUE"""),45273.6666666666)</f>
        <v>45273.666666666599</v>
      </c>
      <c r="B240" s="2">
        <f ca="1">IFERROR(__xludf.DUMMYFUNCTION("""COMPUTED_VALUE"""),195)</f>
        <v>195</v>
      </c>
      <c r="C240" s="2">
        <f ca="1">IFERROR(__xludf.DUMMYFUNCTION("""COMPUTED_VALUE"""),197.43)</f>
        <v>197.43</v>
      </c>
      <c r="D240" s="2">
        <f ca="1">IFERROR(__xludf.DUMMYFUNCTION("""COMPUTED_VALUE"""),191.26)</f>
        <v>191.26</v>
      </c>
      <c r="E240" s="2">
        <f ca="1">IFERROR(__xludf.DUMMYFUNCTION("""COMPUTED_VALUE"""),196.55)</f>
        <v>196.55</v>
      </c>
      <c r="F240" s="2">
        <f ca="1">IFERROR(__xludf.DUMMYFUNCTION("""COMPUTED_VALUE"""),5331339)</f>
        <v>5331339</v>
      </c>
    </row>
    <row r="241" spans="1:6" ht="12.5" x14ac:dyDescent="0.25">
      <c r="A241" s="3">
        <f ca="1">IFERROR(__xludf.DUMMYFUNCTION("""COMPUTED_VALUE"""),45274.6666666666)</f>
        <v>45274.666666666599</v>
      </c>
      <c r="B241" s="2">
        <f ca="1">IFERROR(__xludf.DUMMYFUNCTION("""COMPUTED_VALUE"""),198.57)</f>
        <v>198.57</v>
      </c>
      <c r="C241" s="2">
        <f ca="1">IFERROR(__xludf.DUMMYFUNCTION("""COMPUTED_VALUE"""),202.83)</f>
        <v>202.83</v>
      </c>
      <c r="D241" s="2">
        <f ca="1">IFERROR(__xludf.DUMMYFUNCTION("""COMPUTED_VALUE"""),196.11)</f>
        <v>196.11</v>
      </c>
      <c r="E241" s="2">
        <f ca="1">IFERROR(__xludf.DUMMYFUNCTION("""COMPUTED_VALUE"""),200.86)</f>
        <v>200.86</v>
      </c>
      <c r="F241" s="2">
        <f ca="1">IFERROR(__xludf.DUMMYFUNCTION("""COMPUTED_VALUE"""),7937720)</f>
        <v>7937720</v>
      </c>
    </row>
    <row r="242" spans="1:6" ht="12.5" x14ac:dyDescent="0.25">
      <c r="A242" s="3">
        <f ca="1">IFERROR(__xludf.DUMMYFUNCTION("""COMPUTED_VALUE"""),45275.6666666666)</f>
        <v>45275.666666666599</v>
      </c>
      <c r="B242" s="2">
        <f ca="1">IFERROR(__xludf.DUMMYFUNCTION("""COMPUTED_VALUE"""),198)</f>
        <v>198</v>
      </c>
      <c r="C242" s="2">
        <f ca="1">IFERROR(__xludf.DUMMYFUNCTION("""COMPUTED_VALUE"""),200.85)</f>
        <v>200.85</v>
      </c>
      <c r="D242" s="2">
        <f ca="1">IFERROR(__xludf.DUMMYFUNCTION("""COMPUTED_VALUE"""),197.1)</f>
        <v>197.1</v>
      </c>
      <c r="E242" s="2">
        <f ca="1">IFERROR(__xludf.DUMMYFUNCTION("""COMPUTED_VALUE"""),199.01)</f>
        <v>199.01</v>
      </c>
      <c r="F242" s="2">
        <f ca="1">IFERROR(__xludf.DUMMYFUNCTION("""COMPUTED_VALUE"""),6241938)</f>
        <v>6241938</v>
      </c>
    </row>
    <row r="243" spans="1:6" ht="12.5" x14ac:dyDescent="0.25">
      <c r="A243" s="3">
        <f ca="1">IFERROR(__xludf.DUMMYFUNCTION("""COMPUTED_VALUE"""),45278.6666666666)</f>
        <v>45278.666666666599</v>
      </c>
      <c r="B243" s="2">
        <f ca="1">IFERROR(__xludf.DUMMYFUNCTION("""COMPUTED_VALUE"""),198.1)</f>
        <v>198.1</v>
      </c>
      <c r="C243" s="2">
        <f ca="1">IFERROR(__xludf.DUMMYFUNCTION("""COMPUTED_VALUE"""),200.01)</f>
        <v>200.01</v>
      </c>
      <c r="D243" s="2">
        <f ca="1">IFERROR(__xludf.DUMMYFUNCTION("""COMPUTED_VALUE"""),196.55)</f>
        <v>196.55</v>
      </c>
      <c r="E243" s="2">
        <f ca="1">IFERROR(__xludf.DUMMYFUNCTION("""COMPUTED_VALUE"""),198.97)</f>
        <v>198.97</v>
      </c>
      <c r="F243" s="2">
        <f ca="1">IFERROR(__xludf.DUMMYFUNCTION("""COMPUTED_VALUE"""),3461687)</f>
        <v>3461687</v>
      </c>
    </row>
    <row r="244" spans="1:6" ht="12.5" x14ac:dyDescent="0.25">
      <c r="A244" s="3">
        <f ca="1">IFERROR(__xludf.DUMMYFUNCTION("""COMPUTED_VALUE"""),45279.6666666666)</f>
        <v>45279.666666666599</v>
      </c>
      <c r="B244" s="2">
        <f ca="1">IFERROR(__xludf.DUMMYFUNCTION("""COMPUTED_VALUE"""),200)</f>
        <v>200</v>
      </c>
      <c r="C244" s="2">
        <f ca="1">IFERROR(__xludf.DUMMYFUNCTION("""COMPUTED_VALUE"""),200.87)</f>
        <v>200.87</v>
      </c>
      <c r="D244" s="2">
        <f ca="1">IFERROR(__xludf.DUMMYFUNCTION("""COMPUTED_VALUE"""),198.34)</f>
        <v>198.34</v>
      </c>
      <c r="E244" s="2">
        <f ca="1">IFERROR(__xludf.DUMMYFUNCTION("""COMPUTED_VALUE"""),199.02)</f>
        <v>199.02</v>
      </c>
      <c r="F244" s="2">
        <f ca="1">IFERROR(__xludf.DUMMYFUNCTION("""COMPUTED_VALUE"""),2963399)</f>
        <v>2963399</v>
      </c>
    </row>
    <row r="245" spans="1:6" ht="12.5" x14ac:dyDescent="0.25">
      <c r="A245" s="3">
        <f ca="1">IFERROR(__xludf.DUMMYFUNCTION("""COMPUTED_VALUE"""),45280.6666666666)</f>
        <v>45280.666666666599</v>
      </c>
      <c r="B245" s="2">
        <f ca="1">IFERROR(__xludf.DUMMYFUNCTION("""COMPUTED_VALUE"""),198.12)</f>
        <v>198.12</v>
      </c>
      <c r="C245" s="2">
        <f ca="1">IFERROR(__xludf.DUMMYFUNCTION("""COMPUTED_VALUE"""),199.74)</f>
        <v>199.74</v>
      </c>
      <c r="D245" s="2">
        <f ca="1">IFERROR(__xludf.DUMMYFUNCTION("""COMPUTED_VALUE"""),194.13)</f>
        <v>194.13</v>
      </c>
      <c r="E245" s="2">
        <f ca="1">IFERROR(__xludf.DUMMYFUNCTION("""COMPUTED_VALUE"""),194.28)</f>
        <v>194.28</v>
      </c>
      <c r="F245" s="2">
        <f ca="1">IFERROR(__xludf.DUMMYFUNCTION("""COMPUTED_VALUE"""),3222933)</f>
        <v>3222933</v>
      </c>
    </row>
    <row r="246" spans="1:6" ht="12.5" x14ac:dyDescent="0.25">
      <c r="A246" s="3">
        <f ca="1">IFERROR(__xludf.DUMMYFUNCTION("""COMPUTED_VALUE"""),45281.6666666666)</f>
        <v>45281.666666666599</v>
      </c>
      <c r="B246" s="2">
        <f ca="1">IFERROR(__xludf.DUMMYFUNCTION("""COMPUTED_VALUE"""),195.5)</f>
        <v>195.5</v>
      </c>
      <c r="C246" s="2">
        <f ca="1">IFERROR(__xludf.DUMMYFUNCTION("""COMPUTED_VALUE"""),196.95)</f>
        <v>196.95</v>
      </c>
      <c r="D246" s="2">
        <f ca="1">IFERROR(__xludf.DUMMYFUNCTION("""COMPUTED_VALUE"""),193.74)</f>
        <v>193.74</v>
      </c>
      <c r="E246" s="2">
        <f ca="1">IFERROR(__xludf.DUMMYFUNCTION("""COMPUTED_VALUE"""),196.79)</f>
        <v>196.79</v>
      </c>
      <c r="F246" s="2">
        <f ca="1">IFERROR(__xludf.DUMMYFUNCTION("""COMPUTED_VALUE"""),4213726)</f>
        <v>4213726</v>
      </c>
    </row>
    <row r="247" spans="1:6" ht="12.5" x14ac:dyDescent="0.25">
      <c r="A247" s="3">
        <f ca="1">IFERROR(__xludf.DUMMYFUNCTION("""COMPUTED_VALUE"""),45282.6666666666)</f>
        <v>45282.666666666599</v>
      </c>
      <c r="B247" s="2">
        <f ca="1">IFERROR(__xludf.DUMMYFUNCTION("""COMPUTED_VALUE"""),197.02)</f>
        <v>197.02</v>
      </c>
      <c r="C247" s="2">
        <f ca="1">IFERROR(__xludf.DUMMYFUNCTION("""COMPUTED_VALUE"""),198.02)</f>
        <v>198.02</v>
      </c>
      <c r="D247" s="2">
        <f ca="1">IFERROR(__xludf.DUMMYFUNCTION("""COMPUTED_VALUE"""),194.1)</f>
        <v>194.1</v>
      </c>
      <c r="E247" s="2">
        <f ca="1">IFERROR(__xludf.DUMMYFUNCTION("""COMPUTED_VALUE"""),195.67)</f>
        <v>195.67</v>
      </c>
      <c r="F247" s="2">
        <f ca="1">IFERROR(__xludf.DUMMYFUNCTION("""COMPUTED_VALUE"""),2448826)</f>
        <v>2448826</v>
      </c>
    </row>
    <row r="248" spans="1:6" ht="12.5" x14ac:dyDescent="0.25">
      <c r="A248" s="3">
        <f ca="1">IFERROR(__xludf.DUMMYFUNCTION("""COMPUTED_VALUE"""),45286.6666666666)</f>
        <v>45286.666666666599</v>
      </c>
      <c r="B248" s="2">
        <f ca="1">IFERROR(__xludf.DUMMYFUNCTION("""COMPUTED_VALUE"""),195.9)</f>
        <v>195.9</v>
      </c>
      <c r="C248" s="2">
        <f ca="1">IFERROR(__xludf.DUMMYFUNCTION("""COMPUTED_VALUE"""),199.32)</f>
        <v>199.32</v>
      </c>
      <c r="D248" s="2">
        <f ca="1">IFERROR(__xludf.DUMMYFUNCTION("""COMPUTED_VALUE"""),193.8)</f>
        <v>193.8</v>
      </c>
      <c r="E248" s="2">
        <f ca="1">IFERROR(__xludf.DUMMYFUNCTION("""COMPUTED_VALUE"""),198.56)</f>
        <v>198.56</v>
      </c>
      <c r="F248" s="2">
        <f ca="1">IFERROR(__xludf.DUMMYFUNCTION("""COMPUTED_VALUE"""),3639359)</f>
        <v>3639359</v>
      </c>
    </row>
    <row r="249" spans="1:6" ht="12.5" x14ac:dyDescent="0.25">
      <c r="A249" s="3">
        <f ca="1">IFERROR(__xludf.DUMMYFUNCTION("""COMPUTED_VALUE"""),45287.6666666666)</f>
        <v>45287.666666666599</v>
      </c>
      <c r="B249" s="2">
        <f ca="1">IFERROR(__xludf.DUMMYFUNCTION("""COMPUTED_VALUE"""),200)</f>
        <v>200</v>
      </c>
      <c r="C249" s="2">
        <f ca="1">IFERROR(__xludf.DUMMYFUNCTION("""COMPUTED_VALUE"""),200.97)</f>
        <v>200.97</v>
      </c>
      <c r="D249" s="2">
        <f ca="1">IFERROR(__xludf.DUMMYFUNCTION("""COMPUTED_VALUE"""),197.04)</f>
        <v>197.04</v>
      </c>
      <c r="E249" s="2">
        <f ca="1">IFERROR(__xludf.DUMMYFUNCTION("""COMPUTED_VALUE"""),198.71)</f>
        <v>198.71</v>
      </c>
      <c r="F249" s="2">
        <f ca="1">IFERROR(__xludf.DUMMYFUNCTION("""COMPUTED_VALUE"""),4957172)</f>
        <v>4957172</v>
      </c>
    </row>
    <row r="250" spans="1:6" ht="12.5" x14ac:dyDescent="0.25">
      <c r="A250" s="3">
        <f ca="1">IFERROR(__xludf.DUMMYFUNCTION("""COMPUTED_VALUE"""),45288.6666666666)</f>
        <v>45288.666666666599</v>
      </c>
      <c r="B250" s="2">
        <f ca="1">IFERROR(__xludf.DUMMYFUNCTION("""COMPUTED_VALUE"""),198.78)</f>
        <v>198.78</v>
      </c>
      <c r="C250" s="2">
        <f ca="1">IFERROR(__xludf.DUMMYFUNCTION("""COMPUTED_VALUE"""),201.74)</f>
        <v>201.74</v>
      </c>
      <c r="D250" s="2">
        <f ca="1">IFERROR(__xludf.DUMMYFUNCTION("""COMPUTED_VALUE"""),197.7)</f>
        <v>197.7</v>
      </c>
      <c r="E250" s="2">
        <f ca="1">IFERROR(__xludf.DUMMYFUNCTION("""COMPUTED_VALUE"""),201.23)</f>
        <v>201.23</v>
      </c>
      <c r="F250" s="2">
        <f ca="1">IFERROR(__xludf.DUMMYFUNCTION("""COMPUTED_VALUE"""),3823822)</f>
        <v>3823822</v>
      </c>
    </row>
    <row r="251" spans="1:6" ht="12.5" x14ac:dyDescent="0.25">
      <c r="A251" s="3">
        <f ca="1">IFERROR(__xludf.DUMMYFUNCTION("""COMPUTED_VALUE"""),45289.6666666666)</f>
        <v>45289.666666666599</v>
      </c>
      <c r="B251" s="2">
        <f ca="1">IFERROR(__xludf.DUMMYFUNCTION("""COMPUTED_VALUE"""),200)</f>
        <v>200</v>
      </c>
      <c r="C251" s="2">
        <f ca="1">IFERROR(__xludf.DUMMYFUNCTION("""COMPUTED_VALUE"""),201.88)</f>
        <v>201.88</v>
      </c>
      <c r="D251" s="2">
        <f ca="1">IFERROR(__xludf.DUMMYFUNCTION("""COMPUTED_VALUE"""),198.34)</f>
        <v>198.34</v>
      </c>
      <c r="E251" s="2">
        <f ca="1">IFERROR(__xludf.DUMMYFUNCTION("""COMPUTED_VALUE"""),199)</f>
        <v>199</v>
      </c>
      <c r="F251" s="2">
        <f ca="1">IFERROR(__xludf.DUMMYFUNCTION("""COMPUTED_VALUE"""),3598227)</f>
        <v>3598227</v>
      </c>
    </row>
    <row r="252" spans="1:6" ht="12.5" x14ac:dyDescent="0.25">
      <c r="A252" s="3">
        <f ca="1">IFERROR(__xludf.DUMMYFUNCTION("""COMPUTED_VALUE"""),45293.6666666666)</f>
        <v>45293.666666666599</v>
      </c>
      <c r="B252" s="2">
        <f ca="1">IFERROR(__xludf.DUMMYFUNCTION("""COMPUTED_VALUE"""),195)</f>
        <v>195</v>
      </c>
      <c r="C252" s="2">
        <f ca="1">IFERROR(__xludf.DUMMYFUNCTION("""COMPUTED_VALUE"""),196.23)</f>
        <v>196.23</v>
      </c>
      <c r="D252" s="2">
        <f ca="1">IFERROR(__xludf.DUMMYFUNCTION("""COMPUTED_VALUE"""),187.53)</f>
        <v>187.53</v>
      </c>
      <c r="E252" s="2">
        <f ca="1">IFERROR(__xludf.DUMMYFUNCTION("""COMPUTED_VALUE"""),189.12)</f>
        <v>189.12</v>
      </c>
      <c r="F252" s="2">
        <f ca="1">IFERROR(__xludf.DUMMYFUNCTION("""COMPUTED_VALUE"""),5173265)</f>
        <v>5173265</v>
      </c>
    </row>
    <row r="253" spans="1:6" ht="12.5" x14ac:dyDescent="0.25">
      <c r="A253" s="3">
        <f ca="1">IFERROR(__xludf.DUMMYFUNCTION("""COMPUTED_VALUE"""),45294.6666666666)</f>
        <v>45294.666666666599</v>
      </c>
      <c r="B253" s="2">
        <f ca="1">IFERROR(__xludf.DUMMYFUNCTION("""COMPUTED_VALUE"""),185)</f>
        <v>185</v>
      </c>
      <c r="C253" s="2">
        <f ca="1">IFERROR(__xludf.DUMMYFUNCTION("""COMPUTED_VALUE"""),187.35)</f>
        <v>187.35</v>
      </c>
      <c r="D253" s="2">
        <f ca="1">IFERROR(__xludf.DUMMYFUNCTION("""COMPUTED_VALUE"""),183.01)</f>
        <v>183.01</v>
      </c>
      <c r="E253" s="2">
        <f ca="1">IFERROR(__xludf.DUMMYFUNCTION("""COMPUTED_VALUE"""),184.21)</f>
        <v>184.21</v>
      </c>
      <c r="F253" s="2">
        <f ca="1">IFERROR(__xludf.DUMMYFUNCTION("""COMPUTED_VALUE"""),4292018)</f>
        <v>4292018</v>
      </c>
    </row>
    <row r="254" spans="1:6" ht="12.5" x14ac:dyDescent="0.25">
      <c r="A254" s="3">
        <f ca="1">IFERROR(__xludf.DUMMYFUNCTION("""COMPUTED_VALUE"""),45295.6666666666)</f>
        <v>45295.666666666599</v>
      </c>
      <c r="B254" s="2">
        <f ca="1">IFERROR(__xludf.DUMMYFUNCTION("""COMPUTED_VALUE"""),182.29)</f>
        <v>182.29</v>
      </c>
      <c r="C254" s="2">
        <f ca="1">IFERROR(__xludf.DUMMYFUNCTION("""COMPUTED_VALUE"""),187.15)</f>
        <v>187.15</v>
      </c>
      <c r="D254" s="2">
        <f ca="1">IFERROR(__xludf.DUMMYFUNCTION("""COMPUTED_VALUE"""),180.95)</f>
        <v>180.95</v>
      </c>
      <c r="E254" s="2">
        <f ca="1">IFERROR(__xludf.DUMMYFUNCTION("""COMPUTED_VALUE"""),183.72)</f>
        <v>183.72</v>
      </c>
      <c r="F254" s="2">
        <f ca="1">IFERROR(__xludf.DUMMYFUNCTION("""COMPUTED_VALUE"""),4270281)</f>
        <v>4270281</v>
      </c>
    </row>
    <row r="255" spans="1:6" ht="12.5" x14ac:dyDescent="0.25">
      <c r="A255" s="3">
        <f ca="1">IFERROR(__xludf.DUMMYFUNCTION("""COMPUTED_VALUE"""),45296.6666666666)</f>
        <v>45296.666666666599</v>
      </c>
      <c r="B255" s="2">
        <f ca="1">IFERROR(__xludf.DUMMYFUNCTION("""COMPUTED_VALUE"""),184.57)</f>
        <v>184.57</v>
      </c>
      <c r="C255" s="2">
        <f ca="1">IFERROR(__xludf.DUMMYFUNCTION("""COMPUTED_VALUE"""),191.41)</f>
        <v>191.41</v>
      </c>
      <c r="D255" s="2">
        <f ca="1">IFERROR(__xludf.DUMMYFUNCTION("""COMPUTED_VALUE"""),184.57)</f>
        <v>184.57</v>
      </c>
      <c r="E255" s="2">
        <f ca="1">IFERROR(__xludf.DUMMYFUNCTION("""COMPUTED_VALUE"""),189.12)</f>
        <v>189.12</v>
      </c>
      <c r="F255" s="2">
        <f ca="1">IFERROR(__xludf.DUMMYFUNCTION("""COMPUTED_VALUE"""),5269755)</f>
        <v>5269755</v>
      </c>
    </row>
    <row r="256" spans="1:6" ht="12.5" x14ac:dyDescent="0.25">
      <c r="A256" s="3">
        <f ca="1">IFERROR(__xludf.DUMMYFUNCTION("""COMPUTED_VALUE"""),45299.6666666666)</f>
        <v>45299.666666666599</v>
      </c>
      <c r="B256" s="2">
        <f ca="1">IFERROR(__xludf.DUMMYFUNCTION("""COMPUTED_VALUE"""),190.77)</f>
        <v>190.77</v>
      </c>
      <c r="C256" s="2">
        <f ca="1">IFERROR(__xludf.DUMMYFUNCTION("""COMPUTED_VALUE"""),196.9)</f>
        <v>196.9</v>
      </c>
      <c r="D256" s="2">
        <f ca="1">IFERROR(__xludf.DUMMYFUNCTION("""COMPUTED_VALUE"""),190.77)</f>
        <v>190.77</v>
      </c>
      <c r="E256" s="2">
        <f ca="1">IFERROR(__xludf.DUMMYFUNCTION("""COMPUTED_VALUE"""),196.35)</f>
        <v>196.35</v>
      </c>
      <c r="F256" s="2">
        <f ca="1">IFERROR(__xludf.DUMMYFUNCTION("""COMPUTED_VALUE"""),4562048)</f>
        <v>4562048</v>
      </c>
    </row>
    <row r="257" spans="1:6" ht="12.5" x14ac:dyDescent="0.25">
      <c r="A257" s="3">
        <f ca="1">IFERROR(__xludf.DUMMYFUNCTION("""COMPUTED_VALUE"""),45300.6666666666)</f>
        <v>45300.666666666599</v>
      </c>
      <c r="B257" s="2">
        <f ca="1">IFERROR(__xludf.DUMMYFUNCTION("""COMPUTED_VALUE"""),195.65)</f>
        <v>195.65</v>
      </c>
      <c r="C257" s="2">
        <f ca="1">IFERROR(__xludf.DUMMYFUNCTION("""COMPUTED_VALUE"""),198.27)</f>
        <v>198.27</v>
      </c>
      <c r="D257" s="2">
        <f ca="1">IFERROR(__xludf.DUMMYFUNCTION("""COMPUTED_VALUE"""),194.75)</f>
        <v>194.75</v>
      </c>
      <c r="E257" s="2">
        <f ca="1">IFERROR(__xludf.DUMMYFUNCTION("""COMPUTED_VALUE"""),196.9)</f>
        <v>196.9</v>
      </c>
      <c r="F257" s="2">
        <f ca="1">IFERROR(__xludf.DUMMYFUNCTION("""COMPUTED_VALUE"""),3153581)</f>
        <v>3153581</v>
      </c>
    </row>
    <row r="258" spans="1:6" ht="12.5" x14ac:dyDescent="0.25">
      <c r="A258" s="3">
        <f ca="1">IFERROR(__xludf.DUMMYFUNCTION("""COMPUTED_VALUE"""),45301.6666666666)</f>
        <v>45301.666666666599</v>
      </c>
      <c r="B258" s="2">
        <f ca="1">IFERROR(__xludf.DUMMYFUNCTION("""COMPUTED_VALUE"""),197.28)</f>
        <v>197.28</v>
      </c>
      <c r="C258" s="2">
        <f ca="1">IFERROR(__xludf.DUMMYFUNCTION("""COMPUTED_VALUE"""),200.54)</f>
        <v>200.54</v>
      </c>
      <c r="D258" s="2">
        <f ca="1">IFERROR(__xludf.DUMMYFUNCTION("""COMPUTED_VALUE"""),194.65)</f>
        <v>194.65</v>
      </c>
      <c r="E258" s="2">
        <f ca="1">IFERROR(__xludf.DUMMYFUNCTION("""COMPUTED_VALUE"""),197.4)</f>
        <v>197.4</v>
      </c>
      <c r="F258" s="2">
        <f ca="1">IFERROR(__xludf.DUMMYFUNCTION("""COMPUTED_VALUE"""),4179593)</f>
        <v>4179593</v>
      </c>
    </row>
    <row r="259" spans="1:6" ht="12.5" x14ac:dyDescent="0.25">
      <c r="A259" s="3">
        <f ca="1">IFERROR(__xludf.DUMMYFUNCTION("""COMPUTED_VALUE"""),45302.6666666666)</f>
        <v>45302.666666666599</v>
      </c>
      <c r="B259" s="2">
        <f ca="1">IFERROR(__xludf.DUMMYFUNCTION("""COMPUTED_VALUE"""),199.2)</f>
        <v>199.2</v>
      </c>
      <c r="C259" s="2">
        <f ca="1">IFERROR(__xludf.DUMMYFUNCTION("""COMPUTED_VALUE"""),201.6)</f>
        <v>201.6</v>
      </c>
      <c r="D259" s="2">
        <f ca="1">IFERROR(__xludf.DUMMYFUNCTION("""COMPUTED_VALUE"""),195.53)</f>
        <v>195.53</v>
      </c>
      <c r="E259" s="2">
        <f ca="1">IFERROR(__xludf.DUMMYFUNCTION("""COMPUTED_VALUE"""),195.62)</f>
        <v>195.62</v>
      </c>
      <c r="F259" s="2">
        <f ca="1">IFERROR(__xludf.DUMMYFUNCTION("""COMPUTED_VALUE"""),5012565)</f>
        <v>5012565</v>
      </c>
    </row>
    <row r="260" spans="1:6" ht="12.5" x14ac:dyDescent="0.25">
      <c r="A260" s="3">
        <f ca="1">IFERROR(__xludf.DUMMYFUNCTION("""COMPUTED_VALUE"""),45303.6666666666)</f>
        <v>45303.666666666599</v>
      </c>
      <c r="B260" s="2">
        <f ca="1">IFERROR(__xludf.DUMMYFUNCTION("""COMPUTED_VALUE"""),190)</f>
        <v>190</v>
      </c>
      <c r="C260" s="2">
        <f ca="1">IFERROR(__xludf.DUMMYFUNCTION("""COMPUTED_VALUE"""),196.08)</f>
        <v>196.08</v>
      </c>
      <c r="D260" s="2">
        <f ca="1">IFERROR(__xludf.DUMMYFUNCTION("""COMPUTED_VALUE"""),189.22)</f>
        <v>189.22</v>
      </c>
      <c r="E260" s="2">
        <f ca="1">IFERROR(__xludf.DUMMYFUNCTION("""COMPUTED_VALUE"""),191.26)</f>
        <v>191.26</v>
      </c>
      <c r="F260" s="2">
        <f ca="1">IFERROR(__xludf.DUMMYFUNCTION("""COMPUTED_VALUE"""),4982352)</f>
        <v>4982352</v>
      </c>
    </row>
    <row r="261" spans="1:6" ht="12.5" x14ac:dyDescent="0.25">
      <c r="A261" s="3">
        <f ca="1">IFERROR(__xludf.DUMMYFUNCTION("""COMPUTED_VALUE"""),45307.6666666666)</f>
        <v>45307.666666666599</v>
      </c>
      <c r="B261" s="2">
        <f ca="1">IFERROR(__xludf.DUMMYFUNCTION("""COMPUTED_VALUE"""),190)</f>
        <v>190</v>
      </c>
      <c r="C261" s="2">
        <f ca="1">IFERROR(__xludf.DUMMYFUNCTION("""COMPUTED_VALUE"""),191.21)</f>
        <v>191.21</v>
      </c>
      <c r="D261" s="2">
        <f ca="1">IFERROR(__xludf.DUMMYFUNCTION("""COMPUTED_VALUE"""),186.57)</f>
        <v>186.57</v>
      </c>
      <c r="E261" s="2">
        <f ca="1">IFERROR(__xludf.DUMMYFUNCTION("""COMPUTED_VALUE"""),188.02)</f>
        <v>188.02</v>
      </c>
      <c r="F261" s="2">
        <f ca="1">IFERROR(__xludf.DUMMYFUNCTION("""COMPUTED_VALUE"""),4833391)</f>
        <v>4833391</v>
      </c>
    </row>
    <row r="262" spans="1:6" ht="12.5" x14ac:dyDescent="0.25">
      <c r="A262" s="3">
        <f ca="1">IFERROR(__xludf.DUMMYFUNCTION("""COMPUTED_VALUE"""),45308.6666666666)</f>
        <v>45308.666666666599</v>
      </c>
      <c r="B262" s="2">
        <f ca="1">IFERROR(__xludf.DUMMYFUNCTION("""COMPUTED_VALUE"""),185.77)</f>
        <v>185.77</v>
      </c>
      <c r="C262" s="2">
        <f ca="1">IFERROR(__xludf.DUMMYFUNCTION("""COMPUTED_VALUE"""),188.14)</f>
        <v>188.14</v>
      </c>
      <c r="D262" s="2">
        <f ca="1">IFERROR(__xludf.DUMMYFUNCTION("""COMPUTED_VALUE"""),182.53)</f>
        <v>182.53</v>
      </c>
      <c r="E262" s="2">
        <f ca="1">IFERROR(__xludf.DUMMYFUNCTION("""COMPUTED_VALUE"""),188.12)</f>
        <v>188.12</v>
      </c>
      <c r="F262" s="2">
        <f ca="1">IFERROR(__xludf.DUMMYFUNCTION("""COMPUTED_VALUE"""),3756668)</f>
        <v>3756668</v>
      </c>
    </row>
    <row r="263" spans="1:6" ht="12.5" x14ac:dyDescent="0.25">
      <c r="A263" s="3">
        <f ca="1">IFERROR(__xludf.DUMMYFUNCTION("""COMPUTED_VALUE"""),45309.6666666666)</f>
        <v>45309.666666666599</v>
      </c>
      <c r="B263" s="2">
        <f ca="1">IFERROR(__xludf.DUMMYFUNCTION("""COMPUTED_VALUE"""),190.77)</f>
        <v>190.77</v>
      </c>
      <c r="C263" s="2">
        <f ca="1">IFERROR(__xludf.DUMMYFUNCTION("""COMPUTED_VALUE"""),191.54)</f>
        <v>191.54</v>
      </c>
      <c r="D263" s="2">
        <f ca="1">IFERROR(__xludf.DUMMYFUNCTION("""COMPUTED_VALUE"""),184.39)</f>
        <v>184.39</v>
      </c>
      <c r="E263" s="2">
        <f ca="1">IFERROR(__xludf.DUMMYFUNCTION("""COMPUTED_VALUE"""),186.61)</f>
        <v>186.61</v>
      </c>
      <c r="F263" s="2">
        <f ca="1">IFERROR(__xludf.DUMMYFUNCTION("""COMPUTED_VALUE"""),4989985)</f>
        <v>4989985</v>
      </c>
    </row>
    <row r="264" spans="1:6" ht="12.5" x14ac:dyDescent="0.25">
      <c r="A264" s="3">
        <f ca="1">IFERROR(__xludf.DUMMYFUNCTION("""COMPUTED_VALUE"""),45310.6666666666)</f>
        <v>45310.666666666599</v>
      </c>
      <c r="B264" s="2">
        <f ca="1">IFERROR(__xludf.DUMMYFUNCTION("""COMPUTED_VALUE"""),187.59)</f>
        <v>187.59</v>
      </c>
      <c r="C264" s="2">
        <f ca="1">IFERROR(__xludf.DUMMYFUNCTION("""COMPUTED_VALUE"""),193.14)</f>
        <v>193.14</v>
      </c>
      <c r="D264" s="2">
        <f ca="1">IFERROR(__xludf.DUMMYFUNCTION("""COMPUTED_VALUE"""),186.72)</f>
        <v>186.72</v>
      </c>
      <c r="E264" s="2">
        <f ca="1">IFERROR(__xludf.DUMMYFUNCTION("""COMPUTED_VALUE"""),193.12)</f>
        <v>193.12</v>
      </c>
      <c r="F264" s="2">
        <f ca="1">IFERROR(__xludf.DUMMYFUNCTION("""COMPUTED_VALUE"""),4523267)</f>
        <v>4523267</v>
      </c>
    </row>
    <row r="265" spans="1:6" ht="12.5" x14ac:dyDescent="0.25">
      <c r="A265" s="3">
        <f ca="1">IFERROR(__xludf.DUMMYFUNCTION("""COMPUTED_VALUE"""),45313.6666666666)</f>
        <v>45313.666666666599</v>
      </c>
      <c r="B265" s="2">
        <f ca="1">IFERROR(__xludf.DUMMYFUNCTION("""COMPUTED_VALUE"""),196.75)</f>
        <v>196.75</v>
      </c>
      <c r="C265" s="2">
        <f ca="1">IFERROR(__xludf.DUMMYFUNCTION("""COMPUTED_VALUE"""),202.32)</f>
        <v>202.32</v>
      </c>
      <c r="D265" s="2">
        <f ca="1">IFERROR(__xludf.DUMMYFUNCTION("""COMPUTED_VALUE"""),196.51)</f>
        <v>196.51</v>
      </c>
      <c r="E265" s="2">
        <f ca="1">IFERROR(__xludf.DUMMYFUNCTION("""COMPUTED_VALUE"""),199.08)</f>
        <v>199.08</v>
      </c>
      <c r="F265" s="2">
        <f ca="1">IFERROR(__xludf.DUMMYFUNCTION("""COMPUTED_VALUE"""),6471888)</f>
        <v>6471888</v>
      </c>
    </row>
    <row r="266" spans="1:6" ht="12.5" x14ac:dyDescent="0.25">
      <c r="A266" s="3">
        <f ca="1">IFERROR(__xludf.DUMMYFUNCTION("""COMPUTED_VALUE"""),45314.6666666666)</f>
        <v>45314.666666666599</v>
      </c>
      <c r="B266" s="2">
        <f ca="1">IFERROR(__xludf.DUMMYFUNCTION("""COMPUTED_VALUE"""),200)</f>
        <v>200</v>
      </c>
      <c r="C266" s="2">
        <f ca="1">IFERROR(__xludf.DUMMYFUNCTION("""COMPUTED_VALUE"""),205.97)</f>
        <v>205.97</v>
      </c>
      <c r="D266" s="2">
        <f ca="1">IFERROR(__xludf.DUMMYFUNCTION("""COMPUTED_VALUE"""),197.59)</f>
        <v>197.59</v>
      </c>
      <c r="E266" s="2">
        <f ca="1">IFERROR(__xludf.DUMMYFUNCTION("""COMPUTED_VALUE"""),205.58)</f>
        <v>205.58</v>
      </c>
      <c r="F266" s="2">
        <f ca="1">IFERROR(__xludf.DUMMYFUNCTION("""COMPUTED_VALUE"""),8763276)</f>
        <v>8763276</v>
      </c>
    </row>
    <row r="267" spans="1:6" ht="12.5" x14ac:dyDescent="0.25">
      <c r="A267" s="3">
        <f ca="1">IFERROR(__xludf.DUMMYFUNCTION("""COMPUTED_VALUE"""),45315.6666666666)</f>
        <v>45315.666666666599</v>
      </c>
      <c r="B267" s="2">
        <f ca="1">IFERROR(__xludf.DUMMYFUNCTION("""COMPUTED_VALUE"""),209.18)</f>
        <v>209.18</v>
      </c>
      <c r="C267" s="2">
        <f ca="1">IFERROR(__xludf.DUMMYFUNCTION("""COMPUTED_VALUE"""),211.65)</f>
        <v>211.65</v>
      </c>
      <c r="D267" s="2">
        <f ca="1">IFERROR(__xludf.DUMMYFUNCTION("""COMPUTED_VALUE"""),203.49)</f>
        <v>203.49</v>
      </c>
      <c r="E267" s="2">
        <f ca="1">IFERROR(__xludf.DUMMYFUNCTION("""COMPUTED_VALUE"""),203.81)</f>
        <v>203.81</v>
      </c>
      <c r="F267" s="2">
        <f ca="1">IFERROR(__xludf.DUMMYFUNCTION("""COMPUTED_VALUE"""),8127759)</f>
        <v>8127759</v>
      </c>
    </row>
    <row r="268" spans="1:6" ht="12.5" x14ac:dyDescent="0.25">
      <c r="A268" s="3">
        <f ca="1">IFERROR(__xludf.DUMMYFUNCTION("""COMPUTED_VALUE"""),45316.6666666666)</f>
        <v>45316.666666666599</v>
      </c>
      <c r="B268" s="2">
        <f ca="1">IFERROR(__xludf.DUMMYFUNCTION("""COMPUTED_VALUE"""),205.36)</f>
        <v>205.36</v>
      </c>
      <c r="C268" s="2">
        <f ca="1">IFERROR(__xludf.DUMMYFUNCTION("""COMPUTED_VALUE"""),209.47)</f>
        <v>209.47</v>
      </c>
      <c r="D268" s="2">
        <f ca="1">IFERROR(__xludf.DUMMYFUNCTION("""COMPUTED_VALUE"""),202.75)</f>
        <v>202.75</v>
      </c>
      <c r="E268" s="2">
        <f ca="1">IFERROR(__xludf.DUMMYFUNCTION("""COMPUTED_VALUE"""),206.01)</f>
        <v>206.01</v>
      </c>
      <c r="F268" s="2">
        <f ca="1">IFERROR(__xludf.DUMMYFUNCTION("""COMPUTED_VALUE"""),4804154)</f>
        <v>4804154</v>
      </c>
    </row>
    <row r="269" spans="1:6" ht="12.5" x14ac:dyDescent="0.25">
      <c r="A269" s="3">
        <f ca="1">IFERROR(__xludf.DUMMYFUNCTION("""COMPUTED_VALUE"""),45317.6666666666)</f>
        <v>45317.666666666599</v>
      </c>
      <c r="B269" s="2">
        <f ca="1">IFERROR(__xludf.DUMMYFUNCTION("""COMPUTED_VALUE"""),203.75)</f>
        <v>203.75</v>
      </c>
      <c r="C269" s="2">
        <f ca="1">IFERROR(__xludf.DUMMYFUNCTION("""COMPUTED_VALUE"""),205.49)</f>
        <v>205.49</v>
      </c>
      <c r="D269" s="2">
        <f ca="1">IFERROR(__xludf.DUMMYFUNCTION("""COMPUTED_VALUE"""),201.2)</f>
        <v>201.2</v>
      </c>
      <c r="E269" s="2">
        <f ca="1">IFERROR(__xludf.DUMMYFUNCTION("""COMPUTED_VALUE"""),202.51)</f>
        <v>202.51</v>
      </c>
      <c r="F269" s="2">
        <f ca="1">IFERROR(__xludf.DUMMYFUNCTION("""COMPUTED_VALUE"""),3799060)</f>
        <v>3799060</v>
      </c>
    </row>
    <row r="270" spans="1:6" ht="12.5" x14ac:dyDescent="0.25">
      <c r="A270" s="3">
        <f ca="1">IFERROR(__xludf.DUMMYFUNCTION("""COMPUTED_VALUE"""),45320.6666666666)</f>
        <v>45320.666666666599</v>
      </c>
      <c r="B270" s="2">
        <f ca="1">IFERROR(__xludf.DUMMYFUNCTION("""COMPUTED_VALUE"""),201.91)</f>
        <v>201.91</v>
      </c>
      <c r="C270" s="2">
        <f ca="1">IFERROR(__xludf.DUMMYFUNCTION("""COMPUTED_VALUE"""),210.26)</f>
        <v>210.26</v>
      </c>
      <c r="D270" s="2">
        <f ca="1">IFERROR(__xludf.DUMMYFUNCTION("""COMPUTED_VALUE"""),201.4)</f>
        <v>201.4</v>
      </c>
      <c r="E270" s="2">
        <f ca="1">IFERROR(__xludf.DUMMYFUNCTION("""COMPUTED_VALUE"""),209.54)</f>
        <v>209.54</v>
      </c>
      <c r="F270" s="2">
        <f ca="1">IFERROR(__xludf.DUMMYFUNCTION("""COMPUTED_VALUE"""),5288749)</f>
        <v>5288749</v>
      </c>
    </row>
    <row r="271" spans="1:6" ht="12.5" x14ac:dyDescent="0.25">
      <c r="A271" s="3">
        <f ca="1">IFERROR(__xludf.DUMMYFUNCTION("""COMPUTED_VALUE"""),45321.6666666666)</f>
        <v>45321.666666666599</v>
      </c>
      <c r="B271" s="2">
        <f ca="1">IFERROR(__xludf.DUMMYFUNCTION("""COMPUTED_VALUE"""),208.64)</f>
        <v>208.64</v>
      </c>
      <c r="C271" s="2">
        <f ca="1">IFERROR(__xludf.DUMMYFUNCTION("""COMPUTED_VALUE"""),209.98)</f>
        <v>209.98</v>
      </c>
      <c r="D271" s="2">
        <f ca="1">IFERROR(__xludf.DUMMYFUNCTION("""COMPUTED_VALUE"""),204.81)</f>
        <v>204.81</v>
      </c>
      <c r="E271" s="2">
        <f ca="1">IFERROR(__xludf.DUMMYFUNCTION("""COMPUTED_VALUE"""),206.25)</f>
        <v>206.25</v>
      </c>
      <c r="F271" s="2">
        <f ca="1">IFERROR(__xludf.DUMMYFUNCTION("""COMPUTED_VALUE"""),4415381)</f>
        <v>4415381</v>
      </c>
    </row>
    <row r="272" spans="1:6" ht="12.5" x14ac:dyDescent="0.25">
      <c r="A272" s="3">
        <f ca="1">IFERROR(__xludf.DUMMYFUNCTION("""COMPUTED_VALUE"""),45322.6666666666)</f>
        <v>45322.666666666599</v>
      </c>
      <c r="B272" s="2">
        <f ca="1">IFERROR(__xludf.DUMMYFUNCTION("""COMPUTED_VALUE"""),201.5)</f>
        <v>201.5</v>
      </c>
      <c r="C272" s="2">
        <f ca="1">IFERROR(__xludf.DUMMYFUNCTION("""COMPUTED_VALUE"""),203.29)</f>
        <v>203.29</v>
      </c>
      <c r="D272" s="2">
        <f ca="1">IFERROR(__xludf.DUMMYFUNCTION("""COMPUTED_VALUE"""),194.87)</f>
        <v>194.87</v>
      </c>
      <c r="E272" s="2">
        <f ca="1">IFERROR(__xludf.DUMMYFUNCTION("""COMPUTED_VALUE"""),195.64)</f>
        <v>195.64</v>
      </c>
      <c r="F272" s="2">
        <f ca="1">IFERROR(__xludf.DUMMYFUNCTION("""COMPUTED_VALUE"""),6296755)</f>
        <v>6296755</v>
      </c>
    </row>
    <row r="273" spans="1:6" ht="12.5" x14ac:dyDescent="0.25">
      <c r="A273" s="3">
        <f ca="1">IFERROR(__xludf.DUMMYFUNCTION("""COMPUTED_VALUE"""),45323.6666666666)</f>
        <v>45323.666666666599</v>
      </c>
      <c r="B273" s="2">
        <f ca="1">IFERROR(__xludf.DUMMYFUNCTION("""COMPUTED_VALUE"""),197)</f>
        <v>197</v>
      </c>
      <c r="C273" s="2">
        <f ca="1">IFERROR(__xludf.DUMMYFUNCTION("""COMPUTED_VALUE"""),200.33)</f>
        <v>200.33</v>
      </c>
      <c r="D273" s="2">
        <f ca="1">IFERROR(__xludf.DUMMYFUNCTION("""COMPUTED_VALUE"""),195.34)</f>
        <v>195.34</v>
      </c>
      <c r="E273" s="2">
        <f ca="1">IFERROR(__xludf.DUMMYFUNCTION("""COMPUTED_VALUE"""),199.94)</f>
        <v>199.94</v>
      </c>
      <c r="F273" s="2">
        <f ca="1">IFERROR(__xludf.DUMMYFUNCTION("""COMPUTED_VALUE"""),3260591)</f>
        <v>3260591</v>
      </c>
    </row>
    <row r="274" spans="1:6" ht="12.5" x14ac:dyDescent="0.25">
      <c r="A274" s="3">
        <f ca="1">IFERROR(__xludf.DUMMYFUNCTION("""COMPUTED_VALUE"""),45324.6666666666)</f>
        <v>45324.666666666599</v>
      </c>
      <c r="B274" s="2">
        <f ca="1">IFERROR(__xludf.DUMMYFUNCTION("""COMPUTED_VALUE"""),208.64)</f>
        <v>208.64</v>
      </c>
      <c r="C274" s="2">
        <f ca="1">IFERROR(__xludf.DUMMYFUNCTION("""COMPUTED_VALUE"""),219.74)</f>
        <v>219.74</v>
      </c>
      <c r="D274" s="2">
        <f ca="1">IFERROR(__xludf.DUMMYFUNCTION("""COMPUTED_VALUE"""),204.05)</f>
        <v>204.05</v>
      </c>
      <c r="E274" s="2">
        <f ca="1">IFERROR(__xludf.DUMMYFUNCTION("""COMPUTED_VALUE"""),218.76)</f>
        <v>218.76</v>
      </c>
      <c r="F274" s="2">
        <f ca="1">IFERROR(__xludf.DUMMYFUNCTION("""COMPUTED_VALUE"""),11911518)</f>
        <v>11911518</v>
      </c>
    </row>
    <row r="275" spans="1:6" ht="12.5" x14ac:dyDescent="0.25">
      <c r="A275" s="3">
        <f ca="1">IFERROR(__xludf.DUMMYFUNCTION("""COMPUTED_VALUE"""),45327.6666666666)</f>
        <v>45327.666666666599</v>
      </c>
      <c r="B275" s="2">
        <f ca="1">IFERROR(__xludf.DUMMYFUNCTION("""COMPUTED_VALUE"""),217.11)</f>
        <v>217.11</v>
      </c>
      <c r="C275" s="2">
        <f ca="1">IFERROR(__xludf.DUMMYFUNCTION("""COMPUTED_VALUE"""),220.67)</f>
        <v>220.67</v>
      </c>
      <c r="D275" s="2">
        <f ca="1">IFERROR(__xludf.DUMMYFUNCTION("""COMPUTED_VALUE"""),210.54)</f>
        <v>210.54</v>
      </c>
      <c r="E275" s="2">
        <f ca="1">IFERROR(__xludf.DUMMYFUNCTION("""COMPUTED_VALUE"""),215.6)</f>
        <v>215.6</v>
      </c>
      <c r="F275" s="2">
        <f ca="1">IFERROR(__xludf.DUMMYFUNCTION("""COMPUTED_VALUE"""),5552565)</f>
        <v>5552565</v>
      </c>
    </row>
    <row r="276" spans="1:6" ht="12.5" x14ac:dyDescent="0.25">
      <c r="A276" s="3">
        <f ca="1">IFERROR(__xludf.DUMMYFUNCTION("""COMPUTED_VALUE"""),45328.6666666666)</f>
        <v>45328.666666666599</v>
      </c>
      <c r="B276" s="2">
        <f ca="1">IFERROR(__xludf.DUMMYFUNCTION("""COMPUTED_VALUE"""),217.5)</f>
        <v>217.5</v>
      </c>
      <c r="C276" s="2">
        <f ca="1">IFERROR(__xludf.DUMMYFUNCTION("""COMPUTED_VALUE"""),218.5)</f>
        <v>218.5</v>
      </c>
      <c r="D276" s="2">
        <f ca="1">IFERROR(__xludf.DUMMYFUNCTION("""COMPUTED_VALUE"""),208.51)</f>
        <v>208.51</v>
      </c>
      <c r="E276" s="2">
        <f ca="1">IFERROR(__xludf.DUMMYFUNCTION("""COMPUTED_VALUE"""),213.68)</f>
        <v>213.68</v>
      </c>
      <c r="F276" s="2">
        <f ca="1">IFERROR(__xludf.DUMMYFUNCTION("""COMPUTED_VALUE"""),5159941)</f>
        <v>5159941</v>
      </c>
    </row>
    <row r="277" spans="1:6" ht="12.5" x14ac:dyDescent="0.25">
      <c r="A277" s="3">
        <f ca="1">IFERROR(__xludf.DUMMYFUNCTION("""COMPUTED_VALUE"""),45329.6666666666)</f>
        <v>45329.666666666599</v>
      </c>
      <c r="B277" s="2">
        <f ca="1">IFERROR(__xludf.DUMMYFUNCTION("""COMPUTED_VALUE"""),214.01)</f>
        <v>214.01</v>
      </c>
      <c r="C277" s="2">
        <f ca="1">IFERROR(__xludf.DUMMYFUNCTION("""COMPUTED_VALUE"""),219.4)</f>
        <v>219.4</v>
      </c>
      <c r="D277" s="2">
        <f ca="1">IFERROR(__xludf.DUMMYFUNCTION("""COMPUTED_VALUE"""),212.75)</f>
        <v>212.75</v>
      </c>
      <c r="E277" s="2">
        <f ca="1">IFERROR(__xludf.DUMMYFUNCTION("""COMPUTED_VALUE"""),218.23)</f>
        <v>218.23</v>
      </c>
      <c r="F277" s="2">
        <f ca="1">IFERROR(__xludf.DUMMYFUNCTION("""COMPUTED_VALUE"""),3920972)</f>
        <v>3920972</v>
      </c>
    </row>
    <row r="278" spans="1:6" ht="12.5" x14ac:dyDescent="0.25">
      <c r="A278" s="3">
        <f ca="1">IFERROR(__xludf.DUMMYFUNCTION("""COMPUTED_VALUE"""),45330.6666666666)</f>
        <v>45330.666666666599</v>
      </c>
      <c r="B278" s="2">
        <f ca="1">IFERROR(__xludf.DUMMYFUNCTION("""COMPUTED_VALUE"""),219.3)</f>
        <v>219.3</v>
      </c>
      <c r="C278" s="2">
        <f ca="1">IFERROR(__xludf.DUMMYFUNCTION("""COMPUTED_VALUE"""),226.29)</f>
        <v>226.29</v>
      </c>
      <c r="D278" s="2">
        <f ca="1">IFERROR(__xludf.DUMMYFUNCTION("""COMPUTED_VALUE"""),218.3)</f>
        <v>218.3</v>
      </c>
      <c r="E278" s="2">
        <f ca="1">IFERROR(__xludf.DUMMYFUNCTION("""COMPUTED_VALUE"""),222.9)</f>
        <v>222.9</v>
      </c>
      <c r="F278" s="2">
        <f ca="1">IFERROR(__xludf.DUMMYFUNCTION("""COMPUTED_VALUE"""),6119851)</f>
        <v>6119851</v>
      </c>
    </row>
    <row r="279" spans="1:6" ht="12.5" x14ac:dyDescent="0.25">
      <c r="A279" s="3">
        <f ca="1">IFERROR(__xludf.DUMMYFUNCTION("""COMPUTED_VALUE"""),45331.6666666666)</f>
        <v>45331.666666666599</v>
      </c>
      <c r="B279" s="2">
        <f ca="1">IFERROR(__xludf.DUMMYFUNCTION("""COMPUTED_VALUE"""),228.3)</f>
        <v>228.3</v>
      </c>
      <c r="C279" s="2">
        <f ca="1">IFERROR(__xludf.DUMMYFUNCTION("""COMPUTED_VALUE"""),235)</f>
        <v>235</v>
      </c>
      <c r="D279" s="2">
        <f ca="1">IFERROR(__xludf.DUMMYFUNCTION("""COMPUTED_VALUE"""),228.13)</f>
        <v>228.13</v>
      </c>
      <c r="E279" s="2">
        <f ca="1">IFERROR(__xludf.DUMMYFUNCTION("""COMPUTED_VALUE"""),233.28)</f>
        <v>233.28</v>
      </c>
      <c r="F279" s="2">
        <f ca="1">IFERROR(__xludf.DUMMYFUNCTION("""COMPUTED_VALUE"""),8263401)</f>
        <v>8263401</v>
      </c>
    </row>
    <row r="280" spans="1:6" ht="12.5" x14ac:dyDescent="0.25">
      <c r="A280" s="3">
        <f ca="1">IFERROR(__xludf.DUMMYFUNCTION("""COMPUTED_VALUE"""),45334.6666666666)</f>
        <v>45334.666666666599</v>
      </c>
      <c r="B280" s="2">
        <f ca="1">IFERROR(__xludf.DUMMYFUNCTION("""COMPUTED_VALUE"""),231)</f>
        <v>231</v>
      </c>
      <c r="C280" s="2">
        <f ca="1">IFERROR(__xludf.DUMMYFUNCTION("""COMPUTED_VALUE"""),237.72)</f>
        <v>237.72</v>
      </c>
      <c r="D280" s="2">
        <f ca="1">IFERROR(__xludf.DUMMYFUNCTION("""COMPUTED_VALUE"""),229.07)</f>
        <v>229.07</v>
      </c>
      <c r="E280" s="2">
        <f ca="1">IFERROR(__xludf.DUMMYFUNCTION("""COMPUTED_VALUE"""),232.16)</f>
        <v>232.16</v>
      </c>
      <c r="F280" s="2">
        <f ca="1">IFERROR(__xludf.DUMMYFUNCTION("""COMPUTED_VALUE"""),5383662)</f>
        <v>5383662</v>
      </c>
    </row>
    <row r="281" spans="1:6" ht="12.5" x14ac:dyDescent="0.25">
      <c r="A281" s="3">
        <f ca="1">IFERROR(__xludf.DUMMYFUNCTION("""COMPUTED_VALUE"""),45335.6666666666)</f>
        <v>45335.666666666599</v>
      </c>
      <c r="B281" s="2">
        <f ca="1">IFERROR(__xludf.DUMMYFUNCTION("""COMPUTED_VALUE"""),223.06)</f>
        <v>223.06</v>
      </c>
      <c r="C281" s="2">
        <f ca="1">IFERROR(__xludf.DUMMYFUNCTION("""COMPUTED_VALUE"""),231.02)</f>
        <v>231.02</v>
      </c>
      <c r="D281" s="2">
        <f ca="1">IFERROR(__xludf.DUMMYFUNCTION("""COMPUTED_VALUE"""),220.5)</f>
        <v>220.5</v>
      </c>
      <c r="E281" s="2">
        <f ca="1">IFERROR(__xludf.DUMMYFUNCTION("""COMPUTED_VALUE"""),227.57)</f>
        <v>227.57</v>
      </c>
      <c r="F281" s="2">
        <f ca="1">IFERROR(__xludf.DUMMYFUNCTION("""COMPUTED_VALUE"""),4851114)</f>
        <v>4851114</v>
      </c>
    </row>
    <row r="282" spans="1:6" ht="12.5" x14ac:dyDescent="0.25">
      <c r="A282" s="3">
        <f ca="1">IFERROR(__xludf.DUMMYFUNCTION("""COMPUTED_VALUE"""),45336.6666666666)</f>
        <v>45336.666666666599</v>
      </c>
      <c r="B282" s="2">
        <f ca="1">IFERROR(__xludf.DUMMYFUNCTION("""COMPUTED_VALUE"""),230)</f>
        <v>230</v>
      </c>
      <c r="C282" s="2">
        <f ca="1">IFERROR(__xludf.DUMMYFUNCTION("""COMPUTED_VALUE"""),236.24)</f>
        <v>236.24</v>
      </c>
      <c r="D282" s="2">
        <f ca="1">IFERROR(__xludf.DUMMYFUNCTION("""COMPUTED_VALUE"""),227.18)</f>
        <v>227.18</v>
      </c>
      <c r="E282" s="2">
        <f ca="1">IFERROR(__xludf.DUMMYFUNCTION("""COMPUTED_VALUE"""),236)</f>
        <v>236</v>
      </c>
      <c r="F282" s="2">
        <f ca="1">IFERROR(__xludf.DUMMYFUNCTION("""COMPUTED_VALUE"""),3741915)</f>
        <v>3741915</v>
      </c>
    </row>
    <row r="283" spans="1:6" ht="12.5" x14ac:dyDescent="0.25">
      <c r="A283" s="3">
        <f ca="1">IFERROR(__xludf.DUMMYFUNCTION("""COMPUTED_VALUE"""),45337.6666666666)</f>
        <v>45337.666666666599</v>
      </c>
      <c r="B283" s="2">
        <f ca="1">IFERROR(__xludf.DUMMYFUNCTION("""COMPUTED_VALUE"""),235)</f>
        <v>235</v>
      </c>
      <c r="C283" s="2">
        <f ca="1">IFERROR(__xludf.DUMMYFUNCTION("""COMPUTED_VALUE"""),236.33)</f>
        <v>236.33</v>
      </c>
      <c r="D283" s="2">
        <f ca="1">IFERROR(__xludf.DUMMYFUNCTION("""COMPUTED_VALUE"""),229.1)</f>
        <v>229.1</v>
      </c>
      <c r="E283" s="2">
        <f ca="1">IFERROR(__xludf.DUMMYFUNCTION("""COMPUTED_VALUE"""),232.4)</f>
        <v>232.4</v>
      </c>
      <c r="F283" s="2">
        <f ca="1">IFERROR(__xludf.DUMMYFUNCTION("""COMPUTED_VALUE"""),3617604)</f>
        <v>3617604</v>
      </c>
    </row>
    <row r="284" spans="1:6" ht="12.5" x14ac:dyDescent="0.25">
      <c r="A284" s="3">
        <f ca="1">IFERROR(__xludf.DUMMYFUNCTION("""COMPUTED_VALUE"""),45338.6666666666)</f>
        <v>45338.666666666599</v>
      </c>
      <c r="B284" s="2">
        <f ca="1">IFERROR(__xludf.DUMMYFUNCTION("""COMPUTED_VALUE"""),230.65)</f>
        <v>230.65</v>
      </c>
      <c r="C284" s="2">
        <f ca="1">IFERROR(__xludf.DUMMYFUNCTION("""COMPUTED_VALUE"""),234.82)</f>
        <v>234.82</v>
      </c>
      <c r="D284" s="2">
        <f ca="1">IFERROR(__xludf.DUMMYFUNCTION("""COMPUTED_VALUE"""),228.6)</f>
        <v>228.6</v>
      </c>
      <c r="E284" s="2">
        <f ca="1">IFERROR(__xludf.DUMMYFUNCTION("""COMPUTED_VALUE"""),230.31)</f>
        <v>230.31</v>
      </c>
      <c r="F284" s="2">
        <f ca="1">IFERROR(__xludf.DUMMYFUNCTION("""COMPUTED_VALUE"""),3604068)</f>
        <v>3604068</v>
      </c>
    </row>
    <row r="285" spans="1:6" ht="12.5" x14ac:dyDescent="0.25">
      <c r="A285" s="3">
        <f ca="1">IFERROR(__xludf.DUMMYFUNCTION("""COMPUTED_VALUE"""),45342.6666666666)</f>
        <v>45342.666666666599</v>
      </c>
      <c r="B285" s="2">
        <f ca="1">IFERROR(__xludf.DUMMYFUNCTION("""COMPUTED_VALUE"""),226.03)</f>
        <v>226.03</v>
      </c>
      <c r="C285" s="2">
        <f ca="1">IFERROR(__xludf.DUMMYFUNCTION("""COMPUTED_VALUE"""),226.69)</f>
        <v>226.69</v>
      </c>
      <c r="D285" s="2">
        <f ca="1">IFERROR(__xludf.DUMMYFUNCTION("""COMPUTED_VALUE"""),215.59)</f>
        <v>215.59</v>
      </c>
      <c r="E285" s="2">
        <f ca="1">IFERROR(__xludf.DUMMYFUNCTION("""COMPUTED_VALUE"""),220.08)</f>
        <v>220.08</v>
      </c>
      <c r="F285" s="2">
        <f ca="1">IFERROR(__xludf.DUMMYFUNCTION("""COMPUTED_VALUE"""),6028646)</f>
        <v>6028646</v>
      </c>
    </row>
    <row r="286" spans="1:6" ht="12.5" x14ac:dyDescent="0.25">
      <c r="A286" s="3">
        <f ca="1">IFERROR(__xludf.DUMMYFUNCTION("""COMPUTED_VALUE"""),45343.6666666666)</f>
        <v>45343.666666666599</v>
      </c>
      <c r="B286" s="2">
        <f ca="1">IFERROR(__xludf.DUMMYFUNCTION("""COMPUTED_VALUE"""),215)</f>
        <v>215</v>
      </c>
      <c r="C286" s="2">
        <f ca="1">IFERROR(__xludf.DUMMYFUNCTION("""COMPUTED_VALUE"""),217.2)</f>
        <v>217.2</v>
      </c>
      <c r="D286" s="2">
        <f ca="1">IFERROR(__xludf.DUMMYFUNCTION("""COMPUTED_VALUE"""),211.68)</f>
        <v>211.68</v>
      </c>
      <c r="E286" s="2">
        <f ca="1">IFERROR(__xludf.DUMMYFUNCTION("""COMPUTED_VALUE"""),216.21)</f>
        <v>216.21</v>
      </c>
      <c r="F286" s="2">
        <f ca="1">IFERROR(__xludf.DUMMYFUNCTION("""COMPUTED_VALUE"""),3596578)</f>
        <v>3596578</v>
      </c>
    </row>
    <row r="287" spans="1:6" ht="12.5" x14ac:dyDescent="0.25">
      <c r="A287" s="3">
        <f ca="1">IFERROR(__xludf.DUMMYFUNCTION("""COMPUTED_VALUE"""),45344.6666666666)</f>
        <v>45344.666666666599</v>
      </c>
      <c r="B287" s="2">
        <f ca="1">IFERROR(__xludf.DUMMYFUNCTION("""COMPUTED_VALUE"""),224.14)</f>
        <v>224.14</v>
      </c>
      <c r="C287" s="2">
        <f ca="1">IFERROR(__xludf.DUMMYFUNCTION("""COMPUTED_VALUE"""),227.68)</f>
        <v>227.68</v>
      </c>
      <c r="D287" s="2">
        <f ca="1">IFERROR(__xludf.DUMMYFUNCTION("""COMPUTED_VALUE"""),219.52)</f>
        <v>219.52</v>
      </c>
      <c r="E287" s="2">
        <f ca="1">IFERROR(__xludf.DUMMYFUNCTION("""COMPUTED_VALUE"""),225.62)</f>
        <v>225.62</v>
      </c>
      <c r="F287" s="2">
        <f ca="1">IFERROR(__xludf.DUMMYFUNCTION("""COMPUTED_VALUE"""),5847729)</f>
        <v>5847729</v>
      </c>
    </row>
    <row r="288" spans="1:6" ht="12.5" x14ac:dyDescent="0.25">
      <c r="A288" s="3">
        <f ca="1">IFERROR(__xludf.DUMMYFUNCTION("""COMPUTED_VALUE"""),45345.6666666666)</f>
        <v>45345.666666666599</v>
      </c>
      <c r="B288" s="2">
        <f ca="1">IFERROR(__xludf.DUMMYFUNCTION("""COMPUTED_VALUE"""),234.28)</f>
        <v>234.28</v>
      </c>
      <c r="C288" s="2">
        <f ca="1">IFERROR(__xludf.DUMMYFUNCTION("""COMPUTED_VALUE"""),234.83)</f>
        <v>234.83</v>
      </c>
      <c r="D288" s="2">
        <f ca="1">IFERROR(__xludf.DUMMYFUNCTION("""COMPUTED_VALUE"""),227.04)</f>
        <v>227.04</v>
      </c>
      <c r="E288" s="2">
        <f ca="1">IFERROR(__xludf.DUMMYFUNCTION("""COMPUTED_VALUE"""),229.34)</f>
        <v>229.34</v>
      </c>
      <c r="F288" s="2">
        <f ca="1">IFERROR(__xludf.DUMMYFUNCTION("""COMPUTED_VALUE"""),4527953)</f>
        <v>4527953</v>
      </c>
    </row>
    <row r="289" spans="1:6" ht="12.5" x14ac:dyDescent="0.25">
      <c r="A289" s="3">
        <f ca="1">IFERROR(__xludf.DUMMYFUNCTION("""COMPUTED_VALUE"""),45348.6666666666)</f>
        <v>45348.666666666599</v>
      </c>
      <c r="B289" s="2">
        <f ca="1">IFERROR(__xludf.DUMMYFUNCTION("""COMPUTED_VALUE"""),229.33)</f>
        <v>229.33</v>
      </c>
      <c r="C289" s="2">
        <f ca="1">IFERROR(__xludf.DUMMYFUNCTION("""COMPUTED_VALUE"""),233.36)</f>
        <v>233.36</v>
      </c>
      <c r="D289" s="2">
        <f ca="1">IFERROR(__xludf.DUMMYFUNCTION("""COMPUTED_VALUE"""),226.65)</f>
        <v>226.65</v>
      </c>
      <c r="E289" s="2">
        <f ca="1">IFERROR(__xludf.DUMMYFUNCTION("""COMPUTED_VALUE"""),230.93)</f>
        <v>230.93</v>
      </c>
      <c r="F289" s="2">
        <f ca="1">IFERROR(__xludf.DUMMYFUNCTION("""COMPUTED_VALUE"""),4820595)</f>
        <v>4820595</v>
      </c>
    </row>
    <row r="290" spans="1:6" ht="12.5" x14ac:dyDescent="0.25">
      <c r="A290" s="3">
        <f ca="1">IFERROR(__xludf.DUMMYFUNCTION("""COMPUTED_VALUE"""),45349.6666666666)</f>
        <v>45349.666666666599</v>
      </c>
      <c r="B290" s="2">
        <f ca="1">IFERROR(__xludf.DUMMYFUNCTION("""COMPUTED_VALUE"""),233)</f>
        <v>233</v>
      </c>
      <c r="C290" s="2">
        <f ca="1">IFERROR(__xludf.DUMMYFUNCTION("""COMPUTED_VALUE"""),235.66)</f>
        <v>235.66</v>
      </c>
      <c r="D290" s="2">
        <f ca="1">IFERROR(__xludf.DUMMYFUNCTION("""COMPUTED_VALUE"""),231.09)</f>
        <v>231.09</v>
      </c>
      <c r="E290" s="2">
        <f ca="1">IFERROR(__xludf.DUMMYFUNCTION("""COMPUTED_VALUE"""),234.03)</f>
        <v>234.03</v>
      </c>
      <c r="F290" s="2">
        <f ca="1">IFERROR(__xludf.DUMMYFUNCTION("""COMPUTED_VALUE"""),4810315)</f>
        <v>4810315</v>
      </c>
    </row>
    <row r="291" spans="1:6" ht="12.5" x14ac:dyDescent="0.25">
      <c r="A291" s="3">
        <f ca="1">IFERROR(__xludf.DUMMYFUNCTION("""COMPUTED_VALUE"""),45350.6666666666)</f>
        <v>45350.666666666599</v>
      </c>
      <c r="B291" s="2">
        <f ca="1">IFERROR(__xludf.DUMMYFUNCTION("""COMPUTED_VALUE"""),230.75)</f>
        <v>230.75</v>
      </c>
      <c r="C291" s="2">
        <f ca="1">IFERROR(__xludf.DUMMYFUNCTION("""COMPUTED_VALUE"""),233.88)</f>
        <v>233.88</v>
      </c>
      <c r="D291" s="2">
        <f ca="1">IFERROR(__xludf.DUMMYFUNCTION("""COMPUTED_VALUE"""),226.56)</f>
        <v>226.56</v>
      </c>
      <c r="E291" s="2">
        <f ca="1">IFERROR(__xludf.DUMMYFUNCTION("""COMPUTED_VALUE"""),230)</f>
        <v>230</v>
      </c>
      <c r="F291" s="2">
        <f ca="1">IFERROR(__xludf.DUMMYFUNCTION("""COMPUTED_VALUE"""),19406239)</f>
        <v>19406239</v>
      </c>
    </row>
    <row r="292" spans="1:6" ht="12.5" x14ac:dyDescent="0.25">
      <c r="A292" s="3">
        <f ca="1">IFERROR(__xludf.DUMMYFUNCTION("""COMPUTED_VALUE"""),45351.6666666666)</f>
        <v>45351.666666666599</v>
      </c>
      <c r="B292" s="2">
        <f ca="1">IFERROR(__xludf.DUMMYFUNCTION("""COMPUTED_VALUE"""),181.17)</f>
        <v>181.17</v>
      </c>
      <c r="C292" s="2">
        <f ca="1">IFERROR(__xludf.DUMMYFUNCTION("""COMPUTED_VALUE"""),190.45)</f>
        <v>190.45</v>
      </c>
      <c r="D292" s="2">
        <f ca="1">IFERROR(__xludf.DUMMYFUNCTION("""COMPUTED_VALUE"""),180.68)</f>
        <v>180.68</v>
      </c>
      <c r="E292" s="2">
        <f ca="1">IFERROR(__xludf.DUMMYFUNCTION("""COMPUTED_VALUE"""),188.28)</f>
        <v>188.28</v>
      </c>
      <c r="F292" s="2">
        <f ca="1">IFERROR(__xludf.DUMMYFUNCTION("""COMPUTED_VALUE"""),42311351)</f>
        <v>42311351</v>
      </c>
    </row>
    <row r="293" spans="1:6" ht="12.5" x14ac:dyDescent="0.25">
      <c r="A293" s="3">
        <f ca="1">IFERROR(__xludf.DUMMYFUNCTION("""COMPUTED_VALUE"""),45352.6666666666)</f>
        <v>45352.666666666599</v>
      </c>
      <c r="B293" s="2">
        <f ca="1">IFERROR(__xludf.DUMMYFUNCTION("""COMPUTED_VALUE"""),191.26)</f>
        <v>191.26</v>
      </c>
      <c r="C293" s="2">
        <f ca="1">IFERROR(__xludf.DUMMYFUNCTION("""COMPUTED_VALUE"""),194.2)</f>
        <v>194.2</v>
      </c>
      <c r="D293" s="2">
        <f ca="1">IFERROR(__xludf.DUMMYFUNCTION("""COMPUTED_VALUE"""),186.14)</f>
        <v>186.14</v>
      </c>
      <c r="E293" s="2">
        <f ca="1">IFERROR(__xludf.DUMMYFUNCTION("""COMPUTED_VALUE"""),186.72)</f>
        <v>186.72</v>
      </c>
      <c r="F293" s="2">
        <f ca="1">IFERROR(__xludf.DUMMYFUNCTION("""COMPUTED_VALUE"""),17265859)</f>
        <v>17265859</v>
      </c>
    </row>
    <row r="294" spans="1:6" ht="12.5" x14ac:dyDescent="0.25">
      <c r="A294" s="3">
        <f ca="1">IFERROR(__xludf.DUMMYFUNCTION("""COMPUTED_VALUE"""),45355.6666666666)</f>
        <v>45355.666666666599</v>
      </c>
      <c r="B294" s="2">
        <f ca="1">IFERROR(__xludf.DUMMYFUNCTION("""COMPUTED_VALUE"""),185.89)</f>
        <v>185.89</v>
      </c>
      <c r="C294" s="2">
        <f ca="1">IFERROR(__xludf.DUMMYFUNCTION("""COMPUTED_VALUE"""),186.55)</f>
        <v>186.55</v>
      </c>
      <c r="D294" s="2">
        <f ca="1">IFERROR(__xludf.DUMMYFUNCTION("""COMPUTED_VALUE"""),175.3)</f>
        <v>175.3</v>
      </c>
      <c r="E294" s="2">
        <f ca="1">IFERROR(__xludf.DUMMYFUNCTION("""COMPUTED_VALUE"""),177.93)</f>
        <v>177.93</v>
      </c>
      <c r="F294" s="2">
        <f ca="1">IFERROR(__xludf.DUMMYFUNCTION("""COMPUTED_VALUE"""),16342261)</f>
        <v>16342261</v>
      </c>
    </row>
    <row r="295" spans="1:6" ht="12.5" x14ac:dyDescent="0.25">
      <c r="A295" s="3">
        <f ca="1">IFERROR(__xludf.DUMMYFUNCTION("""COMPUTED_VALUE"""),45356.6666666666)</f>
        <v>45356.666666666599</v>
      </c>
      <c r="B295" s="2">
        <f ca="1">IFERROR(__xludf.DUMMYFUNCTION("""COMPUTED_VALUE"""),175.03)</f>
        <v>175.03</v>
      </c>
      <c r="C295" s="2">
        <f ca="1">IFERROR(__xludf.DUMMYFUNCTION("""COMPUTED_VALUE"""),175.33)</f>
        <v>175.33</v>
      </c>
      <c r="D295" s="2">
        <f ca="1">IFERROR(__xludf.DUMMYFUNCTION("""COMPUTED_VALUE"""),166.32)</f>
        <v>166.32</v>
      </c>
      <c r="E295" s="2">
        <f ca="1">IFERROR(__xludf.DUMMYFUNCTION("""COMPUTED_VALUE"""),167.75)</f>
        <v>167.75</v>
      </c>
      <c r="F295" s="2">
        <f ca="1">IFERROR(__xludf.DUMMYFUNCTION("""COMPUTED_VALUE"""),14716891)</f>
        <v>14716891</v>
      </c>
    </row>
    <row r="296" spans="1:6" ht="12.5" x14ac:dyDescent="0.25">
      <c r="A296" s="3">
        <f ca="1">IFERROR(__xludf.DUMMYFUNCTION("""COMPUTED_VALUE"""),45357.6666666666)</f>
        <v>45357.666666666599</v>
      </c>
      <c r="B296" s="2">
        <f ca="1">IFERROR(__xludf.DUMMYFUNCTION("""COMPUTED_VALUE"""),170)</f>
        <v>170</v>
      </c>
      <c r="C296" s="2">
        <f ca="1">IFERROR(__xludf.DUMMYFUNCTION("""COMPUTED_VALUE"""),171.36)</f>
        <v>171.36</v>
      </c>
      <c r="D296" s="2">
        <f ca="1">IFERROR(__xludf.DUMMYFUNCTION("""COMPUTED_VALUE"""),163.37)</f>
        <v>163.37</v>
      </c>
      <c r="E296" s="2">
        <f ca="1">IFERROR(__xludf.DUMMYFUNCTION("""COMPUTED_VALUE"""),167)</f>
        <v>167</v>
      </c>
      <c r="F296" s="2">
        <f ca="1">IFERROR(__xludf.DUMMYFUNCTION("""COMPUTED_VALUE"""),12733359)</f>
        <v>12733359</v>
      </c>
    </row>
    <row r="297" spans="1:6" ht="12.5" x14ac:dyDescent="0.25">
      <c r="A297" s="3">
        <f ca="1">IFERROR(__xludf.DUMMYFUNCTION("""COMPUTED_VALUE"""),45358.6666666666)</f>
        <v>45358.666666666599</v>
      </c>
      <c r="B297" s="2">
        <f ca="1">IFERROR(__xludf.DUMMYFUNCTION("""COMPUTED_VALUE"""),167)</f>
        <v>167</v>
      </c>
      <c r="C297" s="2">
        <f ca="1">IFERROR(__xludf.DUMMYFUNCTION("""COMPUTED_VALUE"""),169.16)</f>
        <v>169.16</v>
      </c>
      <c r="D297" s="2">
        <f ca="1">IFERROR(__xludf.DUMMYFUNCTION("""COMPUTED_VALUE"""),163.71)</f>
        <v>163.71</v>
      </c>
      <c r="E297" s="2">
        <f ca="1">IFERROR(__xludf.DUMMYFUNCTION("""COMPUTED_VALUE"""),168.44)</f>
        <v>168.44</v>
      </c>
      <c r="F297" s="2">
        <f ca="1">IFERROR(__xludf.DUMMYFUNCTION("""COMPUTED_VALUE"""),9049602)</f>
        <v>9049602</v>
      </c>
    </row>
    <row r="298" spans="1:6" ht="12.5" x14ac:dyDescent="0.25">
      <c r="A298" s="3">
        <f ca="1">IFERROR(__xludf.DUMMYFUNCTION("""COMPUTED_VALUE"""),45359.6666666666)</f>
        <v>45359.666666666599</v>
      </c>
      <c r="B298" s="2">
        <f ca="1">IFERROR(__xludf.DUMMYFUNCTION("""COMPUTED_VALUE"""),169.29)</f>
        <v>169.29</v>
      </c>
      <c r="C298" s="2">
        <f ca="1">IFERROR(__xludf.DUMMYFUNCTION("""COMPUTED_VALUE"""),169.84)</f>
        <v>169.84</v>
      </c>
      <c r="D298" s="2">
        <f ca="1">IFERROR(__xludf.DUMMYFUNCTION("""COMPUTED_VALUE"""),161.63)</f>
        <v>161.63</v>
      </c>
      <c r="E298" s="2">
        <f ca="1">IFERROR(__xludf.DUMMYFUNCTION("""COMPUTED_VALUE"""),162.4)</f>
        <v>162.4</v>
      </c>
      <c r="F298" s="2">
        <f ca="1">IFERROR(__xludf.DUMMYFUNCTION("""COMPUTED_VALUE"""),9368999)</f>
        <v>9368999</v>
      </c>
    </row>
    <row r="299" spans="1:6" ht="12.5" x14ac:dyDescent="0.25">
      <c r="A299" s="3">
        <f ca="1">IFERROR(__xludf.DUMMYFUNCTION("""COMPUTED_VALUE"""),45362.6666666666)</f>
        <v>45362.666666666599</v>
      </c>
      <c r="B299" s="2">
        <f ca="1">IFERROR(__xludf.DUMMYFUNCTION("""COMPUTED_VALUE"""),161.42)</f>
        <v>161.41999999999999</v>
      </c>
      <c r="C299" s="2">
        <f ca="1">IFERROR(__xludf.DUMMYFUNCTION("""COMPUTED_VALUE"""),162.98)</f>
        <v>162.97999999999999</v>
      </c>
      <c r="D299" s="2">
        <f ca="1">IFERROR(__xludf.DUMMYFUNCTION("""COMPUTED_VALUE"""),160.4)</f>
        <v>160.4</v>
      </c>
      <c r="E299" s="2">
        <f ca="1">IFERROR(__xludf.DUMMYFUNCTION("""COMPUTED_VALUE"""),162.29)</f>
        <v>162.29</v>
      </c>
      <c r="F299" s="2">
        <f ca="1">IFERROR(__xludf.DUMMYFUNCTION("""COMPUTED_VALUE"""),6026073)</f>
        <v>6026073</v>
      </c>
    </row>
    <row r="300" spans="1:6" ht="12.5" x14ac:dyDescent="0.25">
      <c r="A300" s="3">
        <f ca="1">IFERROR(__xludf.DUMMYFUNCTION("""COMPUTED_VALUE"""),45363.6666666666)</f>
        <v>45363.666666666599</v>
      </c>
      <c r="B300" s="2">
        <f ca="1">IFERROR(__xludf.DUMMYFUNCTION("""COMPUTED_VALUE"""),162.94)</f>
        <v>162.94</v>
      </c>
      <c r="C300" s="2">
        <f ca="1">IFERROR(__xludf.DUMMYFUNCTION("""COMPUTED_VALUE"""),163.77)</f>
        <v>163.77000000000001</v>
      </c>
      <c r="D300" s="2">
        <f ca="1">IFERROR(__xludf.DUMMYFUNCTION("""COMPUTED_VALUE"""),159.7)</f>
        <v>159.69999999999999</v>
      </c>
      <c r="E300" s="2">
        <f ca="1">IFERROR(__xludf.DUMMYFUNCTION("""COMPUTED_VALUE"""),161.95)</f>
        <v>161.94999999999999</v>
      </c>
      <c r="F300" s="2">
        <f ca="1">IFERROR(__xludf.DUMMYFUNCTION("""COMPUTED_VALUE"""),7386921)</f>
        <v>7386921</v>
      </c>
    </row>
    <row r="301" spans="1:6" ht="12.5" x14ac:dyDescent="0.25">
      <c r="A301" s="3">
        <f ca="1">IFERROR(__xludf.DUMMYFUNCTION("""COMPUTED_VALUE"""),45364.6666666666)</f>
        <v>45364.666666666599</v>
      </c>
      <c r="B301" s="2">
        <f ca="1">IFERROR(__xludf.DUMMYFUNCTION("""COMPUTED_VALUE"""),161.27)</f>
        <v>161.27000000000001</v>
      </c>
      <c r="C301" s="2">
        <f ca="1">IFERROR(__xludf.DUMMYFUNCTION("""COMPUTED_VALUE"""),166.84)</f>
        <v>166.84</v>
      </c>
      <c r="D301" s="2">
        <f ca="1">IFERROR(__xludf.DUMMYFUNCTION("""COMPUTED_VALUE"""),160.7)</f>
        <v>160.69999999999999</v>
      </c>
      <c r="E301" s="2">
        <f ca="1">IFERROR(__xludf.DUMMYFUNCTION("""COMPUTED_VALUE"""),162.31)</f>
        <v>162.31</v>
      </c>
      <c r="F301" s="2">
        <f ca="1">IFERROR(__xludf.DUMMYFUNCTION("""COMPUTED_VALUE"""),5866709)</f>
        <v>5866709</v>
      </c>
    </row>
    <row r="302" spans="1:6" ht="12.5" x14ac:dyDescent="0.25">
      <c r="A302" s="3">
        <f ca="1">IFERROR(__xludf.DUMMYFUNCTION("""COMPUTED_VALUE"""),45365.6666666666)</f>
        <v>45365.666666666599</v>
      </c>
      <c r="B302" s="2">
        <f ca="1">IFERROR(__xludf.DUMMYFUNCTION("""COMPUTED_VALUE"""),162.02)</f>
        <v>162.02000000000001</v>
      </c>
      <c r="C302" s="2">
        <f ca="1">IFERROR(__xludf.DUMMYFUNCTION("""COMPUTED_VALUE"""),162.5)</f>
        <v>162.5</v>
      </c>
      <c r="D302" s="2">
        <f ca="1">IFERROR(__xludf.DUMMYFUNCTION("""COMPUTED_VALUE"""),157.8)</f>
        <v>157.80000000000001</v>
      </c>
      <c r="E302" s="2">
        <f ca="1">IFERROR(__xludf.DUMMYFUNCTION("""COMPUTED_VALUE"""),158.92)</f>
        <v>158.91999999999999</v>
      </c>
      <c r="F302" s="2">
        <f ca="1">IFERROR(__xludf.DUMMYFUNCTION("""COMPUTED_VALUE"""),5999111)</f>
        <v>5999111</v>
      </c>
    </row>
    <row r="303" spans="1:6" ht="12.5" x14ac:dyDescent="0.25">
      <c r="A303" s="3">
        <f ca="1">IFERROR(__xludf.DUMMYFUNCTION("""COMPUTED_VALUE"""),45366.6666666666)</f>
        <v>45366.666666666599</v>
      </c>
      <c r="B303" s="2">
        <f ca="1">IFERROR(__xludf.DUMMYFUNCTION("""COMPUTED_VALUE"""),158.78)</f>
        <v>158.78</v>
      </c>
      <c r="C303" s="2">
        <f ca="1">IFERROR(__xludf.DUMMYFUNCTION("""COMPUTED_VALUE"""),160.24)</f>
        <v>160.24</v>
      </c>
      <c r="D303" s="2">
        <f ca="1">IFERROR(__xludf.DUMMYFUNCTION("""COMPUTED_VALUE"""),156.62)</f>
        <v>156.62</v>
      </c>
      <c r="E303" s="2">
        <f ca="1">IFERROR(__xludf.DUMMYFUNCTION("""COMPUTED_VALUE"""),156.97)</f>
        <v>156.97</v>
      </c>
      <c r="F303" s="2">
        <f ca="1">IFERROR(__xludf.DUMMYFUNCTION("""COMPUTED_VALUE"""),8280637)</f>
        <v>8280637</v>
      </c>
    </row>
    <row r="304" spans="1:6" ht="12.5" x14ac:dyDescent="0.25">
      <c r="A304" s="3">
        <f ca="1">IFERROR(__xludf.DUMMYFUNCTION("""COMPUTED_VALUE"""),45369.6666666666)</f>
        <v>45369.666666666599</v>
      </c>
      <c r="B304" s="2">
        <f ca="1">IFERROR(__xludf.DUMMYFUNCTION("""COMPUTED_VALUE"""),157.52)</f>
        <v>157.52000000000001</v>
      </c>
      <c r="C304" s="2">
        <f ca="1">IFERROR(__xludf.DUMMYFUNCTION("""COMPUTED_VALUE"""),158.26)</f>
        <v>158.26</v>
      </c>
      <c r="D304" s="2">
        <f ca="1">IFERROR(__xludf.DUMMYFUNCTION("""COMPUTED_VALUE"""),155.55)</f>
        <v>155.55000000000001</v>
      </c>
      <c r="E304" s="2">
        <f ca="1">IFERROR(__xludf.DUMMYFUNCTION("""COMPUTED_VALUE"""),156.31)</f>
        <v>156.31</v>
      </c>
      <c r="F304" s="2">
        <f ca="1">IFERROR(__xludf.DUMMYFUNCTION("""COMPUTED_VALUE"""),7127229)</f>
        <v>7127229</v>
      </c>
    </row>
    <row r="305" spans="1:6" ht="12.5" x14ac:dyDescent="0.25">
      <c r="A305" s="3">
        <f ca="1">IFERROR(__xludf.DUMMYFUNCTION("""COMPUTED_VALUE"""),45370.6666666666)</f>
        <v>45370.666666666599</v>
      </c>
      <c r="B305" s="2">
        <f ca="1">IFERROR(__xludf.DUMMYFUNCTION("""COMPUTED_VALUE"""),152.11)</f>
        <v>152.11000000000001</v>
      </c>
      <c r="C305" s="2">
        <f ca="1">IFERROR(__xludf.DUMMYFUNCTION("""COMPUTED_VALUE"""),157.84)</f>
        <v>157.84</v>
      </c>
      <c r="D305" s="2">
        <f ca="1">IFERROR(__xludf.DUMMYFUNCTION("""COMPUTED_VALUE"""),151.49)</f>
        <v>151.49</v>
      </c>
      <c r="E305" s="2">
        <f ca="1">IFERROR(__xludf.DUMMYFUNCTION("""COMPUTED_VALUE"""),157.7)</f>
        <v>157.69999999999999</v>
      </c>
      <c r="F305" s="2">
        <f ca="1">IFERROR(__xludf.DUMMYFUNCTION("""COMPUTED_VALUE"""),6644858)</f>
        <v>6644858</v>
      </c>
    </row>
    <row r="306" spans="1:6" ht="12.5" x14ac:dyDescent="0.25">
      <c r="A306" s="3">
        <f ca="1">IFERROR(__xludf.DUMMYFUNCTION("""COMPUTED_VALUE"""),45371.6666666666)</f>
        <v>45371.666666666599</v>
      </c>
      <c r="B306" s="2">
        <f ca="1">IFERROR(__xludf.DUMMYFUNCTION("""COMPUTED_VALUE"""),158.05)</f>
        <v>158.05000000000001</v>
      </c>
      <c r="C306" s="2">
        <f ca="1">IFERROR(__xludf.DUMMYFUNCTION("""COMPUTED_VALUE"""),164.31)</f>
        <v>164.31</v>
      </c>
      <c r="D306" s="2">
        <f ca="1">IFERROR(__xludf.DUMMYFUNCTION("""COMPUTED_VALUE"""),158.05)</f>
        <v>158.05000000000001</v>
      </c>
      <c r="E306" s="2">
        <f ca="1">IFERROR(__xludf.DUMMYFUNCTION("""COMPUTED_VALUE"""),163.04)</f>
        <v>163.04</v>
      </c>
      <c r="F306" s="2">
        <f ca="1">IFERROR(__xludf.DUMMYFUNCTION("""COMPUTED_VALUE"""),7596629)</f>
        <v>7596629</v>
      </c>
    </row>
    <row r="307" spans="1:6" ht="12.5" x14ac:dyDescent="0.25">
      <c r="A307" s="3">
        <f ca="1">IFERROR(__xludf.DUMMYFUNCTION("""COMPUTED_VALUE"""),45372.6666666666)</f>
        <v>45372.666666666599</v>
      </c>
      <c r="B307" s="2">
        <f ca="1">IFERROR(__xludf.DUMMYFUNCTION("""COMPUTED_VALUE"""),166)</f>
        <v>166</v>
      </c>
      <c r="C307" s="2">
        <f ca="1">IFERROR(__xludf.DUMMYFUNCTION("""COMPUTED_VALUE"""),168.68)</f>
        <v>168.68</v>
      </c>
      <c r="D307" s="2">
        <f ca="1">IFERROR(__xludf.DUMMYFUNCTION("""COMPUTED_VALUE"""),157.21)</f>
        <v>157.21</v>
      </c>
      <c r="E307" s="2">
        <f ca="1">IFERROR(__xludf.DUMMYFUNCTION("""COMPUTED_VALUE"""),158.39)</f>
        <v>158.38999999999999</v>
      </c>
      <c r="F307" s="2">
        <f ca="1">IFERROR(__xludf.DUMMYFUNCTION("""COMPUTED_VALUE"""),11393371)</f>
        <v>11393371</v>
      </c>
    </row>
    <row r="308" spans="1:6" ht="12.5" x14ac:dyDescent="0.25">
      <c r="A308" s="3">
        <f ca="1">IFERROR(__xludf.DUMMYFUNCTION("""COMPUTED_VALUE"""),45373.6666666666)</f>
        <v>45373.666666666599</v>
      </c>
      <c r="B308" s="2">
        <f ca="1">IFERROR(__xludf.DUMMYFUNCTION("""COMPUTED_VALUE"""),158.39)</f>
        <v>158.38999999999999</v>
      </c>
      <c r="C308" s="2">
        <f ca="1">IFERROR(__xludf.DUMMYFUNCTION("""COMPUTED_VALUE"""),160.3)</f>
        <v>160.30000000000001</v>
      </c>
      <c r="D308" s="2">
        <f ca="1">IFERROR(__xludf.DUMMYFUNCTION("""COMPUTED_VALUE"""),157)</f>
        <v>157</v>
      </c>
      <c r="E308" s="2">
        <f ca="1">IFERROR(__xludf.DUMMYFUNCTION("""COMPUTED_VALUE"""),159.03)</f>
        <v>159.03</v>
      </c>
      <c r="F308" s="2">
        <f ca="1">IFERROR(__xludf.DUMMYFUNCTION("""COMPUTED_VALUE"""),4085102)</f>
        <v>4085102</v>
      </c>
    </row>
    <row r="309" spans="1:6" ht="12.5" x14ac:dyDescent="0.25">
      <c r="A309" s="3">
        <f ca="1">IFERROR(__xludf.DUMMYFUNCTION("""COMPUTED_VALUE"""),45376.6666666666)</f>
        <v>45376.666666666599</v>
      </c>
      <c r="B309" s="2">
        <f ca="1">IFERROR(__xludf.DUMMYFUNCTION("""COMPUTED_VALUE"""),157.79)</f>
        <v>157.79</v>
      </c>
      <c r="C309" s="2">
        <f ca="1">IFERROR(__xludf.DUMMYFUNCTION("""COMPUTED_VALUE"""),159.1)</f>
        <v>159.1</v>
      </c>
      <c r="D309" s="2">
        <f ca="1">IFERROR(__xludf.DUMMYFUNCTION("""COMPUTED_VALUE"""),157.25)</f>
        <v>157.25</v>
      </c>
      <c r="E309" s="2">
        <f ca="1">IFERROR(__xludf.DUMMYFUNCTION("""COMPUTED_VALUE"""),158.14)</f>
        <v>158.13999999999999</v>
      </c>
      <c r="F309" s="2">
        <f ca="1">IFERROR(__xludf.DUMMYFUNCTION("""COMPUTED_VALUE"""),3108718)</f>
        <v>3108718</v>
      </c>
    </row>
    <row r="310" spans="1:6" ht="12.5" x14ac:dyDescent="0.25">
      <c r="A310" s="3">
        <f ca="1">IFERROR(__xludf.DUMMYFUNCTION("""COMPUTED_VALUE"""),45377.6666666666)</f>
        <v>45377.666666666599</v>
      </c>
      <c r="B310" s="2">
        <f ca="1">IFERROR(__xludf.DUMMYFUNCTION("""COMPUTED_VALUE"""),159.38)</f>
        <v>159.38</v>
      </c>
      <c r="C310" s="2">
        <f ca="1">IFERROR(__xludf.DUMMYFUNCTION("""COMPUTED_VALUE"""),160.97)</f>
        <v>160.97</v>
      </c>
      <c r="D310" s="2">
        <f ca="1">IFERROR(__xludf.DUMMYFUNCTION("""COMPUTED_VALUE"""),157.64)</f>
        <v>157.63999999999999</v>
      </c>
      <c r="E310" s="2">
        <f ca="1">IFERROR(__xludf.DUMMYFUNCTION("""COMPUTED_VALUE"""),158.02)</f>
        <v>158.02000000000001</v>
      </c>
      <c r="F310" s="2">
        <f ca="1">IFERROR(__xludf.DUMMYFUNCTION("""COMPUTED_VALUE"""),4069083)</f>
        <v>4069083</v>
      </c>
    </row>
    <row r="311" spans="1:6" ht="12.5" x14ac:dyDescent="0.25">
      <c r="A311" s="3">
        <f ca="1">IFERROR(__xludf.DUMMYFUNCTION("""COMPUTED_VALUE"""),45378.6666666666)</f>
        <v>45378.666666666599</v>
      </c>
      <c r="B311" s="2">
        <f ca="1">IFERROR(__xludf.DUMMYFUNCTION("""COMPUTED_VALUE"""),159.6)</f>
        <v>159.6</v>
      </c>
      <c r="C311" s="2">
        <f ca="1">IFERROR(__xludf.DUMMYFUNCTION("""COMPUTED_VALUE"""),160.63)</f>
        <v>160.63</v>
      </c>
      <c r="D311" s="2">
        <f ca="1">IFERROR(__xludf.DUMMYFUNCTION("""COMPUTED_VALUE"""),157.7)</f>
        <v>157.69999999999999</v>
      </c>
      <c r="E311" s="2">
        <f ca="1">IFERROR(__xludf.DUMMYFUNCTION("""COMPUTED_VALUE"""),160.04)</f>
        <v>160.04</v>
      </c>
      <c r="F311" s="2">
        <f ca="1">IFERROR(__xludf.DUMMYFUNCTION("""COMPUTED_VALUE"""),4698138)</f>
        <v>4698138</v>
      </c>
    </row>
    <row r="312" spans="1:6" ht="12.5" x14ac:dyDescent="0.25">
      <c r="A312" s="3">
        <f ca="1">IFERROR(__xludf.DUMMYFUNCTION("""COMPUTED_VALUE"""),45379.6666666666)</f>
        <v>45379.666666666599</v>
      </c>
      <c r="B312" s="2">
        <f ca="1">IFERROR(__xludf.DUMMYFUNCTION("""COMPUTED_VALUE"""),164.02)</f>
        <v>164.02</v>
      </c>
      <c r="C312" s="2">
        <f ca="1">IFERROR(__xludf.DUMMYFUNCTION("""COMPUTED_VALUE"""),165.89)</f>
        <v>165.89</v>
      </c>
      <c r="D312" s="2">
        <f ca="1">IFERROR(__xludf.DUMMYFUNCTION("""COMPUTED_VALUE"""),161)</f>
        <v>161</v>
      </c>
      <c r="E312" s="2">
        <f ca="1">IFERROR(__xludf.DUMMYFUNCTION("""COMPUTED_VALUE"""),161.6)</f>
        <v>161.6</v>
      </c>
      <c r="F312" s="2">
        <f ca="1">IFERROR(__xludf.DUMMYFUNCTION("""COMPUTED_VALUE"""),10106906)</f>
        <v>10106906</v>
      </c>
    </row>
    <row r="313" spans="1:6" ht="12.5" x14ac:dyDescent="0.25">
      <c r="A313" s="3">
        <f ca="1">IFERROR(__xludf.DUMMYFUNCTION("""COMPUTED_VALUE"""),45383.6666666666)</f>
        <v>45383.666666666599</v>
      </c>
      <c r="B313" s="2">
        <f ca="1">IFERROR(__xludf.DUMMYFUNCTION("""COMPUTED_VALUE"""),161.86)</f>
        <v>161.86000000000001</v>
      </c>
      <c r="C313" s="2">
        <f ca="1">IFERROR(__xludf.DUMMYFUNCTION("""COMPUTED_VALUE"""),163.75)</f>
        <v>163.75</v>
      </c>
      <c r="D313" s="2">
        <f ca="1">IFERROR(__xludf.DUMMYFUNCTION("""COMPUTED_VALUE"""),159.74)</f>
        <v>159.74</v>
      </c>
      <c r="E313" s="2">
        <f ca="1">IFERROR(__xludf.DUMMYFUNCTION("""COMPUTED_VALUE"""),160.52)</f>
        <v>160.52000000000001</v>
      </c>
      <c r="F313" s="2">
        <f ca="1">IFERROR(__xludf.DUMMYFUNCTION("""COMPUTED_VALUE"""),3928834)</f>
        <v>3928834</v>
      </c>
    </row>
    <row r="314" spans="1:6" ht="12.5" x14ac:dyDescent="0.25">
      <c r="A314" s="3">
        <f ca="1">IFERROR(__xludf.DUMMYFUNCTION("""COMPUTED_VALUE"""),45384.6666666666)</f>
        <v>45384.666666666599</v>
      </c>
      <c r="B314" s="2">
        <f ca="1">IFERROR(__xludf.DUMMYFUNCTION("""COMPUTED_VALUE"""),157.5)</f>
        <v>157.5</v>
      </c>
      <c r="C314" s="2">
        <f ca="1">IFERROR(__xludf.DUMMYFUNCTION("""COMPUTED_VALUE"""),157.77)</f>
        <v>157.77000000000001</v>
      </c>
      <c r="D314" s="2">
        <f ca="1">IFERROR(__xludf.DUMMYFUNCTION("""COMPUTED_VALUE"""),155.07)</f>
        <v>155.07</v>
      </c>
      <c r="E314" s="2">
        <f ca="1">IFERROR(__xludf.DUMMYFUNCTION("""COMPUTED_VALUE"""),156.19)</f>
        <v>156.19</v>
      </c>
      <c r="F314" s="2">
        <f ca="1">IFERROR(__xludf.DUMMYFUNCTION("""COMPUTED_VALUE"""),5615491)</f>
        <v>5615491</v>
      </c>
    </row>
    <row r="315" spans="1:6" ht="12.5" x14ac:dyDescent="0.25">
      <c r="A315" s="3">
        <f ca="1">IFERROR(__xludf.DUMMYFUNCTION("""COMPUTED_VALUE"""),45385.6666666666)</f>
        <v>45385.666666666599</v>
      </c>
      <c r="B315" s="2">
        <f ca="1">IFERROR(__xludf.DUMMYFUNCTION("""COMPUTED_VALUE"""),155.15)</f>
        <v>155.15</v>
      </c>
      <c r="C315" s="2">
        <f ca="1">IFERROR(__xludf.DUMMYFUNCTION("""COMPUTED_VALUE"""),155.3)</f>
        <v>155.30000000000001</v>
      </c>
      <c r="D315" s="2">
        <f ca="1">IFERROR(__xludf.DUMMYFUNCTION("""COMPUTED_VALUE"""),152.53)</f>
        <v>152.53</v>
      </c>
      <c r="E315" s="2">
        <f ca="1">IFERROR(__xludf.DUMMYFUNCTION("""COMPUTED_VALUE"""),153.02)</f>
        <v>153.02000000000001</v>
      </c>
      <c r="F315" s="2">
        <f ca="1">IFERROR(__xludf.DUMMYFUNCTION("""COMPUTED_VALUE"""),6147013)</f>
        <v>6147013</v>
      </c>
    </row>
    <row r="316" spans="1:6" ht="12.5" x14ac:dyDescent="0.25">
      <c r="A316" s="3">
        <f ca="1">IFERROR(__xludf.DUMMYFUNCTION("""COMPUTED_VALUE"""),45386.6666666666)</f>
        <v>45386.666666666599</v>
      </c>
      <c r="B316" s="2">
        <f ca="1">IFERROR(__xludf.DUMMYFUNCTION("""COMPUTED_VALUE"""),153.11)</f>
        <v>153.11000000000001</v>
      </c>
      <c r="C316" s="2">
        <f ca="1">IFERROR(__xludf.DUMMYFUNCTION("""COMPUTED_VALUE"""),156)</f>
        <v>156</v>
      </c>
      <c r="D316" s="2">
        <f ca="1">IFERROR(__xludf.DUMMYFUNCTION("""COMPUTED_VALUE"""),150.62)</f>
        <v>150.62</v>
      </c>
      <c r="E316" s="2">
        <f ca="1">IFERROR(__xludf.DUMMYFUNCTION("""COMPUTED_VALUE"""),151.34)</f>
        <v>151.34</v>
      </c>
      <c r="F316" s="2">
        <f ca="1">IFERROR(__xludf.DUMMYFUNCTION("""COMPUTED_VALUE"""),6249543)</f>
        <v>6249543</v>
      </c>
    </row>
    <row r="317" spans="1:6" ht="12.5" x14ac:dyDescent="0.25">
      <c r="A317" s="3">
        <f ca="1">IFERROR(__xludf.DUMMYFUNCTION("""COMPUTED_VALUE"""),45387.6666666666)</f>
        <v>45387.666666666599</v>
      </c>
      <c r="B317" s="2">
        <f ca="1">IFERROR(__xludf.DUMMYFUNCTION("""COMPUTED_VALUE"""),152.48)</f>
        <v>152.47999999999999</v>
      </c>
      <c r="C317" s="2">
        <f ca="1">IFERROR(__xludf.DUMMYFUNCTION("""COMPUTED_VALUE"""),155.55)</f>
        <v>155.55000000000001</v>
      </c>
      <c r="D317" s="2">
        <f ca="1">IFERROR(__xludf.DUMMYFUNCTION("""COMPUTED_VALUE"""),152.17)</f>
        <v>152.16999999999999</v>
      </c>
      <c r="E317" s="2">
        <f ca="1">IFERROR(__xludf.DUMMYFUNCTION("""COMPUTED_VALUE"""),153.86)</f>
        <v>153.86000000000001</v>
      </c>
      <c r="F317" s="2">
        <f ca="1">IFERROR(__xludf.DUMMYFUNCTION("""COMPUTED_VALUE"""),5120008)</f>
        <v>5120008</v>
      </c>
    </row>
    <row r="318" spans="1:6" ht="12.5" x14ac:dyDescent="0.25">
      <c r="A318" s="3">
        <f ca="1">IFERROR(__xludf.DUMMYFUNCTION("""COMPUTED_VALUE"""),45390.6666666666)</f>
        <v>45390.666666666599</v>
      </c>
      <c r="B318" s="2">
        <f ca="1">IFERROR(__xludf.DUMMYFUNCTION("""COMPUTED_VALUE"""),153.86)</f>
        <v>153.86000000000001</v>
      </c>
      <c r="C318" s="2">
        <f ca="1">IFERROR(__xludf.DUMMYFUNCTION("""COMPUTED_VALUE"""),155.69)</f>
        <v>155.69</v>
      </c>
      <c r="D318" s="2">
        <f ca="1">IFERROR(__xludf.DUMMYFUNCTION("""COMPUTED_VALUE"""),151.69)</f>
        <v>151.69</v>
      </c>
      <c r="E318" s="2">
        <f ca="1">IFERROR(__xludf.DUMMYFUNCTION("""COMPUTED_VALUE"""),154.86)</f>
        <v>154.86000000000001</v>
      </c>
      <c r="F318" s="2">
        <f ca="1">IFERROR(__xludf.DUMMYFUNCTION("""COMPUTED_VALUE"""),2682723)</f>
        <v>2682723</v>
      </c>
    </row>
    <row r="319" spans="1:6" ht="12.5" x14ac:dyDescent="0.25">
      <c r="A319" s="3">
        <f ca="1">IFERROR(__xludf.DUMMYFUNCTION("""COMPUTED_VALUE"""),45391.6666666666)</f>
        <v>45391.666666666599</v>
      </c>
      <c r="B319" s="2">
        <f ca="1">IFERROR(__xludf.DUMMYFUNCTION("""COMPUTED_VALUE"""),155.12)</f>
        <v>155.12</v>
      </c>
      <c r="C319" s="2">
        <f ca="1">IFERROR(__xludf.DUMMYFUNCTION("""COMPUTED_VALUE"""),156.9)</f>
        <v>156.9</v>
      </c>
      <c r="D319" s="2">
        <f ca="1">IFERROR(__xludf.DUMMYFUNCTION("""COMPUTED_VALUE"""),153.83)</f>
        <v>153.83000000000001</v>
      </c>
      <c r="E319" s="2">
        <f ca="1">IFERROR(__xludf.DUMMYFUNCTION("""COMPUTED_VALUE"""),155.58)</f>
        <v>155.58000000000001</v>
      </c>
      <c r="F319" s="2">
        <f ca="1">IFERROR(__xludf.DUMMYFUNCTION("""COMPUTED_VALUE"""),3412176)</f>
        <v>3412176</v>
      </c>
    </row>
    <row r="320" spans="1:6" ht="12.5" x14ac:dyDescent="0.25">
      <c r="A320" s="3">
        <f ca="1">IFERROR(__xludf.DUMMYFUNCTION("""COMPUTED_VALUE"""),45392.6666666666)</f>
        <v>45392.666666666599</v>
      </c>
      <c r="B320" s="2">
        <f ca="1">IFERROR(__xludf.DUMMYFUNCTION("""COMPUTED_VALUE"""),151.6)</f>
        <v>151.6</v>
      </c>
      <c r="C320" s="2">
        <f ca="1">IFERROR(__xludf.DUMMYFUNCTION("""COMPUTED_VALUE"""),153.51)</f>
        <v>153.51</v>
      </c>
      <c r="D320" s="2">
        <f ca="1">IFERROR(__xludf.DUMMYFUNCTION("""COMPUTED_VALUE"""),151.55)</f>
        <v>151.55000000000001</v>
      </c>
      <c r="E320" s="2">
        <f ca="1">IFERROR(__xludf.DUMMYFUNCTION("""COMPUTED_VALUE"""),152.97)</f>
        <v>152.97</v>
      </c>
      <c r="F320" s="2">
        <f ca="1">IFERROR(__xludf.DUMMYFUNCTION("""COMPUTED_VALUE"""),3602446)</f>
        <v>3602446</v>
      </c>
    </row>
    <row r="321" spans="1:6" ht="12.5" x14ac:dyDescent="0.25">
      <c r="A321" s="3">
        <f ca="1">IFERROR(__xludf.DUMMYFUNCTION("""COMPUTED_VALUE"""),45393.6666666666)</f>
        <v>45393.666666666599</v>
      </c>
      <c r="B321" s="2">
        <f ca="1">IFERROR(__xludf.DUMMYFUNCTION("""COMPUTED_VALUE"""),154.66)</f>
        <v>154.66</v>
      </c>
      <c r="C321" s="2">
        <f ca="1">IFERROR(__xludf.DUMMYFUNCTION("""COMPUTED_VALUE"""),159.92)</f>
        <v>159.91999999999999</v>
      </c>
      <c r="D321" s="2">
        <f ca="1">IFERROR(__xludf.DUMMYFUNCTION("""COMPUTED_VALUE"""),154.33)</f>
        <v>154.33000000000001</v>
      </c>
      <c r="E321" s="2">
        <f ca="1">IFERROR(__xludf.DUMMYFUNCTION("""COMPUTED_VALUE"""),159.35)</f>
        <v>159.35</v>
      </c>
      <c r="F321" s="2">
        <f ca="1">IFERROR(__xludf.DUMMYFUNCTION("""COMPUTED_VALUE"""),5737466)</f>
        <v>5737466</v>
      </c>
    </row>
    <row r="322" spans="1:6" ht="12.5" x14ac:dyDescent="0.25">
      <c r="A322" s="3">
        <f ca="1">IFERROR(__xludf.DUMMYFUNCTION("""COMPUTED_VALUE"""),45394.6666666666)</f>
        <v>45394.666666666599</v>
      </c>
      <c r="B322" s="2">
        <f ca="1">IFERROR(__xludf.DUMMYFUNCTION("""COMPUTED_VALUE"""),157.1)</f>
        <v>157.1</v>
      </c>
      <c r="C322" s="2">
        <f ca="1">IFERROR(__xludf.DUMMYFUNCTION("""COMPUTED_VALUE"""),160.52)</f>
        <v>160.52000000000001</v>
      </c>
      <c r="D322" s="2">
        <f ca="1">IFERROR(__xludf.DUMMYFUNCTION("""COMPUTED_VALUE"""),156.78)</f>
        <v>156.78</v>
      </c>
      <c r="E322" s="2">
        <f ca="1">IFERROR(__xludf.DUMMYFUNCTION("""COMPUTED_VALUE"""),158.56)</f>
        <v>158.56</v>
      </c>
      <c r="F322" s="2">
        <f ca="1">IFERROR(__xludf.DUMMYFUNCTION("""COMPUTED_VALUE"""),4663615)</f>
        <v>4663615</v>
      </c>
    </row>
    <row r="323" spans="1:6" ht="12.5" x14ac:dyDescent="0.25">
      <c r="A323" s="3">
        <f ca="1">IFERROR(__xludf.DUMMYFUNCTION("""COMPUTED_VALUE"""),45397.6666666666)</f>
        <v>45397.666666666599</v>
      </c>
      <c r="B323" s="2">
        <f ca="1">IFERROR(__xludf.DUMMYFUNCTION("""COMPUTED_VALUE"""),156.38)</f>
        <v>156.38</v>
      </c>
      <c r="C323" s="2">
        <f ca="1">IFERROR(__xludf.DUMMYFUNCTION("""COMPUTED_VALUE"""),157.03)</f>
        <v>157.03</v>
      </c>
      <c r="D323" s="2">
        <f ca="1">IFERROR(__xludf.DUMMYFUNCTION("""COMPUTED_VALUE"""),151.09)</f>
        <v>151.09</v>
      </c>
      <c r="E323" s="2">
        <f ca="1">IFERROR(__xludf.DUMMYFUNCTION("""COMPUTED_VALUE"""),151.98)</f>
        <v>151.97999999999999</v>
      </c>
      <c r="F323" s="2">
        <f ca="1">IFERROR(__xludf.DUMMYFUNCTION("""COMPUTED_VALUE"""),5929197)</f>
        <v>5929197</v>
      </c>
    </row>
    <row r="324" spans="1:6" ht="12.5" x14ac:dyDescent="0.25">
      <c r="A324" s="3">
        <f ca="1">IFERROR(__xludf.DUMMYFUNCTION("""COMPUTED_VALUE"""),45398.6666666666)</f>
        <v>45398.666666666599</v>
      </c>
      <c r="B324" s="2">
        <f ca="1">IFERROR(__xludf.DUMMYFUNCTION("""COMPUTED_VALUE"""),151.51)</f>
        <v>151.51</v>
      </c>
      <c r="C324" s="2">
        <f ca="1">IFERROR(__xludf.DUMMYFUNCTION("""COMPUTED_VALUE"""),152.07)</f>
        <v>152.07</v>
      </c>
      <c r="D324" s="2">
        <f ca="1">IFERROR(__xludf.DUMMYFUNCTION("""COMPUTED_VALUE"""),149.11)</f>
        <v>149.11000000000001</v>
      </c>
      <c r="E324" s="2">
        <f ca="1">IFERROR(__xludf.DUMMYFUNCTION("""COMPUTED_VALUE"""),150.3)</f>
        <v>150.30000000000001</v>
      </c>
      <c r="F324" s="2">
        <f ca="1">IFERROR(__xludf.DUMMYFUNCTION("""COMPUTED_VALUE"""),4705665)</f>
        <v>4705665</v>
      </c>
    </row>
    <row r="325" spans="1:6" ht="12.5" x14ac:dyDescent="0.25">
      <c r="A325" s="3">
        <f ca="1">IFERROR(__xludf.DUMMYFUNCTION("""COMPUTED_VALUE"""),45399.6666666666)</f>
        <v>45399.666666666599</v>
      </c>
      <c r="B325" s="2">
        <f ca="1">IFERROR(__xludf.DUMMYFUNCTION("""COMPUTED_VALUE"""),151.04)</f>
        <v>151.04</v>
      </c>
      <c r="C325" s="2">
        <f ca="1">IFERROR(__xludf.DUMMYFUNCTION("""COMPUTED_VALUE"""),152.44)</f>
        <v>152.44</v>
      </c>
      <c r="D325" s="2">
        <f ca="1">IFERROR(__xludf.DUMMYFUNCTION("""COMPUTED_VALUE"""),148.77)</f>
        <v>148.77000000000001</v>
      </c>
      <c r="E325" s="2">
        <f ca="1">IFERROR(__xludf.DUMMYFUNCTION("""COMPUTED_VALUE"""),148.8)</f>
        <v>148.80000000000001</v>
      </c>
      <c r="F325" s="2">
        <f ca="1">IFERROR(__xludf.DUMMYFUNCTION("""COMPUTED_VALUE"""),3767066)</f>
        <v>3767066</v>
      </c>
    </row>
    <row r="326" spans="1:6" ht="12.5" x14ac:dyDescent="0.25">
      <c r="A326" s="3">
        <f ca="1">IFERROR(__xludf.DUMMYFUNCTION("""COMPUTED_VALUE"""),45400.6666666666)</f>
        <v>45400.666666666599</v>
      </c>
      <c r="B326" s="2">
        <f ca="1">IFERROR(__xludf.DUMMYFUNCTION("""COMPUTED_VALUE"""),148.67)</f>
        <v>148.66999999999999</v>
      </c>
      <c r="C326" s="2">
        <f ca="1">IFERROR(__xludf.DUMMYFUNCTION("""COMPUTED_VALUE"""),150.9)</f>
        <v>150.9</v>
      </c>
      <c r="D326" s="2">
        <f ca="1">IFERROR(__xludf.DUMMYFUNCTION("""COMPUTED_VALUE"""),147.64)</f>
        <v>147.63999999999999</v>
      </c>
      <c r="E326" s="2">
        <f ca="1">IFERROR(__xludf.DUMMYFUNCTION("""COMPUTED_VALUE"""),148.41)</f>
        <v>148.41</v>
      </c>
      <c r="F326" s="2">
        <f ca="1">IFERROR(__xludf.DUMMYFUNCTION("""COMPUTED_VALUE"""),3795534)</f>
        <v>3795534</v>
      </c>
    </row>
    <row r="327" spans="1:6" ht="12.5" x14ac:dyDescent="0.25">
      <c r="A327" s="3">
        <f ca="1">IFERROR(__xludf.DUMMYFUNCTION("""COMPUTED_VALUE"""),45401.6666666666)</f>
        <v>45401.666666666599</v>
      </c>
      <c r="B327" s="2">
        <f ca="1">IFERROR(__xludf.DUMMYFUNCTION("""COMPUTED_VALUE"""),147.66)</f>
        <v>147.66</v>
      </c>
      <c r="C327" s="2">
        <f ca="1">IFERROR(__xludf.DUMMYFUNCTION("""COMPUTED_VALUE"""),150.09)</f>
        <v>150.09</v>
      </c>
      <c r="D327" s="2">
        <f ca="1">IFERROR(__xludf.DUMMYFUNCTION("""COMPUTED_VALUE"""),144.55)</f>
        <v>144.55000000000001</v>
      </c>
      <c r="E327" s="2">
        <f ca="1">IFERROR(__xludf.DUMMYFUNCTION("""COMPUTED_VALUE"""),145.45)</f>
        <v>145.44999999999999</v>
      </c>
      <c r="F327" s="2">
        <f ca="1">IFERROR(__xludf.DUMMYFUNCTION("""COMPUTED_VALUE"""),4974560)</f>
        <v>4974560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27"/>
  <sheetViews>
    <sheetView topLeftCell="A124" workbookViewId="0">
      <selection activeCell="F1" sqref="F1:F1048576"/>
    </sheetView>
  </sheetViews>
  <sheetFormatPr defaultColWidth="12.6328125" defaultRowHeight="15.75" customHeight="1" x14ac:dyDescent="0.25"/>
  <sheetData>
    <row r="1" spans="1:6" ht="15.75" customHeight="1" x14ac:dyDescent="0.25">
      <c r="A1" s="2" t="str">
        <f ca="1">IFERROR(__xludf.DUMMYFUNCTION("GOOGLEFINANCE(""TSLA"",""all"",DATE(2023,1,1), today())"),"Date")</f>
        <v>Date</v>
      </c>
      <c r="B1" s="2" t="str">
        <f ca="1">IFERROR(__xludf.DUMMYFUNCTION("""COMPUTED_VALUE"""),"Open")</f>
        <v>Open</v>
      </c>
      <c r="C1" s="2" t="str">
        <f ca="1">IFERROR(__xludf.DUMMYFUNCTION("""COMPUTED_VALUE"""),"High")</f>
        <v>High</v>
      </c>
      <c r="D1" s="2" t="str">
        <f ca="1">IFERROR(__xludf.DUMMYFUNCTION("""COMPUTED_VALUE"""),"Low")</f>
        <v>Low</v>
      </c>
      <c r="E1" s="2" t="str">
        <f ca="1">IFERROR(__xludf.DUMMYFUNCTION("""COMPUTED_VALUE"""),"Close")</f>
        <v>Close</v>
      </c>
      <c r="F1" s="2" t="str">
        <f ca="1">IFERROR(__xludf.DUMMYFUNCTION("""COMPUTED_VALUE"""),"Volume")</f>
        <v>Volume</v>
      </c>
    </row>
    <row r="2" spans="1:6" ht="15.75" customHeight="1" x14ac:dyDescent="0.25">
      <c r="A2" s="3">
        <f ca="1">IFERROR(__xludf.DUMMYFUNCTION("""COMPUTED_VALUE"""),44929.6666666666)</f>
        <v>44929.666666666599</v>
      </c>
      <c r="B2" s="2">
        <f ca="1">IFERROR(__xludf.DUMMYFUNCTION("""COMPUTED_VALUE"""),118.47)</f>
        <v>118.47</v>
      </c>
      <c r="C2" s="2">
        <f ca="1">IFERROR(__xludf.DUMMYFUNCTION("""COMPUTED_VALUE"""),118.8)</f>
        <v>118.8</v>
      </c>
      <c r="D2" s="2">
        <f ca="1">IFERROR(__xludf.DUMMYFUNCTION("""COMPUTED_VALUE"""),104.64)</f>
        <v>104.64</v>
      </c>
      <c r="E2" s="2">
        <f ca="1">IFERROR(__xludf.DUMMYFUNCTION("""COMPUTED_VALUE"""),108.1)</f>
        <v>108.1</v>
      </c>
      <c r="F2" s="2">
        <f ca="1">IFERROR(__xludf.DUMMYFUNCTION("""COMPUTED_VALUE"""),231402818)</f>
        <v>231402818</v>
      </c>
    </row>
    <row r="3" spans="1:6" ht="15.75" customHeight="1" x14ac:dyDescent="0.25">
      <c r="A3" s="3">
        <f ca="1">IFERROR(__xludf.DUMMYFUNCTION("""COMPUTED_VALUE"""),44930.6666666666)</f>
        <v>44930.666666666599</v>
      </c>
      <c r="B3" s="2">
        <f ca="1">IFERROR(__xludf.DUMMYFUNCTION("""COMPUTED_VALUE"""),109.11)</f>
        <v>109.11</v>
      </c>
      <c r="C3" s="2">
        <f ca="1">IFERROR(__xludf.DUMMYFUNCTION("""COMPUTED_VALUE"""),114.59)</f>
        <v>114.59</v>
      </c>
      <c r="D3" s="2">
        <f ca="1">IFERROR(__xludf.DUMMYFUNCTION("""COMPUTED_VALUE"""),107.52)</f>
        <v>107.52</v>
      </c>
      <c r="E3" s="2">
        <f ca="1">IFERROR(__xludf.DUMMYFUNCTION("""COMPUTED_VALUE"""),113.64)</f>
        <v>113.64</v>
      </c>
      <c r="F3" s="2">
        <f ca="1">IFERROR(__xludf.DUMMYFUNCTION("""COMPUTED_VALUE"""),180388976)</f>
        <v>180388976</v>
      </c>
    </row>
    <row r="4" spans="1:6" ht="15.75" customHeight="1" x14ac:dyDescent="0.25">
      <c r="A4" s="3">
        <f ca="1">IFERROR(__xludf.DUMMYFUNCTION("""COMPUTED_VALUE"""),44931.6666666666)</f>
        <v>44931.666666666599</v>
      </c>
      <c r="B4" s="2">
        <f ca="1">IFERROR(__xludf.DUMMYFUNCTION("""COMPUTED_VALUE"""),110.51)</f>
        <v>110.51</v>
      </c>
      <c r="C4" s="2">
        <f ca="1">IFERROR(__xludf.DUMMYFUNCTION("""COMPUTED_VALUE"""),111.75)</f>
        <v>111.75</v>
      </c>
      <c r="D4" s="2">
        <f ca="1">IFERROR(__xludf.DUMMYFUNCTION("""COMPUTED_VALUE"""),107.16)</f>
        <v>107.16</v>
      </c>
      <c r="E4" s="2">
        <f ca="1">IFERROR(__xludf.DUMMYFUNCTION("""COMPUTED_VALUE"""),110.34)</f>
        <v>110.34</v>
      </c>
      <c r="F4" s="2">
        <f ca="1">IFERROR(__xludf.DUMMYFUNCTION("""COMPUTED_VALUE"""),157986324)</f>
        <v>157986324</v>
      </c>
    </row>
    <row r="5" spans="1:6" ht="15.75" customHeight="1" x14ac:dyDescent="0.25">
      <c r="A5" s="3">
        <f ca="1">IFERROR(__xludf.DUMMYFUNCTION("""COMPUTED_VALUE"""),44932.6666666666)</f>
        <v>44932.666666666599</v>
      </c>
      <c r="B5" s="2">
        <f ca="1">IFERROR(__xludf.DUMMYFUNCTION("""COMPUTED_VALUE"""),103)</f>
        <v>103</v>
      </c>
      <c r="C5" s="2">
        <f ca="1">IFERROR(__xludf.DUMMYFUNCTION("""COMPUTED_VALUE"""),114.39)</f>
        <v>114.39</v>
      </c>
      <c r="D5" s="2">
        <f ca="1">IFERROR(__xludf.DUMMYFUNCTION("""COMPUTED_VALUE"""),101.81)</f>
        <v>101.81</v>
      </c>
      <c r="E5" s="2">
        <f ca="1">IFERROR(__xludf.DUMMYFUNCTION("""COMPUTED_VALUE"""),113.06)</f>
        <v>113.06</v>
      </c>
      <c r="F5" s="2">
        <f ca="1">IFERROR(__xludf.DUMMYFUNCTION("""COMPUTED_VALUE"""),220911051)</f>
        <v>220911051</v>
      </c>
    </row>
    <row r="6" spans="1:6" ht="15.75" customHeight="1" x14ac:dyDescent="0.25">
      <c r="A6" s="3">
        <f ca="1">IFERROR(__xludf.DUMMYFUNCTION("""COMPUTED_VALUE"""),44935.6666666666)</f>
        <v>44935.666666666599</v>
      </c>
      <c r="B6" s="2">
        <f ca="1">IFERROR(__xludf.DUMMYFUNCTION("""COMPUTED_VALUE"""),118.96)</f>
        <v>118.96</v>
      </c>
      <c r="C6" s="2">
        <f ca="1">IFERROR(__xludf.DUMMYFUNCTION("""COMPUTED_VALUE"""),123.52)</f>
        <v>123.52</v>
      </c>
      <c r="D6" s="2">
        <f ca="1">IFERROR(__xludf.DUMMYFUNCTION("""COMPUTED_VALUE"""),117.11)</f>
        <v>117.11</v>
      </c>
      <c r="E6" s="2">
        <f ca="1">IFERROR(__xludf.DUMMYFUNCTION("""COMPUTED_VALUE"""),119.77)</f>
        <v>119.77</v>
      </c>
      <c r="F6" s="2">
        <f ca="1">IFERROR(__xludf.DUMMYFUNCTION("""COMPUTED_VALUE"""),190283951)</f>
        <v>190283951</v>
      </c>
    </row>
    <row r="7" spans="1:6" ht="15.75" customHeight="1" x14ac:dyDescent="0.25">
      <c r="A7" s="3">
        <f ca="1">IFERROR(__xludf.DUMMYFUNCTION("""COMPUTED_VALUE"""),44936.6666666666)</f>
        <v>44936.666666666599</v>
      </c>
      <c r="B7" s="2">
        <f ca="1">IFERROR(__xludf.DUMMYFUNCTION("""COMPUTED_VALUE"""),121.07)</f>
        <v>121.07</v>
      </c>
      <c r="C7" s="2">
        <f ca="1">IFERROR(__xludf.DUMMYFUNCTION("""COMPUTED_VALUE"""),122.76)</f>
        <v>122.76</v>
      </c>
      <c r="D7" s="2">
        <f ca="1">IFERROR(__xludf.DUMMYFUNCTION("""COMPUTED_VALUE"""),114.92)</f>
        <v>114.92</v>
      </c>
      <c r="E7" s="2">
        <f ca="1">IFERROR(__xludf.DUMMYFUNCTION("""COMPUTED_VALUE"""),118.85)</f>
        <v>118.85</v>
      </c>
      <c r="F7" s="2">
        <f ca="1">IFERROR(__xludf.DUMMYFUNCTION("""COMPUTED_VALUE"""),167642485)</f>
        <v>167642485</v>
      </c>
    </row>
    <row r="8" spans="1:6" ht="15.75" customHeight="1" x14ac:dyDescent="0.25">
      <c r="A8" s="3">
        <f ca="1">IFERROR(__xludf.DUMMYFUNCTION("""COMPUTED_VALUE"""),44937.6666666666)</f>
        <v>44937.666666666599</v>
      </c>
      <c r="B8" s="2">
        <f ca="1">IFERROR(__xludf.DUMMYFUNCTION("""COMPUTED_VALUE"""),122.09)</f>
        <v>122.09</v>
      </c>
      <c r="C8" s="2">
        <f ca="1">IFERROR(__xludf.DUMMYFUNCTION("""COMPUTED_VALUE"""),125.95)</f>
        <v>125.95</v>
      </c>
      <c r="D8" s="2">
        <f ca="1">IFERROR(__xludf.DUMMYFUNCTION("""COMPUTED_VALUE"""),120.51)</f>
        <v>120.51</v>
      </c>
      <c r="E8" s="2">
        <f ca="1">IFERROR(__xludf.DUMMYFUNCTION("""COMPUTED_VALUE"""),123.22)</f>
        <v>123.22</v>
      </c>
      <c r="F8" s="2">
        <f ca="1">IFERROR(__xludf.DUMMYFUNCTION("""COMPUTED_VALUE"""),183810771)</f>
        <v>183810771</v>
      </c>
    </row>
    <row r="9" spans="1:6" ht="15.75" customHeight="1" x14ac:dyDescent="0.25">
      <c r="A9" s="3">
        <f ca="1">IFERROR(__xludf.DUMMYFUNCTION("""COMPUTED_VALUE"""),44938.6666666666)</f>
        <v>44938.666666666599</v>
      </c>
      <c r="B9" s="2">
        <f ca="1">IFERROR(__xludf.DUMMYFUNCTION("""COMPUTED_VALUE"""),122.56)</f>
        <v>122.56</v>
      </c>
      <c r="C9" s="2">
        <f ca="1">IFERROR(__xludf.DUMMYFUNCTION("""COMPUTED_VALUE"""),124.13)</f>
        <v>124.13</v>
      </c>
      <c r="D9" s="2">
        <f ca="1">IFERROR(__xludf.DUMMYFUNCTION("""COMPUTED_VALUE"""),117)</f>
        <v>117</v>
      </c>
      <c r="E9" s="2">
        <f ca="1">IFERROR(__xludf.DUMMYFUNCTION("""COMPUTED_VALUE"""),123.56)</f>
        <v>123.56</v>
      </c>
      <c r="F9" s="2">
        <f ca="1">IFERROR(__xludf.DUMMYFUNCTION("""COMPUTED_VALUE"""),169400913)</f>
        <v>169400913</v>
      </c>
    </row>
    <row r="10" spans="1:6" ht="15.75" customHeight="1" x14ac:dyDescent="0.25">
      <c r="A10" s="3">
        <f ca="1">IFERROR(__xludf.DUMMYFUNCTION("""COMPUTED_VALUE"""),44939.6666666666)</f>
        <v>44939.666666666599</v>
      </c>
      <c r="B10" s="2">
        <f ca="1">IFERROR(__xludf.DUMMYFUNCTION("""COMPUTED_VALUE"""),116.55)</f>
        <v>116.55</v>
      </c>
      <c r="C10" s="2">
        <f ca="1">IFERROR(__xludf.DUMMYFUNCTION("""COMPUTED_VALUE"""),122.63)</f>
        <v>122.63</v>
      </c>
      <c r="D10" s="2">
        <f ca="1">IFERROR(__xludf.DUMMYFUNCTION("""COMPUTED_VALUE"""),115.6)</f>
        <v>115.6</v>
      </c>
      <c r="E10" s="2">
        <f ca="1">IFERROR(__xludf.DUMMYFUNCTION("""COMPUTED_VALUE"""),122.4)</f>
        <v>122.4</v>
      </c>
      <c r="F10" s="2">
        <f ca="1">IFERROR(__xludf.DUMMYFUNCTION("""COMPUTED_VALUE"""),180714119)</f>
        <v>180714119</v>
      </c>
    </row>
    <row r="11" spans="1:6" ht="15.75" customHeight="1" x14ac:dyDescent="0.25">
      <c r="A11" s="3">
        <f ca="1">IFERROR(__xludf.DUMMYFUNCTION("""COMPUTED_VALUE"""),44943.6666666666)</f>
        <v>44943.666666666599</v>
      </c>
      <c r="B11" s="2">
        <f ca="1">IFERROR(__xludf.DUMMYFUNCTION("""COMPUTED_VALUE"""),125.7)</f>
        <v>125.7</v>
      </c>
      <c r="C11" s="2">
        <f ca="1">IFERROR(__xludf.DUMMYFUNCTION("""COMPUTED_VALUE"""),131.7)</f>
        <v>131.69999999999999</v>
      </c>
      <c r="D11" s="2">
        <f ca="1">IFERROR(__xludf.DUMMYFUNCTION("""COMPUTED_VALUE"""),125.02)</f>
        <v>125.02</v>
      </c>
      <c r="E11" s="2">
        <f ca="1">IFERROR(__xludf.DUMMYFUNCTION("""COMPUTED_VALUE"""),131.49)</f>
        <v>131.49</v>
      </c>
      <c r="F11" s="2">
        <f ca="1">IFERROR(__xludf.DUMMYFUNCTION("""COMPUTED_VALUE"""),186476985)</f>
        <v>186476985</v>
      </c>
    </row>
    <row r="12" spans="1:6" ht="15.75" customHeight="1" x14ac:dyDescent="0.25">
      <c r="A12" s="3">
        <f ca="1">IFERROR(__xludf.DUMMYFUNCTION("""COMPUTED_VALUE"""),44944.6666666666)</f>
        <v>44944.666666666599</v>
      </c>
      <c r="B12" s="2">
        <f ca="1">IFERROR(__xludf.DUMMYFUNCTION("""COMPUTED_VALUE"""),136.56)</f>
        <v>136.56</v>
      </c>
      <c r="C12" s="2">
        <f ca="1">IFERROR(__xludf.DUMMYFUNCTION("""COMPUTED_VALUE"""),136.68)</f>
        <v>136.68</v>
      </c>
      <c r="D12" s="2">
        <f ca="1">IFERROR(__xludf.DUMMYFUNCTION("""COMPUTED_VALUE"""),127.01)</f>
        <v>127.01</v>
      </c>
      <c r="E12" s="2">
        <f ca="1">IFERROR(__xludf.DUMMYFUNCTION("""COMPUTED_VALUE"""),128.78)</f>
        <v>128.78</v>
      </c>
      <c r="F12" s="2">
        <f ca="1">IFERROR(__xludf.DUMMYFUNCTION("""COMPUTED_VALUE"""),195680318)</f>
        <v>195680318</v>
      </c>
    </row>
    <row r="13" spans="1:6" ht="15.75" customHeight="1" x14ac:dyDescent="0.25">
      <c r="A13" s="3">
        <f ca="1">IFERROR(__xludf.DUMMYFUNCTION("""COMPUTED_VALUE"""),44945.6666666666)</f>
        <v>44945.666666666599</v>
      </c>
      <c r="B13" s="2">
        <f ca="1">IFERROR(__xludf.DUMMYFUNCTION("""COMPUTED_VALUE"""),127.26)</f>
        <v>127.26</v>
      </c>
      <c r="C13" s="2">
        <f ca="1">IFERROR(__xludf.DUMMYFUNCTION("""COMPUTED_VALUE"""),129.99)</f>
        <v>129.99</v>
      </c>
      <c r="D13" s="2">
        <f ca="1">IFERROR(__xludf.DUMMYFUNCTION("""COMPUTED_VALUE"""),124.31)</f>
        <v>124.31</v>
      </c>
      <c r="E13" s="2">
        <f ca="1">IFERROR(__xludf.DUMMYFUNCTION("""COMPUTED_VALUE"""),127.17)</f>
        <v>127.17</v>
      </c>
      <c r="F13" s="2">
        <f ca="1">IFERROR(__xludf.DUMMYFUNCTION("""COMPUTED_VALUE"""),170291880)</f>
        <v>170291880</v>
      </c>
    </row>
    <row r="14" spans="1:6" ht="15.75" customHeight="1" x14ac:dyDescent="0.25">
      <c r="A14" s="3">
        <f ca="1">IFERROR(__xludf.DUMMYFUNCTION("""COMPUTED_VALUE"""),44946.6666666666)</f>
        <v>44946.666666666599</v>
      </c>
      <c r="B14" s="2">
        <f ca="1">IFERROR(__xludf.DUMMYFUNCTION("""COMPUTED_VALUE"""),128.68)</f>
        <v>128.68</v>
      </c>
      <c r="C14" s="2">
        <f ca="1">IFERROR(__xludf.DUMMYFUNCTION("""COMPUTED_VALUE"""),133.51)</f>
        <v>133.51</v>
      </c>
      <c r="D14" s="2">
        <f ca="1">IFERROR(__xludf.DUMMYFUNCTION("""COMPUTED_VALUE"""),127.35)</f>
        <v>127.35</v>
      </c>
      <c r="E14" s="2">
        <f ca="1">IFERROR(__xludf.DUMMYFUNCTION("""COMPUTED_VALUE"""),133.42)</f>
        <v>133.41999999999999</v>
      </c>
      <c r="F14" s="2">
        <f ca="1">IFERROR(__xludf.DUMMYFUNCTION("""COMPUTED_VALUE"""),138858136)</f>
        <v>138858136</v>
      </c>
    </row>
    <row r="15" spans="1:6" ht="15.75" customHeight="1" x14ac:dyDescent="0.25">
      <c r="A15" s="3">
        <f ca="1">IFERROR(__xludf.DUMMYFUNCTION("""COMPUTED_VALUE"""),44949.6666666666)</f>
        <v>44949.666666666599</v>
      </c>
      <c r="B15" s="2">
        <f ca="1">IFERROR(__xludf.DUMMYFUNCTION("""COMPUTED_VALUE"""),135.87)</f>
        <v>135.87</v>
      </c>
      <c r="C15" s="2">
        <f ca="1">IFERROR(__xludf.DUMMYFUNCTION("""COMPUTED_VALUE"""),145.38)</f>
        <v>145.38</v>
      </c>
      <c r="D15" s="2">
        <f ca="1">IFERROR(__xludf.DUMMYFUNCTION("""COMPUTED_VALUE"""),134.27)</f>
        <v>134.27000000000001</v>
      </c>
      <c r="E15" s="2">
        <f ca="1">IFERROR(__xludf.DUMMYFUNCTION("""COMPUTED_VALUE"""),143.75)</f>
        <v>143.75</v>
      </c>
      <c r="F15" s="2">
        <f ca="1">IFERROR(__xludf.DUMMYFUNCTION("""COMPUTED_VALUE"""),203119211)</f>
        <v>203119211</v>
      </c>
    </row>
    <row r="16" spans="1:6" ht="15.75" customHeight="1" x14ac:dyDescent="0.25">
      <c r="A16" s="3">
        <f ca="1">IFERROR(__xludf.DUMMYFUNCTION("""COMPUTED_VALUE"""),44950.6666666666)</f>
        <v>44950.666666666599</v>
      </c>
      <c r="B16" s="2">
        <f ca="1">IFERROR(__xludf.DUMMYFUNCTION("""COMPUTED_VALUE"""),143)</f>
        <v>143</v>
      </c>
      <c r="C16" s="2">
        <f ca="1">IFERROR(__xludf.DUMMYFUNCTION("""COMPUTED_VALUE"""),146.5)</f>
        <v>146.5</v>
      </c>
      <c r="D16" s="2">
        <f ca="1">IFERROR(__xludf.DUMMYFUNCTION("""COMPUTED_VALUE"""),141.1)</f>
        <v>141.1</v>
      </c>
      <c r="E16" s="2">
        <f ca="1">IFERROR(__xludf.DUMMYFUNCTION("""COMPUTED_VALUE"""),143.89)</f>
        <v>143.88999999999999</v>
      </c>
      <c r="F16" s="2">
        <f ca="1">IFERROR(__xludf.DUMMYFUNCTION("""COMPUTED_VALUE"""),158699056)</f>
        <v>158699056</v>
      </c>
    </row>
    <row r="17" spans="1:6" ht="15.75" customHeight="1" x14ac:dyDescent="0.25">
      <c r="A17" s="3">
        <f ca="1">IFERROR(__xludf.DUMMYFUNCTION("""COMPUTED_VALUE"""),44951.6666666666)</f>
        <v>44951.666666666599</v>
      </c>
      <c r="B17" s="2">
        <f ca="1">IFERROR(__xludf.DUMMYFUNCTION("""COMPUTED_VALUE"""),141.91)</f>
        <v>141.91</v>
      </c>
      <c r="C17" s="2">
        <f ca="1">IFERROR(__xludf.DUMMYFUNCTION("""COMPUTED_VALUE"""),146.41)</f>
        <v>146.41</v>
      </c>
      <c r="D17" s="2">
        <f ca="1">IFERROR(__xludf.DUMMYFUNCTION("""COMPUTED_VALUE"""),138.07)</f>
        <v>138.07</v>
      </c>
      <c r="E17" s="2">
        <f ca="1">IFERROR(__xludf.DUMMYFUNCTION("""COMPUTED_VALUE"""),144.43)</f>
        <v>144.43</v>
      </c>
      <c r="F17" s="2">
        <f ca="1">IFERROR(__xludf.DUMMYFUNCTION("""COMPUTED_VALUE"""),192734347)</f>
        <v>192734347</v>
      </c>
    </row>
    <row r="18" spans="1:6" ht="15.75" customHeight="1" x14ac:dyDescent="0.25">
      <c r="A18" s="3">
        <f ca="1">IFERROR(__xludf.DUMMYFUNCTION("""COMPUTED_VALUE"""),44952.6666666666)</f>
        <v>44952.666666666599</v>
      </c>
      <c r="B18" s="2">
        <f ca="1">IFERROR(__xludf.DUMMYFUNCTION("""COMPUTED_VALUE"""),159.97)</f>
        <v>159.97</v>
      </c>
      <c r="C18" s="2">
        <f ca="1">IFERROR(__xludf.DUMMYFUNCTION("""COMPUTED_VALUE"""),161.42)</f>
        <v>161.41999999999999</v>
      </c>
      <c r="D18" s="2">
        <f ca="1">IFERROR(__xludf.DUMMYFUNCTION("""COMPUTED_VALUE"""),154.76)</f>
        <v>154.76</v>
      </c>
      <c r="E18" s="2">
        <f ca="1">IFERROR(__xludf.DUMMYFUNCTION("""COMPUTED_VALUE"""),160.27)</f>
        <v>160.27000000000001</v>
      </c>
      <c r="F18" s="2">
        <f ca="1">IFERROR(__xludf.DUMMYFUNCTION("""COMPUTED_VALUE"""),234815090)</f>
        <v>234815090</v>
      </c>
    </row>
    <row r="19" spans="1:6" ht="15.75" customHeight="1" x14ac:dyDescent="0.25">
      <c r="A19" s="3">
        <f ca="1">IFERROR(__xludf.DUMMYFUNCTION("""COMPUTED_VALUE"""),44953.6666666666)</f>
        <v>44953.666666666599</v>
      </c>
      <c r="B19" s="2">
        <f ca="1">IFERROR(__xludf.DUMMYFUNCTION("""COMPUTED_VALUE"""),162.43)</f>
        <v>162.43</v>
      </c>
      <c r="C19" s="2">
        <f ca="1">IFERROR(__xludf.DUMMYFUNCTION("""COMPUTED_VALUE"""),180.68)</f>
        <v>180.68</v>
      </c>
      <c r="D19" s="2">
        <f ca="1">IFERROR(__xludf.DUMMYFUNCTION("""COMPUTED_VALUE"""),161.17)</f>
        <v>161.16999999999999</v>
      </c>
      <c r="E19" s="2">
        <f ca="1">IFERROR(__xludf.DUMMYFUNCTION("""COMPUTED_VALUE"""),177.9)</f>
        <v>177.9</v>
      </c>
      <c r="F19" s="2">
        <f ca="1">IFERROR(__xludf.DUMMYFUNCTION("""COMPUTED_VALUE"""),306590613)</f>
        <v>306590613</v>
      </c>
    </row>
    <row r="20" spans="1:6" ht="15.75" customHeight="1" x14ac:dyDescent="0.25">
      <c r="A20" s="3">
        <f ca="1">IFERROR(__xludf.DUMMYFUNCTION("""COMPUTED_VALUE"""),44956.6666666666)</f>
        <v>44956.666666666599</v>
      </c>
      <c r="B20" s="2">
        <f ca="1">IFERROR(__xludf.DUMMYFUNCTION("""COMPUTED_VALUE"""),178.05)</f>
        <v>178.05</v>
      </c>
      <c r="C20" s="2">
        <f ca="1">IFERROR(__xludf.DUMMYFUNCTION("""COMPUTED_VALUE"""),179.77)</f>
        <v>179.77</v>
      </c>
      <c r="D20" s="2">
        <f ca="1">IFERROR(__xludf.DUMMYFUNCTION("""COMPUTED_VALUE"""),166.5)</f>
        <v>166.5</v>
      </c>
      <c r="E20" s="2">
        <f ca="1">IFERROR(__xludf.DUMMYFUNCTION("""COMPUTED_VALUE"""),166.66)</f>
        <v>166.66</v>
      </c>
      <c r="F20" s="2">
        <f ca="1">IFERROR(__xludf.DUMMYFUNCTION("""COMPUTED_VALUE"""),230878807)</f>
        <v>230878807</v>
      </c>
    </row>
    <row r="21" spans="1:6" ht="15.75" customHeight="1" x14ac:dyDescent="0.25">
      <c r="A21" s="3">
        <f ca="1">IFERROR(__xludf.DUMMYFUNCTION("""COMPUTED_VALUE"""),44957.6666666666)</f>
        <v>44957.666666666599</v>
      </c>
      <c r="B21" s="2">
        <f ca="1">IFERROR(__xludf.DUMMYFUNCTION("""COMPUTED_VALUE"""),164.57)</f>
        <v>164.57</v>
      </c>
      <c r="C21" s="2">
        <f ca="1">IFERROR(__xludf.DUMMYFUNCTION("""COMPUTED_VALUE"""),174.3)</f>
        <v>174.3</v>
      </c>
      <c r="D21" s="2">
        <f ca="1">IFERROR(__xludf.DUMMYFUNCTION("""COMPUTED_VALUE"""),162.78)</f>
        <v>162.78</v>
      </c>
      <c r="E21" s="2">
        <f ca="1">IFERROR(__xludf.DUMMYFUNCTION("""COMPUTED_VALUE"""),173.22)</f>
        <v>173.22</v>
      </c>
      <c r="F21" s="2">
        <f ca="1">IFERROR(__xludf.DUMMYFUNCTION("""COMPUTED_VALUE"""),196813541)</f>
        <v>196813541</v>
      </c>
    </row>
    <row r="22" spans="1:6" ht="15.75" customHeight="1" x14ac:dyDescent="0.25">
      <c r="A22" s="3">
        <f ca="1">IFERROR(__xludf.DUMMYFUNCTION("""COMPUTED_VALUE"""),44958.6666666666)</f>
        <v>44958.666666666599</v>
      </c>
      <c r="B22" s="2">
        <f ca="1">IFERROR(__xludf.DUMMYFUNCTION("""COMPUTED_VALUE"""),173.89)</f>
        <v>173.89</v>
      </c>
      <c r="C22" s="2">
        <f ca="1">IFERROR(__xludf.DUMMYFUNCTION("""COMPUTED_VALUE"""),183.81)</f>
        <v>183.81</v>
      </c>
      <c r="D22" s="2">
        <f ca="1">IFERROR(__xludf.DUMMYFUNCTION("""COMPUTED_VALUE"""),169.93)</f>
        <v>169.93</v>
      </c>
      <c r="E22" s="2">
        <f ca="1">IFERROR(__xludf.DUMMYFUNCTION("""COMPUTED_VALUE"""),181.41)</f>
        <v>181.41</v>
      </c>
      <c r="F22" s="2">
        <f ca="1">IFERROR(__xludf.DUMMYFUNCTION("""COMPUTED_VALUE"""),213806323)</f>
        <v>213806323</v>
      </c>
    </row>
    <row r="23" spans="1:6" ht="15.75" customHeight="1" x14ac:dyDescent="0.25">
      <c r="A23" s="3">
        <f ca="1">IFERROR(__xludf.DUMMYFUNCTION("""COMPUTED_VALUE"""),44959.6666666666)</f>
        <v>44959.666666666599</v>
      </c>
      <c r="B23" s="2">
        <f ca="1">IFERROR(__xludf.DUMMYFUNCTION("""COMPUTED_VALUE"""),187.33)</f>
        <v>187.33</v>
      </c>
      <c r="C23" s="2">
        <f ca="1">IFERROR(__xludf.DUMMYFUNCTION("""COMPUTED_VALUE"""),196.75)</f>
        <v>196.75</v>
      </c>
      <c r="D23" s="2">
        <f ca="1">IFERROR(__xludf.DUMMYFUNCTION("""COMPUTED_VALUE"""),182.61)</f>
        <v>182.61</v>
      </c>
      <c r="E23" s="2">
        <f ca="1">IFERROR(__xludf.DUMMYFUNCTION("""COMPUTED_VALUE"""),188.27)</f>
        <v>188.27</v>
      </c>
      <c r="F23" s="2">
        <f ca="1">IFERROR(__xludf.DUMMYFUNCTION("""COMPUTED_VALUE"""),217448287)</f>
        <v>217448287</v>
      </c>
    </row>
    <row r="24" spans="1:6" ht="15.75" customHeight="1" x14ac:dyDescent="0.25">
      <c r="A24" s="3">
        <f ca="1">IFERROR(__xludf.DUMMYFUNCTION("""COMPUTED_VALUE"""),44960.6666666666)</f>
        <v>44960.666666666599</v>
      </c>
      <c r="B24" s="2">
        <f ca="1">IFERROR(__xludf.DUMMYFUNCTION("""COMPUTED_VALUE"""),183.95)</f>
        <v>183.95</v>
      </c>
      <c r="C24" s="2">
        <f ca="1">IFERROR(__xludf.DUMMYFUNCTION("""COMPUTED_VALUE"""),199)</f>
        <v>199</v>
      </c>
      <c r="D24" s="2">
        <f ca="1">IFERROR(__xludf.DUMMYFUNCTION("""COMPUTED_VALUE"""),183.69)</f>
        <v>183.69</v>
      </c>
      <c r="E24" s="2">
        <f ca="1">IFERROR(__xludf.DUMMYFUNCTION("""COMPUTED_VALUE"""),189.98)</f>
        <v>189.98</v>
      </c>
      <c r="F24" s="2">
        <f ca="1">IFERROR(__xludf.DUMMYFUNCTION("""COMPUTED_VALUE"""),232662023)</f>
        <v>232662023</v>
      </c>
    </row>
    <row r="25" spans="1:6" ht="15.75" customHeight="1" x14ac:dyDescent="0.25">
      <c r="A25" s="3">
        <f ca="1">IFERROR(__xludf.DUMMYFUNCTION("""COMPUTED_VALUE"""),44963.6666666666)</f>
        <v>44963.666666666599</v>
      </c>
      <c r="B25" s="2">
        <f ca="1">IFERROR(__xludf.DUMMYFUNCTION("""COMPUTED_VALUE"""),193.01)</f>
        <v>193.01</v>
      </c>
      <c r="C25" s="2">
        <f ca="1">IFERROR(__xludf.DUMMYFUNCTION("""COMPUTED_VALUE"""),198.17)</f>
        <v>198.17</v>
      </c>
      <c r="D25" s="2">
        <f ca="1">IFERROR(__xludf.DUMMYFUNCTION("""COMPUTED_VALUE"""),189.92)</f>
        <v>189.92</v>
      </c>
      <c r="E25" s="2">
        <f ca="1">IFERROR(__xludf.DUMMYFUNCTION("""COMPUTED_VALUE"""),194.76)</f>
        <v>194.76</v>
      </c>
      <c r="F25" s="2">
        <f ca="1">IFERROR(__xludf.DUMMYFUNCTION("""COMPUTED_VALUE"""),186188131)</f>
        <v>186188131</v>
      </c>
    </row>
    <row r="26" spans="1:6" ht="15.75" customHeight="1" x14ac:dyDescent="0.25">
      <c r="A26" s="3">
        <f ca="1">IFERROR(__xludf.DUMMYFUNCTION("""COMPUTED_VALUE"""),44964.6666666666)</f>
        <v>44964.666666666599</v>
      </c>
      <c r="B26" s="2">
        <f ca="1">IFERROR(__xludf.DUMMYFUNCTION("""COMPUTED_VALUE"""),196.43)</f>
        <v>196.43</v>
      </c>
      <c r="C26" s="2">
        <f ca="1">IFERROR(__xludf.DUMMYFUNCTION("""COMPUTED_VALUE"""),197.5)</f>
        <v>197.5</v>
      </c>
      <c r="D26" s="2">
        <f ca="1">IFERROR(__xludf.DUMMYFUNCTION("""COMPUTED_VALUE"""),189.55)</f>
        <v>189.55</v>
      </c>
      <c r="E26" s="2">
        <f ca="1">IFERROR(__xludf.DUMMYFUNCTION("""COMPUTED_VALUE"""),196.81)</f>
        <v>196.81</v>
      </c>
      <c r="F26" s="2">
        <f ca="1">IFERROR(__xludf.DUMMYFUNCTION("""COMPUTED_VALUE"""),186010325)</f>
        <v>186010325</v>
      </c>
    </row>
    <row r="27" spans="1:6" ht="15.75" customHeight="1" x14ac:dyDescent="0.25">
      <c r="A27" s="3">
        <f ca="1">IFERROR(__xludf.DUMMYFUNCTION("""COMPUTED_VALUE"""),44965.6666666666)</f>
        <v>44965.666666666599</v>
      </c>
      <c r="B27" s="2">
        <f ca="1">IFERROR(__xludf.DUMMYFUNCTION("""COMPUTED_VALUE"""),196.1)</f>
        <v>196.1</v>
      </c>
      <c r="C27" s="2">
        <f ca="1">IFERROR(__xludf.DUMMYFUNCTION("""COMPUTED_VALUE"""),203)</f>
        <v>203</v>
      </c>
      <c r="D27" s="2">
        <f ca="1">IFERROR(__xludf.DUMMYFUNCTION("""COMPUTED_VALUE"""),194.31)</f>
        <v>194.31</v>
      </c>
      <c r="E27" s="2">
        <f ca="1">IFERROR(__xludf.DUMMYFUNCTION("""COMPUTED_VALUE"""),201.29)</f>
        <v>201.29</v>
      </c>
      <c r="F27" s="2">
        <f ca="1">IFERROR(__xludf.DUMMYFUNCTION("""COMPUTED_VALUE"""),180673644)</f>
        <v>180673644</v>
      </c>
    </row>
    <row r="28" spans="1:6" ht="15.75" customHeight="1" x14ac:dyDescent="0.25">
      <c r="A28" s="3">
        <f ca="1">IFERROR(__xludf.DUMMYFUNCTION("""COMPUTED_VALUE"""),44966.6666666666)</f>
        <v>44966.666666666599</v>
      </c>
      <c r="B28" s="2">
        <f ca="1">IFERROR(__xludf.DUMMYFUNCTION("""COMPUTED_VALUE"""),207.78)</f>
        <v>207.78</v>
      </c>
      <c r="C28" s="2">
        <f ca="1">IFERROR(__xludf.DUMMYFUNCTION("""COMPUTED_VALUE"""),214)</f>
        <v>214</v>
      </c>
      <c r="D28" s="2">
        <f ca="1">IFERROR(__xludf.DUMMYFUNCTION("""COMPUTED_VALUE"""),204.77)</f>
        <v>204.77</v>
      </c>
      <c r="E28" s="2">
        <f ca="1">IFERROR(__xludf.DUMMYFUNCTION("""COMPUTED_VALUE"""),207.32)</f>
        <v>207.32</v>
      </c>
      <c r="F28" s="2">
        <f ca="1">IFERROR(__xludf.DUMMYFUNCTION("""COMPUTED_VALUE"""),215431442)</f>
        <v>215431442</v>
      </c>
    </row>
    <row r="29" spans="1:6" ht="15.75" customHeight="1" x14ac:dyDescent="0.25">
      <c r="A29" s="3">
        <f ca="1">IFERROR(__xludf.DUMMYFUNCTION("""COMPUTED_VALUE"""),44967.6666666666)</f>
        <v>44967.666666666599</v>
      </c>
      <c r="B29" s="2">
        <f ca="1">IFERROR(__xludf.DUMMYFUNCTION("""COMPUTED_VALUE"""),202.23)</f>
        <v>202.23</v>
      </c>
      <c r="C29" s="2">
        <f ca="1">IFERROR(__xludf.DUMMYFUNCTION("""COMPUTED_VALUE"""),206.2)</f>
        <v>206.2</v>
      </c>
      <c r="D29" s="2">
        <f ca="1">IFERROR(__xludf.DUMMYFUNCTION("""COMPUTED_VALUE"""),192.89)</f>
        <v>192.89</v>
      </c>
      <c r="E29" s="2">
        <f ca="1">IFERROR(__xludf.DUMMYFUNCTION("""COMPUTED_VALUE"""),196.89)</f>
        <v>196.89</v>
      </c>
      <c r="F29" s="2">
        <f ca="1">IFERROR(__xludf.DUMMYFUNCTION("""COMPUTED_VALUE"""),204754129)</f>
        <v>204754129</v>
      </c>
    </row>
    <row r="30" spans="1:6" ht="15.75" customHeight="1" x14ac:dyDescent="0.25">
      <c r="A30" s="3">
        <f ca="1">IFERROR(__xludf.DUMMYFUNCTION("""COMPUTED_VALUE"""),44970.6666666666)</f>
        <v>44970.666666666599</v>
      </c>
      <c r="B30" s="2">
        <f ca="1">IFERROR(__xludf.DUMMYFUNCTION("""COMPUTED_VALUE"""),194.42)</f>
        <v>194.42</v>
      </c>
      <c r="C30" s="2">
        <f ca="1">IFERROR(__xludf.DUMMYFUNCTION("""COMPUTED_VALUE"""),196.3)</f>
        <v>196.3</v>
      </c>
      <c r="D30" s="2">
        <f ca="1">IFERROR(__xludf.DUMMYFUNCTION("""COMPUTED_VALUE"""),187.61)</f>
        <v>187.61</v>
      </c>
      <c r="E30" s="2">
        <f ca="1">IFERROR(__xludf.DUMMYFUNCTION("""COMPUTED_VALUE"""),194.64)</f>
        <v>194.64</v>
      </c>
      <c r="F30" s="2">
        <f ca="1">IFERROR(__xludf.DUMMYFUNCTION("""COMPUTED_VALUE"""),172475452)</f>
        <v>172475452</v>
      </c>
    </row>
    <row r="31" spans="1:6" ht="15.75" customHeight="1" x14ac:dyDescent="0.25">
      <c r="A31" s="3">
        <f ca="1">IFERROR(__xludf.DUMMYFUNCTION("""COMPUTED_VALUE"""),44971.6666666666)</f>
        <v>44971.666666666599</v>
      </c>
      <c r="B31" s="2">
        <f ca="1">IFERROR(__xludf.DUMMYFUNCTION("""COMPUTED_VALUE"""),191.94)</f>
        <v>191.94</v>
      </c>
      <c r="C31" s="2">
        <f ca="1">IFERROR(__xludf.DUMMYFUNCTION("""COMPUTED_VALUE"""),209.82)</f>
        <v>209.82</v>
      </c>
      <c r="D31" s="2">
        <f ca="1">IFERROR(__xludf.DUMMYFUNCTION("""COMPUTED_VALUE"""),189.44)</f>
        <v>189.44</v>
      </c>
      <c r="E31" s="2">
        <f ca="1">IFERROR(__xludf.DUMMYFUNCTION("""COMPUTED_VALUE"""),209.25)</f>
        <v>209.25</v>
      </c>
      <c r="F31" s="2">
        <f ca="1">IFERROR(__xludf.DUMMYFUNCTION("""COMPUTED_VALUE"""),216455708)</f>
        <v>216455708</v>
      </c>
    </row>
    <row r="32" spans="1:6" ht="15.75" customHeight="1" x14ac:dyDescent="0.25">
      <c r="A32" s="3">
        <f ca="1">IFERROR(__xludf.DUMMYFUNCTION("""COMPUTED_VALUE"""),44972.6666666666)</f>
        <v>44972.666666666599</v>
      </c>
      <c r="B32" s="2">
        <f ca="1">IFERROR(__xludf.DUMMYFUNCTION("""COMPUTED_VALUE"""),211.76)</f>
        <v>211.76</v>
      </c>
      <c r="C32" s="2">
        <f ca="1">IFERROR(__xludf.DUMMYFUNCTION("""COMPUTED_VALUE"""),214.66)</f>
        <v>214.66</v>
      </c>
      <c r="D32" s="2">
        <f ca="1">IFERROR(__xludf.DUMMYFUNCTION("""COMPUTED_VALUE"""),206.11)</f>
        <v>206.11</v>
      </c>
      <c r="E32" s="2">
        <f ca="1">IFERROR(__xludf.DUMMYFUNCTION("""COMPUTED_VALUE"""),214.24)</f>
        <v>214.24</v>
      </c>
      <c r="F32" s="2">
        <f ca="1">IFERROR(__xludf.DUMMYFUNCTION("""COMPUTED_VALUE"""),182108581)</f>
        <v>182108581</v>
      </c>
    </row>
    <row r="33" spans="1:6" ht="15.75" customHeight="1" x14ac:dyDescent="0.25">
      <c r="A33" s="3">
        <f ca="1">IFERROR(__xludf.DUMMYFUNCTION("""COMPUTED_VALUE"""),44973.6666666666)</f>
        <v>44973.666666666599</v>
      </c>
      <c r="B33" s="2">
        <f ca="1">IFERROR(__xludf.DUMMYFUNCTION("""COMPUTED_VALUE"""),210.78)</f>
        <v>210.78</v>
      </c>
      <c r="C33" s="2">
        <f ca="1">IFERROR(__xludf.DUMMYFUNCTION("""COMPUTED_VALUE"""),217.65)</f>
        <v>217.65</v>
      </c>
      <c r="D33" s="2">
        <f ca="1">IFERROR(__xludf.DUMMYFUNCTION("""COMPUTED_VALUE"""),201.84)</f>
        <v>201.84</v>
      </c>
      <c r="E33" s="2">
        <f ca="1">IFERROR(__xludf.DUMMYFUNCTION("""COMPUTED_VALUE"""),202.04)</f>
        <v>202.04</v>
      </c>
      <c r="F33" s="2">
        <f ca="1">IFERROR(__xludf.DUMMYFUNCTION("""COMPUTED_VALUE"""),229586538)</f>
        <v>229586538</v>
      </c>
    </row>
    <row r="34" spans="1:6" ht="15.75" customHeight="1" x14ac:dyDescent="0.25">
      <c r="A34" s="3">
        <f ca="1">IFERROR(__xludf.DUMMYFUNCTION("""COMPUTED_VALUE"""),44974.6666666666)</f>
        <v>44974.666666666599</v>
      </c>
      <c r="B34" s="2">
        <f ca="1">IFERROR(__xludf.DUMMYFUNCTION("""COMPUTED_VALUE"""),199.99)</f>
        <v>199.99</v>
      </c>
      <c r="C34" s="2">
        <f ca="1">IFERROR(__xludf.DUMMYFUNCTION("""COMPUTED_VALUE"""),208.44)</f>
        <v>208.44</v>
      </c>
      <c r="D34" s="2">
        <f ca="1">IFERROR(__xludf.DUMMYFUNCTION("""COMPUTED_VALUE"""),197.5)</f>
        <v>197.5</v>
      </c>
      <c r="E34" s="2">
        <f ca="1">IFERROR(__xludf.DUMMYFUNCTION("""COMPUTED_VALUE"""),208.31)</f>
        <v>208.31</v>
      </c>
      <c r="F34" s="2">
        <f ca="1">IFERROR(__xludf.DUMMYFUNCTION("""COMPUTED_VALUE"""),213738549)</f>
        <v>213738549</v>
      </c>
    </row>
    <row r="35" spans="1:6" ht="15.75" customHeight="1" x14ac:dyDescent="0.25">
      <c r="A35" s="3">
        <f ca="1">IFERROR(__xludf.DUMMYFUNCTION("""COMPUTED_VALUE"""),44978.6666666666)</f>
        <v>44978.666666666599</v>
      </c>
      <c r="B35" s="2">
        <f ca="1">IFERROR(__xludf.DUMMYFUNCTION("""COMPUTED_VALUE"""),204.99)</f>
        <v>204.99</v>
      </c>
      <c r="C35" s="2">
        <f ca="1">IFERROR(__xludf.DUMMYFUNCTION("""COMPUTED_VALUE"""),209.71)</f>
        <v>209.71</v>
      </c>
      <c r="D35" s="2">
        <f ca="1">IFERROR(__xludf.DUMMYFUNCTION("""COMPUTED_VALUE"""),197.22)</f>
        <v>197.22</v>
      </c>
      <c r="E35" s="2">
        <f ca="1">IFERROR(__xludf.DUMMYFUNCTION("""COMPUTED_VALUE"""),197.37)</f>
        <v>197.37</v>
      </c>
      <c r="F35" s="2">
        <f ca="1">IFERROR(__xludf.DUMMYFUNCTION("""COMPUTED_VALUE"""),180018588)</f>
        <v>180018588</v>
      </c>
    </row>
    <row r="36" spans="1:6" ht="15.75" customHeight="1" x14ac:dyDescent="0.25">
      <c r="A36" s="3">
        <f ca="1">IFERROR(__xludf.DUMMYFUNCTION("""COMPUTED_VALUE"""),44979.6666666666)</f>
        <v>44979.666666666599</v>
      </c>
      <c r="B36" s="2">
        <f ca="1">IFERROR(__xludf.DUMMYFUNCTION("""COMPUTED_VALUE"""),197.93)</f>
        <v>197.93</v>
      </c>
      <c r="C36" s="2">
        <f ca="1">IFERROR(__xludf.DUMMYFUNCTION("""COMPUTED_VALUE"""),201.99)</f>
        <v>201.99</v>
      </c>
      <c r="D36" s="2">
        <f ca="1">IFERROR(__xludf.DUMMYFUNCTION("""COMPUTED_VALUE"""),191.78)</f>
        <v>191.78</v>
      </c>
      <c r="E36" s="2">
        <f ca="1">IFERROR(__xludf.DUMMYFUNCTION("""COMPUTED_VALUE"""),200.86)</f>
        <v>200.86</v>
      </c>
      <c r="F36" s="2">
        <f ca="1">IFERROR(__xludf.DUMMYFUNCTION("""COMPUTED_VALUE"""),191828457)</f>
        <v>191828457</v>
      </c>
    </row>
    <row r="37" spans="1:6" ht="15.75" customHeight="1" x14ac:dyDescent="0.25">
      <c r="A37" s="3">
        <f ca="1">IFERROR(__xludf.DUMMYFUNCTION("""COMPUTED_VALUE"""),44980.6666666666)</f>
        <v>44980.666666666599</v>
      </c>
      <c r="B37" s="2">
        <f ca="1">IFERROR(__xludf.DUMMYFUNCTION("""COMPUTED_VALUE"""),203.91)</f>
        <v>203.91</v>
      </c>
      <c r="C37" s="2">
        <f ca="1">IFERROR(__xludf.DUMMYFUNCTION("""COMPUTED_VALUE"""),205.14)</f>
        <v>205.14</v>
      </c>
      <c r="D37" s="2">
        <f ca="1">IFERROR(__xludf.DUMMYFUNCTION("""COMPUTED_VALUE"""),196.33)</f>
        <v>196.33</v>
      </c>
      <c r="E37" s="2">
        <f ca="1">IFERROR(__xludf.DUMMYFUNCTION("""COMPUTED_VALUE"""),202.07)</f>
        <v>202.07</v>
      </c>
      <c r="F37" s="2">
        <f ca="1">IFERROR(__xludf.DUMMYFUNCTION("""COMPUTED_VALUE"""),146359950)</f>
        <v>146359950</v>
      </c>
    </row>
    <row r="38" spans="1:6" ht="15.75" customHeight="1" x14ac:dyDescent="0.25">
      <c r="A38" s="3">
        <f ca="1">IFERROR(__xludf.DUMMYFUNCTION("""COMPUTED_VALUE"""),44981.6666666666)</f>
        <v>44981.666666666599</v>
      </c>
      <c r="B38" s="2">
        <f ca="1">IFERROR(__xludf.DUMMYFUNCTION("""COMPUTED_VALUE"""),196.33)</f>
        <v>196.33</v>
      </c>
      <c r="C38" s="2">
        <f ca="1">IFERROR(__xludf.DUMMYFUNCTION("""COMPUTED_VALUE"""),197.67)</f>
        <v>197.67</v>
      </c>
      <c r="D38" s="2">
        <f ca="1">IFERROR(__xludf.DUMMYFUNCTION("""COMPUTED_VALUE"""),192.8)</f>
        <v>192.8</v>
      </c>
      <c r="E38" s="2">
        <f ca="1">IFERROR(__xludf.DUMMYFUNCTION("""COMPUTED_VALUE"""),196.88)</f>
        <v>196.88</v>
      </c>
      <c r="F38" s="2">
        <f ca="1">IFERROR(__xludf.DUMMYFUNCTION("""COMPUTED_VALUE"""),142228105)</f>
        <v>142228105</v>
      </c>
    </row>
    <row r="39" spans="1:6" ht="15.75" customHeight="1" x14ac:dyDescent="0.25">
      <c r="A39" s="3">
        <f ca="1">IFERROR(__xludf.DUMMYFUNCTION("""COMPUTED_VALUE"""),44984.6666666666)</f>
        <v>44984.666666666599</v>
      </c>
      <c r="B39" s="2">
        <f ca="1">IFERROR(__xludf.DUMMYFUNCTION("""COMPUTED_VALUE"""),202.03)</f>
        <v>202.03</v>
      </c>
      <c r="C39" s="2">
        <f ca="1">IFERROR(__xludf.DUMMYFUNCTION("""COMPUTED_VALUE"""),209.42)</f>
        <v>209.42</v>
      </c>
      <c r="D39" s="2">
        <f ca="1">IFERROR(__xludf.DUMMYFUNCTION("""COMPUTED_VALUE"""),201.26)</f>
        <v>201.26</v>
      </c>
      <c r="E39" s="2">
        <f ca="1">IFERROR(__xludf.DUMMYFUNCTION("""COMPUTED_VALUE"""),207.63)</f>
        <v>207.63</v>
      </c>
      <c r="F39" s="2">
        <f ca="1">IFERROR(__xludf.DUMMYFUNCTION("""COMPUTED_VALUE"""),161028315)</f>
        <v>161028315</v>
      </c>
    </row>
    <row r="40" spans="1:6" ht="12.5" x14ac:dyDescent="0.25">
      <c r="A40" s="3">
        <f ca="1">IFERROR(__xludf.DUMMYFUNCTION("""COMPUTED_VALUE"""),44985.6666666666)</f>
        <v>44985.666666666599</v>
      </c>
      <c r="B40" s="2">
        <f ca="1">IFERROR(__xludf.DUMMYFUNCTION("""COMPUTED_VALUE"""),210.59)</f>
        <v>210.59</v>
      </c>
      <c r="C40" s="2">
        <f ca="1">IFERROR(__xludf.DUMMYFUNCTION("""COMPUTED_VALUE"""),211.23)</f>
        <v>211.23</v>
      </c>
      <c r="D40" s="2">
        <f ca="1">IFERROR(__xludf.DUMMYFUNCTION("""COMPUTED_VALUE"""),203.75)</f>
        <v>203.75</v>
      </c>
      <c r="E40" s="2">
        <f ca="1">IFERROR(__xludf.DUMMYFUNCTION("""COMPUTED_VALUE"""),205.71)</f>
        <v>205.71</v>
      </c>
      <c r="F40" s="2">
        <f ca="1">IFERROR(__xludf.DUMMYFUNCTION("""COMPUTED_VALUE"""),153144912)</f>
        <v>153144912</v>
      </c>
    </row>
    <row r="41" spans="1:6" ht="12.5" x14ac:dyDescent="0.25">
      <c r="A41" s="3">
        <f ca="1">IFERROR(__xludf.DUMMYFUNCTION("""COMPUTED_VALUE"""),44986.6666666666)</f>
        <v>44986.666666666599</v>
      </c>
      <c r="B41" s="2">
        <f ca="1">IFERROR(__xludf.DUMMYFUNCTION("""COMPUTED_VALUE"""),206.21)</f>
        <v>206.21</v>
      </c>
      <c r="C41" s="2">
        <f ca="1">IFERROR(__xludf.DUMMYFUNCTION("""COMPUTED_VALUE"""),207.2)</f>
        <v>207.2</v>
      </c>
      <c r="D41" s="2">
        <f ca="1">IFERROR(__xludf.DUMMYFUNCTION("""COMPUTED_VALUE"""),198.52)</f>
        <v>198.52</v>
      </c>
      <c r="E41" s="2">
        <f ca="1">IFERROR(__xludf.DUMMYFUNCTION("""COMPUTED_VALUE"""),202.77)</f>
        <v>202.77</v>
      </c>
      <c r="F41" s="2">
        <f ca="1">IFERROR(__xludf.DUMMYFUNCTION("""COMPUTED_VALUE"""),156852790)</f>
        <v>156852790</v>
      </c>
    </row>
    <row r="42" spans="1:6" ht="12.5" x14ac:dyDescent="0.25">
      <c r="A42" s="3">
        <f ca="1">IFERROR(__xludf.DUMMYFUNCTION("""COMPUTED_VALUE"""),44987.6666666666)</f>
        <v>44987.666666666599</v>
      </c>
      <c r="B42" s="2">
        <f ca="1">IFERROR(__xludf.DUMMYFUNCTION("""COMPUTED_VALUE"""),186.74)</f>
        <v>186.74</v>
      </c>
      <c r="C42" s="2">
        <f ca="1">IFERROR(__xludf.DUMMYFUNCTION("""COMPUTED_VALUE"""),193.75)</f>
        <v>193.75</v>
      </c>
      <c r="D42" s="2">
        <f ca="1">IFERROR(__xludf.DUMMYFUNCTION("""COMPUTED_VALUE"""),186.01)</f>
        <v>186.01</v>
      </c>
      <c r="E42" s="2">
        <f ca="1">IFERROR(__xludf.DUMMYFUNCTION("""COMPUTED_VALUE"""),190.9)</f>
        <v>190.9</v>
      </c>
      <c r="F42" s="2">
        <f ca="1">IFERROR(__xludf.DUMMYFUNCTION("""COMPUTED_VALUE"""),181979154)</f>
        <v>181979154</v>
      </c>
    </row>
    <row r="43" spans="1:6" ht="12.5" x14ac:dyDescent="0.25">
      <c r="A43" s="3">
        <f ca="1">IFERROR(__xludf.DUMMYFUNCTION("""COMPUTED_VALUE"""),44988.6666666666)</f>
        <v>44988.666666666599</v>
      </c>
      <c r="B43" s="2">
        <f ca="1">IFERROR(__xludf.DUMMYFUNCTION("""COMPUTED_VALUE"""),194.8)</f>
        <v>194.8</v>
      </c>
      <c r="C43" s="2">
        <f ca="1">IFERROR(__xludf.DUMMYFUNCTION("""COMPUTED_VALUE"""),200.48)</f>
        <v>200.48</v>
      </c>
      <c r="D43" s="2">
        <f ca="1">IFERROR(__xludf.DUMMYFUNCTION("""COMPUTED_VALUE"""),192.88)</f>
        <v>192.88</v>
      </c>
      <c r="E43" s="2">
        <f ca="1">IFERROR(__xludf.DUMMYFUNCTION("""COMPUTED_VALUE"""),197.79)</f>
        <v>197.79</v>
      </c>
      <c r="F43" s="2">
        <f ca="1">IFERROR(__xludf.DUMMYFUNCTION("""COMPUTED_VALUE"""),154193277)</f>
        <v>154193277</v>
      </c>
    </row>
    <row r="44" spans="1:6" ht="12.5" x14ac:dyDescent="0.25">
      <c r="A44" s="3">
        <f ca="1">IFERROR(__xludf.DUMMYFUNCTION("""COMPUTED_VALUE"""),44991.6666666666)</f>
        <v>44991.666666666599</v>
      </c>
      <c r="B44" s="2">
        <f ca="1">IFERROR(__xludf.DUMMYFUNCTION("""COMPUTED_VALUE"""),198.54)</f>
        <v>198.54</v>
      </c>
      <c r="C44" s="2">
        <f ca="1">IFERROR(__xludf.DUMMYFUNCTION("""COMPUTED_VALUE"""),198.6)</f>
        <v>198.6</v>
      </c>
      <c r="D44" s="2">
        <f ca="1">IFERROR(__xludf.DUMMYFUNCTION("""COMPUTED_VALUE"""),192.3)</f>
        <v>192.3</v>
      </c>
      <c r="E44" s="2">
        <f ca="1">IFERROR(__xludf.DUMMYFUNCTION("""COMPUTED_VALUE"""),193.81)</f>
        <v>193.81</v>
      </c>
      <c r="F44" s="2">
        <f ca="1">IFERROR(__xludf.DUMMYFUNCTION("""COMPUTED_VALUE"""),128100106)</f>
        <v>128100106</v>
      </c>
    </row>
    <row r="45" spans="1:6" ht="12.5" x14ac:dyDescent="0.25">
      <c r="A45" s="3">
        <f ca="1">IFERROR(__xludf.DUMMYFUNCTION("""COMPUTED_VALUE"""),44992.6666666666)</f>
        <v>44992.666666666599</v>
      </c>
      <c r="B45" s="2">
        <f ca="1">IFERROR(__xludf.DUMMYFUNCTION("""COMPUTED_VALUE"""),191.38)</f>
        <v>191.38</v>
      </c>
      <c r="C45" s="2">
        <f ca="1">IFERROR(__xludf.DUMMYFUNCTION("""COMPUTED_VALUE"""),194.2)</f>
        <v>194.2</v>
      </c>
      <c r="D45" s="2">
        <f ca="1">IFERROR(__xludf.DUMMYFUNCTION("""COMPUTED_VALUE"""),186.1)</f>
        <v>186.1</v>
      </c>
      <c r="E45" s="2">
        <f ca="1">IFERROR(__xludf.DUMMYFUNCTION("""COMPUTED_VALUE"""),187.71)</f>
        <v>187.71</v>
      </c>
      <c r="F45" s="2">
        <f ca="1">IFERROR(__xludf.DUMMYFUNCTION("""COMPUTED_VALUE"""),148125790)</f>
        <v>148125790</v>
      </c>
    </row>
    <row r="46" spans="1:6" ht="12.5" x14ac:dyDescent="0.25">
      <c r="A46" s="3">
        <f ca="1">IFERROR(__xludf.DUMMYFUNCTION("""COMPUTED_VALUE"""),44993.6666666666)</f>
        <v>44993.666666666599</v>
      </c>
      <c r="B46" s="2">
        <f ca="1">IFERROR(__xludf.DUMMYFUNCTION("""COMPUTED_VALUE"""),185.04)</f>
        <v>185.04</v>
      </c>
      <c r="C46" s="2">
        <f ca="1">IFERROR(__xludf.DUMMYFUNCTION("""COMPUTED_VALUE"""),186.5)</f>
        <v>186.5</v>
      </c>
      <c r="D46" s="2">
        <f ca="1">IFERROR(__xludf.DUMMYFUNCTION("""COMPUTED_VALUE"""),180)</f>
        <v>180</v>
      </c>
      <c r="E46" s="2">
        <f ca="1">IFERROR(__xludf.DUMMYFUNCTION("""COMPUTED_VALUE"""),182)</f>
        <v>182</v>
      </c>
      <c r="F46" s="2">
        <f ca="1">IFERROR(__xludf.DUMMYFUNCTION("""COMPUTED_VALUE"""),151897763)</f>
        <v>151897763</v>
      </c>
    </row>
    <row r="47" spans="1:6" ht="12.5" x14ac:dyDescent="0.25">
      <c r="A47" s="3">
        <f ca="1">IFERROR(__xludf.DUMMYFUNCTION("""COMPUTED_VALUE"""),44994.6666666666)</f>
        <v>44994.666666666599</v>
      </c>
      <c r="B47" s="2">
        <f ca="1">IFERROR(__xludf.DUMMYFUNCTION("""COMPUTED_VALUE"""),180.25)</f>
        <v>180.25</v>
      </c>
      <c r="C47" s="2">
        <f ca="1">IFERROR(__xludf.DUMMYFUNCTION("""COMPUTED_VALUE"""),185.18)</f>
        <v>185.18</v>
      </c>
      <c r="D47" s="2">
        <f ca="1">IFERROR(__xludf.DUMMYFUNCTION("""COMPUTED_VALUE"""),172.51)</f>
        <v>172.51</v>
      </c>
      <c r="E47" s="2">
        <f ca="1">IFERROR(__xludf.DUMMYFUNCTION("""COMPUTED_VALUE"""),172.92)</f>
        <v>172.92</v>
      </c>
      <c r="F47" s="2">
        <f ca="1">IFERROR(__xludf.DUMMYFUNCTION("""COMPUTED_VALUE"""),170023794)</f>
        <v>170023794</v>
      </c>
    </row>
    <row r="48" spans="1:6" ht="12.5" x14ac:dyDescent="0.25">
      <c r="A48" s="3">
        <f ca="1">IFERROR(__xludf.DUMMYFUNCTION("""COMPUTED_VALUE"""),44995.6666666666)</f>
        <v>44995.666666666599</v>
      </c>
      <c r="B48" s="2">
        <f ca="1">IFERROR(__xludf.DUMMYFUNCTION("""COMPUTED_VALUE"""),175.13)</f>
        <v>175.13</v>
      </c>
      <c r="C48" s="2">
        <f ca="1">IFERROR(__xludf.DUMMYFUNCTION("""COMPUTED_VALUE"""),178.29)</f>
        <v>178.29</v>
      </c>
      <c r="D48" s="2">
        <f ca="1">IFERROR(__xludf.DUMMYFUNCTION("""COMPUTED_VALUE"""),168.44)</f>
        <v>168.44</v>
      </c>
      <c r="E48" s="2">
        <f ca="1">IFERROR(__xludf.DUMMYFUNCTION("""COMPUTED_VALUE"""),173.44)</f>
        <v>173.44</v>
      </c>
      <c r="F48" s="2">
        <f ca="1">IFERROR(__xludf.DUMMYFUNCTION("""COMPUTED_VALUE"""),191488872)</f>
        <v>191488872</v>
      </c>
    </row>
    <row r="49" spans="1:6" ht="12.5" x14ac:dyDescent="0.25">
      <c r="A49" s="3">
        <f ca="1">IFERROR(__xludf.DUMMYFUNCTION("""COMPUTED_VALUE"""),44998.6666666666)</f>
        <v>44998.666666666599</v>
      </c>
      <c r="B49" s="2">
        <f ca="1">IFERROR(__xludf.DUMMYFUNCTION("""COMPUTED_VALUE"""),167.46)</f>
        <v>167.46</v>
      </c>
      <c r="C49" s="2">
        <f ca="1">IFERROR(__xludf.DUMMYFUNCTION("""COMPUTED_VALUE"""),177.35)</f>
        <v>177.35</v>
      </c>
      <c r="D49" s="2">
        <f ca="1">IFERROR(__xludf.DUMMYFUNCTION("""COMPUTED_VALUE"""),163.91)</f>
        <v>163.91</v>
      </c>
      <c r="E49" s="2">
        <f ca="1">IFERROR(__xludf.DUMMYFUNCTION("""COMPUTED_VALUE"""),174.48)</f>
        <v>174.48</v>
      </c>
      <c r="F49" s="2">
        <f ca="1">IFERROR(__xludf.DUMMYFUNCTION("""COMPUTED_VALUE"""),167790256)</f>
        <v>167790256</v>
      </c>
    </row>
    <row r="50" spans="1:6" ht="12.5" x14ac:dyDescent="0.25">
      <c r="A50" s="3">
        <f ca="1">IFERROR(__xludf.DUMMYFUNCTION("""COMPUTED_VALUE"""),44999.6666666666)</f>
        <v>44999.666666666599</v>
      </c>
      <c r="B50" s="2">
        <f ca="1">IFERROR(__xludf.DUMMYFUNCTION("""COMPUTED_VALUE"""),177.31)</f>
        <v>177.31</v>
      </c>
      <c r="C50" s="2">
        <f ca="1">IFERROR(__xludf.DUMMYFUNCTION("""COMPUTED_VALUE"""),183.8)</f>
        <v>183.8</v>
      </c>
      <c r="D50" s="2">
        <f ca="1">IFERROR(__xludf.DUMMYFUNCTION("""COMPUTED_VALUE"""),177.14)</f>
        <v>177.14</v>
      </c>
      <c r="E50" s="2">
        <f ca="1">IFERROR(__xludf.DUMMYFUNCTION("""COMPUTED_VALUE"""),183.26)</f>
        <v>183.26</v>
      </c>
      <c r="F50" s="2">
        <f ca="1">IFERROR(__xludf.DUMMYFUNCTION("""COMPUTED_VALUE"""),143717897)</f>
        <v>143717897</v>
      </c>
    </row>
    <row r="51" spans="1:6" ht="12.5" x14ac:dyDescent="0.25">
      <c r="A51" s="3">
        <f ca="1">IFERROR(__xludf.DUMMYFUNCTION("""COMPUTED_VALUE"""),45000.6666666666)</f>
        <v>45000.666666666599</v>
      </c>
      <c r="B51" s="2">
        <f ca="1">IFERROR(__xludf.DUMMYFUNCTION("""COMPUTED_VALUE"""),180.8)</f>
        <v>180.8</v>
      </c>
      <c r="C51" s="2">
        <f ca="1">IFERROR(__xludf.DUMMYFUNCTION("""COMPUTED_VALUE"""),182.34)</f>
        <v>182.34</v>
      </c>
      <c r="D51" s="2">
        <f ca="1">IFERROR(__xludf.DUMMYFUNCTION("""COMPUTED_VALUE"""),176.03)</f>
        <v>176.03</v>
      </c>
      <c r="E51" s="2">
        <f ca="1">IFERROR(__xludf.DUMMYFUNCTION("""COMPUTED_VALUE"""),180.45)</f>
        <v>180.45</v>
      </c>
      <c r="F51" s="2">
        <f ca="1">IFERROR(__xludf.DUMMYFUNCTION("""COMPUTED_VALUE"""),145995583)</f>
        <v>145995583</v>
      </c>
    </row>
    <row r="52" spans="1:6" ht="12.5" x14ac:dyDescent="0.25">
      <c r="A52" s="3">
        <f ca="1">IFERROR(__xludf.DUMMYFUNCTION("""COMPUTED_VALUE"""),45001.6666666666)</f>
        <v>45001.666666666599</v>
      </c>
      <c r="B52" s="2">
        <f ca="1">IFERROR(__xludf.DUMMYFUNCTION("""COMPUTED_VALUE"""),180.37)</f>
        <v>180.37</v>
      </c>
      <c r="C52" s="2">
        <f ca="1">IFERROR(__xludf.DUMMYFUNCTION("""COMPUTED_VALUE"""),185.81)</f>
        <v>185.81</v>
      </c>
      <c r="D52" s="2">
        <f ca="1">IFERROR(__xludf.DUMMYFUNCTION("""COMPUTED_VALUE"""),178.84)</f>
        <v>178.84</v>
      </c>
      <c r="E52" s="2">
        <f ca="1">IFERROR(__xludf.DUMMYFUNCTION("""COMPUTED_VALUE"""),184.13)</f>
        <v>184.13</v>
      </c>
      <c r="F52" s="2">
        <f ca="1">IFERROR(__xludf.DUMMYFUNCTION("""COMPUTED_VALUE"""),121374453)</f>
        <v>121374453</v>
      </c>
    </row>
    <row r="53" spans="1:6" ht="12.5" x14ac:dyDescent="0.25">
      <c r="A53" s="3">
        <f ca="1">IFERROR(__xludf.DUMMYFUNCTION("""COMPUTED_VALUE"""),45002.6666666666)</f>
        <v>45002.666666666599</v>
      </c>
      <c r="B53" s="2">
        <f ca="1">IFERROR(__xludf.DUMMYFUNCTION("""COMPUTED_VALUE"""),184.52)</f>
        <v>184.52</v>
      </c>
      <c r="C53" s="2">
        <f ca="1">IFERROR(__xludf.DUMMYFUNCTION("""COMPUTED_VALUE"""),186.22)</f>
        <v>186.22</v>
      </c>
      <c r="D53" s="2">
        <f ca="1">IFERROR(__xludf.DUMMYFUNCTION("""COMPUTED_VALUE"""),177.33)</f>
        <v>177.33</v>
      </c>
      <c r="E53" s="2">
        <f ca="1">IFERROR(__xludf.DUMMYFUNCTION("""COMPUTED_VALUE"""),180.13)</f>
        <v>180.13</v>
      </c>
      <c r="F53" s="2">
        <f ca="1">IFERROR(__xludf.DUMMYFUNCTION("""COMPUTED_VALUE"""),133197140)</f>
        <v>133197140</v>
      </c>
    </row>
    <row r="54" spans="1:6" ht="12.5" x14ac:dyDescent="0.25">
      <c r="A54" s="3">
        <f ca="1">IFERROR(__xludf.DUMMYFUNCTION("""COMPUTED_VALUE"""),45005.6666666666)</f>
        <v>45005.666666666599</v>
      </c>
      <c r="B54" s="2">
        <f ca="1">IFERROR(__xludf.DUMMYFUNCTION("""COMPUTED_VALUE"""),178.08)</f>
        <v>178.08</v>
      </c>
      <c r="C54" s="2">
        <f ca="1">IFERROR(__xludf.DUMMYFUNCTION("""COMPUTED_VALUE"""),186.44)</f>
        <v>186.44</v>
      </c>
      <c r="D54" s="2">
        <f ca="1">IFERROR(__xludf.DUMMYFUNCTION("""COMPUTED_VALUE"""),176.35)</f>
        <v>176.35</v>
      </c>
      <c r="E54" s="2">
        <f ca="1">IFERROR(__xludf.DUMMYFUNCTION("""COMPUTED_VALUE"""),183.25)</f>
        <v>183.25</v>
      </c>
      <c r="F54" s="2">
        <f ca="1">IFERROR(__xludf.DUMMYFUNCTION("""COMPUTED_VALUE"""),129684359)</f>
        <v>129684359</v>
      </c>
    </row>
    <row r="55" spans="1:6" ht="12.5" x14ac:dyDescent="0.25">
      <c r="A55" s="3">
        <f ca="1">IFERROR(__xludf.DUMMYFUNCTION("""COMPUTED_VALUE"""),45006.6666666666)</f>
        <v>45006.666666666599</v>
      </c>
      <c r="B55" s="2">
        <f ca="1">IFERROR(__xludf.DUMMYFUNCTION("""COMPUTED_VALUE"""),188.28)</f>
        <v>188.28</v>
      </c>
      <c r="C55" s="2">
        <f ca="1">IFERROR(__xludf.DUMMYFUNCTION("""COMPUTED_VALUE"""),198)</f>
        <v>198</v>
      </c>
      <c r="D55" s="2">
        <f ca="1">IFERROR(__xludf.DUMMYFUNCTION("""COMPUTED_VALUE"""),188.04)</f>
        <v>188.04</v>
      </c>
      <c r="E55" s="2">
        <f ca="1">IFERROR(__xludf.DUMMYFUNCTION("""COMPUTED_VALUE"""),197.58)</f>
        <v>197.58</v>
      </c>
      <c r="F55" s="2">
        <f ca="1">IFERROR(__xludf.DUMMYFUNCTION("""COMPUTED_VALUE"""),153391444)</f>
        <v>153391444</v>
      </c>
    </row>
    <row r="56" spans="1:6" ht="12.5" x14ac:dyDescent="0.25">
      <c r="A56" s="3">
        <f ca="1">IFERROR(__xludf.DUMMYFUNCTION("""COMPUTED_VALUE"""),45007.6666666666)</f>
        <v>45007.666666666599</v>
      </c>
      <c r="B56" s="2">
        <f ca="1">IFERROR(__xludf.DUMMYFUNCTION("""COMPUTED_VALUE"""),199.3)</f>
        <v>199.3</v>
      </c>
      <c r="C56" s="2">
        <f ca="1">IFERROR(__xludf.DUMMYFUNCTION("""COMPUTED_VALUE"""),200.66)</f>
        <v>200.66</v>
      </c>
      <c r="D56" s="2">
        <f ca="1">IFERROR(__xludf.DUMMYFUNCTION("""COMPUTED_VALUE"""),190.95)</f>
        <v>190.95</v>
      </c>
      <c r="E56" s="2">
        <f ca="1">IFERROR(__xludf.DUMMYFUNCTION("""COMPUTED_VALUE"""),191.15)</f>
        <v>191.15</v>
      </c>
      <c r="F56" s="2">
        <f ca="1">IFERROR(__xludf.DUMMYFUNCTION("""COMPUTED_VALUE"""),150376373)</f>
        <v>150376373</v>
      </c>
    </row>
    <row r="57" spans="1:6" ht="12.5" x14ac:dyDescent="0.25">
      <c r="A57" s="3">
        <f ca="1">IFERROR(__xludf.DUMMYFUNCTION("""COMPUTED_VALUE"""),45008.6666666666)</f>
        <v>45008.666666666599</v>
      </c>
      <c r="B57" s="2">
        <f ca="1">IFERROR(__xludf.DUMMYFUNCTION("""COMPUTED_VALUE"""),195.26)</f>
        <v>195.26</v>
      </c>
      <c r="C57" s="2">
        <f ca="1">IFERROR(__xludf.DUMMYFUNCTION("""COMPUTED_VALUE"""),199.31)</f>
        <v>199.31</v>
      </c>
      <c r="D57" s="2">
        <f ca="1">IFERROR(__xludf.DUMMYFUNCTION("""COMPUTED_VALUE"""),188.65)</f>
        <v>188.65</v>
      </c>
      <c r="E57" s="2">
        <f ca="1">IFERROR(__xludf.DUMMYFUNCTION("""COMPUTED_VALUE"""),192.22)</f>
        <v>192.22</v>
      </c>
      <c r="F57" s="2">
        <f ca="1">IFERROR(__xludf.DUMMYFUNCTION("""COMPUTED_VALUE"""),144193876)</f>
        <v>144193876</v>
      </c>
    </row>
    <row r="58" spans="1:6" ht="12.5" x14ac:dyDescent="0.25">
      <c r="A58" s="3">
        <f ca="1">IFERROR(__xludf.DUMMYFUNCTION("""COMPUTED_VALUE"""),45009.6666666666)</f>
        <v>45009.666666666599</v>
      </c>
      <c r="B58" s="2">
        <f ca="1">IFERROR(__xludf.DUMMYFUNCTION("""COMPUTED_VALUE"""),191.65)</f>
        <v>191.65</v>
      </c>
      <c r="C58" s="2">
        <f ca="1">IFERROR(__xludf.DUMMYFUNCTION("""COMPUTED_VALUE"""),192.36)</f>
        <v>192.36</v>
      </c>
      <c r="D58" s="2">
        <f ca="1">IFERROR(__xludf.DUMMYFUNCTION("""COMPUTED_VALUE"""),187.15)</f>
        <v>187.15</v>
      </c>
      <c r="E58" s="2">
        <f ca="1">IFERROR(__xludf.DUMMYFUNCTION("""COMPUTED_VALUE"""),190.41)</f>
        <v>190.41</v>
      </c>
      <c r="F58" s="2">
        <f ca="1">IFERROR(__xludf.DUMMYFUNCTION("""COMPUTED_VALUE"""),116531584)</f>
        <v>116531584</v>
      </c>
    </row>
    <row r="59" spans="1:6" ht="12.5" x14ac:dyDescent="0.25">
      <c r="A59" s="3">
        <f ca="1">IFERROR(__xludf.DUMMYFUNCTION("""COMPUTED_VALUE"""),45012.6666666666)</f>
        <v>45012.666666666599</v>
      </c>
      <c r="B59" s="2">
        <f ca="1">IFERROR(__xludf.DUMMYFUNCTION("""COMPUTED_VALUE"""),194.42)</f>
        <v>194.42</v>
      </c>
      <c r="C59" s="2">
        <f ca="1">IFERROR(__xludf.DUMMYFUNCTION("""COMPUTED_VALUE"""),197.39)</f>
        <v>197.39</v>
      </c>
      <c r="D59" s="2">
        <f ca="1">IFERROR(__xludf.DUMMYFUNCTION("""COMPUTED_VALUE"""),189.94)</f>
        <v>189.94</v>
      </c>
      <c r="E59" s="2">
        <f ca="1">IFERROR(__xludf.DUMMYFUNCTION("""COMPUTED_VALUE"""),191.81)</f>
        <v>191.81</v>
      </c>
      <c r="F59" s="2">
        <f ca="1">IFERROR(__xludf.DUMMYFUNCTION("""COMPUTED_VALUE"""),120851587)</f>
        <v>120851587</v>
      </c>
    </row>
    <row r="60" spans="1:6" ht="12.5" x14ac:dyDescent="0.25">
      <c r="A60" s="3">
        <f ca="1">IFERROR(__xludf.DUMMYFUNCTION("""COMPUTED_VALUE"""),45013.6666666666)</f>
        <v>45013.666666666599</v>
      </c>
      <c r="B60" s="2">
        <f ca="1">IFERROR(__xludf.DUMMYFUNCTION("""COMPUTED_VALUE"""),192)</f>
        <v>192</v>
      </c>
      <c r="C60" s="2">
        <f ca="1">IFERROR(__xludf.DUMMYFUNCTION("""COMPUTED_VALUE"""),192.35)</f>
        <v>192.35</v>
      </c>
      <c r="D60" s="2">
        <f ca="1">IFERROR(__xludf.DUMMYFUNCTION("""COMPUTED_VALUE"""),185.43)</f>
        <v>185.43</v>
      </c>
      <c r="E60" s="2">
        <f ca="1">IFERROR(__xludf.DUMMYFUNCTION("""COMPUTED_VALUE"""),189.19)</f>
        <v>189.19</v>
      </c>
      <c r="F60" s="2">
        <f ca="1">IFERROR(__xludf.DUMMYFUNCTION("""COMPUTED_VALUE"""),98654635)</f>
        <v>98654635</v>
      </c>
    </row>
    <row r="61" spans="1:6" ht="12.5" x14ac:dyDescent="0.25">
      <c r="A61" s="3">
        <f ca="1">IFERROR(__xludf.DUMMYFUNCTION("""COMPUTED_VALUE"""),45014.6666666666)</f>
        <v>45014.666666666599</v>
      </c>
      <c r="B61" s="2">
        <f ca="1">IFERROR(__xludf.DUMMYFUNCTION("""COMPUTED_VALUE"""),193.13)</f>
        <v>193.13</v>
      </c>
      <c r="C61" s="2">
        <f ca="1">IFERROR(__xludf.DUMMYFUNCTION("""COMPUTED_VALUE"""),195.29)</f>
        <v>195.29</v>
      </c>
      <c r="D61" s="2">
        <f ca="1">IFERROR(__xludf.DUMMYFUNCTION("""COMPUTED_VALUE"""),189.44)</f>
        <v>189.44</v>
      </c>
      <c r="E61" s="2">
        <f ca="1">IFERROR(__xludf.DUMMYFUNCTION("""COMPUTED_VALUE"""),193.88)</f>
        <v>193.88</v>
      </c>
      <c r="F61" s="2">
        <f ca="1">IFERROR(__xludf.DUMMYFUNCTION("""COMPUTED_VALUE"""),123660026)</f>
        <v>123660026</v>
      </c>
    </row>
    <row r="62" spans="1:6" ht="12.5" x14ac:dyDescent="0.25">
      <c r="A62" s="3">
        <f ca="1">IFERROR(__xludf.DUMMYFUNCTION("""COMPUTED_VALUE"""),45015.6666666666)</f>
        <v>45015.666666666599</v>
      </c>
      <c r="B62" s="2">
        <f ca="1">IFERROR(__xludf.DUMMYFUNCTION("""COMPUTED_VALUE"""),195.58)</f>
        <v>195.58</v>
      </c>
      <c r="C62" s="2">
        <f ca="1">IFERROR(__xludf.DUMMYFUNCTION("""COMPUTED_VALUE"""),197.33)</f>
        <v>197.33</v>
      </c>
      <c r="D62" s="2">
        <f ca="1">IFERROR(__xludf.DUMMYFUNCTION("""COMPUTED_VALUE"""),194.42)</f>
        <v>194.42</v>
      </c>
      <c r="E62" s="2">
        <f ca="1">IFERROR(__xludf.DUMMYFUNCTION("""COMPUTED_VALUE"""),195.28)</f>
        <v>195.28</v>
      </c>
      <c r="F62" s="2">
        <f ca="1">IFERROR(__xludf.DUMMYFUNCTION("""COMPUTED_VALUE"""),110252238)</f>
        <v>110252238</v>
      </c>
    </row>
    <row r="63" spans="1:6" ht="12.5" x14ac:dyDescent="0.25">
      <c r="A63" s="3">
        <f ca="1">IFERROR(__xludf.DUMMYFUNCTION("""COMPUTED_VALUE"""),45016.6666666666)</f>
        <v>45016.666666666599</v>
      </c>
      <c r="B63" s="2">
        <f ca="1">IFERROR(__xludf.DUMMYFUNCTION("""COMPUTED_VALUE"""),197.53)</f>
        <v>197.53</v>
      </c>
      <c r="C63" s="2">
        <f ca="1">IFERROR(__xludf.DUMMYFUNCTION("""COMPUTED_VALUE"""),207.79)</f>
        <v>207.79</v>
      </c>
      <c r="D63" s="2">
        <f ca="1">IFERROR(__xludf.DUMMYFUNCTION("""COMPUTED_VALUE"""),197.2)</f>
        <v>197.2</v>
      </c>
      <c r="E63" s="2">
        <f ca="1">IFERROR(__xludf.DUMMYFUNCTION("""COMPUTED_VALUE"""),207.46)</f>
        <v>207.46</v>
      </c>
      <c r="F63" s="2">
        <f ca="1">IFERROR(__xludf.DUMMYFUNCTION("""COMPUTED_VALUE"""),170222118)</f>
        <v>170222118</v>
      </c>
    </row>
    <row r="64" spans="1:6" ht="12.5" x14ac:dyDescent="0.25">
      <c r="A64" s="3">
        <f ca="1">IFERROR(__xludf.DUMMYFUNCTION("""COMPUTED_VALUE"""),45019.6666666666)</f>
        <v>45019.666666666599</v>
      </c>
      <c r="B64" s="2">
        <f ca="1">IFERROR(__xludf.DUMMYFUNCTION("""COMPUTED_VALUE"""),199.91)</f>
        <v>199.91</v>
      </c>
      <c r="C64" s="2">
        <f ca="1">IFERROR(__xludf.DUMMYFUNCTION("""COMPUTED_VALUE"""),202.69)</f>
        <v>202.69</v>
      </c>
      <c r="D64" s="2">
        <f ca="1">IFERROR(__xludf.DUMMYFUNCTION("""COMPUTED_VALUE"""),192.2)</f>
        <v>192.2</v>
      </c>
      <c r="E64" s="2">
        <f ca="1">IFERROR(__xludf.DUMMYFUNCTION("""COMPUTED_VALUE"""),194.77)</f>
        <v>194.77</v>
      </c>
      <c r="F64" s="2">
        <f ca="1">IFERROR(__xludf.DUMMYFUNCTION("""COMPUTED_VALUE"""),169545900)</f>
        <v>169545900</v>
      </c>
    </row>
    <row r="65" spans="1:6" ht="12.5" x14ac:dyDescent="0.25">
      <c r="A65" s="3">
        <f ca="1">IFERROR(__xludf.DUMMYFUNCTION("""COMPUTED_VALUE"""),45020.6666666666)</f>
        <v>45020.666666666599</v>
      </c>
      <c r="B65" s="2">
        <f ca="1">IFERROR(__xludf.DUMMYFUNCTION("""COMPUTED_VALUE"""),197.32)</f>
        <v>197.32</v>
      </c>
      <c r="C65" s="2">
        <f ca="1">IFERROR(__xludf.DUMMYFUNCTION("""COMPUTED_VALUE"""),198.74)</f>
        <v>198.74</v>
      </c>
      <c r="D65" s="2">
        <f ca="1">IFERROR(__xludf.DUMMYFUNCTION("""COMPUTED_VALUE"""),190.32)</f>
        <v>190.32</v>
      </c>
      <c r="E65" s="2">
        <f ca="1">IFERROR(__xludf.DUMMYFUNCTION("""COMPUTED_VALUE"""),192.58)</f>
        <v>192.58</v>
      </c>
      <c r="F65" s="2">
        <f ca="1">IFERROR(__xludf.DUMMYFUNCTION("""COMPUTED_VALUE"""),126463845)</f>
        <v>126463845</v>
      </c>
    </row>
    <row r="66" spans="1:6" ht="12.5" x14ac:dyDescent="0.25">
      <c r="A66" s="3">
        <f ca="1">IFERROR(__xludf.DUMMYFUNCTION("""COMPUTED_VALUE"""),45021.6666666666)</f>
        <v>45021.666666666599</v>
      </c>
      <c r="B66" s="2">
        <f ca="1">IFERROR(__xludf.DUMMYFUNCTION("""COMPUTED_VALUE"""),190.52)</f>
        <v>190.52</v>
      </c>
      <c r="C66" s="2">
        <f ca="1">IFERROR(__xludf.DUMMYFUNCTION("""COMPUTED_VALUE"""),190.68)</f>
        <v>190.68</v>
      </c>
      <c r="D66" s="2">
        <f ca="1">IFERROR(__xludf.DUMMYFUNCTION("""COMPUTED_VALUE"""),183.76)</f>
        <v>183.76</v>
      </c>
      <c r="E66" s="2">
        <f ca="1">IFERROR(__xludf.DUMMYFUNCTION("""COMPUTED_VALUE"""),185.52)</f>
        <v>185.52</v>
      </c>
      <c r="F66" s="2">
        <f ca="1">IFERROR(__xludf.DUMMYFUNCTION("""COMPUTED_VALUE"""),133882493)</f>
        <v>133882493</v>
      </c>
    </row>
    <row r="67" spans="1:6" ht="12.5" x14ac:dyDescent="0.25">
      <c r="A67" s="3">
        <f ca="1">IFERROR(__xludf.DUMMYFUNCTION("""COMPUTED_VALUE"""),45022.6666666666)</f>
        <v>45022.666666666599</v>
      </c>
      <c r="B67" s="2">
        <f ca="1">IFERROR(__xludf.DUMMYFUNCTION("""COMPUTED_VALUE"""),183.08)</f>
        <v>183.08</v>
      </c>
      <c r="C67" s="2">
        <f ca="1">IFERROR(__xludf.DUMMYFUNCTION("""COMPUTED_VALUE"""),186.39)</f>
        <v>186.39</v>
      </c>
      <c r="D67" s="2">
        <f ca="1">IFERROR(__xludf.DUMMYFUNCTION("""COMPUTED_VALUE"""),179.74)</f>
        <v>179.74</v>
      </c>
      <c r="E67" s="2">
        <f ca="1">IFERROR(__xludf.DUMMYFUNCTION("""COMPUTED_VALUE"""),185.06)</f>
        <v>185.06</v>
      </c>
      <c r="F67" s="2">
        <f ca="1">IFERROR(__xludf.DUMMYFUNCTION("""COMPUTED_VALUE"""),123857932)</f>
        <v>123857932</v>
      </c>
    </row>
    <row r="68" spans="1:6" ht="12.5" x14ac:dyDescent="0.25">
      <c r="A68" s="3">
        <f ca="1">IFERROR(__xludf.DUMMYFUNCTION("""COMPUTED_VALUE"""),45026.6666666666)</f>
        <v>45026.666666666599</v>
      </c>
      <c r="B68" s="2">
        <f ca="1">IFERROR(__xludf.DUMMYFUNCTION("""COMPUTED_VALUE"""),179.94)</f>
        <v>179.94</v>
      </c>
      <c r="C68" s="2">
        <f ca="1">IFERROR(__xludf.DUMMYFUNCTION("""COMPUTED_VALUE"""),185.1)</f>
        <v>185.1</v>
      </c>
      <c r="D68" s="2">
        <f ca="1">IFERROR(__xludf.DUMMYFUNCTION("""COMPUTED_VALUE"""),176.11)</f>
        <v>176.11</v>
      </c>
      <c r="E68" s="2">
        <f ca="1">IFERROR(__xludf.DUMMYFUNCTION("""COMPUTED_VALUE"""),184.51)</f>
        <v>184.51</v>
      </c>
      <c r="F68" s="2">
        <f ca="1">IFERROR(__xludf.DUMMYFUNCTION("""COMPUTED_VALUE"""),142154637)</f>
        <v>142154637</v>
      </c>
    </row>
    <row r="69" spans="1:6" ht="12.5" x14ac:dyDescent="0.25">
      <c r="A69" s="3">
        <f ca="1">IFERROR(__xludf.DUMMYFUNCTION("""COMPUTED_VALUE"""),45027.6666666666)</f>
        <v>45027.666666666599</v>
      </c>
      <c r="B69" s="2">
        <f ca="1">IFERROR(__xludf.DUMMYFUNCTION("""COMPUTED_VALUE"""),186.69)</f>
        <v>186.69</v>
      </c>
      <c r="C69" s="2">
        <f ca="1">IFERROR(__xludf.DUMMYFUNCTION("""COMPUTED_VALUE"""),189.19)</f>
        <v>189.19</v>
      </c>
      <c r="D69" s="2">
        <f ca="1">IFERROR(__xludf.DUMMYFUNCTION("""COMPUTED_VALUE"""),185.65)</f>
        <v>185.65</v>
      </c>
      <c r="E69" s="2">
        <f ca="1">IFERROR(__xludf.DUMMYFUNCTION("""COMPUTED_VALUE"""),186.79)</f>
        <v>186.79</v>
      </c>
      <c r="F69" s="2">
        <f ca="1">IFERROR(__xludf.DUMMYFUNCTION("""COMPUTED_VALUE"""),115770892)</f>
        <v>115770892</v>
      </c>
    </row>
    <row r="70" spans="1:6" ht="12.5" x14ac:dyDescent="0.25">
      <c r="A70" s="3">
        <f ca="1">IFERROR(__xludf.DUMMYFUNCTION("""COMPUTED_VALUE"""),45028.6666666666)</f>
        <v>45028.666666666599</v>
      </c>
      <c r="B70" s="2">
        <f ca="1">IFERROR(__xludf.DUMMYFUNCTION("""COMPUTED_VALUE"""),190.74)</f>
        <v>190.74</v>
      </c>
      <c r="C70" s="2">
        <f ca="1">IFERROR(__xludf.DUMMYFUNCTION("""COMPUTED_VALUE"""),191.58)</f>
        <v>191.58</v>
      </c>
      <c r="D70" s="2">
        <f ca="1">IFERROR(__xludf.DUMMYFUNCTION("""COMPUTED_VALUE"""),180.31)</f>
        <v>180.31</v>
      </c>
      <c r="E70" s="2">
        <f ca="1">IFERROR(__xludf.DUMMYFUNCTION("""COMPUTED_VALUE"""),180.54)</f>
        <v>180.54</v>
      </c>
      <c r="F70" s="2">
        <f ca="1">IFERROR(__xludf.DUMMYFUNCTION("""COMPUTED_VALUE"""),150256278)</f>
        <v>150256278</v>
      </c>
    </row>
    <row r="71" spans="1:6" ht="12.5" x14ac:dyDescent="0.25">
      <c r="A71" s="3">
        <f ca="1">IFERROR(__xludf.DUMMYFUNCTION("""COMPUTED_VALUE"""),45029.6666666666)</f>
        <v>45029.666666666599</v>
      </c>
      <c r="B71" s="2">
        <f ca="1">IFERROR(__xludf.DUMMYFUNCTION("""COMPUTED_VALUE"""),182.96)</f>
        <v>182.96</v>
      </c>
      <c r="C71" s="2">
        <f ca="1">IFERROR(__xludf.DUMMYFUNCTION("""COMPUTED_VALUE"""),186.5)</f>
        <v>186.5</v>
      </c>
      <c r="D71" s="2">
        <f ca="1">IFERROR(__xludf.DUMMYFUNCTION("""COMPUTED_VALUE"""),180.94)</f>
        <v>180.94</v>
      </c>
      <c r="E71" s="2">
        <f ca="1">IFERROR(__xludf.DUMMYFUNCTION("""COMPUTED_VALUE"""),185.9)</f>
        <v>185.9</v>
      </c>
      <c r="F71" s="2">
        <f ca="1">IFERROR(__xludf.DUMMYFUNCTION("""COMPUTED_VALUE"""),112932985)</f>
        <v>112932985</v>
      </c>
    </row>
    <row r="72" spans="1:6" ht="12.5" x14ac:dyDescent="0.25">
      <c r="A72" s="3">
        <f ca="1">IFERROR(__xludf.DUMMYFUNCTION("""COMPUTED_VALUE"""),45030.6666666666)</f>
        <v>45030.666666666599</v>
      </c>
      <c r="B72" s="2">
        <f ca="1">IFERROR(__xludf.DUMMYFUNCTION("""COMPUTED_VALUE"""),183.95)</f>
        <v>183.95</v>
      </c>
      <c r="C72" s="2">
        <f ca="1">IFERROR(__xludf.DUMMYFUNCTION("""COMPUTED_VALUE"""),186.28)</f>
        <v>186.28</v>
      </c>
      <c r="D72" s="2">
        <f ca="1">IFERROR(__xludf.DUMMYFUNCTION("""COMPUTED_VALUE"""),182.01)</f>
        <v>182.01</v>
      </c>
      <c r="E72" s="2">
        <f ca="1">IFERROR(__xludf.DUMMYFUNCTION("""COMPUTED_VALUE"""),185)</f>
        <v>185</v>
      </c>
      <c r="F72" s="2">
        <f ca="1">IFERROR(__xludf.DUMMYFUNCTION("""COMPUTED_VALUE"""),96438664)</f>
        <v>96438664</v>
      </c>
    </row>
    <row r="73" spans="1:6" ht="12.5" x14ac:dyDescent="0.25">
      <c r="A73" s="3">
        <f ca="1">IFERROR(__xludf.DUMMYFUNCTION("""COMPUTED_VALUE"""),45033.6666666666)</f>
        <v>45033.666666666599</v>
      </c>
      <c r="B73" s="2">
        <f ca="1">IFERROR(__xludf.DUMMYFUNCTION("""COMPUTED_VALUE"""),186.32)</f>
        <v>186.32</v>
      </c>
      <c r="C73" s="2">
        <f ca="1">IFERROR(__xludf.DUMMYFUNCTION("""COMPUTED_VALUE"""),189.69)</f>
        <v>189.69</v>
      </c>
      <c r="D73" s="2">
        <f ca="1">IFERROR(__xludf.DUMMYFUNCTION("""COMPUTED_VALUE"""),182.69)</f>
        <v>182.69</v>
      </c>
      <c r="E73" s="2">
        <f ca="1">IFERROR(__xludf.DUMMYFUNCTION("""COMPUTED_VALUE"""),187.04)</f>
        <v>187.04</v>
      </c>
      <c r="F73" s="2">
        <f ca="1">IFERROR(__xludf.DUMMYFUNCTION("""COMPUTED_VALUE"""),116662189)</f>
        <v>116662189</v>
      </c>
    </row>
    <row r="74" spans="1:6" ht="12.5" x14ac:dyDescent="0.25">
      <c r="A74" s="3">
        <f ca="1">IFERROR(__xludf.DUMMYFUNCTION("""COMPUTED_VALUE"""),45034.6666666666)</f>
        <v>45034.666666666599</v>
      </c>
      <c r="B74" s="2">
        <f ca="1">IFERROR(__xludf.DUMMYFUNCTION("""COMPUTED_VALUE"""),187.15)</f>
        <v>187.15</v>
      </c>
      <c r="C74" s="2">
        <f ca="1">IFERROR(__xludf.DUMMYFUNCTION("""COMPUTED_VALUE"""),187.69)</f>
        <v>187.69</v>
      </c>
      <c r="D74" s="2">
        <f ca="1">IFERROR(__xludf.DUMMYFUNCTION("""COMPUTED_VALUE"""),183.58)</f>
        <v>183.58</v>
      </c>
      <c r="E74" s="2">
        <f ca="1">IFERROR(__xludf.DUMMYFUNCTION("""COMPUTED_VALUE"""),184.31)</f>
        <v>184.31</v>
      </c>
      <c r="F74" s="2">
        <f ca="1">IFERROR(__xludf.DUMMYFUNCTION("""COMPUTED_VALUE"""),92067016)</f>
        <v>92067016</v>
      </c>
    </row>
    <row r="75" spans="1:6" ht="12.5" x14ac:dyDescent="0.25">
      <c r="A75" s="3">
        <f ca="1">IFERROR(__xludf.DUMMYFUNCTION("""COMPUTED_VALUE"""),45035.6666666666)</f>
        <v>45035.666666666599</v>
      </c>
      <c r="B75" s="2">
        <f ca="1">IFERROR(__xludf.DUMMYFUNCTION("""COMPUTED_VALUE"""),179.1)</f>
        <v>179.1</v>
      </c>
      <c r="C75" s="2">
        <f ca="1">IFERROR(__xludf.DUMMYFUNCTION("""COMPUTED_VALUE"""),183.5)</f>
        <v>183.5</v>
      </c>
      <c r="D75" s="2">
        <f ca="1">IFERROR(__xludf.DUMMYFUNCTION("""COMPUTED_VALUE"""),177.65)</f>
        <v>177.65</v>
      </c>
      <c r="E75" s="2">
        <f ca="1">IFERROR(__xludf.DUMMYFUNCTION("""COMPUTED_VALUE"""),180.59)</f>
        <v>180.59</v>
      </c>
      <c r="F75" s="2">
        <f ca="1">IFERROR(__xludf.DUMMYFUNCTION("""COMPUTED_VALUE"""),125732687)</f>
        <v>125732687</v>
      </c>
    </row>
    <row r="76" spans="1:6" ht="12.5" x14ac:dyDescent="0.25">
      <c r="A76" s="3">
        <f ca="1">IFERROR(__xludf.DUMMYFUNCTION("""COMPUTED_VALUE"""),45036.6666666666)</f>
        <v>45036.666666666599</v>
      </c>
      <c r="B76" s="2">
        <f ca="1">IFERROR(__xludf.DUMMYFUNCTION("""COMPUTED_VALUE"""),166.17)</f>
        <v>166.17</v>
      </c>
      <c r="C76" s="2">
        <f ca="1">IFERROR(__xludf.DUMMYFUNCTION("""COMPUTED_VALUE"""),169.7)</f>
        <v>169.7</v>
      </c>
      <c r="D76" s="2">
        <f ca="1">IFERROR(__xludf.DUMMYFUNCTION("""COMPUTED_VALUE"""),160.56)</f>
        <v>160.56</v>
      </c>
      <c r="E76" s="2">
        <f ca="1">IFERROR(__xludf.DUMMYFUNCTION("""COMPUTED_VALUE"""),162.99)</f>
        <v>162.99</v>
      </c>
      <c r="F76" s="2">
        <f ca="1">IFERROR(__xludf.DUMMYFUNCTION("""COMPUTED_VALUE"""),210970819)</f>
        <v>210970819</v>
      </c>
    </row>
    <row r="77" spans="1:6" ht="12.5" x14ac:dyDescent="0.25">
      <c r="A77" s="3">
        <f ca="1">IFERROR(__xludf.DUMMYFUNCTION("""COMPUTED_VALUE"""),45037.6666666666)</f>
        <v>45037.666666666599</v>
      </c>
      <c r="B77" s="2">
        <f ca="1">IFERROR(__xludf.DUMMYFUNCTION("""COMPUTED_VALUE"""),164.8)</f>
        <v>164.8</v>
      </c>
      <c r="C77" s="2">
        <f ca="1">IFERROR(__xludf.DUMMYFUNCTION("""COMPUTED_VALUE"""),166)</f>
        <v>166</v>
      </c>
      <c r="D77" s="2">
        <f ca="1">IFERROR(__xludf.DUMMYFUNCTION("""COMPUTED_VALUE"""),161.32)</f>
        <v>161.32</v>
      </c>
      <c r="E77" s="2">
        <f ca="1">IFERROR(__xludf.DUMMYFUNCTION("""COMPUTED_VALUE"""),165.08)</f>
        <v>165.08</v>
      </c>
      <c r="F77" s="2">
        <f ca="1">IFERROR(__xludf.DUMMYFUNCTION("""COMPUTED_VALUE"""),123538954)</f>
        <v>123538954</v>
      </c>
    </row>
    <row r="78" spans="1:6" ht="12.5" x14ac:dyDescent="0.25">
      <c r="A78" s="3">
        <f ca="1">IFERROR(__xludf.DUMMYFUNCTION("""COMPUTED_VALUE"""),45040.6666666666)</f>
        <v>45040.666666666599</v>
      </c>
      <c r="B78" s="2">
        <f ca="1">IFERROR(__xludf.DUMMYFUNCTION("""COMPUTED_VALUE"""),164.65)</f>
        <v>164.65</v>
      </c>
      <c r="C78" s="2">
        <f ca="1">IFERROR(__xludf.DUMMYFUNCTION("""COMPUTED_VALUE"""),165.65)</f>
        <v>165.65</v>
      </c>
      <c r="D78" s="2">
        <f ca="1">IFERROR(__xludf.DUMMYFUNCTION("""COMPUTED_VALUE"""),158.61)</f>
        <v>158.61000000000001</v>
      </c>
      <c r="E78" s="2">
        <f ca="1">IFERROR(__xludf.DUMMYFUNCTION("""COMPUTED_VALUE"""),162.55)</f>
        <v>162.55000000000001</v>
      </c>
      <c r="F78" s="2">
        <f ca="1">IFERROR(__xludf.DUMMYFUNCTION("""COMPUTED_VALUE"""),140006559)</f>
        <v>140006559</v>
      </c>
    </row>
    <row r="79" spans="1:6" ht="12.5" x14ac:dyDescent="0.25">
      <c r="A79" s="3">
        <f ca="1">IFERROR(__xludf.DUMMYFUNCTION("""COMPUTED_VALUE"""),45041.6666666666)</f>
        <v>45041.666666666599</v>
      </c>
      <c r="B79" s="2">
        <f ca="1">IFERROR(__xludf.DUMMYFUNCTION("""COMPUTED_VALUE"""),159.82)</f>
        <v>159.82</v>
      </c>
      <c r="C79" s="2">
        <f ca="1">IFERROR(__xludf.DUMMYFUNCTION("""COMPUTED_VALUE"""),163.47)</f>
        <v>163.47</v>
      </c>
      <c r="D79" s="2">
        <f ca="1">IFERROR(__xludf.DUMMYFUNCTION("""COMPUTED_VALUE"""),158.75)</f>
        <v>158.75</v>
      </c>
      <c r="E79" s="2">
        <f ca="1">IFERROR(__xludf.DUMMYFUNCTION("""COMPUTED_VALUE"""),160.67)</f>
        <v>160.66999999999999</v>
      </c>
      <c r="F79" s="2">
        <f ca="1">IFERROR(__xludf.DUMMYFUNCTION("""COMPUTED_VALUE"""),121999312)</f>
        <v>121999312</v>
      </c>
    </row>
    <row r="80" spans="1:6" ht="12.5" x14ac:dyDescent="0.25">
      <c r="A80" s="3">
        <f ca="1">IFERROR(__xludf.DUMMYFUNCTION("""COMPUTED_VALUE"""),45042.6666666666)</f>
        <v>45042.666666666599</v>
      </c>
      <c r="B80" s="2">
        <f ca="1">IFERROR(__xludf.DUMMYFUNCTION("""COMPUTED_VALUE"""),160.29)</f>
        <v>160.29</v>
      </c>
      <c r="C80" s="2">
        <f ca="1">IFERROR(__xludf.DUMMYFUNCTION("""COMPUTED_VALUE"""),160.67)</f>
        <v>160.66999999999999</v>
      </c>
      <c r="D80" s="2">
        <f ca="1">IFERROR(__xludf.DUMMYFUNCTION("""COMPUTED_VALUE"""),153.14)</f>
        <v>153.13999999999999</v>
      </c>
      <c r="E80" s="2">
        <f ca="1">IFERROR(__xludf.DUMMYFUNCTION("""COMPUTED_VALUE"""),153.75)</f>
        <v>153.75</v>
      </c>
      <c r="F80" s="2">
        <f ca="1">IFERROR(__xludf.DUMMYFUNCTION("""COMPUTED_VALUE"""),153364142)</f>
        <v>153364142</v>
      </c>
    </row>
    <row r="81" spans="1:6" ht="12.5" x14ac:dyDescent="0.25">
      <c r="A81" s="3">
        <f ca="1">IFERROR(__xludf.DUMMYFUNCTION("""COMPUTED_VALUE"""),45043.6666666666)</f>
        <v>45043.666666666599</v>
      </c>
      <c r="B81" s="2">
        <f ca="1">IFERROR(__xludf.DUMMYFUNCTION("""COMPUTED_VALUE"""),152.64)</f>
        <v>152.63999999999999</v>
      </c>
      <c r="C81" s="2">
        <f ca="1">IFERROR(__xludf.DUMMYFUNCTION("""COMPUTED_VALUE"""),160.48)</f>
        <v>160.47999999999999</v>
      </c>
      <c r="D81" s="2">
        <f ca="1">IFERROR(__xludf.DUMMYFUNCTION("""COMPUTED_VALUE"""),152.37)</f>
        <v>152.37</v>
      </c>
      <c r="E81" s="2">
        <f ca="1">IFERROR(__xludf.DUMMYFUNCTION("""COMPUTED_VALUE"""),160.19)</f>
        <v>160.19</v>
      </c>
      <c r="F81" s="2">
        <f ca="1">IFERROR(__xludf.DUMMYFUNCTION("""COMPUTED_VALUE"""),127015177)</f>
        <v>127015177</v>
      </c>
    </row>
    <row r="82" spans="1:6" ht="12.5" x14ac:dyDescent="0.25">
      <c r="A82" s="3">
        <f ca="1">IFERROR(__xludf.DUMMYFUNCTION("""COMPUTED_VALUE"""),45044.6666666666)</f>
        <v>45044.666666666599</v>
      </c>
      <c r="B82" s="2">
        <f ca="1">IFERROR(__xludf.DUMMYFUNCTION("""COMPUTED_VALUE"""),160.9)</f>
        <v>160.9</v>
      </c>
      <c r="C82" s="2">
        <f ca="1">IFERROR(__xludf.DUMMYFUNCTION("""COMPUTED_VALUE"""),165)</f>
        <v>165</v>
      </c>
      <c r="D82" s="2">
        <f ca="1">IFERROR(__xludf.DUMMYFUNCTION("""COMPUTED_VALUE"""),157.32)</f>
        <v>157.32</v>
      </c>
      <c r="E82" s="2">
        <f ca="1">IFERROR(__xludf.DUMMYFUNCTION("""COMPUTED_VALUE"""),164.31)</f>
        <v>164.31</v>
      </c>
      <c r="F82" s="2">
        <f ca="1">IFERROR(__xludf.DUMMYFUNCTION("""COMPUTED_VALUE"""),122515812)</f>
        <v>122515812</v>
      </c>
    </row>
    <row r="83" spans="1:6" ht="12.5" x14ac:dyDescent="0.25">
      <c r="A83" s="3">
        <f ca="1">IFERROR(__xludf.DUMMYFUNCTION("""COMPUTED_VALUE"""),45047.6666666666)</f>
        <v>45047.666666666599</v>
      </c>
      <c r="B83" s="2">
        <f ca="1">IFERROR(__xludf.DUMMYFUNCTION("""COMPUTED_VALUE"""),163.17)</f>
        <v>163.16999999999999</v>
      </c>
      <c r="C83" s="2">
        <f ca="1">IFERROR(__xludf.DUMMYFUNCTION("""COMPUTED_VALUE"""),163.28)</f>
        <v>163.28</v>
      </c>
      <c r="D83" s="2">
        <f ca="1">IFERROR(__xludf.DUMMYFUNCTION("""COMPUTED_VALUE"""),158.83)</f>
        <v>158.83000000000001</v>
      </c>
      <c r="E83" s="2">
        <f ca="1">IFERROR(__xludf.DUMMYFUNCTION("""COMPUTED_VALUE"""),161.83)</f>
        <v>161.83000000000001</v>
      </c>
      <c r="F83" s="2">
        <f ca="1">IFERROR(__xludf.DUMMYFUNCTION("""COMPUTED_VALUE"""),109015048)</f>
        <v>109015048</v>
      </c>
    </row>
    <row r="84" spans="1:6" ht="12.5" x14ac:dyDescent="0.25">
      <c r="A84" s="3">
        <f ca="1">IFERROR(__xludf.DUMMYFUNCTION("""COMPUTED_VALUE"""),45048.6666666666)</f>
        <v>45048.666666666599</v>
      </c>
      <c r="B84" s="2">
        <f ca="1">IFERROR(__xludf.DUMMYFUNCTION("""COMPUTED_VALUE"""),161.88)</f>
        <v>161.88</v>
      </c>
      <c r="C84" s="2">
        <f ca="1">IFERROR(__xludf.DUMMYFUNCTION("""COMPUTED_VALUE"""),165.49)</f>
        <v>165.49</v>
      </c>
      <c r="D84" s="2">
        <f ca="1">IFERROR(__xludf.DUMMYFUNCTION("""COMPUTED_VALUE"""),158.93)</f>
        <v>158.93</v>
      </c>
      <c r="E84" s="2">
        <f ca="1">IFERROR(__xludf.DUMMYFUNCTION("""COMPUTED_VALUE"""),160.31)</f>
        <v>160.31</v>
      </c>
      <c r="F84" s="2">
        <f ca="1">IFERROR(__xludf.DUMMYFUNCTION("""COMPUTED_VALUE"""),128259744)</f>
        <v>128259744</v>
      </c>
    </row>
    <row r="85" spans="1:6" ht="12.5" x14ac:dyDescent="0.25">
      <c r="A85" s="3">
        <f ca="1">IFERROR(__xludf.DUMMYFUNCTION("""COMPUTED_VALUE"""),45049.6666666666)</f>
        <v>45049.666666666599</v>
      </c>
      <c r="B85" s="2">
        <f ca="1">IFERROR(__xludf.DUMMYFUNCTION("""COMPUTED_VALUE"""),160.01)</f>
        <v>160.01</v>
      </c>
      <c r="C85" s="2">
        <f ca="1">IFERROR(__xludf.DUMMYFUNCTION("""COMPUTED_VALUE"""),165)</f>
        <v>165</v>
      </c>
      <c r="D85" s="2">
        <f ca="1">IFERROR(__xludf.DUMMYFUNCTION("""COMPUTED_VALUE"""),159.91)</f>
        <v>159.91</v>
      </c>
      <c r="E85" s="2">
        <f ca="1">IFERROR(__xludf.DUMMYFUNCTION("""COMPUTED_VALUE"""),160.61)</f>
        <v>160.61000000000001</v>
      </c>
      <c r="F85" s="2">
        <f ca="1">IFERROR(__xludf.DUMMYFUNCTION("""COMPUTED_VALUE"""),119727972)</f>
        <v>119727972</v>
      </c>
    </row>
    <row r="86" spans="1:6" ht="12.5" x14ac:dyDescent="0.25">
      <c r="A86" s="3">
        <f ca="1">IFERROR(__xludf.DUMMYFUNCTION("""COMPUTED_VALUE"""),45050.6666666666)</f>
        <v>45050.666666666599</v>
      </c>
      <c r="B86" s="2">
        <f ca="1">IFERROR(__xludf.DUMMYFUNCTION("""COMPUTED_VALUE"""),162.71)</f>
        <v>162.71</v>
      </c>
      <c r="C86" s="2">
        <f ca="1">IFERROR(__xludf.DUMMYFUNCTION("""COMPUTED_VALUE"""),162.95)</f>
        <v>162.94999999999999</v>
      </c>
      <c r="D86" s="2">
        <f ca="1">IFERROR(__xludf.DUMMYFUNCTION("""COMPUTED_VALUE"""),159.65)</f>
        <v>159.65</v>
      </c>
      <c r="E86" s="2">
        <f ca="1">IFERROR(__xludf.DUMMYFUNCTION("""COMPUTED_VALUE"""),161.2)</f>
        <v>161.19999999999999</v>
      </c>
      <c r="F86" s="2">
        <f ca="1">IFERROR(__xludf.DUMMYFUNCTION("""COMPUTED_VALUE"""),95108492)</f>
        <v>95108492</v>
      </c>
    </row>
    <row r="87" spans="1:6" ht="12.5" x14ac:dyDescent="0.25">
      <c r="A87" s="3">
        <f ca="1">IFERROR(__xludf.DUMMYFUNCTION("""COMPUTED_VALUE"""),45051.6666666666)</f>
        <v>45051.666666666599</v>
      </c>
      <c r="B87" s="2">
        <f ca="1">IFERROR(__xludf.DUMMYFUNCTION("""COMPUTED_VALUE"""),163.97)</f>
        <v>163.97</v>
      </c>
      <c r="C87" s="2">
        <f ca="1">IFERROR(__xludf.DUMMYFUNCTION("""COMPUTED_VALUE"""),170.79)</f>
        <v>170.79</v>
      </c>
      <c r="D87" s="2">
        <f ca="1">IFERROR(__xludf.DUMMYFUNCTION("""COMPUTED_VALUE"""),163.51)</f>
        <v>163.51</v>
      </c>
      <c r="E87" s="2">
        <f ca="1">IFERROR(__xludf.DUMMYFUNCTION("""COMPUTED_VALUE"""),170.06)</f>
        <v>170.06</v>
      </c>
      <c r="F87" s="2">
        <f ca="1">IFERROR(__xludf.DUMMYFUNCTION("""COMPUTED_VALUE"""),107607259)</f>
        <v>107607259</v>
      </c>
    </row>
    <row r="88" spans="1:6" ht="12.5" x14ac:dyDescent="0.25">
      <c r="A88" s="3">
        <f ca="1">IFERROR(__xludf.DUMMYFUNCTION("""COMPUTED_VALUE"""),45054.6666666666)</f>
        <v>45054.666666666599</v>
      </c>
      <c r="B88" s="2">
        <f ca="1">IFERROR(__xludf.DUMMYFUNCTION("""COMPUTED_VALUE"""),173.72)</f>
        <v>173.72</v>
      </c>
      <c r="C88" s="2">
        <f ca="1">IFERROR(__xludf.DUMMYFUNCTION("""COMPUTED_VALUE"""),173.8)</f>
        <v>173.8</v>
      </c>
      <c r="D88" s="2">
        <f ca="1">IFERROR(__xludf.DUMMYFUNCTION("""COMPUTED_VALUE"""),169.19)</f>
        <v>169.19</v>
      </c>
      <c r="E88" s="2">
        <f ca="1">IFERROR(__xludf.DUMMYFUNCTION("""COMPUTED_VALUE"""),171.79)</f>
        <v>171.79</v>
      </c>
      <c r="F88" s="2">
        <f ca="1">IFERROR(__xludf.DUMMYFUNCTION("""COMPUTED_VALUE"""),112249449)</f>
        <v>112249449</v>
      </c>
    </row>
    <row r="89" spans="1:6" ht="12.5" x14ac:dyDescent="0.25">
      <c r="A89" s="3">
        <f ca="1">IFERROR(__xludf.DUMMYFUNCTION("""COMPUTED_VALUE"""),45055.6666666666)</f>
        <v>45055.666666666599</v>
      </c>
      <c r="B89" s="2">
        <f ca="1">IFERROR(__xludf.DUMMYFUNCTION("""COMPUTED_VALUE"""),168.95)</f>
        <v>168.95</v>
      </c>
      <c r="C89" s="2">
        <f ca="1">IFERROR(__xludf.DUMMYFUNCTION("""COMPUTED_VALUE"""),169.82)</f>
        <v>169.82</v>
      </c>
      <c r="D89" s="2">
        <f ca="1">IFERROR(__xludf.DUMMYFUNCTION("""COMPUTED_VALUE"""),166.56)</f>
        <v>166.56</v>
      </c>
      <c r="E89" s="2">
        <f ca="1">IFERROR(__xludf.DUMMYFUNCTION("""COMPUTED_VALUE"""),169.15)</f>
        <v>169.15</v>
      </c>
      <c r="F89" s="2">
        <f ca="1">IFERROR(__xludf.DUMMYFUNCTION("""COMPUTED_VALUE"""),88965043)</f>
        <v>88965043</v>
      </c>
    </row>
    <row r="90" spans="1:6" ht="12.5" x14ac:dyDescent="0.25">
      <c r="A90" s="3">
        <f ca="1">IFERROR(__xludf.DUMMYFUNCTION("""COMPUTED_VALUE"""),45056.6666666666)</f>
        <v>45056.666666666599</v>
      </c>
      <c r="B90" s="2">
        <f ca="1">IFERROR(__xludf.DUMMYFUNCTION("""COMPUTED_VALUE"""),172.55)</f>
        <v>172.55</v>
      </c>
      <c r="C90" s="2">
        <f ca="1">IFERROR(__xludf.DUMMYFUNCTION("""COMPUTED_VALUE"""),174.43)</f>
        <v>174.43</v>
      </c>
      <c r="D90" s="2">
        <f ca="1">IFERROR(__xludf.DUMMYFUNCTION("""COMPUTED_VALUE"""),166.68)</f>
        <v>166.68</v>
      </c>
      <c r="E90" s="2">
        <f ca="1">IFERROR(__xludf.DUMMYFUNCTION("""COMPUTED_VALUE"""),168.54)</f>
        <v>168.54</v>
      </c>
      <c r="F90" s="2">
        <f ca="1">IFERROR(__xludf.DUMMYFUNCTION("""COMPUTED_VALUE"""),119840693)</f>
        <v>119840693</v>
      </c>
    </row>
    <row r="91" spans="1:6" ht="12.5" x14ac:dyDescent="0.25">
      <c r="A91" s="3">
        <f ca="1">IFERROR(__xludf.DUMMYFUNCTION("""COMPUTED_VALUE"""),45057.6666666666)</f>
        <v>45057.666666666599</v>
      </c>
      <c r="B91" s="2">
        <f ca="1">IFERROR(__xludf.DUMMYFUNCTION("""COMPUTED_VALUE"""),168.7)</f>
        <v>168.7</v>
      </c>
      <c r="C91" s="2">
        <f ca="1">IFERROR(__xludf.DUMMYFUNCTION("""COMPUTED_VALUE"""),173.57)</f>
        <v>173.57</v>
      </c>
      <c r="D91" s="2">
        <f ca="1">IFERROR(__xludf.DUMMYFUNCTION("""COMPUTED_VALUE"""),166.79)</f>
        <v>166.79</v>
      </c>
      <c r="E91" s="2">
        <f ca="1">IFERROR(__xludf.DUMMYFUNCTION("""COMPUTED_VALUE"""),172.08)</f>
        <v>172.08</v>
      </c>
      <c r="F91" s="2">
        <f ca="1">IFERROR(__xludf.DUMMYFUNCTION("""COMPUTED_VALUE"""),103889930)</f>
        <v>103889930</v>
      </c>
    </row>
    <row r="92" spans="1:6" ht="12.5" x14ac:dyDescent="0.25">
      <c r="A92" s="3">
        <f ca="1">IFERROR(__xludf.DUMMYFUNCTION("""COMPUTED_VALUE"""),45058.6666666666)</f>
        <v>45058.666666666599</v>
      </c>
      <c r="B92" s="2">
        <f ca="1">IFERROR(__xludf.DUMMYFUNCTION("""COMPUTED_VALUE"""),176.07)</f>
        <v>176.07</v>
      </c>
      <c r="C92" s="2">
        <f ca="1">IFERROR(__xludf.DUMMYFUNCTION("""COMPUTED_VALUE"""),177.38)</f>
        <v>177.38</v>
      </c>
      <c r="D92" s="2">
        <f ca="1">IFERROR(__xludf.DUMMYFUNCTION("""COMPUTED_VALUE"""),167.23)</f>
        <v>167.23</v>
      </c>
      <c r="E92" s="2">
        <f ca="1">IFERROR(__xludf.DUMMYFUNCTION("""COMPUTED_VALUE"""),167.98)</f>
        <v>167.98</v>
      </c>
      <c r="F92" s="2">
        <f ca="1">IFERROR(__xludf.DUMMYFUNCTION("""COMPUTED_VALUE"""),157849625)</f>
        <v>157849625</v>
      </c>
    </row>
    <row r="93" spans="1:6" ht="12.5" x14ac:dyDescent="0.25">
      <c r="A93" s="3">
        <f ca="1">IFERROR(__xludf.DUMMYFUNCTION("""COMPUTED_VALUE"""),45061.6666666666)</f>
        <v>45061.666666666599</v>
      </c>
      <c r="B93" s="2">
        <f ca="1">IFERROR(__xludf.DUMMYFUNCTION("""COMPUTED_VALUE"""),167.66)</f>
        <v>167.66</v>
      </c>
      <c r="C93" s="2">
        <f ca="1">IFERROR(__xludf.DUMMYFUNCTION("""COMPUTED_VALUE"""),169.76)</f>
        <v>169.76</v>
      </c>
      <c r="D93" s="2">
        <f ca="1">IFERROR(__xludf.DUMMYFUNCTION("""COMPUTED_VALUE"""),164.55)</f>
        <v>164.55</v>
      </c>
      <c r="E93" s="2">
        <f ca="1">IFERROR(__xludf.DUMMYFUNCTION("""COMPUTED_VALUE"""),166.35)</f>
        <v>166.35</v>
      </c>
      <c r="F93" s="2">
        <f ca="1">IFERROR(__xludf.DUMMYFUNCTION("""COMPUTED_VALUE"""),105592510)</f>
        <v>105592510</v>
      </c>
    </row>
    <row r="94" spans="1:6" ht="12.5" x14ac:dyDescent="0.25">
      <c r="A94" s="3">
        <f ca="1">IFERROR(__xludf.DUMMYFUNCTION("""COMPUTED_VALUE"""),45062.6666666666)</f>
        <v>45062.666666666599</v>
      </c>
      <c r="B94" s="2">
        <f ca="1">IFERROR(__xludf.DUMMYFUNCTION("""COMPUTED_VALUE"""),165.65)</f>
        <v>165.65</v>
      </c>
      <c r="C94" s="2">
        <f ca="1">IFERROR(__xludf.DUMMYFUNCTION("""COMPUTED_VALUE"""),169.52)</f>
        <v>169.52</v>
      </c>
      <c r="D94" s="2">
        <f ca="1">IFERROR(__xludf.DUMMYFUNCTION("""COMPUTED_VALUE"""),164.35)</f>
        <v>164.35</v>
      </c>
      <c r="E94" s="2">
        <f ca="1">IFERROR(__xludf.DUMMYFUNCTION("""COMPUTED_VALUE"""),166.52)</f>
        <v>166.52</v>
      </c>
      <c r="F94" s="2">
        <f ca="1">IFERROR(__xludf.DUMMYFUNCTION("""COMPUTED_VALUE"""),98288792)</f>
        <v>98288792</v>
      </c>
    </row>
    <row r="95" spans="1:6" ht="12.5" x14ac:dyDescent="0.25">
      <c r="A95" s="3">
        <f ca="1">IFERROR(__xludf.DUMMYFUNCTION("""COMPUTED_VALUE"""),45063.6666666666)</f>
        <v>45063.666666666599</v>
      </c>
      <c r="B95" s="2">
        <f ca="1">IFERROR(__xludf.DUMMYFUNCTION("""COMPUTED_VALUE"""),168.41)</f>
        <v>168.41</v>
      </c>
      <c r="C95" s="2">
        <f ca="1">IFERROR(__xludf.DUMMYFUNCTION("""COMPUTED_VALUE"""),174.5)</f>
        <v>174.5</v>
      </c>
      <c r="D95" s="2">
        <f ca="1">IFERROR(__xludf.DUMMYFUNCTION("""COMPUTED_VALUE"""),167.19)</f>
        <v>167.19</v>
      </c>
      <c r="E95" s="2">
        <f ca="1">IFERROR(__xludf.DUMMYFUNCTION("""COMPUTED_VALUE"""),173.86)</f>
        <v>173.86</v>
      </c>
      <c r="F95" s="2">
        <f ca="1">IFERROR(__xludf.DUMMYFUNCTION("""COMPUTED_VALUE"""),125473558)</f>
        <v>125473558</v>
      </c>
    </row>
    <row r="96" spans="1:6" ht="12.5" x14ac:dyDescent="0.25">
      <c r="A96" s="3">
        <f ca="1">IFERROR(__xludf.DUMMYFUNCTION("""COMPUTED_VALUE"""),45064.6666666666)</f>
        <v>45064.666666666599</v>
      </c>
      <c r="B96" s="2">
        <f ca="1">IFERROR(__xludf.DUMMYFUNCTION("""COMPUTED_VALUE"""),174.22)</f>
        <v>174.22</v>
      </c>
      <c r="C96" s="2">
        <f ca="1">IFERROR(__xludf.DUMMYFUNCTION("""COMPUTED_VALUE"""),177.06)</f>
        <v>177.06</v>
      </c>
      <c r="D96" s="2">
        <f ca="1">IFERROR(__xludf.DUMMYFUNCTION("""COMPUTED_VALUE"""),172.45)</f>
        <v>172.45</v>
      </c>
      <c r="E96" s="2">
        <f ca="1">IFERROR(__xludf.DUMMYFUNCTION("""COMPUTED_VALUE"""),176.89)</f>
        <v>176.89</v>
      </c>
      <c r="F96" s="2">
        <f ca="1">IFERROR(__xludf.DUMMYFUNCTION("""COMPUTED_VALUE"""),109520332)</f>
        <v>109520332</v>
      </c>
    </row>
    <row r="97" spans="1:6" ht="12.5" x14ac:dyDescent="0.25">
      <c r="A97" s="3">
        <f ca="1">IFERROR(__xludf.DUMMYFUNCTION("""COMPUTED_VALUE"""),45065.6666666666)</f>
        <v>45065.666666666599</v>
      </c>
      <c r="B97" s="2">
        <f ca="1">IFERROR(__xludf.DUMMYFUNCTION("""COMPUTED_VALUE"""),177.17)</f>
        <v>177.17</v>
      </c>
      <c r="C97" s="2">
        <f ca="1">IFERROR(__xludf.DUMMYFUNCTION("""COMPUTED_VALUE"""),181.95)</f>
        <v>181.95</v>
      </c>
      <c r="D97" s="2">
        <f ca="1">IFERROR(__xludf.DUMMYFUNCTION("""COMPUTED_VALUE"""),176.31)</f>
        <v>176.31</v>
      </c>
      <c r="E97" s="2">
        <f ca="1">IFERROR(__xludf.DUMMYFUNCTION("""COMPUTED_VALUE"""),180.14)</f>
        <v>180.14</v>
      </c>
      <c r="F97" s="2">
        <f ca="1">IFERROR(__xludf.DUMMYFUNCTION("""COMPUTED_VALUE"""),136196668)</f>
        <v>136196668</v>
      </c>
    </row>
    <row r="98" spans="1:6" ht="12.5" x14ac:dyDescent="0.25">
      <c r="A98" s="3">
        <f ca="1">IFERROR(__xludf.DUMMYFUNCTION("""COMPUTED_VALUE"""),45068.6666666666)</f>
        <v>45068.666666666599</v>
      </c>
      <c r="B98" s="2">
        <f ca="1">IFERROR(__xludf.DUMMYFUNCTION("""COMPUTED_VALUE"""),180.7)</f>
        <v>180.7</v>
      </c>
      <c r="C98" s="2">
        <f ca="1">IFERROR(__xludf.DUMMYFUNCTION("""COMPUTED_VALUE"""),189.32)</f>
        <v>189.32</v>
      </c>
      <c r="D98" s="2">
        <f ca="1">IFERROR(__xludf.DUMMYFUNCTION("""COMPUTED_VALUE"""),180.11)</f>
        <v>180.11</v>
      </c>
      <c r="E98" s="2">
        <f ca="1">IFERROR(__xludf.DUMMYFUNCTION("""COMPUTED_VALUE"""),188.87)</f>
        <v>188.87</v>
      </c>
      <c r="F98" s="2">
        <f ca="1">IFERROR(__xludf.DUMMYFUNCTION("""COMPUTED_VALUE"""),132001430)</f>
        <v>132001430</v>
      </c>
    </row>
    <row r="99" spans="1:6" ht="12.5" x14ac:dyDescent="0.25">
      <c r="A99" s="3">
        <f ca="1">IFERROR(__xludf.DUMMYFUNCTION("""COMPUTED_VALUE"""),45069.6666666666)</f>
        <v>45069.666666666599</v>
      </c>
      <c r="B99" s="2">
        <f ca="1">IFERROR(__xludf.DUMMYFUNCTION("""COMPUTED_VALUE"""),186.2)</f>
        <v>186.2</v>
      </c>
      <c r="C99" s="2">
        <f ca="1">IFERROR(__xludf.DUMMYFUNCTION("""COMPUTED_VALUE"""),192.96)</f>
        <v>192.96</v>
      </c>
      <c r="D99" s="2">
        <f ca="1">IFERROR(__xludf.DUMMYFUNCTION("""COMPUTED_VALUE"""),185.26)</f>
        <v>185.26</v>
      </c>
      <c r="E99" s="2">
        <f ca="1">IFERROR(__xludf.DUMMYFUNCTION("""COMPUTED_VALUE"""),185.77)</f>
        <v>185.77</v>
      </c>
      <c r="F99" s="2">
        <f ca="1">IFERROR(__xludf.DUMMYFUNCTION("""COMPUTED_VALUE"""),156952130)</f>
        <v>156952130</v>
      </c>
    </row>
    <row r="100" spans="1:6" ht="12.5" x14ac:dyDescent="0.25">
      <c r="A100" s="3">
        <f ca="1">IFERROR(__xludf.DUMMYFUNCTION("""COMPUTED_VALUE"""),45070.6666666666)</f>
        <v>45070.666666666599</v>
      </c>
      <c r="B100" s="2">
        <f ca="1">IFERROR(__xludf.DUMMYFUNCTION("""COMPUTED_VALUE"""),182.23)</f>
        <v>182.23</v>
      </c>
      <c r="C100" s="2">
        <f ca="1">IFERROR(__xludf.DUMMYFUNCTION("""COMPUTED_VALUE"""),184.22)</f>
        <v>184.22</v>
      </c>
      <c r="D100" s="2">
        <f ca="1">IFERROR(__xludf.DUMMYFUNCTION("""COMPUTED_VALUE"""),178.22)</f>
        <v>178.22</v>
      </c>
      <c r="E100" s="2">
        <f ca="1">IFERROR(__xludf.DUMMYFUNCTION("""COMPUTED_VALUE"""),182.9)</f>
        <v>182.9</v>
      </c>
      <c r="F100" s="2">
        <f ca="1">IFERROR(__xludf.DUMMYFUNCTION("""COMPUTED_VALUE"""),137605054)</f>
        <v>137605054</v>
      </c>
    </row>
    <row r="101" spans="1:6" ht="12.5" x14ac:dyDescent="0.25">
      <c r="A101" s="3">
        <f ca="1">IFERROR(__xludf.DUMMYFUNCTION("""COMPUTED_VALUE"""),45071.6666666666)</f>
        <v>45071.666666666599</v>
      </c>
      <c r="B101" s="2">
        <f ca="1">IFERROR(__xludf.DUMMYFUNCTION("""COMPUTED_VALUE"""),186.54)</f>
        <v>186.54</v>
      </c>
      <c r="C101" s="2">
        <f ca="1">IFERROR(__xludf.DUMMYFUNCTION("""COMPUTED_VALUE"""),186.78)</f>
        <v>186.78</v>
      </c>
      <c r="D101" s="2">
        <f ca="1">IFERROR(__xludf.DUMMYFUNCTION("""COMPUTED_VALUE"""),180.58)</f>
        <v>180.58</v>
      </c>
      <c r="E101" s="2">
        <f ca="1">IFERROR(__xludf.DUMMYFUNCTION("""COMPUTED_VALUE"""),184.47)</f>
        <v>184.47</v>
      </c>
      <c r="F101" s="2">
        <f ca="1">IFERROR(__xludf.DUMMYFUNCTION("""COMPUTED_VALUE"""),96870719)</f>
        <v>96870719</v>
      </c>
    </row>
    <row r="102" spans="1:6" ht="12.5" x14ac:dyDescent="0.25">
      <c r="A102" s="3">
        <f ca="1">IFERROR(__xludf.DUMMYFUNCTION("""COMPUTED_VALUE"""),45072.6666666666)</f>
        <v>45072.666666666599</v>
      </c>
      <c r="B102" s="2">
        <f ca="1">IFERROR(__xludf.DUMMYFUNCTION("""COMPUTED_VALUE"""),184.62)</f>
        <v>184.62</v>
      </c>
      <c r="C102" s="2">
        <f ca="1">IFERROR(__xludf.DUMMYFUNCTION("""COMPUTED_VALUE"""),198.6)</f>
        <v>198.6</v>
      </c>
      <c r="D102" s="2">
        <f ca="1">IFERROR(__xludf.DUMMYFUNCTION("""COMPUTED_VALUE"""),184.53)</f>
        <v>184.53</v>
      </c>
      <c r="E102" s="2">
        <f ca="1">IFERROR(__xludf.DUMMYFUNCTION("""COMPUTED_VALUE"""),193.17)</f>
        <v>193.17</v>
      </c>
      <c r="F102" s="2">
        <f ca="1">IFERROR(__xludf.DUMMYFUNCTION("""COMPUTED_VALUE"""),162061496)</f>
        <v>162061496</v>
      </c>
    </row>
    <row r="103" spans="1:6" ht="12.5" x14ac:dyDescent="0.25">
      <c r="A103" s="3">
        <f ca="1">IFERROR(__xludf.DUMMYFUNCTION("""COMPUTED_VALUE"""),45076.6666666666)</f>
        <v>45076.666666666599</v>
      </c>
      <c r="B103" s="2">
        <f ca="1">IFERROR(__xludf.DUMMYFUNCTION("""COMPUTED_VALUE"""),200.1)</f>
        <v>200.1</v>
      </c>
      <c r="C103" s="2">
        <f ca="1">IFERROR(__xludf.DUMMYFUNCTION("""COMPUTED_VALUE"""),204.48)</f>
        <v>204.48</v>
      </c>
      <c r="D103" s="2">
        <f ca="1">IFERROR(__xludf.DUMMYFUNCTION("""COMPUTED_VALUE"""),197.53)</f>
        <v>197.53</v>
      </c>
      <c r="E103" s="2">
        <f ca="1">IFERROR(__xludf.DUMMYFUNCTION("""COMPUTED_VALUE"""),201.16)</f>
        <v>201.16</v>
      </c>
      <c r="F103" s="2">
        <f ca="1">IFERROR(__xludf.DUMMYFUNCTION("""COMPUTED_VALUE"""),128818746)</f>
        <v>128818746</v>
      </c>
    </row>
    <row r="104" spans="1:6" ht="12.5" x14ac:dyDescent="0.25">
      <c r="A104" s="3">
        <f ca="1">IFERROR(__xludf.DUMMYFUNCTION("""COMPUTED_VALUE"""),45077.6666666666)</f>
        <v>45077.666666666599</v>
      </c>
      <c r="B104" s="2">
        <f ca="1">IFERROR(__xludf.DUMMYFUNCTION("""COMPUTED_VALUE"""),199.78)</f>
        <v>199.78</v>
      </c>
      <c r="C104" s="2">
        <f ca="1">IFERROR(__xludf.DUMMYFUNCTION("""COMPUTED_VALUE"""),203.95)</f>
        <v>203.95</v>
      </c>
      <c r="D104" s="2">
        <f ca="1">IFERROR(__xludf.DUMMYFUNCTION("""COMPUTED_VALUE"""),195.12)</f>
        <v>195.12</v>
      </c>
      <c r="E104" s="2">
        <f ca="1">IFERROR(__xludf.DUMMYFUNCTION("""COMPUTED_VALUE"""),203.93)</f>
        <v>203.93</v>
      </c>
      <c r="F104" s="2">
        <f ca="1">IFERROR(__xludf.DUMMYFUNCTION("""COMPUTED_VALUE"""),150711736)</f>
        <v>150711736</v>
      </c>
    </row>
    <row r="105" spans="1:6" ht="12.5" x14ac:dyDescent="0.25">
      <c r="A105" s="3">
        <f ca="1">IFERROR(__xludf.DUMMYFUNCTION("""COMPUTED_VALUE"""),45078.6666666666)</f>
        <v>45078.666666666599</v>
      </c>
      <c r="B105" s="2">
        <f ca="1">IFERROR(__xludf.DUMMYFUNCTION("""COMPUTED_VALUE"""),202.59)</f>
        <v>202.59</v>
      </c>
      <c r="C105" s="2">
        <f ca="1">IFERROR(__xludf.DUMMYFUNCTION("""COMPUTED_VALUE"""),209.8)</f>
        <v>209.8</v>
      </c>
      <c r="D105" s="2">
        <f ca="1">IFERROR(__xludf.DUMMYFUNCTION("""COMPUTED_VALUE"""),199.37)</f>
        <v>199.37</v>
      </c>
      <c r="E105" s="2">
        <f ca="1">IFERROR(__xludf.DUMMYFUNCTION("""COMPUTED_VALUE"""),207.52)</f>
        <v>207.52</v>
      </c>
      <c r="F105" s="2">
        <f ca="1">IFERROR(__xludf.DUMMYFUNCTION("""COMPUTED_VALUE"""),148029931)</f>
        <v>148029931</v>
      </c>
    </row>
    <row r="106" spans="1:6" ht="12.5" x14ac:dyDescent="0.25">
      <c r="A106" s="3">
        <f ca="1">IFERROR(__xludf.DUMMYFUNCTION("""COMPUTED_VALUE"""),45079.6666666666)</f>
        <v>45079.666666666599</v>
      </c>
      <c r="B106" s="2">
        <f ca="1">IFERROR(__xludf.DUMMYFUNCTION("""COMPUTED_VALUE"""),210.15)</f>
        <v>210.15</v>
      </c>
      <c r="C106" s="2">
        <f ca="1">IFERROR(__xludf.DUMMYFUNCTION("""COMPUTED_VALUE"""),217.25)</f>
        <v>217.25</v>
      </c>
      <c r="D106" s="2">
        <f ca="1">IFERROR(__xludf.DUMMYFUNCTION("""COMPUTED_VALUE"""),209.75)</f>
        <v>209.75</v>
      </c>
      <c r="E106" s="2">
        <f ca="1">IFERROR(__xludf.DUMMYFUNCTION("""COMPUTED_VALUE"""),213.97)</f>
        <v>213.97</v>
      </c>
      <c r="F106" s="2">
        <f ca="1">IFERROR(__xludf.DUMMYFUNCTION("""COMPUTED_VALUE"""),164398372)</f>
        <v>164398372</v>
      </c>
    </row>
    <row r="107" spans="1:6" ht="12.5" x14ac:dyDescent="0.25">
      <c r="A107" s="3">
        <f ca="1">IFERROR(__xludf.DUMMYFUNCTION("""COMPUTED_VALUE"""),45082.6666666666)</f>
        <v>45082.666666666599</v>
      </c>
      <c r="B107" s="2">
        <f ca="1">IFERROR(__xludf.DUMMYFUNCTION("""COMPUTED_VALUE"""),217.8)</f>
        <v>217.8</v>
      </c>
      <c r="C107" s="2">
        <f ca="1">IFERROR(__xludf.DUMMYFUNCTION("""COMPUTED_VALUE"""),221.29)</f>
        <v>221.29</v>
      </c>
      <c r="D107" s="2">
        <f ca="1">IFERROR(__xludf.DUMMYFUNCTION("""COMPUTED_VALUE"""),214.52)</f>
        <v>214.52</v>
      </c>
      <c r="E107" s="2">
        <f ca="1">IFERROR(__xludf.DUMMYFUNCTION("""COMPUTED_VALUE"""),217.61)</f>
        <v>217.61</v>
      </c>
      <c r="F107" s="2">
        <f ca="1">IFERROR(__xludf.DUMMYFUNCTION("""COMPUTED_VALUE"""),151143052)</f>
        <v>151143052</v>
      </c>
    </row>
    <row r="108" spans="1:6" ht="12.5" x14ac:dyDescent="0.25">
      <c r="A108" s="3">
        <f ca="1">IFERROR(__xludf.DUMMYFUNCTION("""COMPUTED_VALUE"""),45083.6666666666)</f>
        <v>45083.666666666599</v>
      </c>
      <c r="B108" s="2">
        <f ca="1">IFERROR(__xludf.DUMMYFUNCTION("""COMPUTED_VALUE"""),216.14)</f>
        <v>216.14</v>
      </c>
      <c r="C108" s="2">
        <f ca="1">IFERROR(__xludf.DUMMYFUNCTION("""COMPUTED_VALUE"""),221.91)</f>
        <v>221.91</v>
      </c>
      <c r="D108" s="2">
        <f ca="1">IFERROR(__xludf.DUMMYFUNCTION("""COMPUTED_VALUE"""),212.53)</f>
        <v>212.53</v>
      </c>
      <c r="E108" s="2">
        <f ca="1">IFERROR(__xludf.DUMMYFUNCTION("""COMPUTED_VALUE"""),221.31)</f>
        <v>221.31</v>
      </c>
      <c r="F108" s="2">
        <f ca="1">IFERROR(__xludf.DUMMYFUNCTION("""COMPUTED_VALUE"""),146911576)</f>
        <v>146911576</v>
      </c>
    </row>
    <row r="109" spans="1:6" ht="12.5" x14ac:dyDescent="0.25">
      <c r="A109" s="3">
        <f ca="1">IFERROR(__xludf.DUMMYFUNCTION("""COMPUTED_VALUE"""),45084.6666666666)</f>
        <v>45084.666666666599</v>
      </c>
      <c r="B109" s="2">
        <f ca="1">IFERROR(__xludf.DUMMYFUNCTION("""COMPUTED_VALUE"""),228)</f>
        <v>228</v>
      </c>
      <c r="C109" s="2">
        <f ca="1">IFERROR(__xludf.DUMMYFUNCTION("""COMPUTED_VALUE"""),230.83)</f>
        <v>230.83</v>
      </c>
      <c r="D109" s="2">
        <f ca="1">IFERROR(__xludf.DUMMYFUNCTION("""COMPUTED_VALUE"""),223.2)</f>
        <v>223.2</v>
      </c>
      <c r="E109" s="2">
        <f ca="1">IFERROR(__xludf.DUMMYFUNCTION("""COMPUTED_VALUE"""),224.57)</f>
        <v>224.57</v>
      </c>
      <c r="F109" s="2">
        <f ca="1">IFERROR(__xludf.DUMMYFUNCTION("""COMPUTED_VALUE"""),185710777)</f>
        <v>185710777</v>
      </c>
    </row>
    <row r="110" spans="1:6" ht="12.5" x14ac:dyDescent="0.25">
      <c r="A110" s="3">
        <f ca="1">IFERROR(__xludf.DUMMYFUNCTION("""COMPUTED_VALUE"""),45085.6666666666)</f>
        <v>45085.666666666599</v>
      </c>
      <c r="B110" s="2">
        <f ca="1">IFERROR(__xludf.DUMMYFUNCTION("""COMPUTED_VALUE"""),224.22)</f>
        <v>224.22</v>
      </c>
      <c r="C110" s="2">
        <f ca="1">IFERROR(__xludf.DUMMYFUNCTION("""COMPUTED_VALUE"""),235.23)</f>
        <v>235.23</v>
      </c>
      <c r="D110" s="2">
        <f ca="1">IFERROR(__xludf.DUMMYFUNCTION("""COMPUTED_VALUE"""),223.01)</f>
        <v>223.01</v>
      </c>
      <c r="E110" s="2">
        <f ca="1">IFERROR(__xludf.DUMMYFUNCTION("""COMPUTED_VALUE"""),234.86)</f>
        <v>234.86</v>
      </c>
      <c r="F110" s="2">
        <f ca="1">IFERROR(__xludf.DUMMYFUNCTION("""COMPUTED_VALUE"""),164489739)</f>
        <v>164489739</v>
      </c>
    </row>
    <row r="111" spans="1:6" ht="12.5" x14ac:dyDescent="0.25">
      <c r="A111" s="3">
        <f ca="1">IFERROR(__xludf.DUMMYFUNCTION("""COMPUTED_VALUE"""),45086.6666666666)</f>
        <v>45086.666666666599</v>
      </c>
      <c r="B111" s="2">
        <f ca="1">IFERROR(__xludf.DUMMYFUNCTION("""COMPUTED_VALUE"""),249.07)</f>
        <v>249.07</v>
      </c>
      <c r="C111" s="2">
        <f ca="1">IFERROR(__xludf.DUMMYFUNCTION("""COMPUTED_VALUE"""),252.42)</f>
        <v>252.42</v>
      </c>
      <c r="D111" s="2">
        <f ca="1">IFERROR(__xludf.DUMMYFUNCTION("""COMPUTED_VALUE"""),242.02)</f>
        <v>242.02</v>
      </c>
      <c r="E111" s="2">
        <f ca="1">IFERROR(__xludf.DUMMYFUNCTION("""COMPUTED_VALUE"""),244.4)</f>
        <v>244.4</v>
      </c>
      <c r="F111" s="2">
        <f ca="1">IFERROR(__xludf.DUMMYFUNCTION("""COMPUTED_VALUE"""),200242371)</f>
        <v>200242371</v>
      </c>
    </row>
    <row r="112" spans="1:6" ht="12.5" x14ac:dyDescent="0.25">
      <c r="A112" s="3">
        <f ca="1">IFERROR(__xludf.DUMMYFUNCTION("""COMPUTED_VALUE"""),45089.6666666666)</f>
        <v>45089.666666666599</v>
      </c>
      <c r="B112" s="2">
        <f ca="1">IFERROR(__xludf.DUMMYFUNCTION("""COMPUTED_VALUE"""),247.94)</f>
        <v>247.94</v>
      </c>
      <c r="C112" s="2">
        <f ca="1">IFERROR(__xludf.DUMMYFUNCTION("""COMPUTED_VALUE"""),250.97)</f>
        <v>250.97</v>
      </c>
      <c r="D112" s="2">
        <f ca="1">IFERROR(__xludf.DUMMYFUNCTION("""COMPUTED_VALUE"""),244.59)</f>
        <v>244.59</v>
      </c>
      <c r="E112" s="2">
        <f ca="1">IFERROR(__xludf.DUMMYFUNCTION("""COMPUTED_VALUE"""),249.83)</f>
        <v>249.83</v>
      </c>
      <c r="F112" s="2">
        <f ca="1">IFERROR(__xludf.DUMMYFUNCTION("""COMPUTED_VALUE"""),150740523)</f>
        <v>150740523</v>
      </c>
    </row>
    <row r="113" spans="1:6" ht="12.5" x14ac:dyDescent="0.25">
      <c r="A113" s="3">
        <f ca="1">IFERROR(__xludf.DUMMYFUNCTION("""COMPUTED_VALUE"""),45090.6666666666)</f>
        <v>45090.666666666599</v>
      </c>
      <c r="B113" s="2">
        <f ca="1">IFERROR(__xludf.DUMMYFUNCTION("""COMPUTED_VALUE"""),253.51)</f>
        <v>253.51</v>
      </c>
      <c r="C113" s="2">
        <f ca="1">IFERROR(__xludf.DUMMYFUNCTION("""COMPUTED_VALUE"""),259.68)</f>
        <v>259.68</v>
      </c>
      <c r="D113" s="2">
        <f ca="1">IFERROR(__xludf.DUMMYFUNCTION("""COMPUTED_VALUE"""),251.34)</f>
        <v>251.34</v>
      </c>
      <c r="E113" s="2">
        <f ca="1">IFERROR(__xludf.DUMMYFUNCTION("""COMPUTED_VALUE"""),258.71)</f>
        <v>258.70999999999998</v>
      </c>
      <c r="F113" s="2">
        <f ca="1">IFERROR(__xludf.DUMMYFUNCTION("""COMPUTED_VALUE"""),162384343)</f>
        <v>162384343</v>
      </c>
    </row>
    <row r="114" spans="1:6" ht="12.5" x14ac:dyDescent="0.25">
      <c r="A114" s="3">
        <f ca="1">IFERROR(__xludf.DUMMYFUNCTION("""COMPUTED_VALUE"""),45091.6666666666)</f>
        <v>45091.666666666599</v>
      </c>
      <c r="B114" s="2">
        <f ca="1">IFERROR(__xludf.DUMMYFUNCTION("""COMPUTED_VALUE"""),260.17)</f>
        <v>260.17</v>
      </c>
      <c r="C114" s="2">
        <f ca="1">IFERROR(__xludf.DUMMYFUNCTION("""COMPUTED_VALUE"""),261.57)</f>
        <v>261.57</v>
      </c>
      <c r="D114" s="2">
        <f ca="1">IFERROR(__xludf.DUMMYFUNCTION("""COMPUTED_VALUE"""),250.5)</f>
        <v>250.5</v>
      </c>
      <c r="E114" s="2">
        <f ca="1">IFERROR(__xludf.DUMMYFUNCTION("""COMPUTED_VALUE"""),256.79)</f>
        <v>256.79000000000002</v>
      </c>
      <c r="F114" s="2">
        <f ca="1">IFERROR(__xludf.DUMMYFUNCTION("""COMPUTED_VALUE"""),170575536)</f>
        <v>170575536</v>
      </c>
    </row>
    <row r="115" spans="1:6" ht="12.5" x14ac:dyDescent="0.25">
      <c r="A115" s="3">
        <f ca="1">IFERROR(__xludf.DUMMYFUNCTION("""COMPUTED_VALUE"""),45092.6666666666)</f>
        <v>45092.666666666599</v>
      </c>
      <c r="B115" s="2">
        <f ca="1">IFERROR(__xludf.DUMMYFUNCTION("""COMPUTED_VALUE"""),248.4)</f>
        <v>248.4</v>
      </c>
      <c r="C115" s="2">
        <f ca="1">IFERROR(__xludf.DUMMYFUNCTION("""COMPUTED_VALUE"""),258.95)</f>
        <v>258.95</v>
      </c>
      <c r="D115" s="2">
        <f ca="1">IFERROR(__xludf.DUMMYFUNCTION("""COMPUTED_VALUE"""),247.29)</f>
        <v>247.29</v>
      </c>
      <c r="E115" s="2">
        <f ca="1">IFERROR(__xludf.DUMMYFUNCTION("""COMPUTED_VALUE"""),255.9)</f>
        <v>255.9</v>
      </c>
      <c r="F115" s="2">
        <f ca="1">IFERROR(__xludf.DUMMYFUNCTION("""COMPUTED_VALUE"""),160171238)</f>
        <v>160171238</v>
      </c>
    </row>
    <row r="116" spans="1:6" ht="12.5" x14ac:dyDescent="0.25">
      <c r="A116" s="3">
        <f ca="1">IFERROR(__xludf.DUMMYFUNCTION("""COMPUTED_VALUE"""),45093.6666666666)</f>
        <v>45093.666666666599</v>
      </c>
      <c r="B116" s="2">
        <f ca="1">IFERROR(__xludf.DUMMYFUNCTION("""COMPUTED_VALUE"""),258.92)</f>
        <v>258.92</v>
      </c>
      <c r="C116" s="2">
        <f ca="1">IFERROR(__xludf.DUMMYFUNCTION("""COMPUTED_VALUE"""),263.6)</f>
        <v>263.60000000000002</v>
      </c>
      <c r="D116" s="2">
        <f ca="1">IFERROR(__xludf.DUMMYFUNCTION("""COMPUTED_VALUE"""),257.21)</f>
        <v>257.20999999999998</v>
      </c>
      <c r="E116" s="2">
        <f ca="1">IFERROR(__xludf.DUMMYFUNCTION("""COMPUTED_VALUE"""),260.54)</f>
        <v>260.54000000000002</v>
      </c>
      <c r="F116" s="2">
        <f ca="1">IFERROR(__xludf.DUMMYFUNCTION("""COMPUTED_VALUE"""),167915649)</f>
        <v>167915649</v>
      </c>
    </row>
    <row r="117" spans="1:6" ht="12.5" x14ac:dyDescent="0.25">
      <c r="A117" s="3">
        <f ca="1">IFERROR(__xludf.DUMMYFUNCTION("""COMPUTED_VALUE"""),45097.6666666666)</f>
        <v>45097.666666666599</v>
      </c>
      <c r="B117" s="2">
        <f ca="1">IFERROR(__xludf.DUMMYFUNCTION("""COMPUTED_VALUE"""),261.5)</f>
        <v>261.5</v>
      </c>
      <c r="C117" s="2">
        <f ca="1">IFERROR(__xludf.DUMMYFUNCTION("""COMPUTED_VALUE"""),274.75)</f>
        <v>274.75</v>
      </c>
      <c r="D117" s="2">
        <f ca="1">IFERROR(__xludf.DUMMYFUNCTION("""COMPUTED_VALUE"""),261.12)</f>
        <v>261.12</v>
      </c>
      <c r="E117" s="2">
        <f ca="1">IFERROR(__xludf.DUMMYFUNCTION("""COMPUTED_VALUE"""),274.45)</f>
        <v>274.45</v>
      </c>
      <c r="F117" s="2">
        <f ca="1">IFERROR(__xludf.DUMMYFUNCTION("""COMPUTED_VALUE"""),165611217)</f>
        <v>165611217</v>
      </c>
    </row>
    <row r="118" spans="1:6" ht="12.5" x14ac:dyDescent="0.25">
      <c r="A118" s="3">
        <f ca="1">IFERROR(__xludf.DUMMYFUNCTION("""COMPUTED_VALUE"""),45098.6666666666)</f>
        <v>45098.666666666599</v>
      </c>
      <c r="B118" s="2">
        <f ca="1">IFERROR(__xludf.DUMMYFUNCTION("""COMPUTED_VALUE"""),275.13)</f>
        <v>275.13</v>
      </c>
      <c r="C118" s="2">
        <f ca="1">IFERROR(__xludf.DUMMYFUNCTION("""COMPUTED_VALUE"""),276.99)</f>
        <v>276.99</v>
      </c>
      <c r="D118" s="2">
        <f ca="1">IFERROR(__xludf.DUMMYFUNCTION("""COMPUTED_VALUE"""),257.78)</f>
        <v>257.77999999999997</v>
      </c>
      <c r="E118" s="2">
        <f ca="1">IFERROR(__xludf.DUMMYFUNCTION("""COMPUTED_VALUE"""),259.46)</f>
        <v>259.45999999999998</v>
      </c>
      <c r="F118" s="2">
        <f ca="1">IFERROR(__xludf.DUMMYFUNCTION("""COMPUTED_VALUE"""),211797109)</f>
        <v>211797109</v>
      </c>
    </row>
    <row r="119" spans="1:6" ht="12.5" x14ac:dyDescent="0.25">
      <c r="A119" s="3">
        <f ca="1">IFERROR(__xludf.DUMMYFUNCTION("""COMPUTED_VALUE"""),45099.6666666666)</f>
        <v>45099.666666666599</v>
      </c>
      <c r="B119" s="2">
        <f ca="1">IFERROR(__xludf.DUMMYFUNCTION("""COMPUTED_VALUE"""),250.77)</f>
        <v>250.77</v>
      </c>
      <c r="C119" s="2">
        <f ca="1">IFERROR(__xludf.DUMMYFUNCTION("""COMPUTED_VALUE"""),265)</f>
        <v>265</v>
      </c>
      <c r="D119" s="2">
        <f ca="1">IFERROR(__xludf.DUMMYFUNCTION("""COMPUTED_VALUE"""),248.25)</f>
        <v>248.25</v>
      </c>
      <c r="E119" s="2">
        <f ca="1">IFERROR(__xludf.DUMMYFUNCTION("""COMPUTED_VALUE"""),264.61)</f>
        <v>264.61</v>
      </c>
      <c r="F119" s="2">
        <f ca="1">IFERROR(__xludf.DUMMYFUNCTION("""COMPUTED_VALUE"""),166875944)</f>
        <v>166875944</v>
      </c>
    </row>
    <row r="120" spans="1:6" ht="12.5" x14ac:dyDescent="0.25">
      <c r="A120" s="3">
        <f ca="1">IFERROR(__xludf.DUMMYFUNCTION("""COMPUTED_VALUE"""),45100.6666666666)</f>
        <v>45100.666666666599</v>
      </c>
      <c r="B120" s="2">
        <f ca="1">IFERROR(__xludf.DUMMYFUNCTION("""COMPUTED_VALUE"""),259.29)</f>
        <v>259.29000000000002</v>
      </c>
      <c r="C120" s="2">
        <f ca="1">IFERROR(__xludf.DUMMYFUNCTION("""COMPUTED_VALUE"""),262.45)</f>
        <v>262.45</v>
      </c>
      <c r="D120" s="2">
        <f ca="1">IFERROR(__xludf.DUMMYFUNCTION("""COMPUTED_VALUE"""),252.8)</f>
        <v>252.8</v>
      </c>
      <c r="E120" s="2">
        <f ca="1">IFERROR(__xludf.DUMMYFUNCTION("""COMPUTED_VALUE"""),256.6)</f>
        <v>256.60000000000002</v>
      </c>
      <c r="F120" s="2">
        <f ca="1">IFERROR(__xludf.DUMMYFUNCTION("""COMPUTED_VALUE"""),177460803)</f>
        <v>177460803</v>
      </c>
    </row>
    <row r="121" spans="1:6" ht="12.5" x14ac:dyDescent="0.25">
      <c r="A121" s="3">
        <f ca="1">IFERROR(__xludf.DUMMYFUNCTION("""COMPUTED_VALUE"""),45103.6666666666)</f>
        <v>45103.666666666599</v>
      </c>
      <c r="B121" s="2">
        <f ca="1">IFERROR(__xludf.DUMMYFUNCTION("""COMPUTED_VALUE"""),250.07)</f>
        <v>250.07</v>
      </c>
      <c r="C121" s="2">
        <f ca="1">IFERROR(__xludf.DUMMYFUNCTION("""COMPUTED_VALUE"""),258.37)</f>
        <v>258.37</v>
      </c>
      <c r="D121" s="2">
        <f ca="1">IFERROR(__xludf.DUMMYFUNCTION("""COMPUTED_VALUE"""),240.7)</f>
        <v>240.7</v>
      </c>
      <c r="E121" s="2">
        <f ca="1">IFERROR(__xludf.DUMMYFUNCTION("""COMPUTED_VALUE"""),241.05)</f>
        <v>241.05</v>
      </c>
      <c r="F121" s="2">
        <f ca="1">IFERROR(__xludf.DUMMYFUNCTION("""COMPUTED_VALUE"""),179990552)</f>
        <v>179990552</v>
      </c>
    </row>
    <row r="122" spans="1:6" ht="12.5" x14ac:dyDescent="0.25">
      <c r="A122" s="3">
        <f ca="1">IFERROR(__xludf.DUMMYFUNCTION("""COMPUTED_VALUE"""),45104.6666666666)</f>
        <v>45104.666666666599</v>
      </c>
      <c r="B122" s="2">
        <f ca="1">IFERROR(__xludf.DUMMYFUNCTION("""COMPUTED_VALUE"""),243.24)</f>
        <v>243.24</v>
      </c>
      <c r="C122" s="2">
        <f ca="1">IFERROR(__xludf.DUMMYFUNCTION("""COMPUTED_VALUE"""),250.39)</f>
        <v>250.39</v>
      </c>
      <c r="D122" s="2">
        <f ca="1">IFERROR(__xludf.DUMMYFUNCTION("""COMPUTED_VALUE"""),240.85)</f>
        <v>240.85</v>
      </c>
      <c r="E122" s="2">
        <f ca="1">IFERROR(__xludf.DUMMYFUNCTION("""COMPUTED_VALUE"""),250.21)</f>
        <v>250.21</v>
      </c>
      <c r="F122" s="2">
        <f ca="1">IFERROR(__xludf.DUMMYFUNCTION("""COMPUTED_VALUE"""),164968214)</f>
        <v>164968214</v>
      </c>
    </row>
    <row r="123" spans="1:6" ht="12.5" x14ac:dyDescent="0.25">
      <c r="A123" s="3">
        <f ca="1">IFERROR(__xludf.DUMMYFUNCTION("""COMPUTED_VALUE"""),45105.6666666666)</f>
        <v>45105.666666666599</v>
      </c>
      <c r="B123" s="2">
        <f ca="1">IFERROR(__xludf.DUMMYFUNCTION("""COMPUTED_VALUE"""),249.7)</f>
        <v>249.7</v>
      </c>
      <c r="C123" s="2">
        <f ca="1">IFERROR(__xludf.DUMMYFUNCTION("""COMPUTED_VALUE"""),259.88)</f>
        <v>259.88</v>
      </c>
      <c r="D123" s="2">
        <f ca="1">IFERROR(__xludf.DUMMYFUNCTION("""COMPUTED_VALUE"""),248.89)</f>
        <v>248.89</v>
      </c>
      <c r="E123" s="2">
        <f ca="1">IFERROR(__xludf.DUMMYFUNCTION("""COMPUTED_VALUE"""),256.24)</f>
        <v>256.24</v>
      </c>
      <c r="F123" s="2">
        <f ca="1">IFERROR(__xludf.DUMMYFUNCTION("""COMPUTED_VALUE"""),159770797)</f>
        <v>159770797</v>
      </c>
    </row>
    <row r="124" spans="1:6" ht="12.5" x14ac:dyDescent="0.25">
      <c r="A124" s="3">
        <f ca="1">IFERROR(__xludf.DUMMYFUNCTION("""COMPUTED_VALUE"""),45106.6666666666)</f>
        <v>45106.666666666599</v>
      </c>
      <c r="B124" s="2">
        <f ca="1">IFERROR(__xludf.DUMMYFUNCTION("""COMPUTED_VALUE"""),258.03)</f>
        <v>258.02999999999997</v>
      </c>
      <c r="C124" s="2">
        <f ca="1">IFERROR(__xludf.DUMMYFUNCTION("""COMPUTED_VALUE"""),260.74)</f>
        <v>260.74</v>
      </c>
      <c r="D124" s="2">
        <f ca="1">IFERROR(__xludf.DUMMYFUNCTION("""COMPUTED_VALUE"""),253.61)</f>
        <v>253.61</v>
      </c>
      <c r="E124" s="2">
        <f ca="1">IFERROR(__xludf.DUMMYFUNCTION("""COMPUTED_VALUE"""),257.5)</f>
        <v>257.5</v>
      </c>
      <c r="F124" s="2">
        <f ca="1">IFERROR(__xludf.DUMMYFUNCTION("""COMPUTED_VALUE"""),131283360)</f>
        <v>131283360</v>
      </c>
    </row>
    <row r="125" spans="1:6" ht="12.5" x14ac:dyDescent="0.25">
      <c r="A125" s="3">
        <f ca="1">IFERROR(__xludf.DUMMYFUNCTION("""COMPUTED_VALUE"""),45107.6666666666)</f>
        <v>45107.666666666599</v>
      </c>
      <c r="B125" s="2">
        <f ca="1">IFERROR(__xludf.DUMMYFUNCTION("""COMPUTED_VALUE"""),260.6)</f>
        <v>260.60000000000002</v>
      </c>
      <c r="C125" s="2">
        <f ca="1">IFERROR(__xludf.DUMMYFUNCTION("""COMPUTED_VALUE"""),264.45)</f>
        <v>264.45</v>
      </c>
      <c r="D125" s="2">
        <f ca="1">IFERROR(__xludf.DUMMYFUNCTION("""COMPUTED_VALUE"""),259.89)</f>
        <v>259.89</v>
      </c>
      <c r="E125" s="2">
        <f ca="1">IFERROR(__xludf.DUMMYFUNCTION("""COMPUTED_VALUE"""),261.77)</f>
        <v>261.77</v>
      </c>
      <c r="F125" s="2">
        <f ca="1">IFERROR(__xludf.DUMMYFUNCTION("""COMPUTED_VALUE"""),112620784)</f>
        <v>112620784</v>
      </c>
    </row>
    <row r="126" spans="1:6" ht="12.5" x14ac:dyDescent="0.25">
      <c r="A126" s="3">
        <f ca="1">IFERROR(__xludf.DUMMYFUNCTION("""COMPUTED_VALUE"""),45110.5451388888)</f>
        <v>45110.545138888803</v>
      </c>
      <c r="B126" s="2">
        <f ca="1">IFERROR(__xludf.DUMMYFUNCTION("""COMPUTED_VALUE"""),276.49)</f>
        <v>276.49</v>
      </c>
      <c r="C126" s="2">
        <f ca="1">IFERROR(__xludf.DUMMYFUNCTION("""COMPUTED_VALUE"""),284.25)</f>
        <v>284.25</v>
      </c>
      <c r="D126" s="2">
        <f ca="1">IFERROR(__xludf.DUMMYFUNCTION("""COMPUTED_VALUE"""),275.11)</f>
        <v>275.11</v>
      </c>
      <c r="E126" s="2">
        <f ca="1">IFERROR(__xludf.DUMMYFUNCTION("""COMPUTED_VALUE"""),279.82)</f>
        <v>279.82</v>
      </c>
      <c r="F126" s="2">
        <f ca="1">IFERROR(__xludf.DUMMYFUNCTION("""COMPUTED_VALUE"""),119685891)</f>
        <v>119685891</v>
      </c>
    </row>
    <row r="127" spans="1:6" ht="12.5" x14ac:dyDescent="0.25">
      <c r="A127" s="3">
        <f ca="1">IFERROR(__xludf.DUMMYFUNCTION("""COMPUTED_VALUE"""),45112.6666666666)</f>
        <v>45112.666666666599</v>
      </c>
      <c r="B127" s="2">
        <f ca="1">IFERROR(__xludf.DUMMYFUNCTION("""COMPUTED_VALUE"""),278.82)</f>
        <v>278.82</v>
      </c>
      <c r="C127" s="2">
        <f ca="1">IFERROR(__xludf.DUMMYFUNCTION("""COMPUTED_VALUE"""),283.85)</f>
        <v>283.85000000000002</v>
      </c>
      <c r="D127" s="2">
        <f ca="1">IFERROR(__xludf.DUMMYFUNCTION("""COMPUTED_VALUE"""),277.6)</f>
        <v>277.60000000000002</v>
      </c>
      <c r="E127" s="2">
        <f ca="1">IFERROR(__xludf.DUMMYFUNCTION("""COMPUTED_VALUE"""),282.48)</f>
        <v>282.48</v>
      </c>
      <c r="F127" s="2">
        <f ca="1">IFERROR(__xludf.DUMMYFUNCTION("""COMPUTED_VALUE"""),131530862)</f>
        <v>131530862</v>
      </c>
    </row>
    <row r="128" spans="1:6" ht="12.5" x14ac:dyDescent="0.25">
      <c r="A128" s="3">
        <f ca="1">IFERROR(__xludf.DUMMYFUNCTION("""COMPUTED_VALUE"""),45113.6666666666)</f>
        <v>45113.666666666599</v>
      </c>
      <c r="B128" s="2">
        <f ca="1">IFERROR(__xludf.DUMMYFUNCTION("""COMPUTED_VALUE"""),278.09)</f>
        <v>278.08999999999997</v>
      </c>
      <c r="C128" s="2">
        <f ca="1">IFERROR(__xludf.DUMMYFUNCTION("""COMPUTED_VALUE"""),279.97)</f>
        <v>279.97000000000003</v>
      </c>
      <c r="D128" s="2">
        <f ca="1">IFERROR(__xludf.DUMMYFUNCTION("""COMPUTED_VALUE"""),272.88)</f>
        <v>272.88</v>
      </c>
      <c r="E128" s="2">
        <f ca="1">IFERROR(__xludf.DUMMYFUNCTION("""COMPUTED_VALUE"""),276.54)</f>
        <v>276.54000000000002</v>
      </c>
      <c r="F128" s="2">
        <f ca="1">IFERROR(__xludf.DUMMYFUNCTION("""COMPUTED_VALUE"""),120707419)</f>
        <v>120707419</v>
      </c>
    </row>
    <row r="129" spans="1:6" ht="12.5" x14ac:dyDescent="0.25">
      <c r="A129" s="3">
        <f ca="1">IFERROR(__xludf.DUMMYFUNCTION("""COMPUTED_VALUE"""),45114.6666666666)</f>
        <v>45114.666666666599</v>
      </c>
      <c r="B129" s="2">
        <f ca="1">IFERROR(__xludf.DUMMYFUNCTION("""COMPUTED_VALUE"""),278.43)</f>
        <v>278.43</v>
      </c>
      <c r="C129" s="2">
        <f ca="1">IFERROR(__xludf.DUMMYFUNCTION("""COMPUTED_VALUE"""),280.78)</f>
        <v>280.77999999999997</v>
      </c>
      <c r="D129" s="2">
        <f ca="1">IFERROR(__xludf.DUMMYFUNCTION("""COMPUTED_VALUE"""),273.77)</f>
        <v>273.77</v>
      </c>
      <c r="E129" s="2">
        <f ca="1">IFERROR(__xludf.DUMMYFUNCTION("""COMPUTED_VALUE"""),274.43)</f>
        <v>274.43</v>
      </c>
      <c r="F129" s="2">
        <f ca="1">IFERROR(__xludf.DUMMYFUNCTION("""COMPUTED_VALUE"""),113879174)</f>
        <v>113879174</v>
      </c>
    </row>
    <row r="130" spans="1:6" ht="12.5" x14ac:dyDescent="0.25">
      <c r="A130" s="3">
        <f ca="1">IFERROR(__xludf.DUMMYFUNCTION("""COMPUTED_VALUE"""),45117.6666666666)</f>
        <v>45117.666666666599</v>
      </c>
      <c r="B130" s="2">
        <f ca="1">IFERROR(__xludf.DUMMYFUNCTION("""COMPUTED_VALUE"""),276.47)</f>
        <v>276.47000000000003</v>
      </c>
      <c r="C130" s="2">
        <f ca="1">IFERROR(__xludf.DUMMYFUNCTION("""COMPUTED_VALUE"""),277.52)</f>
        <v>277.52</v>
      </c>
      <c r="D130" s="2">
        <f ca="1">IFERROR(__xludf.DUMMYFUNCTION("""COMPUTED_VALUE"""),265.1)</f>
        <v>265.10000000000002</v>
      </c>
      <c r="E130" s="2">
        <f ca="1">IFERROR(__xludf.DUMMYFUNCTION("""COMPUTED_VALUE"""),269.61)</f>
        <v>269.61</v>
      </c>
      <c r="F130" s="2">
        <f ca="1">IFERROR(__xludf.DUMMYFUNCTION("""COMPUTED_VALUE"""),119425405)</f>
        <v>119425405</v>
      </c>
    </row>
    <row r="131" spans="1:6" ht="12.5" x14ac:dyDescent="0.25">
      <c r="A131" s="3">
        <f ca="1">IFERROR(__xludf.DUMMYFUNCTION("""COMPUTED_VALUE"""),45118.6666666666)</f>
        <v>45118.666666666599</v>
      </c>
      <c r="B131" s="2">
        <f ca="1">IFERROR(__xludf.DUMMYFUNCTION("""COMPUTED_VALUE"""),268.65)</f>
        <v>268.64999999999998</v>
      </c>
      <c r="C131" s="2">
        <f ca="1">IFERROR(__xludf.DUMMYFUNCTION("""COMPUTED_VALUE"""),270.9)</f>
        <v>270.89999999999998</v>
      </c>
      <c r="D131" s="2">
        <f ca="1">IFERROR(__xludf.DUMMYFUNCTION("""COMPUTED_VALUE"""),266.37)</f>
        <v>266.37</v>
      </c>
      <c r="E131" s="2">
        <f ca="1">IFERROR(__xludf.DUMMYFUNCTION("""COMPUTED_VALUE"""),269.79)</f>
        <v>269.79000000000002</v>
      </c>
      <c r="F131" s="2">
        <f ca="1">IFERROR(__xludf.DUMMYFUNCTION("""COMPUTED_VALUE"""),91972358)</f>
        <v>91972358</v>
      </c>
    </row>
    <row r="132" spans="1:6" ht="12.5" x14ac:dyDescent="0.25">
      <c r="A132" s="3">
        <f ca="1">IFERROR(__xludf.DUMMYFUNCTION("""COMPUTED_VALUE"""),45119.6666666666)</f>
        <v>45119.666666666599</v>
      </c>
      <c r="B132" s="2">
        <f ca="1">IFERROR(__xludf.DUMMYFUNCTION("""COMPUTED_VALUE"""),276.33)</f>
        <v>276.33</v>
      </c>
      <c r="C132" s="2">
        <f ca="1">IFERROR(__xludf.DUMMYFUNCTION("""COMPUTED_VALUE"""),276.52)</f>
        <v>276.52</v>
      </c>
      <c r="D132" s="2">
        <f ca="1">IFERROR(__xludf.DUMMYFUNCTION("""COMPUTED_VALUE"""),271.46)</f>
        <v>271.45999999999998</v>
      </c>
      <c r="E132" s="2">
        <f ca="1">IFERROR(__xludf.DUMMYFUNCTION("""COMPUTED_VALUE"""),271.99)</f>
        <v>271.99</v>
      </c>
      <c r="F132" s="2">
        <f ca="1">IFERROR(__xludf.DUMMYFUNCTION("""COMPUTED_VALUE"""),95672139)</f>
        <v>95672139</v>
      </c>
    </row>
    <row r="133" spans="1:6" ht="12.5" x14ac:dyDescent="0.25">
      <c r="A133" s="3">
        <f ca="1">IFERROR(__xludf.DUMMYFUNCTION("""COMPUTED_VALUE"""),45120.6666666666)</f>
        <v>45120.666666666599</v>
      </c>
      <c r="B133" s="2">
        <f ca="1">IFERROR(__xludf.DUMMYFUNCTION("""COMPUTED_VALUE"""),274.59)</f>
        <v>274.58999999999997</v>
      </c>
      <c r="C133" s="2">
        <f ca="1">IFERROR(__xludf.DUMMYFUNCTION("""COMPUTED_VALUE"""),279.45)</f>
        <v>279.45</v>
      </c>
      <c r="D133" s="2">
        <f ca="1">IFERROR(__xludf.DUMMYFUNCTION("""COMPUTED_VALUE"""),270.6)</f>
        <v>270.60000000000002</v>
      </c>
      <c r="E133" s="2">
        <f ca="1">IFERROR(__xludf.DUMMYFUNCTION("""COMPUTED_VALUE"""),277.9)</f>
        <v>277.89999999999998</v>
      </c>
      <c r="F133" s="2">
        <f ca="1">IFERROR(__xludf.DUMMYFUNCTION("""COMPUTED_VALUE"""),112681458)</f>
        <v>112681458</v>
      </c>
    </row>
    <row r="134" spans="1:6" ht="12.5" x14ac:dyDescent="0.25">
      <c r="A134" s="3">
        <f ca="1">IFERROR(__xludf.DUMMYFUNCTION("""COMPUTED_VALUE"""),45121.6666666666)</f>
        <v>45121.666666666599</v>
      </c>
      <c r="B134" s="2">
        <f ca="1">IFERROR(__xludf.DUMMYFUNCTION("""COMPUTED_VALUE"""),277.01)</f>
        <v>277.01</v>
      </c>
      <c r="C134" s="2">
        <f ca="1">IFERROR(__xludf.DUMMYFUNCTION("""COMPUTED_VALUE"""),285.3)</f>
        <v>285.3</v>
      </c>
      <c r="D134" s="2">
        <f ca="1">IFERROR(__xludf.DUMMYFUNCTION("""COMPUTED_VALUE"""),276.31)</f>
        <v>276.31</v>
      </c>
      <c r="E134" s="2">
        <f ca="1">IFERROR(__xludf.DUMMYFUNCTION("""COMPUTED_VALUE"""),281.38)</f>
        <v>281.38</v>
      </c>
      <c r="F134" s="2">
        <f ca="1">IFERROR(__xludf.DUMMYFUNCTION("""COMPUTED_VALUE"""),120062369)</f>
        <v>120062369</v>
      </c>
    </row>
    <row r="135" spans="1:6" ht="12.5" x14ac:dyDescent="0.25">
      <c r="A135" s="3">
        <f ca="1">IFERROR(__xludf.DUMMYFUNCTION("""COMPUTED_VALUE"""),45124.6666666666)</f>
        <v>45124.666666666599</v>
      </c>
      <c r="B135" s="2">
        <f ca="1">IFERROR(__xludf.DUMMYFUNCTION("""COMPUTED_VALUE"""),286.63)</f>
        <v>286.63</v>
      </c>
      <c r="C135" s="2">
        <f ca="1">IFERROR(__xludf.DUMMYFUNCTION("""COMPUTED_VALUE"""),292.23)</f>
        <v>292.23</v>
      </c>
      <c r="D135" s="2">
        <f ca="1">IFERROR(__xludf.DUMMYFUNCTION("""COMPUTED_VALUE"""),283.57)</f>
        <v>283.57</v>
      </c>
      <c r="E135" s="2">
        <f ca="1">IFERROR(__xludf.DUMMYFUNCTION("""COMPUTED_VALUE"""),290.38)</f>
        <v>290.38</v>
      </c>
      <c r="F135" s="2">
        <f ca="1">IFERROR(__xludf.DUMMYFUNCTION("""COMPUTED_VALUE"""),131569593)</f>
        <v>131569593</v>
      </c>
    </row>
    <row r="136" spans="1:6" ht="12.5" x14ac:dyDescent="0.25">
      <c r="A136" s="3">
        <f ca="1">IFERROR(__xludf.DUMMYFUNCTION("""COMPUTED_VALUE"""),45125.6666666666)</f>
        <v>45125.666666666599</v>
      </c>
      <c r="B136" s="2">
        <f ca="1">IFERROR(__xludf.DUMMYFUNCTION("""COMPUTED_VALUE"""),290.15)</f>
        <v>290.14999999999998</v>
      </c>
      <c r="C136" s="2">
        <f ca="1">IFERROR(__xludf.DUMMYFUNCTION("""COMPUTED_VALUE"""),295.26)</f>
        <v>295.26</v>
      </c>
      <c r="D136" s="2">
        <f ca="1">IFERROR(__xludf.DUMMYFUNCTION("""COMPUTED_VALUE"""),286.01)</f>
        <v>286.01</v>
      </c>
      <c r="E136" s="2">
        <f ca="1">IFERROR(__xludf.DUMMYFUNCTION("""COMPUTED_VALUE"""),293.34)</f>
        <v>293.33999999999997</v>
      </c>
      <c r="F136" s="2">
        <f ca="1">IFERROR(__xludf.DUMMYFUNCTION("""COMPUTED_VALUE"""),112434713)</f>
        <v>112434713</v>
      </c>
    </row>
    <row r="137" spans="1:6" ht="12.5" x14ac:dyDescent="0.25">
      <c r="A137" s="3">
        <f ca="1">IFERROR(__xludf.DUMMYFUNCTION("""COMPUTED_VALUE"""),45126.6666666666)</f>
        <v>45126.666666666599</v>
      </c>
      <c r="B137" s="2">
        <f ca="1">IFERROR(__xludf.DUMMYFUNCTION("""COMPUTED_VALUE"""),296.04)</f>
        <v>296.04000000000002</v>
      </c>
      <c r="C137" s="2">
        <f ca="1">IFERROR(__xludf.DUMMYFUNCTION("""COMPUTED_VALUE"""),299.29)</f>
        <v>299.29000000000002</v>
      </c>
      <c r="D137" s="2">
        <f ca="1">IFERROR(__xludf.DUMMYFUNCTION("""COMPUTED_VALUE"""),289.52)</f>
        <v>289.52</v>
      </c>
      <c r="E137" s="2">
        <f ca="1">IFERROR(__xludf.DUMMYFUNCTION("""COMPUTED_VALUE"""),291.26)</f>
        <v>291.26</v>
      </c>
      <c r="F137" s="2">
        <f ca="1">IFERROR(__xludf.DUMMYFUNCTION("""COMPUTED_VALUE"""),142355353)</f>
        <v>142355353</v>
      </c>
    </row>
    <row r="138" spans="1:6" ht="12.5" x14ac:dyDescent="0.25">
      <c r="A138" s="3">
        <f ca="1">IFERROR(__xludf.DUMMYFUNCTION("""COMPUTED_VALUE"""),45127.6666666666)</f>
        <v>45127.666666666599</v>
      </c>
      <c r="B138" s="2">
        <f ca="1">IFERROR(__xludf.DUMMYFUNCTION("""COMPUTED_VALUE"""),279.56)</f>
        <v>279.56</v>
      </c>
      <c r="C138" s="2">
        <f ca="1">IFERROR(__xludf.DUMMYFUNCTION("""COMPUTED_VALUE"""),280.93)</f>
        <v>280.93</v>
      </c>
      <c r="D138" s="2">
        <f ca="1">IFERROR(__xludf.DUMMYFUNCTION("""COMPUTED_VALUE"""),261.2)</f>
        <v>261.2</v>
      </c>
      <c r="E138" s="2">
        <f ca="1">IFERROR(__xludf.DUMMYFUNCTION("""COMPUTED_VALUE"""),262.9)</f>
        <v>262.89999999999998</v>
      </c>
      <c r="F138" s="2">
        <f ca="1">IFERROR(__xludf.DUMMYFUNCTION("""COMPUTED_VALUE"""),175158273)</f>
        <v>175158273</v>
      </c>
    </row>
    <row r="139" spans="1:6" ht="12.5" x14ac:dyDescent="0.25">
      <c r="A139" s="3">
        <f ca="1">IFERROR(__xludf.DUMMYFUNCTION("""COMPUTED_VALUE"""),45128.6666666666)</f>
        <v>45128.666666666599</v>
      </c>
      <c r="B139" s="2">
        <f ca="1">IFERROR(__xludf.DUMMYFUNCTION("""COMPUTED_VALUE"""),268)</f>
        <v>268</v>
      </c>
      <c r="C139" s="2">
        <f ca="1">IFERROR(__xludf.DUMMYFUNCTION("""COMPUTED_VALUE"""),268)</f>
        <v>268</v>
      </c>
      <c r="D139" s="2">
        <f ca="1">IFERROR(__xludf.DUMMYFUNCTION("""COMPUTED_VALUE"""),255.8)</f>
        <v>255.8</v>
      </c>
      <c r="E139" s="2">
        <f ca="1">IFERROR(__xludf.DUMMYFUNCTION("""COMPUTED_VALUE"""),260.02)</f>
        <v>260.02</v>
      </c>
      <c r="F139" s="2">
        <f ca="1">IFERROR(__xludf.DUMMYFUNCTION("""COMPUTED_VALUE"""),161796073)</f>
        <v>161796073</v>
      </c>
    </row>
    <row r="140" spans="1:6" ht="12.5" x14ac:dyDescent="0.25">
      <c r="A140" s="3">
        <f ca="1">IFERROR(__xludf.DUMMYFUNCTION("""COMPUTED_VALUE"""),45131.6666666666)</f>
        <v>45131.666666666599</v>
      </c>
      <c r="B140" s="2">
        <f ca="1">IFERROR(__xludf.DUMMYFUNCTION("""COMPUTED_VALUE"""),255.85)</f>
        <v>255.85</v>
      </c>
      <c r="C140" s="2">
        <f ca="1">IFERROR(__xludf.DUMMYFUNCTION("""COMPUTED_VALUE"""),269.85)</f>
        <v>269.85000000000002</v>
      </c>
      <c r="D140" s="2">
        <f ca="1">IFERROR(__xludf.DUMMYFUNCTION("""COMPUTED_VALUE"""),254.12)</f>
        <v>254.12</v>
      </c>
      <c r="E140" s="2">
        <f ca="1">IFERROR(__xludf.DUMMYFUNCTION("""COMPUTED_VALUE"""),269.06)</f>
        <v>269.06</v>
      </c>
      <c r="F140" s="2">
        <f ca="1">IFERROR(__xludf.DUMMYFUNCTION("""COMPUTED_VALUE"""),137005037)</f>
        <v>137005037</v>
      </c>
    </row>
    <row r="141" spans="1:6" ht="12.5" x14ac:dyDescent="0.25">
      <c r="A141" s="3">
        <f ca="1">IFERROR(__xludf.DUMMYFUNCTION("""COMPUTED_VALUE"""),45132.6666666666)</f>
        <v>45132.666666666599</v>
      </c>
      <c r="B141" s="2">
        <f ca="1">IFERROR(__xludf.DUMMYFUNCTION("""COMPUTED_VALUE"""),272.38)</f>
        <v>272.38</v>
      </c>
      <c r="C141" s="2">
        <f ca="1">IFERROR(__xludf.DUMMYFUNCTION("""COMPUTED_VALUE"""),272.9)</f>
        <v>272.89999999999998</v>
      </c>
      <c r="D141" s="2">
        <f ca="1">IFERROR(__xludf.DUMMYFUNCTION("""COMPUTED_VALUE"""),265)</f>
        <v>265</v>
      </c>
      <c r="E141" s="2">
        <f ca="1">IFERROR(__xludf.DUMMYFUNCTION("""COMPUTED_VALUE"""),265.28)</f>
        <v>265.27999999999997</v>
      </c>
      <c r="F141" s="2">
        <f ca="1">IFERROR(__xludf.DUMMYFUNCTION("""COMPUTED_VALUE"""),112757327)</f>
        <v>112757327</v>
      </c>
    </row>
    <row r="142" spans="1:6" ht="12.5" x14ac:dyDescent="0.25">
      <c r="A142" s="3">
        <f ca="1">IFERROR(__xludf.DUMMYFUNCTION("""COMPUTED_VALUE"""),45133.6666666666)</f>
        <v>45133.666666666599</v>
      </c>
      <c r="B142" s="2">
        <f ca="1">IFERROR(__xludf.DUMMYFUNCTION("""COMPUTED_VALUE"""),263.25)</f>
        <v>263.25</v>
      </c>
      <c r="C142" s="2">
        <f ca="1">IFERROR(__xludf.DUMMYFUNCTION("""COMPUTED_VALUE"""),268.04)</f>
        <v>268.04000000000002</v>
      </c>
      <c r="D142" s="2">
        <f ca="1">IFERROR(__xludf.DUMMYFUNCTION("""COMPUTED_VALUE"""),261.75)</f>
        <v>261.75</v>
      </c>
      <c r="E142" s="2">
        <f ca="1">IFERROR(__xludf.DUMMYFUNCTION("""COMPUTED_VALUE"""),264.35)</f>
        <v>264.35000000000002</v>
      </c>
      <c r="F142" s="2">
        <f ca="1">IFERROR(__xludf.DUMMYFUNCTION("""COMPUTED_VALUE"""),95856177)</f>
        <v>95856177</v>
      </c>
    </row>
    <row r="143" spans="1:6" ht="12.5" x14ac:dyDescent="0.25">
      <c r="A143" s="3">
        <f ca="1">IFERROR(__xludf.DUMMYFUNCTION("""COMPUTED_VALUE"""),45134.6666666666)</f>
        <v>45134.666666666599</v>
      </c>
      <c r="B143" s="2">
        <f ca="1">IFERROR(__xludf.DUMMYFUNCTION("""COMPUTED_VALUE"""),268.31)</f>
        <v>268.31</v>
      </c>
      <c r="C143" s="2">
        <f ca="1">IFERROR(__xludf.DUMMYFUNCTION("""COMPUTED_VALUE"""),269.13)</f>
        <v>269.13</v>
      </c>
      <c r="D143" s="2">
        <f ca="1">IFERROR(__xludf.DUMMYFUNCTION("""COMPUTED_VALUE"""),255.3)</f>
        <v>255.3</v>
      </c>
      <c r="E143" s="2">
        <f ca="1">IFERROR(__xludf.DUMMYFUNCTION("""COMPUTED_VALUE"""),255.71)</f>
        <v>255.71</v>
      </c>
      <c r="F143" s="2">
        <f ca="1">IFERROR(__xludf.DUMMYFUNCTION("""COMPUTED_VALUE"""),103697263)</f>
        <v>103697263</v>
      </c>
    </row>
    <row r="144" spans="1:6" ht="12.5" x14ac:dyDescent="0.25">
      <c r="A144" s="3">
        <f ca="1">IFERROR(__xludf.DUMMYFUNCTION("""COMPUTED_VALUE"""),45135.6666666666)</f>
        <v>45135.666666666599</v>
      </c>
      <c r="B144" s="2">
        <f ca="1">IFERROR(__xludf.DUMMYFUNCTION("""COMPUTED_VALUE"""),259.86)</f>
        <v>259.86</v>
      </c>
      <c r="C144" s="2">
        <f ca="1">IFERROR(__xludf.DUMMYFUNCTION("""COMPUTED_VALUE"""),267.25)</f>
        <v>267.25</v>
      </c>
      <c r="D144" s="2">
        <f ca="1">IFERROR(__xludf.DUMMYFUNCTION("""COMPUTED_VALUE"""),258.23)</f>
        <v>258.23</v>
      </c>
      <c r="E144" s="2">
        <f ca="1">IFERROR(__xludf.DUMMYFUNCTION("""COMPUTED_VALUE"""),266.44)</f>
        <v>266.44</v>
      </c>
      <c r="F144" s="2">
        <f ca="1">IFERROR(__xludf.DUMMYFUNCTION("""COMPUTED_VALUE"""),111446026)</f>
        <v>111446026</v>
      </c>
    </row>
    <row r="145" spans="1:6" ht="12.5" x14ac:dyDescent="0.25">
      <c r="A145" s="3">
        <f ca="1">IFERROR(__xludf.DUMMYFUNCTION("""COMPUTED_VALUE"""),45138.6666666666)</f>
        <v>45138.666666666599</v>
      </c>
      <c r="B145" s="2">
        <f ca="1">IFERROR(__xludf.DUMMYFUNCTION("""COMPUTED_VALUE"""),267.48)</f>
        <v>267.48</v>
      </c>
      <c r="C145" s="2">
        <f ca="1">IFERROR(__xludf.DUMMYFUNCTION("""COMPUTED_VALUE"""),269.08)</f>
        <v>269.08</v>
      </c>
      <c r="D145" s="2">
        <f ca="1">IFERROR(__xludf.DUMMYFUNCTION("""COMPUTED_VALUE"""),263.78)</f>
        <v>263.77999999999997</v>
      </c>
      <c r="E145" s="2">
        <f ca="1">IFERROR(__xludf.DUMMYFUNCTION("""COMPUTED_VALUE"""),267.43)</f>
        <v>267.43</v>
      </c>
      <c r="F145" s="2">
        <f ca="1">IFERROR(__xludf.DUMMYFUNCTION("""COMPUTED_VALUE"""),84582172)</f>
        <v>84582172</v>
      </c>
    </row>
    <row r="146" spans="1:6" ht="12.5" x14ac:dyDescent="0.25">
      <c r="A146" s="3">
        <f ca="1">IFERROR(__xludf.DUMMYFUNCTION("""COMPUTED_VALUE"""),45139.6666666666)</f>
        <v>45139.666666666599</v>
      </c>
      <c r="B146" s="2">
        <f ca="1">IFERROR(__xludf.DUMMYFUNCTION("""COMPUTED_VALUE"""),266.26)</f>
        <v>266.26</v>
      </c>
      <c r="C146" s="2">
        <f ca="1">IFERROR(__xludf.DUMMYFUNCTION("""COMPUTED_VALUE"""),266.47)</f>
        <v>266.47000000000003</v>
      </c>
      <c r="D146" s="2">
        <f ca="1">IFERROR(__xludf.DUMMYFUNCTION("""COMPUTED_VALUE"""),260.25)</f>
        <v>260.25</v>
      </c>
      <c r="E146" s="2">
        <f ca="1">IFERROR(__xludf.DUMMYFUNCTION("""COMPUTED_VALUE"""),261.07)</f>
        <v>261.07</v>
      </c>
      <c r="F146" s="2">
        <f ca="1">IFERROR(__xludf.DUMMYFUNCTION("""COMPUTED_VALUE"""),83645720)</f>
        <v>83645720</v>
      </c>
    </row>
    <row r="147" spans="1:6" ht="12.5" x14ac:dyDescent="0.25">
      <c r="A147" s="3">
        <f ca="1">IFERROR(__xludf.DUMMYFUNCTION("""COMPUTED_VALUE"""),45140.6666666666)</f>
        <v>45140.666666666599</v>
      </c>
      <c r="B147" s="2">
        <f ca="1">IFERROR(__xludf.DUMMYFUNCTION("""COMPUTED_VALUE"""),255.57)</f>
        <v>255.57</v>
      </c>
      <c r="C147" s="2">
        <f ca="1">IFERROR(__xludf.DUMMYFUNCTION("""COMPUTED_VALUE"""),259.52)</f>
        <v>259.52</v>
      </c>
      <c r="D147" s="2">
        <f ca="1">IFERROR(__xludf.DUMMYFUNCTION("""COMPUTED_VALUE"""),250.49)</f>
        <v>250.49</v>
      </c>
      <c r="E147" s="2">
        <f ca="1">IFERROR(__xludf.DUMMYFUNCTION("""COMPUTED_VALUE"""),254.11)</f>
        <v>254.11</v>
      </c>
      <c r="F147" s="2">
        <f ca="1">IFERROR(__xludf.DUMMYFUNCTION("""COMPUTED_VALUE"""),101752865)</f>
        <v>101752865</v>
      </c>
    </row>
    <row r="148" spans="1:6" ht="12.5" x14ac:dyDescent="0.25">
      <c r="A148" s="3">
        <f ca="1">IFERROR(__xludf.DUMMYFUNCTION("""COMPUTED_VALUE"""),45141.6666666666)</f>
        <v>45141.666666666599</v>
      </c>
      <c r="B148" s="2">
        <f ca="1">IFERROR(__xludf.DUMMYFUNCTION("""COMPUTED_VALUE"""),252.04)</f>
        <v>252.04</v>
      </c>
      <c r="C148" s="2">
        <f ca="1">IFERROR(__xludf.DUMMYFUNCTION("""COMPUTED_VALUE"""),260.49)</f>
        <v>260.49</v>
      </c>
      <c r="D148" s="2">
        <f ca="1">IFERROR(__xludf.DUMMYFUNCTION("""COMPUTED_VALUE"""),252)</f>
        <v>252</v>
      </c>
      <c r="E148" s="2">
        <f ca="1">IFERROR(__xludf.DUMMYFUNCTION("""COMPUTED_VALUE"""),259.32)</f>
        <v>259.32</v>
      </c>
      <c r="F148" s="2">
        <f ca="1">IFERROR(__xludf.DUMMYFUNCTION("""COMPUTED_VALUE"""),97829545)</f>
        <v>97829545</v>
      </c>
    </row>
    <row r="149" spans="1:6" ht="12.5" x14ac:dyDescent="0.25">
      <c r="A149" s="3">
        <f ca="1">IFERROR(__xludf.DUMMYFUNCTION("""COMPUTED_VALUE"""),45142.6666666666)</f>
        <v>45142.666666666599</v>
      </c>
      <c r="B149" s="2">
        <f ca="1">IFERROR(__xludf.DUMMYFUNCTION("""COMPUTED_VALUE"""),260.97)</f>
        <v>260.97000000000003</v>
      </c>
      <c r="C149" s="2">
        <f ca="1">IFERROR(__xludf.DUMMYFUNCTION("""COMPUTED_VALUE"""),264.77)</f>
        <v>264.77</v>
      </c>
      <c r="D149" s="2">
        <f ca="1">IFERROR(__xludf.DUMMYFUNCTION("""COMPUTED_VALUE"""),253.11)</f>
        <v>253.11</v>
      </c>
      <c r="E149" s="2">
        <f ca="1">IFERROR(__xludf.DUMMYFUNCTION("""COMPUTED_VALUE"""),253.86)</f>
        <v>253.86</v>
      </c>
      <c r="F149" s="2">
        <f ca="1">IFERROR(__xludf.DUMMYFUNCTION("""COMPUTED_VALUE"""),99539907)</f>
        <v>99539907</v>
      </c>
    </row>
    <row r="150" spans="1:6" ht="12.5" x14ac:dyDescent="0.25">
      <c r="A150" s="3">
        <f ca="1">IFERROR(__xludf.DUMMYFUNCTION("""COMPUTED_VALUE"""),45145.6666666666)</f>
        <v>45145.666666666599</v>
      </c>
      <c r="B150" s="2">
        <f ca="1">IFERROR(__xludf.DUMMYFUNCTION("""COMPUTED_VALUE"""),251.45)</f>
        <v>251.45</v>
      </c>
      <c r="C150" s="2">
        <f ca="1">IFERROR(__xludf.DUMMYFUNCTION("""COMPUTED_VALUE"""),253.65)</f>
        <v>253.65</v>
      </c>
      <c r="D150" s="2">
        <f ca="1">IFERROR(__xludf.DUMMYFUNCTION("""COMPUTED_VALUE"""),242.76)</f>
        <v>242.76</v>
      </c>
      <c r="E150" s="2">
        <f ca="1">IFERROR(__xludf.DUMMYFUNCTION("""COMPUTED_VALUE"""),251.45)</f>
        <v>251.45</v>
      </c>
      <c r="F150" s="2">
        <f ca="1">IFERROR(__xludf.DUMMYFUNCTION("""COMPUTED_VALUE"""),111097943)</f>
        <v>111097943</v>
      </c>
    </row>
    <row r="151" spans="1:6" ht="12.5" x14ac:dyDescent="0.25">
      <c r="A151" s="3">
        <f ca="1">IFERROR(__xludf.DUMMYFUNCTION("""COMPUTED_VALUE"""),45146.6666666666)</f>
        <v>45146.666666666599</v>
      </c>
      <c r="B151" s="2">
        <f ca="1">IFERROR(__xludf.DUMMYFUNCTION("""COMPUTED_VALUE"""),247.45)</f>
        <v>247.45</v>
      </c>
      <c r="C151" s="2">
        <f ca="1">IFERROR(__xludf.DUMMYFUNCTION("""COMPUTED_VALUE"""),250.92)</f>
        <v>250.92</v>
      </c>
      <c r="D151" s="2">
        <f ca="1">IFERROR(__xludf.DUMMYFUNCTION("""COMPUTED_VALUE"""),245.01)</f>
        <v>245.01</v>
      </c>
      <c r="E151" s="2">
        <f ca="1">IFERROR(__xludf.DUMMYFUNCTION("""COMPUTED_VALUE"""),249.7)</f>
        <v>249.7</v>
      </c>
      <c r="F151" s="2">
        <f ca="1">IFERROR(__xludf.DUMMYFUNCTION("""COMPUTED_VALUE"""),96642183)</f>
        <v>96642183</v>
      </c>
    </row>
    <row r="152" spans="1:6" ht="12.5" x14ac:dyDescent="0.25">
      <c r="A152" s="3">
        <f ca="1">IFERROR(__xludf.DUMMYFUNCTION("""COMPUTED_VALUE"""),45147.6666666666)</f>
        <v>45147.666666666599</v>
      </c>
      <c r="B152" s="2">
        <f ca="1">IFERROR(__xludf.DUMMYFUNCTION("""COMPUTED_VALUE"""),250.87)</f>
        <v>250.87</v>
      </c>
      <c r="C152" s="2">
        <f ca="1">IFERROR(__xludf.DUMMYFUNCTION("""COMPUTED_VALUE"""),251.1)</f>
        <v>251.1</v>
      </c>
      <c r="D152" s="2">
        <f ca="1">IFERROR(__xludf.DUMMYFUNCTION("""COMPUTED_VALUE"""),241.9)</f>
        <v>241.9</v>
      </c>
      <c r="E152" s="2">
        <f ca="1">IFERROR(__xludf.DUMMYFUNCTION("""COMPUTED_VALUE"""),242.19)</f>
        <v>242.19</v>
      </c>
      <c r="F152" s="2">
        <f ca="1">IFERROR(__xludf.DUMMYFUNCTION("""COMPUTED_VALUE"""),101596324)</f>
        <v>101596324</v>
      </c>
    </row>
    <row r="153" spans="1:6" ht="12.5" x14ac:dyDescent="0.25">
      <c r="A153" s="3">
        <f ca="1">IFERROR(__xludf.DUMMYFUNCTION("""COMPUTED_VALUE"""),45148.6666666666)</f>
        <v>45148.666666666599</v>
      </c>
      <c r="B153" s="2">
        <f ca="1">IFERROR(__xludf.DUMMYFUNCTION("""COMPUTED_VALUE"""),245.4)</f>
        <v>245.4</v>
      </c>
      <c r="C153" s="2">
        <f ca="1">IFERROR(__xludf.DUMMYFUNCTION("""COMPUTED_VALUE"""),251.8)</f>
        <v>251.8</v>
      </c>
      <c r="D153" s="2">
        <f ca="1">IFERROR(__xludf.DUMMYFUNCTION("""COMPUTED_VALUE"""),243)</f>
        <v>243</v>
      </c>
      <c r="E153" s="2">
        <f ca="1">IFERROR(__xludf.DUMMYFUNCTION("""COMPUTED_VALUE"""),245.34)</f>
        <v>245.34</v>
      </c>
      <c r="F153" s="2">
        <f ca="1">IFERROR(__xludf.DUMMYFUNCTION("""COMPUTED_VALUE"""),109498608)</f>
        <v>109498608</v>
      </c>
    </row>
    <row r="154" spans="1:6" ht="12.5" x14ac:dyDescent="0.25">
      <c r="A154" s="3">
        <f ca="1">IFERROR(__xludf.DUMMYFUNCTION("""COMPUTED_VALUE"""),45149.6666666666)</f>
        <v>45149.666666666599</v>
      </c>
      <c r="B154" s="2">
        <f ca="1">IFERROR(__xludf.DUMMYFUNCTION("""COMPUTED_VALUE"""),241.77)</f>
        <v>241.77</v>
      </c>
      <c r="C154" s="2">
        <f ca="1">IFERROR(__xludf.DUMMYFUNCTION("""COMPUTED_VALUE"""),243.79)</f>
        <v>243.79</v>
      </c>
      <c r="D154" s="2">
        <f ca="1">IFERROR(__xludf.DUMMYFUNCTION("""COMPUTED_VALUE"""),238.02)</f>
        <v>238.02</v>
      </c>
      <c r="E154" s="2">
        <f ca="1">IFERROR(__xludf.DUMMYFUNCTION("""COMPUTED_VALUE"""),242.65)</f>
        <v>242.65</v>
      </c>
      <c r="F154" s="2">
        <f ca="1">IFERROR(__xludf.DUMMYFUNCTION("""COMPUTED_VALUE"""),99038642)</f>
        <v>99038642</v>
      </c>
    </row>
    <row r="155" spans="1:6" ht="12.5" x14ac:dyDescent="0.25">
      <c r="A155" s="3">
        <f ca="1">IFERROR(__xludf.DUMMYFUNCTION("""COMPUTED_VALUE"""),45152.6666666666)</f>
        <v>45152.666666666599</v>
      </c>
      <c r="B155" s="2">
        <f ca="1">IFERROR(__xludf.DUMMYFUNCTION("""COMPUTED_VALUE"""),235.7)</f>
        <v>235.7</v>
      </c>
      <c r="C155" s="2">
        <f ca="1">IFERROR(__xludf.DUMMYFUNCTION("""COMPUTED_VALUE"""),240.66)</f>
        <v>240.66</v>
      </c>
      <c r="D155" s="2">
        <f ca="1">IFERROR(__xludf.DUMMYFUNCTION("""COMPUTED_VALUE"""),233.75)</f>
        <v>233.75</v>
      </c>
      <c r="E155" s="2">
        <f ca="1">IFERROR(__xludf.DUMMYFUNCTION("""COMPUTED_VALUE"""),239.76)</f>
        <v>239.76</v>
      </c>
      <c r="F155" s="2">
        <f ca="1">IFERROR(__xludf.DUMMYFUNCTION("""COMPUTED_VALUE"""),98595331)</f>
        <v>98595331</v>
      </c>
    </row>
    <row r="156" spans="1:6" ht="12.5" x14ac:dyDescent="0.25">
      <c r="A156" s="3">
        <f ca="1">IFERROR(__xludf.DUMMYFUNCTION("""COMPUTED_VALUE"""),45153.6666666666)</f>
        <v>45153.666666666599</v>
      </c>
      <c r="B156" s="2">
        <f ca="1">IFERROR(__xludf.DUMMYFUNCTION("""COMPUTED_VALUE"""),238.73)</f>
        <v>238.73</v>
      </c>
      <c r="C156" s="2">
        <f ca="1">IFERROR(__xludf.DUMMYFUNCTION("""COMPUTED_VALUE"""),240.5)</f>
        <v>240.5</v>
      </c>
      <c r="D156" s="2">
        <f ca="1">IFERROR(__xludf.DUMMYFUNCTION("""COMPUTED_VALUE"""),232.61)</f>
        <v>232.61</v>
      </c>
      <c r="E156" s="2">
        <f ca="1">IFERROR(__xludf.DUMMYFUNCTION("""COMPUTED_VALUE"""),232.96)</f>
        <v>232.96</v>
      </c>
      <c r="F156" s="2">
        <f ca="1">IFERROR(__xludf.DUMMYFUNCTION("""COMPUTED_VALUE"""),88197599)</f>
        <v>88197599</v>
      </c>
    </row>
    <row r="157" spans="1:6" ht="12.5" x14ac:dyDescent="0.25">
      <c r="A157" s="3">
        <f ca="1">IFERROR(__xludf.DUMMYFUNCTION("""COMPUTED_VALUE"""),45154.6666666666)</f>
        <v>45154.666666666599</v>
      </c>
      <c r="B157" s="2">
        <f ca="1">IFERROR(__xludf.DUMMYFUNCTION("""COMPUTED_VALUE"""),228.02)</f>
        <v>228.02</v>
      </c>
      <c r="C157" s="2">
        <f ca="1">IFERROR(__xludf.DUMMYFUNCTION("""COMPUTED_VALUE"""),233.97)</f>
        <v>233.97</v>
      </c>
      <c r="D157" s="2">
        <f ca="1">IFERROR(__xludf.DUMMYFUNCTION("""COMPUTED_VALUE"""),225.38)</f>
        <v>225.38</v>
      </c>
      <c r="E157" s="2">
        <f ca="1">IFERROR(__xludf.DUMMYFUNCTION("""COMPUTED_VALUE"""),225.6)</f>
        <v>225.6</v>
      </c>
      <c r="F157" s="2">
        <f ca="1">IFERROR(__xludf.DUMMYFUNCTION("""COMPUTED_VALUE"""),112484520)</f>
        <v>112484520</v>
      </c>
    </row>
    <row r="158" spans="1:6" ht="12.5" x14ac:dyDescent="0.25">
      <c r="A158" s="3">
        <f ca="1">IFERROR(__xludf.DUMMYFUNCTION("""COMPUTED_VALUE"""),45155.6666666666)</f>
        <v>45155.666666666599</v>
      </c>
      <c r="B158" s="2">
        <f ca="1">IFERROR(__xludf.DUMMYFUNCTION("""COMPUTED_VALUE"""),226.06)</f>
        <v>226.06</v>
      </c>
      <c r="C158" s="2">
        <f ca="1">IFERROR(__xludf.DUMMYFUNCTION("""COMPUTED_VALUE"""),226.74)</f>
        <v>226.74</v>
      </c>
      <c r="D158" s="2">
        <f ca="1">IFERROR(__xludf.DUMMYFUNCTION("""COMPUTED_VALUE"""),218.83)</f>
        <v>218.83</v>
      </c>
      <c r="E158" s="2">
        <f ca="1">IFERROR(__xludf.DUMMYFUNCTION("""COMPUTED_VALUE"""),219.22)</f>
        <v>219.22</v>
      </c>
      <c r="F158" s="2">
        <f ca="1">IFERROR(__xludf.DUMMYFUNCTION("""COMPUTED_VALUE"""),120718417)</f>
        <v>120718417</v>
      </c>
    </row>
    <row r="159" spans="1:6" ht="12.5" x14ac:dyDescent="0.25">
      <c r="A159" s="3">
        <f ca="1">IFERROR(__xludf.DUMMYFUNCTION("""COMPUTED_VALUE"""),45156.6666666666)</f>
        <v>45156.666666666599</v>
      </c>
      <c r="B159" s="2">
        <f ca="1">IFERROR(__xludf.DUMMYFUNCTION("""COMPUTED_VALUE"""),214.12)</f>
        <v>214.12</v>
      </c>
      <c r="C159" s="2">
        <f ca="1">IFERROR(__xludf.DUMMYFUNCTION("""COMPUTED_VALUE"""),217.58)</f>
        <v>217.58</v>
      </c>
      <c r="D159" s="2">
        <f ca="1">IFERROR(__xludf.DUMMYFUNCTION("""COMPUTED_VALUE"""),212.36)</f>
        <v>212.36</v>
      </c>
      <c r="E159" s="2">
        <f ca="1">IFERROR(__xludf.DUMMYFUNCTION("""COMPUTED_VALUE"""),215.49)</f>
        <v>215.49</v>
      </c>
      <c r="F159" s="2">
        <f ca="1">IFERROR(__xludf.DUMMYFUNCTION("""COMPUTED_VALUE"""),136276584)</f>
        <v>136276584</v>
      </c>
    </row>
    <row r="160" spans="1:6" ht="12.5" x14ac:dyDescent="0.25">
      <c r="A160" s="3">
        <f ca="1">IFERROR(__xludf.DUMMYFUNCTION("""COMPUTED_VALUE"""),45159.6666666666)</f>
        <v>45159.666666666599</v>
      </c>
      <c r="B160" s="2">
        <f ca="1">IFERROR(__xludf.DUMMYFUNCTION("""COMPUTED_VALUE"""),221.55)</f>
        <v>221.55</v>
      </c>
      <c r="C160" s="2">
        <f ca="1">IFERROR(__xludf.DUMMYFUNCTION("""COMPUTED_VALUE"""),232.13)</f>
        <v>232.13</v>
      </c>
      <c r="D160" s="2">
        <f ca="1">IFERROR(__xludf.DUMMYFUNCTION("""COMPUTED_VALUE"""),220.58)</f>
        <v>220.58</v>
      </c>
      <c r="E160" s="2">
        <f ca="1">IFERROR(__xludf.DUMMYFUNCTION("""COMPUTED_VALUE"""),231.28)</f>
        <v>231.28</v>
      </c>
      <c r="F160" s="2">
        <f ca="1">IFERROR(__xludf.DUMMYFUNCTION("""COMPUTED_VALUE"""),135702671)</f>
        <v>135702671</v>
      </c>
    </row>
    <row r="161" spans="1:6" ht="12.5" x14ac:dyDescent="0.25">
      <c r="A161" s="3">
        <f ca="1">IFERROR(__xludf.DUMMYFUNCTION("""COMPUTED_VALUE"""),45160.6666666666)</f>
        <v>45160.666666666599</v>
      </c>
      <c r="B161" s="2">
        <f ca="1">IFERROR(__xludf.DUMMYFUNCTION("""COMPUTED_VALUE"""),240.25)</f>
        <v>240.25</v>
      </c>
      <c r="C161" s="2">
        <f ca="1">IFERROR(__xludf.DUMMYFUNCTION("""COMPUTED_VALUE"""),240.82)</f>
        <v>240.82</v>
      </c>
      <c r="D161" s="2">
        <f ca="1">IFERROR(__xludf.DUMMYFUNCTION("""COMPUTED_VALUE"""),229.55)</f>
        <v>229.55</v>
      </c>
      <c r="E161" s="2">
        <f ca="1">IFERROR(__xludf.DUMMYFUNCTION("""COMPUTED_VALUE"""),233.19)</f>
        <v>233.19</v>
      </c>
      <c r="F161" s="2">
        <f ca="1">IFERROR(__xludf.DUMMYFUNCTION("""COMPUTED_VALUE"""),130597886)</f>
        <v>130597886</v>
      </c>
    </row>
    <row r="162" spans="1:6" ht="12.5" x14ac:dyDescent="0.25">
      <c r="A162" s="3">
        <f ca="1">IFERROR(__xludf.DUMMYFUNCTION("""COMPUTED_VALUE"""),45161.6666666666)</f>
        <v>45161.666666666599</v>
      </c>
      <c r="B162" s="2">
        <f ca="1">IFERROR(__xludf.DUMMYFUNCTION("""COMPUTED_VALUE"""),229.34)</f>
        <v>229.34</v>
      </c>
      <c r="C162" s="2">
        <f ca="1">IFERROR(__xludf.DUMMYFUNCTION("""COMPUTED_VALUE"""),238.98)</f>
        <v>238.98</v>
      </c>
      <c r="D162" s="2">
        <f ca="1">IFERROR(__xludf.DUMMYFUNCTION("""COMPUTED_VALUE"""),229.29)</f>
        <v>229.29</v>
      </c>
      <c r="E162" s="2">
        <f ca="1">IFERROR(__xludf.DUMMYFUNCTION("""COMPUTED_VALUE"""),236.86)</f>
        <v>236.86</v>
      </c>
      <c r="F162" s="2">
        <f ca="1">IFERROR(__xludf.DUMMYFUNCTION("""COMPUTED_VALUE"""),101077635)</f>
        <v>101077635</v>
      </c>
    </row>
    <row r="163" spans="1:6" ht="12.5" x14ac:dyDescent="0.25">
      <c r="A163" s="3">
        <f ca="1">IFERROR(__xludf.DUMMYFUNCTION("""COMPUTED_VALUE"""),45162.6666666666)</f>
        <v>45162.666666666599</v>
      </c>
      <c r="B163" s="2">
        <f ca="1">IFERROR(__xludf.DUMMYFUNCTION("""COMPUTED_VALUE"""),238.66)</f>
        <v>238.66</v>
      </c>
      <c r="C163" s="2">
        <f ca="1">IFERROR(__xludf.DUMMYFUNCTION("""COMPUTED_VALUE"""),238.92)</f>
        <v>238.92</v>
      </c>
      <c r="D163" s="2">
        <f ca="1">IFERROR(__xludf.DUMMYFUNCTION("""COMPUTED_VALUE"""),228.18)</f>
        <v>228.18</v>
      </c>
      <c r="E163" s="2">
        <f ca="1">IFERROR(__xludf.DUMMYFUNCTION("""COMPUTED_VALUE"""),230.04)</f>
        <v>230.04</v>
      </c>
      <c r="F163" s="2">
        <f ca="1">IFERROR(__xludf.DUMMYFUNCTION("""COMPUTED_VALUE"""),99777432)</f>
        <v>99777432</v>
      </c>
    </row>
    <row r="164" spans="1:6" ht="12.5" x14ac:dyDescent="0.25">
      <c r="A164" s="3">
        <f ca="1">IFERROR(__xludf.DUMMYFUNCTION("""COMPUTED_VALUE"""),45163.6666666666)</f>
        <v>45163.666666666599</v>
      </c>
      <c r="B164" s="2">
        <f ca="1">IFERROR(__xludf.DUMMYFUNCTION("""COMPUTED_VALUE"""),231.31)</f>
        <v>231.31</v>
      </c>
      <c r="C164" s="2">
        <f ca="1">IFERROR(__xludf.DUMMYFUNCTION("""COMPUTED_VALUE"""),239)</f>
        <v>239</v>
      </c>
      <c r="D164" s="2">
        <f ca="1">IFERROR(__xludf.DUMMYFUNCTION("""COMPUTED_VALUE"""),230.35)</f>
        <v>230.35</v>
      </c>
      <c r="E164" s="2">
        <f ca="1">IFERROR(__xludf.DUMMYFUNCTION("""COMPUTED_VALUE"""),238.59)</f>
        <v>238.59</v>
      </c>
      <c r="F164" s="2">
        <f ca="1">IFERROR(__xludf.DUMMYFUNCTION("""COMPUTED_VALUE"""),106612231)</f>
        <v>106612231</v>
      </c>
    </row>
    <row r="165" spans="1:6" ht="12.5" x14ac:dyDescent="0.25">
      <c r="A165" s="3">
        <f ca="1">IFERROR(__xludf.DUMMYFUNCTION("""COMPUTED_VALUE"""),45166.6666666666)</f>
        <v>45166.666666666599</v>
      </c>
      <c r="B165" s="2">
        <f ca="1">IFERROR(__xludf.DUMMYFUNCTION("""COMPUTED_VALUE"""),242.58)</f>
        <v>242.58</v>
      </c>
      <c r="C165" s="2">
        <f ca="1">IFERROR(__xludf.DUMMYFUNCTION("""COMPUTED_VALUE"""),244.38)</f>
        <v>244.38</v>
      </c>
      <c r="D165" s="2">
        <f ca="1">IFERROR(__xludf.DUMMYFUNCTION("""COMPUTED_VALUE"""),235.35)</f>
        <v>235.35</v>
      </c>
      <c r="E165" s="2">
        <f ca="1">IFERROR(__xludf.DUMMYFUNCTION("""COMPUTED_VALUE"""),238.82)</f>
        <v>238.82</v>
      </c>
      <c r="F165" s="2">
        <f ca="1">IFERROR(__xludf.DUMMYFUNCTION("""COMPUTED_VALUE"""),107673727)</f>
        <v>107673727</v>
      </c>
    </row>
    <row r="166" spans="1:6" ht="12.5" x14ac:dyDescent="0.25">
      <c r="A166" s="3">
        <f ca="1">IFERROR(__xludf.DUMMYFUNCTION("""COMPUTED_VALUE"""),45167.6666666666)</f>
        <v>45167.666666666599</v>
      </c>
      <c r="B166" s="2">
        <f ca="1">IFERROR(__xludf.DUMMYFUNCTION("""COMPUTED_VALUE"""),238.58)</f>
        <v>238.58</v>
      </c>
      <c r="C166" s="2">
        <f ca="1">IFERROR(__xludf.DUMMYFUNCTION("""COMPUTED_VALUE"""),257.48)</f>
        <v>257.48</v>
      </c>
      <c r="D166" s="2">
        <f ca="1">IFERROR(__xludf.DUMMYFUNCTION("""COMPUTED_VALUE"""),237.77)</f>
        <v>237.77</v>
      </c>
      <c r="E166" s="2">
        <f ca="1">IFERROR(__xludf.DUMMYFUNCTION("""COMPUTED_VALUE"""),257.18)</f>
        <v>257.18</v>
      </c>
      <c r="F166" s="2">
        <f ca="1">IFERROR(__xludf.DUMMYFUNCTION("""COMPUTED_VALUE"""),134047603)</f>
        <v>134047603</v>
      </c>
    </row>
    <row r="167" spans="1:6" ht="12.5" x14ac:dyDescent="0.25">
      <c r="A167" s="3">
        <f ca="1">IFERROR(__xludf.DUMMYFUNCTION("""COMPUTED_VALUE"""),45168.6666666666)</f>
        <v>45168.666666666599</v>
      </c>
      <c r="B167" s="2">
        <f ca="1">IFERROR(__xludf.DUMMYFUNCTION("""COMPUTED_VALUE"""),254.2)</f>
        <v>254.2</v>
      </c>
      <c r="C167" s="2">
        <f ca="1">IFERROR(__xludf.DUMMYFUNCTION("""COMPUTED_VALUE"""),260.51)</f>
        <v>260.51</v>
      </c>
      <c r="D167" s="2">
        <f ca="1">IFERROR(__xludf.DUMMYFUNCTION("""COMPUTED_VALUE"""),250.59)</f>
        <v>250.59</v>
      </c>
      <c r="E167" s="2">
        <f ca="1">IFERROR(__xludf.DUMMYFUNCTION("""COMPUTED_VALUE"""),256.9)</f>
        <v>256.89999999999998</v>
      </c>
      <c r="F167" s="2">
        <f ca="1">IFERROR(__xludf.DUMMYFUNCTION("""COMPUTED_VALUE"""),121988437)</f>
        <v>121988437</v>
      </c>
    </row>
    <row r="168" spans="1:6" ht="12.5" x14ac:dyDescent="0.25">
      <c r="A168" s="3">
        <f ca="1">IFERROR(__xludf.DUMMYFUNCTION("""COMPUTED_VALUE"""),45169.6666666666)</f>
        <v>45169.666666666599</v>
      </c>
      <c r="B168" s="2">
        <f ca="1">IFERROR(__xludf.DUMMYFUNCTION("""COMPUTED_VALUE"""),255.98)</f>
        <v>255.98</v>
      </c>
      <c r="C168" s="2">
        <f ca="1">IFERROR(__xludf.DUMMYFUNCTION("""COMPUTED_VALUE"""),261.18)</f>
        <v>261.18</v>
      </c>
      <c r="D168" s="2">
        <f ca="1">IFERROR(__xludf.DUMMYFUNCTION("""COMPUTED_VALUE"""),255.05)</f>
        <v>255.05</v>
      </c>
      <c r="E168" s="2">
        <f ca="1">IFERROR(__xludf.DUMMYFUNCTION("""COMPUTED_VALUE"""),258.08)</f>
        <v>258.08</v>
      </c>
      <c r="F168" s="2">
        <f ca="1">IFERROR(__xludf.DUMMYFUNCTION("""COMPUTED_VALUE"""),108861698)</f>
        <v>108861698</v>
      </c>
    </row>
    <row r="169" spans="1:6" ht="12.5" x14ac:dyDescent="0.25">
      <c r="A169" s="3">
        <f ca="1">IFERROR(__xludf.DUMMYFUNCTION("""COMPUTED_VALUE"""),45170.6666666666)</f>
        <v>45170.666666666599</v>
      </c>
      <c r="B169" s="2">
        <f ca="1">IFERROR(__xludf.DUMMYFUNCTION("""COMPUTED_VALUE"""),257.26)</f>
        <v>257.26</v>
      </c>
      <c r="C169" s="2">
        <f ca="1">IFERROR(__xludf.DUMMYFUNCTION("""COMPUTED_VALUE"""),259.08)</f>
        <v>259.08</v>
      </c>
      <c r="D169" s="2">
        <f ca="1">IFERROR(__xludf.DUMMYFUNCTION("""COMPUTED_VALUE"""),242.01)</f>
        <v>242.01</v>
      </c>
      <c r="E169" s="2">
        <f ca="1">IFERROR(__xludf.DUMMYFUNCTION("""COMPUTED_VALUE"""),245.01)</f>
        <v>245.01</v>
      </c>
      <c r="F169" s="2">
        <f ca="1">IFERROR(__xludf.DUMMYFUNCTION("""COMPUTED_VALUE"""),132541640)</f>
        <v>132541640</v>
      </c>
    </row>
    <row r="170" spans="1:6" ht="12.5" x14ac:dyDescent="0.25">
      <c r="A170" s="3">
        <f ca="1">IFERROR(__xludf.DUMMYFUNCTION("""COMPUTED_VALUE"""),45174.6666666666)</f>
        <v>45174.666666666599</v>
      </c>
      <c r="B170" s="2">
        <f ca="1">IFERROR(__xludf.DUMMYFUNCTION("""COMPUTED_VALUE"""),245)</f>
        <v>245</v>
      </c>
      <c r="C170" s="2">
        <f ca="1">IFERROR(__xludf.DUMMYFUNCTION("""COMPUTED_VALUE"""),258)</f>
        <v>258</v>
      </c>
      <c r="D170" s="2">
        <f ca="1">IFERROR(__xludf.DUMMYFUNCTION("""COMPUTED_VALUE"""),244.86)</f>
        <v>244.86</v>
      </c>
      <c r="E170" s="2">
        <f ca="1">IFERROR(__xludf.DUMMYFUNCTION("""COMPUTED_VALUE"""),256.49)</f>
        <v>256.49</v>
      </c>
      <c r="F170" s="2">
        <f ca="1">IFERROR(__xludf.DUMMYFUNCTION("""COMPUTED_VALUE"""),129469565)</f>
        <v>129469565</v>
      </c>
    </row>
    <row r="171" spans="1:6" ht="12.5" x14ac:dyDescent="0.25">
      <c r="A171" s="3">
        <f ca="1">IFERROR(__xludf.DUMMYFUNCTION("""COMPUTED_VALUE"""),45175.6666666666)</f>
        <v>45175.666666666599</v>
      </c>
      <c r="B171" s="2">
        <f ca="1">IFERROR(__xludf.DUMMYFUNCTION("""COMPUTED_VALUE"""),255.14)</f>
        <v>255.14</v>
      </c>
      <c r="C171" s="2">
        <f ca="1">IFERROR(__xludf.DUMMYFUNCTION("""COMPUTED_VALUE"""),255.39)</f>
        <v>255.39</v>
      </c>
      <c r="D171" s="2">
        <f ca="1">IFERROR(__xludf.DUMMYFUNCTION("""COMPUTED_VALUE"""),245.06)</f>
        <v>245.06</v>
      </c>
      <c r="E171" s="2">
        <f ca="1">IFERROR(__xludf.DUMMYFUNCTION("""COMPUTED_VALUE"""),251.92)</f>
        <v>251.92</v>
      </c>
      <c r="F171" s="2">
        <f ca="1">IFERROR(__xludf.DUMMYFUNCTION("""COMPUTED_VALUE"""),116959759)</f>
        <v>116959759</v>
      </c>
    </row>
    <row r="172" spans="1:6" ht="12.5" x14ac:dyDescent="0.25">
      <c r="A172" s="3">
        <f ca="1">IFERROR(__xludf.DUMMYFUNCTION("""COMPUTED_VALUE"""),45176.6666666666)</f>
        <v>45176.666666666599</v>
      </c>
      <c r="B172" s="2">
        <f ca="1">IFERROR(__xludf.DUMMYFUNCTION("""COMPUTED_VALUE"""),245.07)</f>
        <v>245.07</v>
      </c>
      <c r="C172" s="2">
        <f ca="1">IFERROR(__xludf.DUMMYFUNCTION("""COMPUTED_VALUE"""),252.81)</f>
        <v>252.81</v>
      </c>
      <c r="D172" s="2">
        <f ca="1">IFERROR(__xludf.DUMMYFUNCTION("""COMPUTED_VALUE"""),243.27)</f>
        <v>243.27</v>
      </c>
      <c r="E172" s="2">
        <f ca="1">IFERROR(__xludf.DUMMYFUNCTION("""COMPUTED_VALUE"""),251.49)</f>
        <v>251.49</v>
      </c>
      <c r="F172" s="2">
        <f ca="1">IFERROR(__xludf.DUMMYFUNCTION("""COMPUTED_VALUE"""),115312886)</f>
        <v>115312886</v>
      </c>
    </row>
    <row r="173" spans="1:6" ht="12.5" x14ac:dyDescent="0.25">
      <c r="A173" s="3">
        <f ca="1">IFERROR(__xludf.DUMMYFUNCTION("""COMPUTED_VALUE"""),45177.6666666666)</f>
        <v>45177.666666666599</v>
      </c>
      <c r="B173" s="2">
        <f ca="1">IFERROR(__xludf.DUMMYFUNCTION("""COMPUTED_VALUE"""),251.22)</f>
        <v>251.22</v>
      </c>
      <c r="C173" s="2">
        <f ca="1">IFERROR(__xludf.DUMMYFUNCTION("""COMPUTED_VALUE"""),256.52)</f>
        <v>256.52</v>
      </c>
      <c r="D173" s="2">
        <f ca="1">IFERROR(__xludf.DUMMYFUNCTION("""COMPUTED_VALUE"""),246.67)</f>
        <v>246.67</v>
      </c>
      <c r="E173" s="2">
        <f ca="1">IFERROR(__xludf.DUMMYFUNCTION("""COMPUTED_VALUE"""),248.5)</f>
        <v>248.5</v>
      </c>
      <c r="F173" s="2">
        <f ca="1">IFERROR(__xludf.DUMMYFUNCTION("""COMPUTED_VALUE"""),118559635)</f>
        <v>118559635</v>
      </c>
    </row>
    <row r="174" spans="1:6" ht="12.5" x14ac:dyDescent="0.25">
      <c r="A174" s="3">
        <f ca="1">IFERROR(__xludf.DUMMYFUNCTION("""COMPUTED_VALUE"""),45180.6666666666)</f>
        <v>45180.666666666599</v>
      </c>
      <c r="B174" s="2">
        <f ca="1">IFERROR(__xludf.DUMMYFUNCTION("""COMPUTED_VALUE"""),264.27)</f>
        <v>264.27</v>
      </c>
      <c r="C174" s="2">
        <f ca="1">IFERROR(__xludf.DUMMYFUNCTION("""COMPUTED_VALUE"""),274.85)</f>
        <v>274.85000000000002</v>
      </c>
      <c r="D174" s="2">
        <f ca="1">IFERROR(__xludf.DUMMYFUNCTION("""COMPUTED_VALUE"""),260.61)</f>
        <v>260.61</v>
      </c>
      <c r="E174" s="2">
        <f ca="1">IFERROR(__xludf.DUMMYFUNCTION("""COMPUTED_VALUE"""),273.58)</f>
        <v>273.58</v>
      </c>
      <c r="F174" s="2">
        <f ca="1">IFERROR(__xludf.DUMMYFUNCTION("""COMPUTED_VALUE"""),174667852)</f>
        <v>174667852</v>
      </c>
    </row>
    <row r="175" spans="1:6" ht="12.5" x14ac:dyDescent="0.25">
      <c r="A175" s="3">
        <f ca="1">IFERROR(__xludf.DUMMYFUNCTION("""COMPUTED_VALUE"""),45181.6666666666)</f>
        <v>45181.666666666599</v>
      </c>
      <c r="B175" s="2">
        <f ca="1">IFERROR(__xludf.DUMMYFUNCTION("""COMPUTED_VALUE"""),270.76)</f>
        <v>270.76</v>
      </c>
      <c r="C175" s="2">
        <f ca="1">IFERROR(__xludf.DUMMYFUNCTION("""COMPUTED_VALUE"""),278.39)</f>
        <v>278.39</v>
      </c>
      <c r="D175" s="2">
        <f ca="1">IFERROR(__xludf.DUMMYFUNCTION("""COMPUTED_VALUE"""),266.6)</f>
        <v>266.60000000000002</v>
      </c>
      <c r="E175" s="2">
        <f ca="1">IFERROR(__xludf.DUMMYFUNCTION("""COMPUTED_VALUE"""),267.48)</f>
        <v>267.48</v>
      </c>
      <c r="F175" s="2">
        <f ca="1">IFERROR(__xludf.DUMMYFUNCTION("""COMPUTED_VALUE"""),135999866)</f>
        <v>135999866</v>
      </c>
    </row>
    <row r="176" spans="1:6" ht="12.5" x14ac:dyDescent="0.25">
      <c r="A176" s="3">
        <f ca="1">IFERROR(__xludf.DUMMYFUNCTION("""COMPUTED_VALUE"""),45182.6666666666)</f>
        <v>45182.666666666599</v>
      </c>
      <c r="B176" s="2">
        <f ca="1">IFERROR(__xludf.DUMMYFUNCTION("""COMPUTED_VALUE"""),270.07)</f>
        <v>270.07</v>
      </c>
      <c r="C176" s="2">
        <f ca="1">IFERROR(__xludf.DUMMYFUNCTION("""COMPUTED_VALUE"""),274.98)</f>
        <v>274.98</v>
      </c>
      <c r="D176" s="2">
        <f ca="1">IFERROR(__xludf.DUMMYFUNCTION("""COMPUTED_VALUE"""),268.1)</f>
        <v>268.10000000000002</v>
      </c>
      <c r="E176" s="2">
        <f ca="1">IFERROR(__xludf.DUMMYFUNCTION("""COMPUTED_VALUE"""),271.3)</f>
        <v>271.3</v>
      </c>
      <c r="F176" s="2">
        <f ca="1">IFERROR(__xludf.DUMMYFUNCTION("""COMPUTED_VALUE"""),111673737)</f>
        <v>111673737</v>
      </c>
    </row>
    <row r="177" spans="1:6" ht="12.5" x14ac:dyDescent="0.25">
      <c r="A177" s="3">
        <f ca="1">IFERROR(__xludf.DUMMYFUNCTION("""COMPUTED_VALUE"""),45183.6666666666)</f>
        <v>45183.666666666599</v>
      </c>
      <c r="B177" s="2">
        <f ca="1">IFERROR(__xludf.DUMMYFUNCTION("""COMPUTED_VALUE"""),271.32)</f>
        <v>271.32</v>
      </c>
      <c r="C177" s="2">
        <f ca="1">IFERROR(__xludf.DUMMYFUNCTION("""COMPUTED_VALUE"""),276.71)</f>
        <v>276.70999999999998</v>
      </c>
      <c r="D177" s="2">
        <f ca="1">IFERROR(__xludf.DUMMYFUNCTION("""COMPUTED_VALUE"""),270.42)</f>
        <v>270.42</v>
      </c>
      <c r="E177" s="2">
        <f ca="1">IFERROR(__xludf.DUMMYFUNCTION("""COMPUTED_VALUE"""),276.04)</f>
        <v>276.04000000000002</v>
      </c>
      <c r="F177" s="2">
        <f ca="1">IFERROR(__xludf.DUMMYFUNCTION("""COMPUTED_VALUE"""),107709842)</f>
        <v>107709842</v>
      </c>
    </row>
    <row r="178" spans="1:6" ht="12.5" x14ac:dyDescent="0.25">
      <c r="A178" s="3">
        <f ca="1">IFERROR(__xludf.DUMMYFUNCTION("""COMPUTED_VALUE"""),45184.6666666666)</f>
        <v>45184.666666666599</v>
      </c>
      <c r="B178" s="2">
        <f ca="1">IFERROR(__xludf.DUMMYFUNCTION("""COMPUTED_VALUE"""),277.55)</f>
        <v>277.55</v>
      </c>
      <c r="C178" s="2">
        <f ca="1">IFERROR(__xludf.DUMMYFUNCTION("""COMPUTED_VALUE"""),278.98)</f>
        <v>278.98</v>
      </c>
      <c r="D178" s="2">
        <f ca="1">IFERROR(__xludf.DUMMYFUNCTION("""COMPUTED_VALUE"""),271)</f>
        <v>271</v>
      </c>
      <c r="E178" s="2">
        <f ca="1">IFERROR(__xludf.DUMMYFUNCTION("""COMPUTED_VALUE"""),274.39)</f>
        <v>274.39</v>
      </c>
      <c r="F178" s="2">
        <f ca="1">IFERROR(__xludf.DUMMYFUNCTION("""COMPUTED_VALUE"""),133692313)</f>
        <v>133692313</v>
      </c>
    </row>
    <row r="179" spans="1:6" ht="12.5" x14ac:dyDescent="0.25">
      <c r="A179" s="3">
        <f ca="1">IFERROR(__xludf.DUMMYFUNCTION("""COMPUTED_VALUE"""),45187.6666666666)</f>
        <v>45187.666666666599</v>
      </c>
      <c r="B179" s="2">
        <f ca="1">IFERROR(__xludf.DUMMYFUNCTION("""COMPUTED_VALUE"""),271.16)</f>
        <v>271.16000000000003</v>
      </c>
      <c r="C179" s="2">
        <f ca="1">IFERROR(__xludf.DUMMYFUNCTION("""COMPUTED_VALUE"""),271.44)</f>
        <v>271.44</v>
      </c>
      <c r="D179" s="2">
        <f ca="1">IFERROR(__xludf.DUMMYFUNCTION("""COMPUTED_VALUE"""),263.76)</f>
        <v>263.76</v>
      </c>
      <c r="E179" s="2">
        <f ca="1">IFERROR(__xludf.DUMMYFUNCTION("""COMPUTED_VALUE"""),265.28)</f>
        <v>265.27999999999997</v>
      </c>
      <c r="F179" s="2">
        <f ca="1">IFERROR(__xludf.DUMMYFUNCTION("""COMPUTED_VALUE"""),101543305)</f>
        <v>101543305</v>
      </c>
    </row>
    <row r="180" spans="1:6" ht="12.5" x14ac:dyDescent="0.25">
      <c r="A180" s="3">
        <f ca="1">IFERROR(__xludf.DUMMYFUNCTION("""COMPUTED_VALUE"""),45188.6666666666)</f>
        <v>45188.666666666599</v>
      </c>
      <c r="B180" s="2">
        <f ca="1">IFERROR(__xludf.DUMMYFUNCTION("""COMPUTED_VALUE"""),264.35)</f>
        <v>264.35000000000002</v>
      </c>
      <c r="C180" s="2">
        <f ca="1">IFERROR(__xludf.DUMMYFUNCTION("""COMPUTED_VALUE"""),267.85)</f>
        <v>267.85000000000002</v>
      </c>
      <c r="D180" s="2">
        <f ca="1">IFERROR(__xludf.DUMMYFUNCTION("""COMPUTED_VALUE"""),261.2)</f>
        <v>261.2</v>
      </c>
      <c r="E180" s="2">
        <f ca="1">IFERROR(__xludf.DUMMYFUNCTION("""COMPUTED_VALUE"""),266.5)</f>
        <v>266.5</v>
      </c>
      <c r="F180" s="2">
        <f ca="1">IFERROR(__xludf.DUMMYFUNCTION("""COMPUTED_VALUE"""),103704040)</f>
        <v>103704040</v>
      </c>
    </row>
    <row r="181" spans="1:6" ht="12.5" x14ac:dyDescent="0.25">
      <c r="A181" s="3">
        <f ca="1">IFERROR(__xludf.DUMMYFUNCTION("""COMPUTED_VALUE"""),45189.6666666666)</f>
        <v>45189.666666666599</v>
      </c>
      <c r="B181" s="2">
        <f ca="1">IFERROR(__xludf.DUMMYFUNCTION("""COMPUTED_VALUE"""),267.04)</f>
        <v>267.04000000000002</v>
      </c>
      <c r="C181" s="2">
        <f ca="1">IFERROR(__xludf.DUMMYFUNCTION("""COMPUTED_VALUE"""),273.93)</f>
        <v>273.93</v>
      </c>
      <c r="D181" s="2">
        <f ca="1">IFERROR(__xludf.DUMMYFUNCTION("""COMPUTED_VALUE"""),262.46)</f>
        <v>262.45999999999998</v>
      </c>
      <c r="E181" s="2">
        <f ca="1">IFERROR(__xludf.DUMMYFUNCTION("""COMPUTED_VALUE"""),262.59)</f>
        <v>262.58999999999997</v>
      </c>
      <c r="F181" s="2">
        <f ca="1">IFERROR(__xludf.DUMMYFUNCTION("""COMPUTED_VALUE"""),122514643)</f>
        <v>122514643</v>
      </c>
    </row>
    <row r="182" spans="1:6" ht="12.5" x14ac:dyDescent="0.25">
      <c r="A182" s="3">
        <f ca="1">IFERROR(__xludf.DUMMYFUNCTION("""COMPUTED_VALUE"""),45190.6666666666)</f>
        <v>45190.666666666599</v>
      </c>
      <c r="B182" s="2">
        <f ca="1">IFERROR(__xludf.DUMMYFUNCTION("""COMPUTED_VALUE"""),257.85)</f>
        <v>257.85000000000002</v>
      </c>
      <c r="C182" s="2">
        <f ca="1">IFERROR(__xludf.DUMMYFUNCTION("""COMPUTED_VALUE"""),260.86)</f>
        <v>260.86</v>
      </c>
      <c r="D182" s="2">
        <f ca="1">IFERROR(__xludf.DUMMYFUNCTION("""COMPUTED_VALUE"""),254.21)</f>
        <v>254.21</v>
      </c>
      <c r="E182" s="2">
        <f ca="1">IFERROR(__xludf.DUMMYFUNCTION("""COMPUTED_VALUE"""),255.7)</f>
        <v>255.7</v>
      </c>
      <c r="F182" s="2">
        <f ca="1">IFERROR(__xludf.DUMMYFUNCTION("""COMPUTED_VALUE"""),119951516)</f>
        <v>119951516</v>
      </c>
    </row>
    <row r="183" spans="1:6" ht="12.5" x14ac:dyDescent="0.25">
      <c r="A183" s="3">
        <f ca="1">IFERROR(__xludf.DUMMYFUNCTION("""COMPUTED_VALUE"""),45191.6666666666)</f>
        <v>45191.666666666599</v>
      </c>
      <c r="B183" s="2">
        <f ca="1">IFERROR(__xludf.DUMMYFUNCTION("""COMPUTED_VALUE"""),257.4)</f>
        <v>257.39999999999998</v>
      </c>
      <c r="C183" s="2">
        <f ca="1">IFERROR(__xludf.DUMMYFUNCTION("""COMPUTED_VALUE"""),257.79)</f>
        <v>257.79000000000002</v>
      </c>
      <c r="D183" s="2">
        <f ca="1">IFERROR(__xludf.DUMMYFUNCTION("""COMPUTED_VALUE"""),244.48)</f>
        <v>244.48</v>
      </c>
      <c r="E183" s="2">
        <f ca="1">IFERROR(__xludf.DUMMYFUNCTION("""COMPUTED_VALUE"""),244.88)</f>
        <v>244.88</v>
      </c>
      <c r="F183" s="2">
        <f ca="1">IFERROR(__xludf.DUMMYFUNCTION("""COMPUTED_VALUE"""),127524083)</f>
        <v>127524083</v>
      </c>
    </row>
    <row r="184" spans="1:6" ht="12.5" x14ac:dyDescent="0.25">
      <c r="A184" s="3">
        <f ca="1">IFERROR(__xludf.DUMMYFUNCTION("""COMPUTED_VALUE"""),45194.6666666666)</f>
        <v>45194.666666666599</v>
      </c>
      <c r="B184" s="2">
        <f ca="1">IFERROR(__xludf.DUMMYFUNCTION("""COMPUTED_VALUE"""),243.38)</f>
        <v>243.38</v>
      </c>
      <c r="C184" s="2">
        <f ca="1">IFERROR(__xludf.DUMMYFUNCTION("""COMPUTED_VALUE"""),247.1)</f>
        <v>247.1</v>
      </c>
      <c r="D184" s="2">
        <f ca="1">IFERROR(__xludf.DUMMYFUNCTION("""COMPUTED_VALUE"""),238.31)</f>
        <v>238.31</v>
      </c>
      <c r="E184" s="2">
        <f ca="1">IFERROR(__xludf.DUMMYFUNCTION("""COMPUTED_VALUE"""),246.99)</f>
        <v>246.99</v>
      </c>
      <c r="F184" s="2">
        <f ca="1">IFERROR(__xludf.DUMMYFUNCTION("""COMPUTED_VALUE"""),104636557)</f>
        <v>104636557</v>
      </c>
    </row>
    <row r="185" spans="1:6" ht="12.5" x14ac:dyDescent="0.25">
      <c r="A185" s="3">
        <f ca="1">IFERROR(__xludf.DUMMYFUNCTION("""COMPUTED_VALUE"""),45195.6666666666)</f>
        <v>45195.666666666599</v>
      </c>
      <c r="B185" s="2">
        <f ca="1">IFERROR(__xludf.DUMMYFUNCTION("""COMPUTED_VALUE"""),242.98)</f>
        <v>242.98</v>
      </c>
      <c r="C185" s="2">
        <f ca="1">IFERROR(__xludf.DUMMYFUNCTION("""COMPUTED_VALUE"""),249.55)</f>
        <v>249.55</v>
      </c>
      <c r="D185" s="2">
        <f ca="1">IFERROR(__xludf.DUMMYFUNCTION("""COMPUTED_VALUE"""),241.66)</f>
        <v>241.66</v>
      </c>
      <c r="E185" s="2">
        <f ca="1">IFERROR(__xludf.DUMMYFUNCTION("""COMPUTED_VALUE"""),244.12)</f>
        <v>244.12</v>
      </c>
      <c r="F185" s="2">
        <f ca="1">IFERROR(__xludf.DUMMYFUNCTION("""COMPUTED_VALUE"""),101993631)</f>
        <v>101993631</v>
      </c>
    </row>
    <row r="186" spans="1:6" ht="12.5" x14ac:dyDescent="0.25">
      <c r="A186" s="3">
        <f ca="1">IFERROR(__xludf.DUMMYFUNCTION("""COMPUTED_VALUE"""),45196.6666666666)</f>
        <v>45196.666666666599</v>
      </c>
      <c r="B186" s="2">
        <f ca="1">IFERROR(__xludf.DUMMYFUNCTION("""COMPUTED_VALUE"""),244.26)</f>
        <v>244.26</v>
      </c>
      <c r="C186" s="2">
        <f ca="1">IFERROR(__xludf.DUMMYFUNCTION("""COMPUTED_VALUE"""),245.33)</f>
        <v>245.33</v>
      </c>
      <c r="D186" s="2">
        <f ca="1">IFERROR(__xludf.DUMMYFUNCTION("""COMPUTED_VALUE"""),234.58)</f>
        <v>234.58</v>
      </c>
      <c r="E186" s="2">
        <f ca="1">IFERROR(__xludf.DUMMYFUNCTION("""COMPUTED_VALUE"""),240.5)</f>
        <v>240.5</v>
      </c>
      <c r="F186" s="2">
        <f ca="1">IFERROR(__xludf.DUMMYFUNCTION("""COMPUTED_VALUE"""),136597184)</f>
        <v>136597184</v>
      </c>
    </row>
    <row r="187" spans="1:6" ht="12.5" x14ac:dyDescent="0.25">
      <c r="A187" s="3">
        <f ca="1">IFERROR(__xludf.DUMMYFUNCTION("""COMPUTED_VALUE"""),45197.6666666666)</f>
        <v>45197.666666666599</v>
      </c>
      <c r="B187" s="2">
        <f ca="1">IFERROR(__xludf.DUMMYFUNCTION("""COMPUTED_VALUE"""),240.02)</f>
        <v>240.02</v>
      </c>
      <c r="C187" s="2">
        <f ca="1">IFERROR(__xludf.DUMMYFUNCTION("""COMPUTED_VALUE"""),247.55)</f>
        <v>247.55</v>
      </c>
      <c r="D187" s="2">
        <f ca="1">IFERROR(__xludf.DUMMYFUNCTION("""COMPUTED_VALUE"""),238.65)</f>
        <v>238.65</v>
      </c>
      <c r="E187" s="2">
        <f ca="1">IFERROR(__xludf.DUMMYFUNCTION("""COMPUTED_VALUE"""),246.38)</f>
        <v>246.38</v>
      </c>
      <c r="F187" s="2">
        <f ca="1">IFERROR(__xludf.DUMMYFUNCTION("""COMPUTED_VALUE"""),117058870)</f>
        <v>117058870</v>
      </c>
    </row>
    <row r="188" spans="1:6" ht="12.5" x14ac:dyDescent="0.25">
      <c r="A188" s="3">
        <f ca="1">IFERROR(__xludf.DUMMYFUNCTION("""COMPUTED_VALUE"""),45198.6666666666)</f>
        <v>45198.666666666599</v>
      </c>
      <c r="B188" s="2">
        <f ca="1">IFERROR(__xludf.DUMMYFUNCTION("""COMPUTED_VALUE"""),250)</f>
        <v>250</v>
      </c>
      <c r="C188" s="2">
        <f ca="1">IFERROR(__xludf.DUMMYFUNCTION("""COMPUTED_VALUE"""),254.77)</f>
        <v>254.77</v>
      </c>
      <c r="D188" s="2">
        <f ca="1">IFERROR(__xludf.DUMMYFUNCTION("""COMPUTED_VALUE"""),246.35)</f>
        <v>246.35</v>
      </c>
      <c r="E188" s="2">
        <f ca="1">IFERROR(__xludf.DUMMYFUNCTION("""COMPUTED_VALUE"""),250.22)</f>
        <v>250.22</v>
      </c>
      <c r="F188" s="2">
        <f ca="1">IFERROR(__xludf.DUMMYFUNCTION("""COMPUTED_VALUE"""),128522729)</f>
        <v>128522729</v>
      </c>
    </row>
    <row r="189" spans="1:6" ht="12.5" x14ac:dyDescent="0.25">
      <c r="A189" s="3">
        <f ca="1">IFERROR(__xludf.DUMMYFUNCTION("""COMPUTED_VALUE"""),45201.6666666666)</f>
        <v>45201.666666666599</v>
      </c>
      <c r="B189" s="2">
        <f ca="1">IFERROR(__xludf.DUMMYFUNCTION("""COMPUTED_VALUE"""),244.81)</f>
        <v>244.81</v>
      </c>
      <c r="C189" s="2">
        <f ca="1">IFERROR(__xludf.DUMMYFUNCTION("""COMPUTED_VALUE"""),254.28)</f>
        <v>254.28</v>
      </c>
      <c r="D189" s="2">
        <f ca="1">IFERROR(__xludf.DUMMYFUNCTION("""COMPUTED_VALUE"""),242.62)</f>
        <v>242.62</v>
      </c>
      <c r="E189" s="2">
        <f ca="1">IFERROR(__xludf.DUMMYFUNCTION("""COMPUTED_VALUE"""),251.6)</f>
        <v>251.6</v>
      </c>
      <c r="F189" s="2">
        <f ca="1">IFERROR(__xludf.DUMMYFUNCTION("""COMPUTED_VALUE"""),123810402)</f>
        <v>123810402</v>
      </c>
    </row>
    <row r="190" spans="1:6" ht="12.5" x14ac:dyDescent="0.25">
      <c r="A190" s="3">
        <f ca="1">IFERROR(__xludf.DUMMYFUNCTION("""COMPUTED_VALUE"""),45202.6666666666)</f>
        <v>45202.666666666599</v>
      </c>
      <c r="B190" s="2">
        <f ca="1">IFERROR(__xludf.DUMMYFUNCTION("""COMPUTED_VALUE"""),248.61)</f>
        <v>248.61</v>
      </c>
      <c r="C190" s="2">
        <f ca="1">IFERROR(__xludf.DUMMYFUNCTION("""COMPUTED_VALUE"""),250.02)</f>
        <v>250.02</v>
      </c>
      <c r="D190" s="2">
        <f ca="1">IFERROR(__xludf.DUMMYFUNCTION("""COMPUTED_VALUE"""),244.45)</f>
        <v>244.45</v>
      </c>
      <c r="E190" s="2">
        <f ca="1">IFERROR(__xludf.DUMMYFUNCTION("""COMPUTED_VALUE"""),246.53)</f>
        <v>246.53</v>
      </c>
      <c r="F190" s="2">
        <f ca="1">IFERROR(__xludf.DUMMYFUNCTION("""COMPUTED_VALUE"""),101985305)</f>
        <v>101985305</v>
      </c>
    </row>
    <row r="191" spans="1:6" ht="12.5" x14ac:dyDescent="0.25">
      <c r="A191" s="3">
        <f ca="1">IFERROR(__xludf.DUMMYFUNCTION("""COMPUTED_VALUE"""),45203.6666666666)</f>
        <v>45203.666666666599</v>
      </c>
      <c r="B191" s="2">
        <f ca="1">IFERROR(__xludf.DUMMYFUNCTION("""COMPUTED_VALUE"""),248.14)</f>
        <v>248.14</v>
      </c>
      <c r="C191" s="2">
        <f ca="1">IFERROR(__xludf.DUMMYFUNCTION("""COMPUTED_VALUE"""),261.86)</f>
        <v>261.86</v>
      </c>
      <c r="D191" s="2">
        <f ca="1">IFERROR(__xludf.DUMMYFUNCTION("""COMPUTED_VALUE"""),247.6)</f>
        <v>247.6</v>
      </c>
      <c r="E191" s="2">
        <f ca="1">IFERROR(__xludf.DUMMYFUNCTION("""COMPUTED_VALUE"""),261.16)</f>
        <v>261.16000000000003</v>
      </c>
      <c r="F191" s="2">
        <f ca="1">IFERROR(__xludf.DUMMYFUNCTION("""COMPUTED_VALUE"""),129721567)</f>
        <v>129721567</v>
      </c>
    </row>
    <row r="192" spans="1:6" ht="12.5" x14ac:dyDescent="0.25">
      <c r="A192" s="3">
        <f ca="1">IFERROR(__xludf.DUMMYFUNCTION("""COMPUTED_VALUE"""),45204.6666666666)</f>
        <v>45204.666666666599</v>
      </c>
      <c r="B192" s="2">
        <f ca="1">IFERROR(__xludf.DUMMYFUNCTION("""COMPUTED_VALUE"""),260)</f>
        <v>260</v>
      </c>
      <c r="C192" s="2">
        <f ca="1">IFERROR(__xludf.DUMMYFUNCTION("""COMPUTED_VALUE"""),263.6)</f>
        <v>263.60000000000002</v>
      </c>
      <c r="D192" s="2">
        <f ca="1">IFERROR(__xludf.DUMMYFUNCTION("""COMPUTED_VALUE"""),256.25)</f>
        <v>256.25</v>
      </c>
      <c r="E192" s="2">
        <f ca="1">IFERROR(__xludf.DUMMYFUNCTION("""COMPUTED_VALUE"""),260.05)</f>
        <v>260.05</v>
      </c>
      <c r="F192" s="2">
        <f ca="1">IFERROR(__xludf.DUMMYFUNCTION("""COMPUTED_VALUE"""),119159214)</f>
        <v>119159214</v>
      </c>
    </row>
    <row r="193" spans="1:6" ht="12.5" x14ac:dyDescent="0.25">
      <c r="A193" s="3">
        <f ca="1">IFERROR(__xludf.DUMMYFUNCTION("""COMPUTED_VALUE"""),45205.6666666666)</f>
        <v>45205.666666666599</v>
      </c>
      <c r="B193" s="2">
        <f ca="1">IFERROR(__xludf.DUMMYFUNCTION("""COMPUTED_VALUE"""),253.98)</f>
        <v>253.98</v>
      </c>
      <c r="C193" s="2">
        <f ca="1">IFERROR(__xludf.DUMMYFUNCTION("""COMPUTED_VALUE"""),261.65)</f>
        <v>261.64999999999998</v>
      </c>
      <c r="D193" s="2">
        <f ca="1">IFERROR(__xludf.DUMMYFUNCTION("""COMPUTED_VALUE"""),250.65)</f>
        <v>250.65</v>
      </c>
      <c r="E193" s="2">
        <f ca="1">IFERROR(__xludf.DUMMYFUNCTION("""COMPUTED_VALUE"""),260.53)</f>
        <v>260.52999999999997</v>
      </c>
      <c r="F193" s="2">
        <f ca="1">IFERROR(__xludf.DUMMYFUNCTION("""COMPUTED_VALUE"""),118121812)</f>
        <v>118121812</v>
      </c>
    </row>
    <row r="194" spans="1:6" ht="12.5" x14ac:dyDescent="0.25">
      <c r="A194" s="3">
        <f ca="1">IFERROR(__xludf.DUMMYFUNCTION("""COMPUTED_VALUE"""),45208.6666666666)</f>
        <v>45208.666666666599</v>
      </c>
      <c r="B194" s="2">
        <f ca="1">IFERROR(__xludf.DUMMYFUNCTION("""COMPUTED_VALUE"""),255.31)</f>
        <v>255.31</v>
      </c>
      <c r="C194" s="2">
        <f ca="1">IFERROR(__xludf.DUMMYFUNCTION("""COMPUTED_VALUE"""),261.36)</f>
        <v>261.36</v>
      </c>
      <c r="D194" s="2">
        <f ca="1">IFERROR(__xludf.DUMMYFUNCTION("""COMPUTED_VALUE"""),252.05)</f>
        <v>252.05</v>
      </c>
      <c r="E194" s="2">
        <f ca="1">IFERROR(__xludf.DUMMYFUNCTION("""COMPUTED_VALUE"""),259.67)</f>
        <v>259.67</v>
      </c>
      <c r="F194" s="2">
        <f ca="1">IFERROR(__xludf.DUMMYFUNCTION("""COMPUTED_VALUE"""),101377947)</f>
        <v>101377947</v>
      </c>
    </row>
    <row r="195" spans="1:6" ht="12.5" x14ac:dyDescent="0.25">
      <c r="A195" s="3">
        <f ca="1">IFERROR(__xludf.DUMMYFUNCTION("""COMPUTED_VALUE"""),45209.6666666666)</f>
        <v>45209.666666666599</v>
      </c>
      <c r="B195" s="2">
        <f ca="1">IFERROR(__xludf.DUMMYFUNCTION("""COMPUTED_VALUE"""),257.75)</f>
        <v>257.75</v>
      </c>
      <c r="C195" s="2">
        <f ca="1">IFERROR(__xludf.DUMMYFUNCTION("""COMPUTED_VALUE"""),268.94)</f>
        <v>268.94</v>
      </c>
      <c r="D195" s="2">
        <f ca="1">IFERROR(__xludf.DUMMYFUNCTION("""COMPUTED_VALUE"""),257.65)</f>
        <v>257.64999999999998</v>
      </c>
      <c r="E195" s="2">
        <f ca="1">IFERROR(__xludf.DUMMYFUNCTION("""COMPUTED_VALUE"""),263.62)</f>
        <v>263.62</v>
      </c>
      <c r="F195" s="2">
        <f ca="1">IFERROR(__xludf.DUMMYFUNCTION("""COMPUTED_VALUE"""),122656030)</f>
        <v>122656030</v>
      </c>
    </row>
    <row r="196" spans="1:6" ht="12.5" x14ac:dyDescent="0.25">
      <c r="A196" s="3">
        <f ca="1">IFERROR(__xludf.DUMMYFUNCTION("""COMPUTED_VALUE"""),45210.6666666666)</f>
        <v>45210.666666666599</v>
      </c>
      <c r="B196" s="2">
        <f ca="1">IFERROR(__xludf.DUMMYFUNCTION("""COMPUTED_VALUE"""),266.2)</f>
        <v>266.2</v>
      </c>
      <c r="C196" s="2">
        <f ca="1">IFERROR(__xludf.DUMMYFUNCTION("""COMPUTED_VALUE"""),268.6)</f>
        <v>268.60000000000002</v>
      </c>
      <c r="D196" s="2">
        <f ca="1">IFERROR(__xludf.DUMMYFUNCTION("""COMPUTED_VALUE"""),260.9)</f>
        <v>260.89999999999998</v>
      </c>
      <c r="E196" s="2">
        <f ca="1">IFERROR(__xludf.DUMMYFUNCTION("""COMPUTED_VALUE"""),262.99)</f>
        <v>262.99</v>
      </c>
      <c r="F196" s="2">
        <f ca="1">IFERROR(__xludf.DUMMYFUNCTION("""COMPUTED_VALUE"""),103706266)</f>
        <v>103706266</v>
      </c>
    </row>
    <row r="197" spans="1:6" ht="12.5" x14ac:dyDescent="0.25">
      <c r="A197" s="3">
        <f ca="1">IFERROR(__xludf.DUMMYFUNCTION("""COMPUTED_VALUE"""),45211.6666666666)</f>
        <v>45211.666666666599</v>
      </c>
      <c r="B197" s="2">
        <f ca="1">IFERROR(__xludf.DUMMYFUNCTION("""COMPUTED_VALUE"""),262.92)</f>
        <v>262.92</v>
      </c>
      <c r="C197" s="2">
        <f ca="1">IFERROR(__xludf.DUMMYFUNCTION("""COMPUTED_VALUE"""),265.41)</f>
        <v>265.41000000000003</v>
      </c>
      <c r="D197" s="2">
        <f ca="1">IFERROR(__xludf.DUMMYFUNCTION("""COMPUTED_VALUE"""),256.63)</f>
        <v>256.63</v>
      </c>
      <c r="E197" s="2">
        <f ca="1">IFERROR(__xludf.DUMMYFUNCTION("""COMPUTED_VALUE"""),258.87)</f>
        <v>258.87</v>
      </c>
      <c r="F197" s="2">
        <f ca="1">IFERROR(__xludf.DUMMYFUNCTION("""COMPUTED_VALUE"""),111508114)</f>
        <v>111508114</v>
      </c>
    </row>
    <row r="198" spans="1:6" ht="12.5" x14ac:dyDescent="0.25">
      <c r="A198" s="3">
        <f ca="1">IFERROR(__xludf.DUMMYFUNCTION("""COMPUTED_VALUE"""),45212.6666666666)</f>
        <v>45212.666666666599</v>
      </c>
      <c r="B198" s="2">
        <f ca="1">IFERROR(__xludf.DUMMYFUNCTION("""COMPUTED_VALUE"""),258.9)</f>
        <v>258.89999999999998</v>
      </c>
      <c r="C198" s="2">
        <f ca="1">IFERROR(__xludf.DUMMYFUNCTION("""COMPUTED_VALUE"""),259.6)</f>
        <v>259.60000000000002</v>
      </c>
      <c r="D198" s="2">
        <f ca="1">IFERROR(__xludf.DUMMYFUNCTION("""COMPUTED_VALUE"""),250.22)</f>
        <v>250.22</v>
      </c>
      <c r="E198" s="2">
        <f ca="1">IFERROR(__xludf.DUMMYFUNCTION("""COMPUTED_VALUE"""),251.12)</f>
        <v>251.12</v>
      </c>
      <c r="F198" s="2">
        <f ca="1">IFERROR(__xludf.DUMMYFUNCTION("""COMPUTED_VALUE"""),102296786)</f>
        <v>102296786</v>
      </c>
    </row>
    <row r="199" spans="1:6" ht="12.5" x14ac:dyDescent="0.25">
      <c r="A199" s="3">
        <f ca="1">IFERROR(__xludf.DUMMYFUNCTION("""COMPUTED_VALUE"""),45215.6666666666)</f>
        <v>45215.666666666599</v>
      </c>
      <c r="B199" s="2">
        <f ca="1">IFERROR(__xludf.DUMMYFUNCTION("""COMPUTED_VALUE"""),250.05)</f>
        <v>250.05</v>
      </c>
      <c r="C199" s="2">
        <f ca="1">IFERROR(__xludf.DUMMYFUNCTION("""COMPUTED_VALUE"""),255.4)</f>
        <v>255.4</v>
      </c>
      <c r="D199" s="2">
        <f ca="1">IFERROR(__xludf.DUMMYFUNCTION("""COMPUTED_VALUE"""),248.48)</f>
        <v>248.48</v>
      </c>
      <c r="E199" s="2">
        <f ca="1">IFERROR(__xludf.DUMMYFUNCTION("""COMPUTED_VALUE"""),253.92)</f>
        <v>253.92</v>
      </c>
      <c r="F199" s="2">
        <f ca="1">IFERROR(__xludf.DUMMYFUNCTION("""COMPUTED_VALUE"""),88917176)</f>
        <v>88917176</v>
      </c>
    </row>
    <row r="200" spans="1:6" ht="12.5" x14ac:dyDescent="0.25">
      <c r="A200" s="3">
        <f ca="1">IFERROR(__xludf.DUMMYFUNCTION("""COMPUTED_VALUE"""),45216.6666666666)</f>
        <v>45216.666666666599</v>
      </c>
      <c r="B200" s="2">
        <f ca="1">IFERROR(__xludf.DUMMYFUNCTION("""COMPUTED_VALUE"""),250.1)</f>
        <v>250.1</v>
      </c>
      <c r="C200" s="2">
        <f ca="1">IFERROR(__xludf.DUMMYFUNCTION("""COMPUTED_VALUE"""),257.18)</f>
        <v>257.18</v>
      </c>
      <c r="D200" s="2">
        <f ca="1">IFERROR(__xludf.DUMMYFUNCTION("""COMPUTED_VALUE"""),247.08)</f>
        <v>247.08</v>
      </c>
      <c r="E200" s="2">
        <f ca="1">IFERROR(__xludf.DUMMYFUNCTION("""COMPUTED_VALUE"""),254.85)</f>
        <v>254.85</v>
      </c>
      <c r="F200" s="2">
        <f ca="1">IFERROR(__xludf.DUMMYFUNCTION("""COMPUTED_VALUE"""),93562909)</f>
        <v>93562909</v>
      </c>
    </row>
    <row r="201" spans="1:6" ht="12.5" x14ac:dyDescent="0.25">
      <c r="A201" s="3">
        <f ca="1">IFERROR(__xludf.DUMMYFUNCTION("""COMPUTED_VALUE"""),45217.6666666666)</f>
        <v>45217.666666666599</v>
      </c>
      <c r="B201" s="2">
        <f ca="1">IFERROR(__xludf.DUMMYFUNCTION("""COMPUTED_VALUE"""),252.7)</f>
        <v>252.7</v>
      </c>
      <c r="C201" s="2">
        <f ca="1">IFERROR(__xludf.DUMMYFUNCTION("""COMPUTED_VALUE"""),254.63)</f>
        <v>254.63</v>
      </c>
      <c r="D201" s="2">
        <f ca="1">IFERROR(__xludf.DUMMYFUNCTION("""COMPUTED_VALUE"""),242.08)</f>
        <v>242.08</v>
      </c>
      <c r="E201" s="2">
        <f ca="1">IFERROR(__xludf.DUMMYFUNCTION("""COMPUTED_VALUE"""),242.68)</f>
        <v>242.68</v>
      </c>
      <c r="F201" s="2">
        <f ca="1">IFERROR(__xludf.DUMMYFUNCTION("""COMPUTED_VALUE"""),125147846)</f>
        <v>125147846</v>
      </c>
    </row>
    <row r="202" spans="1:6" ht="12.5" x14ac:dyDescent="0.25">
      <c r="A202" s="3">
        <f ca="1">IFERROR(__xludf.DUMMYFUNCTION("""COMPUTED_VALUE"""),45218.6666666666)</f>
        <v>45218.666666666599</v>
      </c>
      <c r="B202" s="2">
        <f ca="1">IFERROR(__xludf.DUMMYFUNCTION("""COMPUTED_VALUE"""),225.95)</f>
        <v>225.95</v>
      </c>
      <c r="C202" s="2">
        <f ca="1">IFERROR(__xludf.DUMMYFUNCTION("""COMPUTED_VALUE"""),230.61)</f>
        <v>230.61</v>
      </c>
      <c r="D202" s="2">
        <f ca="1">IFERROR(__xludf.DUMMYFUNCTION("""COMPUTED_VALUE"""),216.78)</f>
        <v>216.78</v>
      </c>
      <c r="E202" s="2">
        <f ca="1">IFERROR(__xludf.DUMMYFUNCTION("""COMPUTED_VALUE"""),220.11)</f>
        <v>220.11</v>
      </c>
      <c r="F202" s="2">
        <f ca="1">IFERROR(__xludf.DUMMYFUNCTION("""COMPUTED_VALUE"""),170772713)</f>
        <v>170772713</v>
      </c>
    </row>
    <row r="203" spans="1:6" ht="12.5" x14ac:dyDescent="0.25">
      <c r="A203" s="3">
        <f ca="1">IFERROR(__xludf.DUMMYFUNCTION("""COMPUTED_VALUE"""),45219.6666666666)</f>
        <v>45219.666666666599</v>
      </c>
      <c r="B203" s="2">
        <f ca="1">IFERROR(__xludf.DUMMYFUNCTION("""COMPUTED_VALUE"""),217.01)</f>
        <v>217.01</v>
      </c>
      <c r="C203" s="2">
        <f ca="1">IFERROR(__xludf.DUMMYFUNCTION("""COMPUTED_VALUE"""),218.86)</f>
        <v>218.86</v>
      </c>
      <c r="D203" s="2">
        <f ca="1">IFERROR(__xludf.DUMMYFUNCTION("""COMPUTED_VALUE"""),210.42)</f>
        <v>210.42</v>
      </c>
      <c r="E203" s="2">
        <f ca="1">IFERROR(__xludf.DUMMYFUNCTION("""COMPUTED_VALUE"""),211.99)</f>
        <v>211.99</v>
      </c>
      <c r="F203" s="2">
        <f ca="1">IFERROR(__xludf.DUMMYFUNCTION("""COMPUTED_VALUE"""),138010095)</f>
        <v>138010095</v>
      </c>
    </row>
    <row r="204" spans="1:6" ht="12.5" x14ac:dyDescent="0.25">
      <c r="A204" s="3">
        <f ca="1">IFERROR(__xludf.DUMMYFUNCTION("""COMPUTED_VALUE"""),45222.6666666666)</f>
        <v>45222.666666666599</v>
      </c>
      <c r="B204" s="2">
        <f ca="1">IFERROR(__xludf.DUMMYFUNCTION("""COMPUTED_VALUE"""),210)</f>
        <v>210</v>
      </c>
      <c r="C204" s="2">
        <f ca="1">IFERROR(__xludf.DUMMYFUNCTION("""COMPUTED_VALUE"""),216.98)</f>
        <v>216.98</v>
      </c>
      <c r="D204" s="2">
        <f ca="1">IFERROR(__xludf.DUMMYFUNCTION("""COMPUTED_VALUE"""),202.51)</f>
        <v>202.51</v>
      </c>
      <c r="E204" s="2">
        <f ca="1">IFERROR(__xludf.DUMMYFUNCTION("""COMPUTED_VALUE"""),212.08)</f>
        <v>212.08</v>
      </c>
      <c r="F204" s="2">
        <f ca="1">IFERROR(__xludf.DUMMYFUNCTION("""COMPUTED_VALUE"""),150683368)</f>
        <v>150683368</v>
      </c>
    </row>
    <row r="205" spans="1:6" ht="12.5" x14ac:dyDescent="0.25">
      <c r="A205" s="3">
        <f ca="1">IFERROR(__xludf.DUMMYFUNCTION("""COMPUTED_VALUE"""),45223.6666666666)</f>
        <v>45223.666666666599</v>
      </c>
      <c r="B205" s="2">
        <f ca="1">IFERROR(__xludf.DUMMYFUNCTION("""COMPUTED_VALUE"""),216.5)</f>
        <v>216.5</v>
      </c>
      <c r="C205" s="2">
        <f ca="1">IFERROR(__xludf.DUMMYFUNCTION("""COMPUTED_VALUE"""),222.05)</f>
        <v>222.05</v>
      </c>
      <c r="D205" s="2">
        <f ca="1">IFERROR(__xludf.DUMMYFUNCTION("""COMPUTED_VALUE"""),214.11)</f>
        <v>214.11</v>
      </c>
      <c r="E205" s="2">
        <f ca="1">IFERROR(__xludf.DUMMYFUNCTION("""COMPUTED_VALUE"""),216.52)</f>
        <v>216.52</v>
      </c>
      <c r="F205" s="2">
        <f ca="1">IFERROR(__xludf.DUMMYFUNCTION("""COMPUTED_VALUE"""),118231113)</f>
        <v>118231113</v>
      </c>
    </row>
    <row r="206" spans="1:6" ht="12.5" x14ac:dyDescent="0.25">
      <c r="A206" s="3">
        <f ca="1">IFERROR(__xludf.DUMMYFUNCTION("""COMPUTED_VALUE"""),45224.6666666666)</f>
        <v>45224.666666666599</v>
      </c>
      <c r="B206" s="2">
        <f ca="1">IFERROR(__xludf.DUMMYFUNCTION("""COMPUTED_VALUE"""),215.88)</f>
        <v>215.88</v>
      </c>
      <c r="C206" s="2">
        <f ca="1">IFERROR(__xludf.DUMMYFUNCTION("""COMPUTED_VALUE"""),220.1)</f>
        <v>220.1</v>
      </c>
      <c r="D206" s="2">
        <f ca="1">IFERROR(__xludf.DUMMYFUNCTION("""COMPUTED_VALUE"""),212.2)</f>
        <v>212.2</v>
      </c>
      <c r="E206" s="2">
        <f ca="1">IFERROR(__xludf.DUMMYFUNCTION("""COMPUTED_VALUE"""),212.42)</f>
        <v>212.42</v>
      </c>
      <c r="F206" s="2">
        <f ca="1">IFERROR(__xludf.DUMMYFUNCTION("""COMPUTED_VALUE"""),107065087)</f>
        <v>107065087</v>
      </c>
    </row>
    <row r="207" spans="1:6" ht="12.5" x14ac:dyDescent="0.25">
      <c r="A207" s="3">
        <f ca="1">IFERROR(__xludf.DUMMYFUNCTION("""COMPUTED_VALUE"""),45225.6666666666)</f>
        <v>45225.666666666599</v>
      </c>
      <c r="B207" s="2">
        <f ca="1">IFERROR(__xludf.DUMMYFUNCTION("""COMPUTED_VALUE"""),211.32)</f>
        <v>211.32</v>
      </c>
      <c r="C207" s="2">
        <f ca="1">IFERROR(__xludf.DUMMYFUNCTION("""COMPUTED_VALUE"""),214.8)</f>
        <v>214.8</v>
      </c>
      <c r="D207" s="2">
        <f ca="1">IFERROR(__xludf.DUMMYFUNCTION("""COMPUTED_VALUE"""),204.88)</f>
        <v>204.88</v>
      </c>
      <c r="E207" s="2">
        <f ca="1">IFERROR(__xludf.DUMMYFUNCTION("""COMPUTED_VALUE"""),205.76)</f>
        <v>205.76</v>
      </c>
      <c r="F207" s="2">
        <f ca="1">IFERROR(__xludf.DUMMYFUNCTION("""COMPUTED_VALUE"""),115112635)</f>
        <v>115112635</v>
      </c>
    </row>
    <row r="208" spans="1:6" ht="12.5" x14ac:dyDescent="0.25">
      <c r="A208" s="3">
        <f ca="1">IFERROR(__xludf.DUMMYFUNCTION("""COMPUTED_VALUE"""),45226.6666666666)</f>
        <v>45226.666666666599</v>
      </c>
      <c r="B208" s="2">
        <f ca="1">IFERROR(__xludf.DUMMYFUNCTION("""COMPUTED_VALUE"""),210.6)</f>
        <v>210.6</v>
      </c>
      <c r="C208" s="2">
        <f ca="1">IFERROR(__xludf.DUMMYFUNCTION("""COMPUTED_VALUE"""),212.41)</f>
        <v>212.41</v>
      </c>
      <c r="D208" s="2">
        <f ca="1">IFERROR(__xludf.DUMMYFUNCTION("""COMPUTED_VALUE"""),205.77)</f>
        <v>205.77</v>
      </c>
      <c r="E208" s="2">
        <f ca="1">IFERROR(__xludf.DUMMYFUNCTION("""COMPUTED_VALUE"""),207.3)</f>
        <v>207.3</v>
      </c>
      <c r="F208" s="2">
        <f ca="1">IFERROR(__xludf.DUMMYFUNCTION("""COMPUTED_VALUE"""),94881173)</f>
        <v>94881173</v>
      </c>
    </row>
    <row r="209" spans="1:6" ht="12.5" x14ac:dyDescent="0.25">
      <c r="A209" s="3">
        <f ca="1">IFERROR(__xludf.DUMMYFUNCTION("""COMPUTED_VALUE"""),45229.6666666666)</f>
        <v>45229.666666666599</v>
      </c>
      <c r="B209" s="2">
        <f ca="1">IFERROR(__xludf.DUMMYFUNCTION("""COMPUTED_VALUE"""),209.28)</f>
        <v>209.28</v>
      </c>
      <c r="C209" s="2">
        <f ca="1">IFERROR(__xludf.DUMMYFUNCTION("""COMPUTED_VALUE"""),210.88)</f>
        <v>210.88</v>
      </c>
      <c r="D209" s="2">
        <f ca="1">IFERROR(__xludf.DUMMYFUNCTION("""COMPUTED_VALUE"""),194.67)</f>
        <v>194.67</v>
      </c>
      <c r="E209" s="2">
        <f ca="1">IFERROR(__xludf.DUMMYFUNCTION("""COMPUTED_VALUE"""),197.36)</f>
        <v>197.36</v>
      </c>
      <c r="F209" s="2">
        <f ca="1">IFERROR(__xludf.DUMMYFUNCTION("""COMPUTED_VALUE"""),136448167)</f>
        <v>136448167</v>
      </c>
    </row>
    <row r="210" spans="1:6" ht="12.5" x14ac:dyDescent="0.25">
      <c r="A210" s="3">
        <f ca="1">IFERROR(__xludf.DUMMYFUNCTION("""COMPUTED_VALUE"""),45230.6666666666)</f>
        <v>45230.666666666599</v>
      </c>
      <c r="B210" s="2">
        <f ca="1">IFERROR(__xludf.DUMMYFUNCTION("""COMPUTED_VALUE"""),196.12)</f>
        <v>196.12</v>
      </c>
      <c r="C210" s="2">
        <f ca="1">IFERROR(__xludf.DUMMYFUNCTION("""COMPUTED_VALUE"""),202.8)</f>
        <v>202.8</v>
      </c>
      <c r="D210" s="2">
        <f ca="1">IFERROR(__xludf.DUMMYFUNCTION("""COMPUTED_VALUE"""),194.07)</f>
        <v>194.07</v>
      </c>
      <c r="E210" s="2">
        <f ca="1">IFERROR(__xludf.DUMMYFUNCTION("""COMPUTED_VALUE"""),200.84)</f>
        <v>200.84</v>
      </c>
      <c r="F210" s="2">
        <f ca="1">IFERROR(__xludf.DUMMYFUNCTION("""COMPUTED_VALUE"""),118068273)</f>
        <v>118068273</v>
      </c>
    </row>
    <row r="211" spans="1:6" ht="12.5" x14ac:dyDescent="0.25">
      <c r="A211" s="3">
        <f ca="1">IFERROR(__xludf.DUMMYFUNCTION("""COMPUTED_VALUE"""),45231.6666666666)</f>
        <v>45231.666666666599</v>
      </c>
      <c r="B211" s="2">
        <f ca="1">IFERROR(__xludf.DUMMYFUNCTION("""COMPUTED_VALUE"""),204.04)</f>
        <v>204.04</v>
      </c>
      <c r="C211" s="2">
        <f ca="1">IFERROR(__xludf.DUMMYFUNCTION("""COMPUTED_VALUE"""),205.99)</f>
        <v>205.99</v>
      </c>
      <c r="D211" s="2">
        <f ca="1">IFERROR(__xludf.DUMMYFUNCTION("""COMPUTED_VALUE"""),197.85)</f>
        <v>197.85</v>
      </c>
      <c r="E211" s="2">
        <f ca="1">IFERROR(__xludf.DUMMYFUNCTION("""COMPUTED_VALUE"""),205.66)</f>
        <v>205.66</v>
      </c>
      <c r="F211" s="2">
        <f ca="1">IFERROR(__xludf.DUMMYFUNCTION("""COMPUTED_VALUE"""),121661656)</f>
        <v>121661656</v>
      </c>
    </row>
    <row r="212" spans="1:6" ht="12.5" x14ac:dyDescent="0.25">
      <c r="A212" s="3">
        <f ca="1">IFERROR(__xludf.DUMMYFUNCTION("""COMPUTED_VALUE"""),45232.6666666666)</f>
        <v>45232.666666666599</v>
      </c>
      <c r="B212" s="2">
        <f ca="1">IFERROR(__xludf.DUMMYFUNCTION("""COMPUTED_VALUE"""),212.97)</f>
        <v>212.97</v>
      </c>
      <c r="C212" s="2">
        <f ca="1">IFERROR(__xludf.DUMMYFUNCTION("""COMPUTED_VALUE"""),219.2)</f>
        <v>219.2</v>
      </c>
      <c r="D212" s="2">
        <f ca="1">IFERROR(__xludf.DUMMYFUNCTION("""COMPUTED_VALUE"""),211.45)</f>
        <v>211.45</v>
      </c>
      <c r="E212" s="2">
        <f ca="1">IFERROR(__xludf.DUMMYFUNCTION("""COMPUTED_VALUE"""),218.51)</f>
        <v>218.51</v>
      </c>
      <c r="F212" s="2">
        <f ca="1">IFERROR(__xludf.DUMMYFUNCTION("""COMPUTED_VALUE"""),125987621)</f>
        <v>125987621</v>
      </c>
    </row>
    <row r="213" spans="1:6" ht="12.5" x14ac:dyDescent="0.25">
      <c r="A213" s="3">
        <f ca="1">IFERROR(__xludf.DUMMYFUNCTION("""COMPUTED_VALUE"""),45233.6666666666)</f>
        <v>45233.666666666599</v>
      </c>
      <c r="B213" s="2">
        <f ca="1">IFERROR(__xludf.DUMMYFUNCTION("""COMPUTED_VALUE"""),221.15)</f>
        <v>221.15</v>
      </c>
      <c r="C213" s="2">
        <f ca="1">IFERROR(__xludf.DUMMYFUNCTION("""COMPUTED_VALUE"""),226.37)</f>
        <v>226.37</v>
      </c>
      <c r="D213" s="2">
        <f ca="1">IFERROR(__xludf.DUMMYFUNCTION("""COMPUTED_VALUE"""),218.4)</f>
        <v>218.4</v>
      </c>
      <c r="E213" s="2">
        <f ca="1">IFERROR(__xludf.DUMMYFUNCTION("""COMPUTED_VALUE"""),219.96)</f>
        <v>219.96</v>
      </c>
      <c r="F213" s="2">
        <f ca="1">IFERROR(__xludf.DUMMYFUNCTION("""COMPUTED_VALUE"""),119534790)</f>
        <v>119534790</v>
      </c>
    </row>
    <row r="214" spans="1:6" ht="12.5" x14ac:dyDescent="0.25">
      <c r="A214" s="3">
        <f ca="1">IFERROR(__xludf.DUMMYFUNCTION("""COMPUTED_VALUE"""),45236.6666666666)</f>
        <v>45236.666666666599</v>
      </c>
      <c r="B214" s="2">
        <f ca="1">IFERROR(__xludf.DUMMYFUNCTION("""COMPUTED_VALUE"""),223.98)</f>
        <v>223.98</v>
      </c>
      <c r="C214" s="2">
        <f ca="1">IFERROR(__xludf.DUMMYFUNCTION("""COMPUTED_VALUE"""),226.32)</f>
        <v>226.32</v>
      </c>
      <c r="D214" s="2">
        <f ca="1">IFERROR(__xludf.DUMMYFUNCTION("""COMPUTED_VALUE"""),215)</f>
        <v>215</v>
      </c>
      <c r="E214" s="2">
        <f ca="1">IFERROR(__xludf.DUMMYFUNCTION("""COMPUTED_VALUE"""),219.27)</f>
        <v>219.27</v>
      </c>
      <c r="F214" s="2">
        <f ca="1">IFERROR(__xludf.DUMMYFUNCTION("""COMPUTED_VALUE"""),117335820)</f>
        <v>117335820</v>
      </c>
    </row>
    <row r="215" spans="1:6" ht="12.5" x14ac:dyDescent="0.25">
      <c r="A215" s="3">
        <f ca="1">IFERROR(__xludf.DUMMYFUNCTION("""COMPUTED_VALUE"""),45237.6666666666)</f>
        <v>45237.666666666599</v>
      </c>
      <c r="B215" s="2">
        <f ca="1">IFERROR(__xludf.DUMMYFUNCTION("""COMPUTED_VALUE"""),219.98)</f>
        <v>219.98</v>
      </c>
      <c r="C215" s="2">
        <f ca="1">IFERROR(__xludf.DUMMYFUNCTION("""COMPUTED_VALUE"""),223.12)</f>
        <v>223.12</v>
      </c>
      <c r="D215" s="2">
        <f ca="1">IFERROR(__xludf.DUMMYFUNCTION("""COMPUTED_VALUE"""),215.72)</f>
        <v>215.72</v>
      </c>
      <c r="E215" s="2">
        <f ca="1">IFERROR(__xludf.DUMMYFUNCTION("""COMPUTED_VALUE"""),222.18)</f>
        <v>222.18</v>
      </c>
      <c r="F215" s="2">
        <f ca="1">IFERROR(__xludf.DUMMYFUNCTION("""COMPUTED_VALUE"""),116900130)</f>
        <v>116900130</v>
      </c>
    </row>
    <row r="216" spans="1:6" ht="12.5" x14ac:dyDescent="0.25">
      <c r="A216" s="3">
        <f ca="1">IFERROR(__xludf.DUMMYFUNCTION("""COMPUTED_VALUE"""),45238.6666666666)</f>
        <v>45238.666666666599</v>
      </c>
      <c r="B216" s="2">
        <f ca="1">IFERROR(__xludf.DUMMYFUNCTION("""COMPUTED_VALUE"""),223.15)</f>
        <v>223.15</v>
      </c>
      <c r="C216" s="2">
        <f ca="1">IFERROR(__xludf.DUMMYFUNCTION("""COMPUTED_VALUE"""),224.15)</f>
        <v>224.15</v>
      </c>
      <c r="D216" s="2">
        <f ca="1">IFERROR(__xludf.DUMMYFUNCTION("""COMPUTED_VALUE"""),217.64)</f>
        <v>217.64</v>
      </c>
      <c r="E216" s="2">
        <f ca="1">IFERROR(__xludf.DUMMYFUNCTION("""COMPUTED_VALUE"""),222.11)</f>
        <v>222.11</v>
      </c>
      <c r="F216" s="2">
        <f ca="1">IFERROR(__xludf.DUMMYFUNCTION("""COMPUTED_VALUE"""),106584841)</f>
        <v>106584841</v>
      </c>
    </row>
    <row r="217" spans="1:6" ht="12.5" x14ac:dyDescent="0.25">
      <c r="A217" s="3">
        <f ca="1">IFERROR(__xludf.DUMMYFUNCTION("""COMPUTED_VALUE"""),45239.6666666666)</f>
        <v>45239.666666666599</v>
      </c>
      <c r="B217" s="2">
        <f ca="1">IFERROR(__xludf.DUMMYFUNCTION("""COMPUTED_VALUE"""),219.75)</f>
        <v>219.75</v>
      </c>
      <c r="C217" s="2">
        <f ca="1">IFERROR(__xludf.DUMMYFUNCTION("""COMPUTED_VALUE"""),220.8)</f>
        <v>220.8</v>
      </c>
      <c r="D217" s="2">
        <f ca="1">IFERROR(__xludf.DUMMYFUNCTION("""COMPUTED_VALUE"""),206.68)</f>
        <v>206.68</v>
      </c>
      <c r="E217" s="2">
        <f ca="1">IFERROR(__xludf.DUMMYFUNCTION("""COMPUTED_VALUE"""),209.98)</f>
        <v>209.98</v>
      </c>
      <c r="F217" s="2">
        <f ca="1">IFERROR(__xludf.DUMMYFUNCTION("""COMPUTED_VALUE"""),142110454)</f>
        <v>142110454</v>
      </c>
    </row>
    <row r="218" spans="1:6" ht="12.5" x14ac:dyDescent="0.25">
      <c r="A218" s="3">
        <f ca="1">IFERROR(__xludf.DUMMYFUNCTION("""COMPUTED_VALUE"""),45240.6666666666)</f>
        <v>45240.666666666599</v>
      </c>
      <c r="B218" s="2">
        <f ca="1">IFERROR(__xludf.DUMMYFUNCTION("""COMPUTED_VALUE"""),210.03)</f>
        <v>210.03</v>
      </c>
      <c r="C218" s="2">
        <f ca="1">IFERROR(__xludf.DUMMYFUNCTION("""COMPUTED_VALUE"""),215.38)</f>
        <v>215.38</v>
      </c>
      <c r="D218" s="2">
        <f ca="1">IFERROR(__xludf.DUMMYFUNCTION("""COMPUTED_VALUE"""),205.69)</f>
        <v>205.69</v>
      </c>
      <c r="E218" s="2">
        <f ca="1">IFERROR(__xludf.DUMMYFUNCTION("""COMPUTED_VALUE"""),214.65)</f>
        <v>214.65</v>
      </c>
      <c r="F218" s="2">
        <f ca="1">IFERROR(__xludf.DUMMYFUNCTION("""COMPUTED_VALUE"""),131310128)</f>
        <v>131310128</v>
      </c>
    </row>
    <row r="219" spans="1:6" ht="12.5" x14ac:dyDescent="0.25">
      <c r="A219" s="3">
        <f ca="1">IFERROR(__xludf.DUMMYFUNCTION("""COMPUTED_VALUE"""),45243.6666666666)</f>
        <v>45243.666666666599</v>
      </c>
      <c r="B219" s="2">
        <f ca="1">IFERROR(__xludf.DUMMYFUNCTION("""COMPUTED_VALUE"""),215.6)</f>
        <v>215.6</v>
      </c>
      <c r="C219" s="2">
        <f ca="1">IFERROR(__xludf.DUMMYFUNCTION("""COMPUTED_VALUE"""),225.4)</f>
        <v>225.4</v>
      </c>
      <c r="D219" s="2">
        <f ca="1">IFERROR(__xludf.DUMMYFUNCTION("""COMPUTED_VALUE"""),211.61)</f>
        <v>211.61</v>
      </c>
      <c r="E219" s="2">
        <f ca="1">IFERROR(__xludf.DUMMYFUNCTION("""COMPUTED_VALUE"""),223.71)</f>
        <v>223.71</v>
      </c>
      <c r="F219" s="2">
        <f ca="1">IFERROR(__xludf.DUMMYFUNCTION("""COMPUTED_VALUE"""),140447569)</f>
        <v>140447569</v>
      </c>
    </row>
    <row r="220" spans="1:6" ht="12.5" x14ac:dyDescent="0.25">
      <c r="A220" s="3">
        <f ca="1">IFERROR(__xludf.DUMMYFUNCTION("""COMPUTED_VALUE"""),45244.6666666666)</f>
        <v>45244.666666666599</v>
      </c>
      <c r="B220" s="2">
        <f ca="1">IFERROR(__xludf.DUMMYFUNCTION("""COMPUTED_VALUE"""),235.03)</f>
        <v>235.03</v>
      </c>
      <c r="C220" s="2">
        <f ca="1">IFERROR(__xludf.DUMMYFUNCTION("""COMPUTED_VALUE"""),238.14)</f>
        <v>238.14</v>
      </c>
      <c r="D220" s="2">
        <f ca="1">IFERROR(__xludf.DUMMYFUNCTION("""COMPUTED_VALUE"""),230.72)</f>
        <v>230.72</v>
      </c>
      <c r="E220" s="2">
        <f ca="1">IFERROR(__xludf.DUMMYFUNCTION("""COMPUTED_VALUE"""),237.41)</f>
        <v>237.41</v>
      </c>
      <c r="F220" s="2">
        <f ca="1">IFERROR(__xludf.DUMMYFUNCTION("""COMPUTED_VALUE"""),149771642)</f>
        <v>149771642</v>
      </c>
    </row>
    <row r="221" spans="1:6" ht="12.5" x14ac:dyDescent="0.25">
      <c r="A221" s="3">
        <f ca="1">IFERROR(__xludf.DUMMYFUNCTION("""COMPUTED_VALUE"""),45245.6666666666)</f>
        <v>45245.666666666599</v>
      </c>
      <c r="B221" s="2">
        <f ca="1">IFERROR(__xludf.DUMMYFUNCTION("""COMPUTED_VALUE"""),239.29)</f>
        <v>239.29</v>
      </c>
      <c r="C221" s="2">
        <f ca="1">IFERROR(__xludf.DUMMYFUNCTION("""COMPUTED_VALUE"""),246.7)</f>
        <v>246.7</v>
      </c>
      <c r="D221" s="2">
        <f ca="1">IFERROR(__xludf.DUMMYFUNCTION("""COMPUTED_VALUE"""),236.45)</f>
        <v>236.45</v>
      </c>
      <c r="E221" s="2">
        <f ca="1">IFERROR(__xludf.DUMMYFUNCTION("""COMPUTED_VALUE"""),242.84)</f>
        <v>242.84</v>
      </c>
      <c r="F221" s="2">
        <f ca="1">IFERROR(__xludf.DUMMYFUNCTION("""COMPUTED_VALUE"""),150353975)</f>
        <v>150353975</v>
      </c>
    </row>
    <row r="222" spans="1:6" ht="12.5" x14ac:dyDescent="0.25">
      <c r="A222" s="3">
        <f ca="1">IFERROR(__xludf.DUMMYFUNCTION("""COMPUTED_VALUE"""),45246.6666666666)</f>
        <v>45246.666666666599</v>
      </c>
      <c r="B222" s="2">
        <f ca="1">IFERROR(__xludf.DUMMYFUNCTION("""COMPUTED_VALUE"""),239.49)</f>
        <v>239.49</v>
      </c>
      <c r="C222" s="2">
        <f ca="1">IFERROR(__xludf.DUMMYFUNCTION("""COMPUTED_VALUE"""),240.88)</f>
        <v>240.88</v>
      </c>
      <c r="D222" s="2">
        <f ca="1">IFERROR(__xludf.DUMMYFUNCTION("""COMPUTED_VALUE"""),230.96)</f>
        <v>230.96</v>
      </c>
      <c r="E222" s="2">
        <f ca="1">IFERROR(__xludf.DUMMYFUNCTION("""COMPUTED_VALUE"""),233.59)</f>
        <v>233.59</v>
      </c>
      <c r="F222" s="2">
        <f ca="1">IFERROR(__xludf.DUMMYFUNCTION("""COMPUTED_VALUE"""),136816819)</f>
        <v>136816819</v>
      </c>
    </row>
    <row r="223" spans="1:6" ht="12.5" x14ac:dyDescent="0.25">
      <c r="A223" s="3">
        <f ca="1">IFERROR(__xludf.DUMMYFUNCTION("""COMPUTED_VALUE"""),45247.6666666666)</f>
        <v>45247.666666666599</v>
      </c>
      <c r="B223" s="2">
        <f ca="1">IFERROR(__xludf.DUMMYFUNCTION("""COMPUTED_VALUE"""),232)</f>
        <v>232</v>
      </c>
      <c r="C223" s="2">
        <f ca="1">IFERROR(__xludf.DUMMYFUNCTION("""COMPUTED_VALUE"""),237.39)</f>
        <v>237.39</v>
      </c>
      <c r="D223" s="2">
        <f ca="1">IFERROR(__xludf.DUMMYFUNCTION("""COMPUTED_VALUE"""),226.54)</f>
        <v>226.54</v>
      </c>
      <c r="E223" s="2">
        <f ca="1">IFERROR(__xludf.DUMMYFUNCTION("""COMPUTED_VALUE"""),234.3)</f>
        <v>234.3</v>
      </c>
      <c r="F223" s="2">
        <f ca="1">IFERROR(__xludf.DUMMYFUNCTION("""COMPUTED_VALUE"""),142766234)</f>
        <v>142766234</v>
      </c>
    </row>
    <row r="224" spans="1:6" ht="12.5" x14ac:dyDescent="0.25">
      <c r="A224" s="3">
        <f ca="1">IFERROR(__xludf.DUMMYFUNCTION("""COMPUTED_VALUE"""),45250.6666666666)</f>
        <v>45250.666666666599</v>
      </c>
      <c r="B224" s="2">
        <f ca="1">IFERROR(__xludf.DUMMYFUNCTION("""COMPUTED_VALUE"""),234.04)</f>
        <v>234.04</v>
      </c>
      <c r="C224" s="2">
        <f ca="1">IFERROR(__xludf.DUMMYFUNCTION("""COMPUTED_VALUE"""),237.1)</f>
        <v>237.1</v>
      </c>
      <c r="D224" s="2">
        <f ca="1">IFERROR(__xludf.DUMMYFUNCTION("""COMPUTED_VALUE"""),231.02)</f>
        <v>231.02</v>
      </c>
      <c r="E224" s="2">
        <f ca="1">IFERROR(__xludf.DUMMYFUNCTION("""COMPUTED_VALUE"""),235.6)</f>
        <v>235.6</v>
      </c>
      <c r="F224" s="2">
        <f ca="1">IFERROR(__xludf.DUMMYFUNCTION("""COMPUTED_VALUE"""),116562402)</f>
        <v>116562402</v>
      </c>
    </row>
    <row r="225" spans="1:6" ht="12.5" x14ac:dyDescent="0.25">
      <c r="A225" s="3">
        <f ca="1">IFERROR(__xludf.DUMMYFUNCTION("""COMPUTED_VALUE"""),45251.6666666666)</f>
        <v>45251.666666666599</v>
      </c>
      <c r="B225" s="2">
        <f ca="1">IFERROR(__xludf.DUMMYFUNCTION("""COMPUTED_VALUE"""),235.04)</f>
        <v>235.04</v>
      </c>
      <c r="C225" s="2">
        <f ca="1">IFERROR(__xludf.DUMMYFUNCTION("""COMPUTED_VALUE"""),243.62)</f>
        <v>243.62</v>
      </c>
      <c r="D225" s="2">
        <f ca="1">IFERROR(__xludf.DUMMYFUNCTION("""COMPUTED_VALUE"""),233.34)</f>
        <v>233.34</v>
      </c>
      <c r="E225" s="2">
        <f ca="1">IFERROR(__xludf.DUMMYFUNCTION("""COMPUTED_VALUE"""),241.2)</f>
        <v>241.2</v>
      </c>
      <c r="F225" s="2">
        <f ca="1">IFERROR(__xludf.DUMMYFUNCTION("""COMPUTED_VALUE"""),122288000)</f>
        <v>122288000</v>
      </c>
    </row>
    <row r="226" spans="1:6" ht="12.5" x14ac:dyDescent="0.25">
      <c r="A226" s="3">
        <f ca="1">IFERROR(__xludf.DUMMYFUNCTION("""COMPUTED_VALUE"""),45252.6666666666)</f>
        <v>45252.666666666599</v>
      </c>
      <c r="B226" s="2">
        <f ca="1">IFERROR(__xludf.DUMMYFUNCTION("""COMPUTED_VALUE"""),242.04)</f>
        <v>242.04</v>
      </c>
      <c r="C226" s="2">
        <f ca="1">IFERROR(__xludf.DUMMYFUNCTION("""COMPUTED_VALUE"""),244.01)</f>
        <v>244.01</v>
      </c>
      <c r="D226" s="2">
        <f ca="1">IFERROR(__xludf.DUMMYFUNCTION("""COMPUTED_VALUE"""),231.4)</f>
        <v>231.4</v>
      </c>
      <c r="E226" s="2">
        <f ca="1">IFERROR(__xludf.DUMMYFUNCTION("""COMPUTED_VALUE"""),234.21)</f>
        <v>234.21</v>
      </c>
      <c r="F226" s="2">
        <f ca="1">IFERROR(__xludf.DUMMYFUNCTION("""COMPUTED_VALUE"""),118117078)</f>
        <v>118117078</v>
      </c>
    </row>
    <row r="227" spans="1:6" ht="12.5" x14ac:dyDescent="0.25">
      <c r="A227" s="3">
        <f ca="1">IFERROR(__xludf.DUMMYFUNCTION("""COMPUTED_VALUE"""),45254.5451388888)</f>
        <v>45254.545138888803</v>
      </c>
      <c r="B227" s="2">
        <f ca="1">IFERROR(__xludf.DUMMYFUNCTION("""COMPUTED_VALUE"""),233.75)</f>
        <v>233.75</v>
      </c>
      <c r="C227" s="2">
        <f ca="1">IFERROR(__xludf.DUMMYFUNCTION("""COMPUTED_VALUE"""),238.75)</f>
        <v>238.75</v>
      </c>
      <c r="D227" s="2">
        <f ca="1">IFERROR(__xludf.DUMMYFUNCTION("""COMPUTED_VALUE"""),232.33)</f>
        <v>232.33</v>
      </c>
      <c r="E227" s="2">
        <f ca="1">IFERROR(__xludf.DUMMYFUNCTION("""COMPUTED_VALUE"""),235.45)</f>
        <v>235.45</v>
      </c>
      <c r="F227" s="2">
        <f ca="1">IFERROR(__xludf.DUMMYFUNCTION("""COMPUTED_VALUE"""),65125203)</f>
        <v>65125203</v>
      </c>
    </row>
    <row r="228" spans="1:6" ht="12.5" x14ac:dyDescent="0.25">
      <c r="A228" s="3">
        <f ca="1">IFERROR(__xludf.DUMMYFUNCTION("""COMPUTED_VALUE"""),45257.6666666666)</f>
        <v>45257.666666666599</v>
      </c>
      <c r="B228" s="2">
        <f ca="1">IFERROR(__xludf.DUMMYFUNCTION("""COMPUTED_VALUE"""),236.89)</f>
        <v>236.89</v>
      </c>
      <c r="C228" s="2">
        <f ca="1">IFERROR(__xludf.DUMMYFUNCTION("""COMPUTED_VALUE"""),238.33)</f>
        <v>238.33</v>
      </c>
      <c r="D228" s="2">
        <f ca="1">IFERROR(__xludf.DUMMYFUNCTION("""COMPUTED_VALUE"""),232.1)</f>
        <v>232.1</v>
      </c>
      <c r="E228" s="2">
        <f ca="1">IFERROR(__xludf.DUMMYFUNCTION("""COMPUTED_VALUE"""),236.08)</f>
        <v>236.08</v>
      </c>
      <c r="F228" s="2">
        <f ca="1">IFERROR(__xludf.DUMMYFUNCTION("""COMPUTED_VALUE"""),112031763)</f>
        <v>112031763</v>
      </c>
    </row>
    <row r="229" spans="1:6" ht="12.5" x14ac:dyDescent="0.25">
      <c r="A229" s="3">
        <f ca="1">IFERROR(__xludf.DUMMYFUNCTION("""COMPUTED_VALUE"""),45258.6666666666)</f>
        <v>45258.666666666599</v>
      </c>
      <c r="B229" s="2">
        <f ca="1">IFERROR(__xludf.DUMMYFUNCTION("""COMPUTED_VALUE"""),236.68)</f>
        <v>236.68</v>
      </c>
      <c r="C229" s="2">
        <f ca="1">IFERROR(__xludf.DUMMYFUNCTION("""COMPUTED_VALUE"""),247)</f>
        <v>247</v>
      </c>
      <c r="D229" s="2">
        <f ca="1">IFERROR(__xludf.DUMMYFUNCTION("""COMPUTED_VALUE"""),234.01)</f>
        <v>234.01</v>
      </c>
      <c r="E229" s="2">
        <f ca="1">IFERROR(__xludf.DUMMYFUNCTION("""COMPUTED_VALUE"""),246.72)</f>
        <v>246.72</v>
      </c>
      <c r="F229" s="2">
        <f ca="1">IFERROR(__xludf.DUMMYFUNCTION("""COMPUTED_VALUE"""),148549913)</f>
        <v>148549913</v>
      </c>
    </row>
    <row r="230" spans="1:6" ht="12.5" x14ac:dyDescent="0.25">
      <c r="A230" s="3">
        <f ca="1">IFERROR(__xludf.DUMMYFUNCTION("""COMPUTED_VALUE"""),45259.6666666666)</f>
        <v>45259.666666666599</v>
      </c>
      <c r="B230" s="2">
        <f ca="1">IFERROR(__xludf.DUMMYFUNCTION("""COMPUTED_VALUE"""),249.21)</f>
        <v>249.21</v>
      </c>
      <c r="C230" s="2">
        <f ca="1">IFERROR(__xludf.DUMMYFUNCTION("""COMPUTED_VALUE"""),252.75)</f>
        <v>252.75</v>
      </c>
      <c r="D230" s="2">
        <f ca="1">IFERROR(__xludf.DUMMYFUNCTION("""COMPUTED_VALUE"""),242.76)</f>
        <v>242.76</v>
      </c>
      <c r="E230" s="2">
        <f ca="1">IFERROR(__xludf.DUMMYFUNCTION("""COMPUTED_VALUE"""),244.14)</f>
        <v>244.14</v>
      </c>
      <c r="F230" s="2">
        <f ca="1">IFERROR(__xludf.DUMMYFUNCTION("""COMPUTED_VALUE"""),135401335)</f>
        <v>135401335</v>
      </c>
    </row>
    <row r="231" spans="1:6" ht="12.5" x14ac:dyDescent="0.25">
      <c r="A231" s="3">
        <f ca="1">IFERROR(__xludf.DUMMYFUNCTION("""COMPUTED_VALUE"""),45260.6666666666)</f>
        <v>45260.666666666599</v>
      </c>
      <c r="B231" s="2">
        <f ca="1">IFERROR(__xludf.DUMMYFUNCTION("""COMPUTED_VALUE"""),245.14)</f>
        <v>245.14</v>
      </c>
      <c r="C231" s="2">
        <f ca="1">IFERROR(__xludf.DUMMYFUNCTION("""COMPUTED_VALUE"""),245.22)</f>
        <v>245.22</v>
      </c>
      <c r="D231" s="2">
        <f ca="1">IFERROR(__xludf.DUMMYFUNCTION("""COMPUTED_VALUE"""),236.91)</f>
        <v>236.91</v>
      </c>
      <c r="E231" s="2">
        <f ca="1">IFERROR(__xludf.DUMMYFUNCTION("""COMPUTED_VALUE"""),240.08)</f>
        <v>240.08</v>
      </c>
      <c r="F231" s="2">
        <f ca="1">IFERROR(__xludf.DUMMYFUNCTION("""COMPUTED_VALUE"""),132353196)</f>
        <v>132353196</v>
      </c>
    </row>
    <row r="232" spans="1:6" ht="12.5" x14ac:dyDescent="0.25">
      <c r="A232" s="3">
        <f ca="1">IFERROR(__xludf.DUMMYFUNCTION("""COMPUTED_VALUE"""),45261.6666666666)</f>
        <v>45261.666666666599</v>
      </c>
      <c r="B232" s="2">
        <f ca="1">IFERROR(__xludf.DUMMYFUNCTION("""COMPUTED_VALUE"""),233.14)</f>
        <v>233.14</v>
      </c>
      <c r="C232" s="2">
        <f ca="1">IFERROR(__xludf.DUMMYFUNCTION("""COMPUTED_VALUE"""),240.19)</f>
        <v>240.19</v>
      </c>
      <c r="D232" s="2">
        <f ca="1">IFERROR(__xludf.DUMMYFUNCTION("""COMPUTED_VALUE"""),231.9)</f>
        <v>231.9</v>
      </c>
      <c r="E232" s="2">
        <f ca="1">IFERROR(__xludf.DUMMYFUNCTION("""COMPUTED_VALUE"""),238.83)</f>
        <v>238.83</v>
      </c>
      <c r="F232" s="2">
        <f ca="1">IFERROR(__xludf.DUMMYFUNCTION("""COMPUTED_VALUE"""),121331709)</f>
        <v>121331709</v>
      </c>
    </row>
    <row r="233" spans="1:6" ht="12.5" x14ac:dyDescent="0.25">
      <c r="A233" s="3">
        <f ca="1">IFERROR(__xludf.DUMMYFUNCTION("""COMPUTED_VALUE"""),45264.6666666666)</f>
        <v>45264.666666666599</v>
      </c>
      <c r="B233" s="2">
        <f ca="1">IFERROR(__xludf.DUMMYFUNCTION("""COMPUTED_VALUE"""),235.75)</f>
        <v>235.75</v>
      </c>
      <c r="C233" s="2">
        <f ca="1">IFERROR(__xludf.DUMMYFUNCTION("""COMPUTED_VALUE"""),239.37)</f>
        <v>239.37</v>
      </c>
      <c r="D233" s="2">
        <f ca="1">IFERROR(__xludf.DUMMYFUNCTION("""COMPUTED_VALUE"""),233.29)</f>
        <v>233.29</v>
      </c>
      <c r="E233" s="2">
        <f ca="1">IFERROR(__xludf.DUMMYFUNCTION("""COMPUTED_VALUE"""),235.58)</f>
        <v>235.58</v>
      </c>
      <c r="F233" s="2">
        <f ca="1">IFERROR(__xludf.DUMMYFUNCTION("""COMPUTED_VALUE"""),104099817)</f>
        <v>104099817</v>
      </c>
    </row>
    <row r="234" spans="1:6" ht="12.5" x14ac:dyDescent="0.25">
      <c r="A234" s="3">
        <f ca="1">IFERROR(__xludf.DUMMYFUNCTION("""COMPUTED_VALUE"""),45265.6666666666)</f>
        <v>45265.666666666599</v>
      </c>
      <c r="B234" s="2">
        <f ca="1">IFERROR(__xludf.DUMMYFUNCTION("""COMPUTED_VALUE"""),233.87)</f>
        <v>233.87</v>
      </c>
      <c r="C234" s="2">
        <f ca="1">IFERROR(__xludf.DUMMYFUNCTION("""COMPUTED_VALUE"""),246.66)</f>
        <v>246.66</v>
      </c>
      <c r="D234" s="2">
        <f ca="1">IFERROR(__xludf.DUMMYFUNCTION("""COMPUTED_VALUE"""),233.7)</f>
        <v>233.7</v>
      </c>
      <c r="E234" s="2">
        <f ca="1">IFERROR(__xludf.DUMMYFUNCTION("""COMPUTED_VALUE"""),238.72)</f>
        <v>238.72</v>
      </c>
      <c r="F234" s="2">
        <f ca="1">IFERROR(__xludf.DUMMYFUNCTION("""COMPUTED_VALUE"""),137971115)</f>
        <v>137971115</v>
      </c>
    </row>
    <row r="235" spans="1:6" ht="12.5" x14ac:dyDescent="0.25">
      <c r="A235" s="3">
        <f ca="1">IFERROR(__xludf.DUMMYFUNCTION("""COMPUTED_VALUE"""),45266.6666666666)</f>
        <v>45266.666666666599</v>
      </c>
      <c r="B235" s="2">
        <f ca="1">IFERROR(__xludf.DUMMYFUNCTION("""COMPUTED_VALUE"""),242.92)</f>
        <v>242.92</v>
      </c>
      <c r="C235" s="2">
        <f ca="1">IFERROR(__xludf.DUMMYFUNCTION("""COMPUTED_VALUE"""),246.57)</f>
        <v>246.57</v>
      </c>
      <c r="D235" s="2">
        <f ca="1">IFERROR(__xludf.DUMMYFUNCTION("""COMPUTED_VALUE"""),239.17)</f>
        <v>239.17</v>
      </c>
      <c r="E235" s="2">
        <f ca="1">IFERROR(__xludf.DUMMYFUNCTION("""COMPUTED_VALUE"""),239.37)</f>
        <v>239.37</v>
      </c>
      <c r="F235" s="2">
        <f ca="1">IFERROR(__xludf.DUMMYFUNCTION("""COMPUTED_VALUE"""),126436179)</f>
        <v>126436179</v>
      </c>
    </row>
    <row r="236" spans="1:6" ht="12.5" x14ac:dyDescent="0.25">
      <c r="A236" s="3">
        <f ca="1">IFERROR(__xludf.DUMMYFUNCTION("""COMPUTED_VALUE"""),45267.6666666666)</f>
        <v>45267.666666666599</v>
      </c>
      <c r="B236" s="2">
        <f ca="1">IFERROR(__xludf.DUMMYFUNCTION("""COMPUTED_VALUE"""),241.55)</f>
        <v>241.55</v>
      </c>
      <c r="C236" s="2">
        <f ca="1">IFERROR(__xludf.DUMMYFUNCTION("""COMPUTED_VALUE"""),244.08)</f>
        <v>244.08</v>
      </c>
      <c r="D236" s="2">
        <f ca="1">IFERROR(__xludf.DUMMYFUNCTION("""COMPUTED_VALUE"""),236.98)</f>
        <v>236.98</v>
      </c>
      <c r="E236" s="2">
        <f ca="1">IFERROR(__xludf.DUMMYFUNCTION("""COMPUTED_VALUE"""),242.64)</f>
        <v>242.64</v>
      </c>
      <c r="F236" s="2">
        <f ca="1">IFERROR(__xludf.DUMMYFUNCTION("""COMPUTED_VALUE"""),107142262)</f>
        <v>107142262</v>
      </c>
    </row>
    <row r="237" spans="1:6" ht="12.5" x14ac:dyDescent="0.25">
      <c r="A237" s="3">
        <f ca="1">IFERROR(__xludf.DUMMYFUNCTION("""COMPUTED_VALUE"""),45268.6666666666)</f>
        <v>45268.666666666599</v>
      </c>
      <c r="B237" s="2">
        <f ca="1">IFERROR(__xludf.DUMMYFUNCTION("""COMPUTED_VALUE"""),240.27)</f>
        <v>240.27</v>
      </c>
      <c r="C237" s="2">
        <f ca="1">IFERROR(__xludf.DUMMYFUNCTION("""COMPUTED_VALUE"""),245.27)</f>
        <v>245.27</v>
      </c>
      <c r="D237" s="2">
        <f ca="1">IFERROR(__xludf.DUMMYFUNCTION("""COMPUTED_VALUE"""),239.27)</f>
        <v>239.27</v>
      </c>
      <c r="E237" s="2">
        <f ca="1">IFERROR(__xludf.DUMMYFUNCTION("""COMPUTED_VALUE"""),243.84)</f>
        <v>243.84</v>
      </c>
      <c r="F237" s="2">
        <f ca="1">IFERROR(__xludf.DUMMYFUNCTION("""COMPUTED_VALUE"""),103126829)</f>
        <v>103126829</v>
      </c>
    </row>
    <row r="238" spans="1:6" ht="12.5" x14ac:dyDescent="0.25">
      <c r="A238" s="3">
        <f ca="1">IFERROR(__xludf.DUMMYFUNCTION("""COMPUTED_VALUE"""),45271.6666666666)</f>
        <v>45271.666666666599</v>
      </c>
      <c r="B238" s="2">
        <f ca="1">IFERROR(__xludf.DUMMYFUNCTION("""COMPUTED_VALUE"""),242.74)</f>
        <v>242.74</v>
      </c>
      <c r="C238" s="2">
        <f ca="1">IFERROR(__xludf.DUMMYFUNCTION("""COMPUTED_VALUE"""),243.44)</f>
        <v>243.44</v>
      </c>
      <c r="D238" s="2">
        <f ca="1">IFERROR(__xludf.DUMMYFUNCTION("""COMPUTED_VALUE"""),237.45)</f>
        <v>237.45</v>
      </c>
      <c r="E238" s="2">
        <f ca="1">IFERROR(__xludf.DUMMYFUNCTION("""COMPUTED_VALUE"""),239.74)</f>
        <v>239.74</v>
      </c>
      <c r="F238" s="2">
        <f ca="1">IFERROR(__xludf.DUMMYFUNCTION("""COMPUTED_VALUE"""),97913888)</f>
        <v>97913888</v>
      </c>
    </row>
    <row r="239" spans="1:6" ht="12.5" x14ac:dyDescent="0.25">
      <c r="A239" s="3">
        <f ca="1">IFERROR(__xludf.DUMMYFUNCTION("""COMPUTED_VALUE"""),45272.6666666666)</f>
        <v>45272.666666666599</v>
      </c>
      <c r="B239" s="2">
        <f ca="1">IFERROR(__xludf.DUMMYFUNCTION("""COMPUTED_VALUE"""),238.55)</f>
        <v>238.55</v>
      </c>
      <c r="C239" s="2">
        <f ca="1">IFERROR(__xludf.DUMMYFUNCTION("""COMPUTED_VALUE"""),238.99)</f>
        <v>238.99</v>
      </c>
      <c r="D239" s="2">
        <f ca="1">IFERROR(__xludf.DUMMYFUNCTION("""COMPUTED_VALUE"""),233.87)</f>
        <v>233.87</v>
      </c>
      <c r="E239" s="2">
        <f ca="1">IFERROR(__xludf.DUMMYFUNCTION("""COMPUTED_VALUE"""),237.01)</f>
        <v>237.01</v>
      </c>
      <c r="F239" s="2">
        <f ca="1">IFERROR(__xludf.DUMMYFUNCTION("""COMPUTED_VALUE"""),95328313)</f>
        <v>95328313</v>
      </c>
    </row>
    <row r="240" spans="1:6" ht="12.5" x14ac:dyDescent="0.25">
      <c r="A240" s="3">
        <f ca="1">IFERROR(__xludf.DUMMYFUNCTION("""COMPUTED_VALUE"""),45273.6666666666)</f>
        <v>45273.666666666599</v>
      </c>
      <c r="B240" s="2">
        <f ca="1">IFERROR(__xludf.DUMMYFUNCTION("""COMPUTED_VALUE"""),234.19)</f>
        <v>234.19</v>
      </c>
      <c r="C240" s="2">
        <f ca="1">IFERROR(__xludf.DUMMYFUNCTION("""COMPUTED_VALUE"""),240.3)</f>
        <v>240.3</v>
      </c>
      <c r="D240" s="2">
        <f ca="1">IFERROR(__xludf.DUMMYFUNCTION("""COMPUTED_VALUE"""),228.2)</f>
        <v>228.2</v>
      </c>
      <c r="E240" s="2">
        <f ca="1">IFERROR(__xludf.DUMMYFUNCTION("""COMPUTED_VALUE"""),239.29)</f>
        <v>239.29</v>
      </c>
      <c r="F240" s="2">
        <f ca="1">IFERROR(__xludf.DUMMYFUNCTION("""COMPUTED_VALUE"""),146286348)</f>
        <v>146286348</v>
      </c>
    </row>
    <row r="241" spans="1:6" ht="12.5" x14ac:dyDescent="0.25">
      <c r="A241" s="3">
        <f ca="1">IFERROR(__xludf.DUMMYFUNCTION("""COMPUTED_VALUE"""),45274.6666666666)</f>
        <v>45274.666666666599</v>
      </c>
      <c r="B241" s="2">
        <f ca="1">IFERROR(__xludf.DUMMYFUNCTION("""COMPUTED_VALUE"""),241.22)</f>
        <v>241.22</v>
      </c>
      <c r="C241" s="2">
        <f ca="1">IFERROR(__xludf.DUMMYFUNCTION("""COMPUTED_VALUE"""),253.88)</f>
        <v>253.88</v>
      </c>
      <c r="D241" s="2">
        <f ca="1">IFERROR(__xludf.DUMMYFUNCTION("""COMPUTED_VALUE"""),240.79)</f>
        <v>240.79</v>
      </c>
      <c r="E241" s="2">
        <f ca="1">IFERROR(__xludf.DUMMYFUNCTION("""COMPUTED_VALUE"""),251.05)</f>
        <v>251.05</v>
      </c>
      <c r="F241" s="2">
        <f ca="1">IFERROR(__xludf.DUMMYFUNCTION("""COMPUTED_VALUE"""),160829239)</f>
        <v>160829239</v>
      </c>
    </row>
    <row r="242" spans="1:6" ht="12.5" x14ac:dyDescent="0.25">
      <c r="A242" s="3">
        <f ca="1">IFERROR(__xludf.DUMMYFUNCTION("""COMPUTED_VALUE"""),45275.6666666666)</f>
        <v>45275.666666666599</v>
      </c>
      <c r="B242" s="2">
        <f ca="1">IFERROR(__xludf.DUMMYFUNCTION("""COMPUTED_VALUE"""),251.21)</f>
        <v>251.21</v>
      </c>
      <c r="C242" s="2">
        <f ca="1">IFERROR(__xludf.DUMMYFUNCTION("""COMPUTED_VALUE"""),254.13)</f>
        <v>254.13</v>
      </c>
      <c r="D242" s="2">
        <f ca="1">IFERROR(__xludf.DUMMYFUNCTION("""COMPUTED_VALUE"""),248.3)</f>
        <v>248.3</v>
      </c>
      <c r="E242" s="2">
        <f ca="1">IFERROR(__xludf.DUMMYFUNCTION("""COMPUTED_VALUE"""),253.5)</f>
        <v>253.5</v>
      </c>
      <c r="F242" s="2">
        <f ca="1">IFERROR(__xludf.DUMMYFUNCTION("""COMPUTED_VALUE"""),135932762)</f>
        <v>135932762</v>
      </c>
    </row>
    <row r="243" spans="1:6" ht="12.5" x14ac:dyDescent="0.25">
      <c r="A243" s="3">
        <f ca="1">IFERROR(__xludf.DUMMYFUNCTION("""COMPUTED_VALUE"""),45278.6666666666)</f>
        <v>45278.666666666599</v>
      </c>
      <c r="B243" s="2">
        <f ca="1">IFERROR(__xludf.DUMMYFUNCTION("""COMPUTED_VALUE"""),253.78)</f>
        <v>253.78</v>
      </c>
      <c r="C243" s="2">
        <f ca="1">IFERROR(__xludf.DUMMYFUNCTION("""COMPUTED_VALUE"""),258.74)</f>
        <v>258.74</v>
      </c>
      <c r="D243" s="2">
        <f ca="1">IFERROR(__xludf.DUMMYFUNCTION("""COMPUTED_VALUE"""),251.36)</f>
        <v>251.36</v>
      </c>
      <c r="E243" s="2">
        <f ca="1">IFERROR(__xludf.DUMMYFUNCTION("""COMPUTED_VALUE"""),252.08)</f>
        <v>252.08</v>
      </c>
      <c r="F243" s="2">
        <f ca="1">IFERROR(__xludf.DUMMYFUNCTION("""COMPUTED_VALUE"""),116416490)</f>
        <v>116416490</v>
      </c>
    </row>
    <row r="244" spans="1:6" ht="12.5" x14ac:dyDescent="0.25">
      <c r="A244" s="3">
        <f ca="1">IFERROR(__xludf.DUMMYFUNCTION("""COMPUTED_VALUE"""),45279.6666666666)</f>
        <v>45279.666666666599</v>
      </c>
      <c r="B244" s="2">
        <f ca="1">IFERROR(__xludf.DUMMYFUNCTION("""COMPUTED_VALUE"""),253.48)</f>
        <v>253.48</v>
      </c>
      <c r="C244" s="2">
        <f ca="1">IFERROR(__xludf.DUMMYFUNCTION("""COMPUTED_VALUE"""),258.34)</f>
        <v>258.33999999999997</v>
      </c>
      <c r="D244" s="2">
        <f ca="1">IFERROR(__xludf.DUMMYFUNCTION("""COMPUTED_VALUE"""),253.01)</f>
        <v>253.01</v>
      </c>
      <c r="E244" s="2">
        <f ca="1">IFERROR(__xludf.DUMMYFUNCTION("""COMPUTED_VALUE"""),257.22)</f>
        <v>257.22000000000003</v>
      </c>
      <c r="F244" s="2">
        <f ca="1">IFERROR(__xludf.DUMMYFUNCTION("""COMPUTED_VALUE"""),106737369)</f>
        <v>106737369</v>
      </c>
    </row>
    <row r="245" spans="1:6" ht="12.5" x14ac:dyDescent="0.25">
      <c r="A245" s="3">
        <f ca="1">IFERROR(__xludf.DUMMYFUNCTION("""COMPUTED_VALUE"""),45280.6666666666)</f>
        <v>45280.666666666599</v>
      </c>
      <c r="B245" s="2">
        <f ca="1">IFERROR(__xludf.DUMMYFUNCTION("""COMPUTED_VALUE"""),256.41)</f>
        <v>256.41000000000003</v>
      </c>
      <c r="C245" s="2">
        <f ca="1">IFERROR(__xludf.DUMMYFUNCTION("""COMPUTED_VALUE"""),259.84)</f>
        <v>259.83999999999997</v>
      </c>
      <c r="D245" s="2">
        <f ca="1">IFERROR(__xludf.DUMMYFUNCTION("""COMPUTED_VALUE"""),247)</f>
        <v>247</v>
      </c>
      <c r="E245" s="2">
        <f ca="1">IFERROR(__xludf.DUMMYFUNCTION("""COMPUTED_VALUE"""),247.14)</f>
        <v>247.14</v>
      </c>
      <c r="F245" s="2">
        <f ca="1">IFERROR(__xludf.DUMMYFUNCTION("""COMPUTED_VALUE"""),125096987)</f>
        <v>125096987</v>
      </c>
    </row>
    <row r="246" spans="1:6" ht="12.5" x14ac:dyDescent="0.25">
      <c r="A246" s="3">
        <f ca="1">IFERROR(__xludf.DUMMYFUNCTION("""COMPUTED_VALUE"""),45281.6666666666)</f>
        <v>45281.666666666599</v>
      </c>
      <c r="B246" s="2">
        <f ca="1">IFERROR(__xludf.DUMMYFUNCTION("""COMPUTED_VALUE"""),251.9)</f>
        <v>251.9</v>
      </c>
      <c r="C246" s="2">
        <f ca="1">IFERROR(__xludf.DUMMYFUNCTION("""COMPUTED_VALUE"""),254.8)</f>
        <v>254.8</v>
      </c>
      <c r="D246" s="2">
        <f ca="1">IFERROR(__xludf.DUMMYFUNCTION("""COMPUTED_VALUE"""),248.55)</f>
        <v>248.55</v>
      </c>
      <c r="E246" s="2">
        <f ca="1">IFERROR(__xludf.DUMMYFUNCTION("""COMPUTED_VALUE"""),254.5)</f>
        <v>254.5</v>
      </c>
      <c r="F246" s="2">
        <f ca="1">IFERROR(__xludf.DUMMYFUNCTION("""COMPUTED_VALUE"""),109594227)</f>
        <v>109594227</v>
      </c>
    </row>
    <row r="247" spans="1:6" ht="12.5" x14ac:dyDescent="0.25">
      <c r="A247" s="3">
        <f ca="1">IFERROR(__xludf.DUMMYFUNCTION("""COMPUTED_VALUE"""),45282.6666666666)</f>
        <v>45282.666666666599</v>
      </c>
      <c r="B247" s="2">
        <f ca="1">IFERROR(__xludf.DUMMYFUNCTION("""COMPUTED_VALUE"""),256.76)</f>
        <v>256.76</v>
      </c>
      <c r="C247" s="2">
        <f ca="1">IFERROR(__xludf.DUMMYFUNCTION("""COMPUTED_VALUE"""),258.22)</f>
        <v>258.22000000000003</v>
      </c>
      <c r="D247" s="2">
        <f ca="1">IFERROR(__xludf.DUMMYFUNCTION("""COMPUTED_VALUE"""),251.37)</f>
        <v>251.37</v>
      </c>
      <c r="E247" s="2">
        <f ca="1">IFERROR(__xludf.DUMMYFUNCTION("""COMPUTED_VALUE"""),252.54)</f>
        <v>252.54</v>
      </c>
      <c r="F247" s="2">
        <f ca="1">IFERROR(__xludf.DUMMYFUNCTION("""COMPUTED_VALUE"""),93370094)</f>
        <v>93370094</v>
      </c>
    </row>
    <row r="248" spans="1:6" ht="12.5" x14ac:dyDescent="0.25">
      <c r="A248" s="3">
        <f ca="1">IFERROR(__xludf.DUMMYFUNCTION("""COMPUTED_VALUE"""),45286.6666666666)</f>
        <v>45286.666666666599</v>
      </c>
      <c r="B248" s="2">
        <f ca="1">IFERROR(__xludf.DUMMYFUNCTION("""COMPUTED_VALUE"""),254.49)</f>
        <v>254.49</v>
      </c>
      <c r="C248" s="2">
        <f ca="1">IFERROR(__xludf.DUMMYFUNCTION("""COMPUTED_VALUE"""),257.97)</f>
        <v>257.97000000000003</v>
      </c>
      <c r="D248" s="2">
        <f ca="1">IFERROR(__xludf.DUMMYFUNCTION("""COMPUTED_VALUE"""),252.91)</f>
        <v>252.91</v>
      </c>
      <c r="E248" s="2">
        <f ca="1">IFERROR(__xludf.DUMMYFUNCTION("""COMPUTED_VALUE"""),256.61)</f>
        <v>256.61</v>
      </c>
      <c r="F248" s="2">
        <f ca="1">IFERROR(__xludf.DUMMYFUNCTION("""COMPUTED_VALUE"""),86892382)</f>
        <v>86892382</v>
      </c>
    </row>
    <row r="249" spans="1:6" ht="12.5" x14ac:dyDescent="0.25">
      <c r="A249" s="3">
        <f ca="1">IFERROR(__xludf.DUMMYFUNCTION("""COMPUTED_VALUE"""),45287.6666666666)</f>
        <v>45287.666666666599</v>
      </c>
      <c r="B249" s="2">
        <f ca="1">IFERROR(__xludf.DUMMYFUNCTION("""COMPUTED_VALUE"""),258.35)</f>
        <v>258.35000000000002</v>
      </c>
      <c r="C249" s="2">
        <f ca="1">IFERROR(__xludf.DUMMYFUNCTION("""COMPUTED_VALUE"""),263.34)</f>
        <v>263.33999999999997</v>
      </c>
      <c r="D249" s="2">
        <f ca="1">IFERROR(__xludf.DUMMYFUNCTION("""COMPUTED_VALUE"""),257.52)</f>
        <v>257.52</v>
      </c>
      <c r="E249" s="2">
        <f ca="1">IFERROR(__xludf.DUMMYFUNCTION("""COMPUTED_VALUE"""),261.44)</f>
        <v>261.44</v>
      </c>
      <c r="F249" s="2">
        <f ca="1">IFERROR(__xludf.DUMMYFUNCTION("""COMPUTED_VALUE"""),106494359)</f>
        <v>106494359</v>
      </c>
    </row>
    <row r="250" spans="1:6" ht="12.5" x14ac:dyDescent="0.25">
      <c r="A250" s="3">
        <f ca="1">IFERROR(__xludf.DUMMYFUNCTION("""COMPUTED_VALUE"""),45288.6666666666)</f>
        <v>45288.666666666599</v>
      </c>
      <c r="B250" s="2">
        <f ca="1">IFERROR(__xludf.DUMMYFUNCTION("""COMPUTED_VALUE"""),263.66)</f>
        <v>263.66000000000003</v>
      </c>
      <c r="C250" s="2">
        <f ca="1">IFERROR(__xludf.DUMMYFUNCTION("""COMPUTED_VALUE"""),265.13)</f>
        <v>265.13</v>
      </c>
      <c r="D250" s="2">
        <f ca="1">IFERROR(__xludf.DUMMYFUNCTION("""COMPUTED_VALUE"""),252.71)</f>
        <v>252.71</v>
      </c>
      <c r="E250" s="2">
        <f ca="1">IFERROR(__xludf.DUMMYFUNCTION("""COMPUTED_VALUE"""),253.18)</f>
        <v>253.18</v>
      </c>
      <c r="F250" s="2">
        <f ca="1">IFERROR(__xludf.DUMMYFUNCTION("""COMPUTED_VALUE"""),113619943)</f>
        <v>113619943</v>
      </c>
    </row>
    <row r="251" spans="1:6" ht="12.5" x14ac:dyDescent="0.25">
      <c r="A251" s="3">
        <f ca="1">IFERROR(__xludf.DUMMYFUNCTION("""COMPUTED_VALUE"""),45289.6666666666)</f>
        <v>45289.666666666599</v>
      </c>
      <c r="B251" s="2">
        <f ca="1">IFERROR(__xludf.DUMMYFUNCTION("""COMPUTED_VALUE"""),255.1)</f>
        <v>255.1</v>
      </c>
      <c r="C251" s="2">
        <f ca="1">IFERROR(__xludf.DUMMYFUNCTION("""COMPUTED_VALUE"""),255.19)</f>
        <v>255.19</v>
      </c>
      <c r="D251" s="2">
        <f ca="1">IFERROR(__xludf.DUMMYFUNCTION("""COMPUTED_VALUE"""),247.43)</f>
        <v>247.43</v>
      </c>
      <c r="E251" s="2">
        <f ca="1">IFERROR(__xludf.DUMMYFUNCTION("""COMPUTED_VALUE"""),248.48)</f>
        <v>248.48</v>
      </c>
      <c r="F251" s="2">
        <f ca="1">IFERROR(__xludf.DUMMYFUNCTION("""COMPUTED_VALUE"""),100891578)</f>
        <v>100891578</v>
      </c>
    </row>
    <row r="252" spans="1:6" ht="12.5" x14ac:dyDescent="0.25">
      <c r="A252" s="3">
        <f ca="1">IFERROR(__xludf.DUMMYFUNCTION("""COMPUTED_VALUE"""),45293.6666666666)</f>
        <v>45293.666666666599</v>
      </c>
      <c r="B252" s="2">
        <f ca="1">IFERROR(__xludf.DUMMYFUNCTION("""COMPUTED_VALUE"""),250.08)</f>
        <v>250.08</v>
      </c>
      <c r="C252" s="2">
        <f ca="1">IFERROR(__xludf.DUMMYFUNCTION("""COMPUTED_VALUE"""),251.25)</f>
        <v>251.25</v>
      </c>
      <c r="D252" s="2">
        <f ca="1">IFERROR(__xludf.DUMMYFUNCTION("""COMPUTED_VALUE"""),244.41)</f>
        <v>244.41</v>
      </c>
      <c r="E252" s="2">
        <f ca="1">IFERROR(__xludf.DUMMYFUNCTION("""COMPUTED_VALUE"""),248.42)</f>
        <v>248.42</v>
      </c>
      <c r="F252" s="2">
        <f ca="1">IFERROR(__xludf.DUMMYFUNCTION("""COMPUTED_VALUE"""),104654163)</f>
        <v>104654163</v>
      </c>
    </row>
    <row r="253" spans="1:6" ht="12.5" x14ac:dyDescent="0.25">
      <c r="A253" s="3">
        <f ca="1">IFERROR(__xludf.DUMMYFUNCTION("""COMPUTED_VALUE"""),45294.6666666666)</f>
        <v>45294.666666666599</v>
      </c>
      <c r="B253" s="2">
        <f ca="1">IFERROR(__xludf.DUMMYFUNCTION("""COMPUTED_VALUE"""),244.98)</f>
        <v>244.98</v>
      </c>
      <c r="C253" s="2">
        <f ca="1">IFERROR(__xludf.DUMMYFUNCTION("""COMPUTED_VALUE"""),245.68)</f>
        <v>245.68</v>
      </c>
      <c r="D253" s="2">
        <f ca="1">IFERROR(__xludf.DUMMYFUNCTION("""COMPUTED_VALUE"""),236.32)</f>
        <v>236.32</v>
      </c>
      <c r="E253" s="2">
        <f ca="1">IFERROR(__xludf.DUMMYFUNCTION("""COMPUTED_VALUE"""),238.45)</f>
        <v>238.45</v>
      </c>
      <c r="F253" s="2">
        <f ca="1">IFERROR(__xludf.DUMMYFUNCTION("""COMPUTED_VALUE"""),121082599)</f>
        <v>121082599</v>
      </c>
    </row>
    <row r="254" spans="1:6" ht="12.5" x14ac:dyDescent="0.25">
      <c r="A254" s="3">
        <f ca="1">IFERROR(__xludf.DUMMYFUNCTION("""COMPUTED_VALUE"""),45295.6666666666)</f>
        <v>45295.666666666599</v>
      </c>
      <c r="B254" s="2">
        <f ca="1">IFERROR(__xludf.DUMMYFUNCTION("""COMPUTED_VALUE"""),239.25)</f>
        <v>239.25</v>
      </c>
      <c r="C254" s="2">
        <f ca="1">IFERROR(__xludf.DUMMYFUNCTION("""COMPUTED_VALUE"""),242.7)</f>
        <v>242.7</v>
      </c>
      <c r="D254" s="2">
        <f ca="1">IFERROR(__xludf.DUMMYFUNCTION("""COMPUTED_VALUE"""),237.73)</f>
        <v>237.73</v>
      </c>
      <c r="E254" s="2">
        <f ca="1">IFERROR(__xludf.DUMMYFUNCTION("""COMPUTED_VALUE"""),237.93)</f>
        <v>237.93</v>
      </c>
      <c r="F254" s="2">
        <f ca="1">IFERROR(__xludf.DUMMYFUNCTION("""COMPUTED_VALUE"""),102629283)</f>
        <v>102629283</v>
      </c>
    </row>
    <row r="255" spans="1:6" ht="12.5" x14ac:dyDescent="0.25">
      <c r="A255" s="3">
        <f ca="1">IFERROR(__xludf.DUMMYFUNCTION("""COMPUTED_VALUE"""),45296.6666666666)</f>
        <v>45296.666666666599</v>
      </c>
      <c r="B255" s="2">
        <f ca="1">IFERROR(__xludf.DUMMYFUNCTION("""COMPUTED_VALUE"""),236.86)</f>
        <v>236.86</v>
      </c>
      <c r="C255" s="2">
        <f ca="1">IFERROR(__xludf.DUMMYFUNCTION("""COMPUTED_VALUE"""),240.12)</f>
        <v>240.12</v>
      </c>
      <c r="D255" s="2">
        <f ca="1">IFERROR(__xludf.DUMMYFUNCTION("""COMPUTED_VALUE"""),234.9)</f>
        <v>234.9</v>
      </c>
      <c r="E255" s="2">
        <f ca="1">IFERROR(__xludf.DUMMYFUNCTION("""COMPUTED_VALUE"""),237.49)</f>
        <v>237.49</v>
      </c>
      <c r="F255" s="2">
        <f ca="1">IFERROR(__xludf.DUMMYFUNCTION("""COMPUTED_VALUE"""),92488939)</f>
        <v>92488939</v>
      </c>
    </row>
    <row r="256" spans="1:6" ht="12.5" x14ac:dyDescent="0.25">
      <c r="A256" s="3">
        <f ca="1">IFERROR(__xludf.DUMMYFUNCTION("""COMPUTED_VALUE"""),45299.6666666666)</f>
        <v>45299.666666666599</v>
      </c>
      <c r="B256" s="2">
        <f ca="1">IFERROR(__xludf.DUMMYFUNCTION("""COMPUTED_VALUE"""),236.14)</f>
        <v>236.14</v>
      </c>
      <c r="C256" s="2">
        <f ca="1">IFERROR(__xludf.DUMMYFUNCTION("""COMPUTED_VALUE"""),241.25)</f>
        <v>241.25</v>
      </c>
      <c r="D256" s="2">
        <f ca="1">IFERROR(__xludf.DUMMYFUNCTION("""COMPUTED_VALUE"""),235.3)</f>
        <v>235.3</v>
      </c>
      <c r="E256" s="2">
        <f ca="1">IFERROR(__xludf.DUMMYFUNCTION("""COMPUTED_VALUE"""),240.45)</f>
        <v>240.45</v>
      </c>
      <c r="F256" s="2">
        <f ca="1">IFERROR(__xludf.DUMMYFUNCTION("""COMPUTED_VALUE"""),85166580)</f>
        <v>85166580</v>
      </c>
    </row>
    <row r="257" spans="1:6" ht="12.5" x14ac:dyDescent="0.25">
      <c r="A257" s="3">
        <f ca="1">IFERROR(__xludf.DUMMYFUNCTION("""COMPUTED_VALUE"""),45300.6666666666)</f>
        <v>45300.666666666599</v>
      </c>
      <c r="B257" s="2">
        <f ca="1">IFERROR(__xludf.DUMMYFUNCTION("""COMPUTED_VALUE"""),238.11)</f>
        <v>238.11</v>
      </c>
      <c r="C257" s="2">
        <f ca="1">IFERROR(__xludf.DUMMYFUNCTION("""COMPUTED_VALUE"""),238.96)</f>
        <v>238.96</v>
      </c>
      <c r="D257" s="2">
        <f ca="1">IFERROR(__xludf.DUMMYFUNCTION("""COMPUTED_VALUE"""),232.04)</f>
        <v>232.04</v>
      </c>
      <c r="E257" s="2">
        <f ca="1">IFERROR(__xludf.DUMMYFUNCTION("""COMPUTED_VALUE"""),234.96)</f>
        <v>234.96</v>
      </c>
      <c r="F257" s="2">
        <f ca="1">IFERROR(__xludf.DUMMYFUNCTION("""COMPUTED_VALUE"""),96705664)</f>
        <v>96705664</v>
      </c>
    </row>
    <row r="258" spans="1:6" ht="12.5" x14ac:dyDescent="0.25">
      <c r="A258" s="3">
        <f ca="1">IFERROR(__xludf.DUMMYFUNCTION("""COMPUTED_VALUE"""),45301.6666666666)</f>
        <v>45301.666666666599</v>
      </c>
      <c r="B258" s="2">
        <f ca="1">IFERROR(__xludf.DUMMYFUNCTION("""COMPUTED_VALUE"""),235.1)</f>
        <v>235.1</v>
      </c>
      <c r="C258" s="2">
        <f ca="1">IFERROR(__xludf.DUMMYFUNCTION("""COMPUTED_VALUE"""),235.5)</f>
        <v>235.5</v>
      </c>
      <c r="D258" s="2">
        <f ca="1">IFERROR(__xludf.DUMMYFUNCTION("""COMPUTED_VALUE"""),231.29)</f>
        <v>231.29</v>
      </c>
      <c r="E258" s="2">
        <f ca="1">IFERROR(__xludf.DUMMYFUNCTION("""COMPUTED_VALUE"""),233.94)</f>
        <v>233.94</v>
      </c>
      <c r="F258" s="2">
        <f ca="1">IFERROR(__xludf.DUMMYFUNCTION("""COMPUTED_VALUE"""),91628502)</f>
        <v>91628502</v>
      </c>
    </row>
    <row r="259" spans="1:6" ht="12.5" x14ac:dyDescent="0.25">
      <c r="A259" s="3">
        <f ca="1">IFERROR(__xludf.DUMMYFUNCTION("""COMPUTED_VALUE"""),45302.6666666666)</f>
        <v>45302.666666666599</v>
      </c>
      <c r="B259" s="2">
        <f ca="1">IFERROR(__xludf.DUMMYFUNCTION("""COMPUTED_VALUE"""),230.57)</f>
        <v>230.57</v>
      </c>
      <c r="C259" s="2">
        <f ca="1">IFERROR(__xludf.DUMMYFUNCTION("""COMPUTED_VALUE"""),230.93)</f>
        <v>230.93</v>
      </c>
      <c r="D259" s="2">
        <f ca="1">IFERROR(__xludf.DUMMYFUNCTION("""COMPUTED_VALUE"""),225.37)</f>
        <v>225.37</v>
      </c>
      <c r="E259" s="2">
        <f ca="1">IFERROR(__xludf.DUMMYFUNCTION("""COMPUTED_VALUE"""),227.22)</f>
        <v>227.22</v>
      </c>
      <c r="F259" s="2">
        <f ca="1">IFERROR(__xludf.DUMMYFUNCTION("""COMPUTED_VALUE"""),105873612)</f>
        <v>105873612</v>
      </c>
    </row>
    <row r="260" spans="1:6" ht="12.5" x14ac:dyDescent="0.25">
      <c r="A260" s="3">
        <f ca="1">IFERROR(__xludf.DUMMYFUNCTION("""COMPUTED_VALUE"""),45303.6666666666)</f>
        <v>45303.666666666599</v>
      </c>
      <c r="B260" s="2">
        <f ca="1">IFERROR(__xludf.DUMMYFUNCTION("""COMPUTED_VALUE"""),220.08)</f>
        <v>220.08</v>
      </c>
      <c r="C260" s="2">
        <f ca="1">IFERROR(__xludf.DUMMYFUNCTION("""COMPUTED_VALUE"""),225.34)</f>
        <v>225.34</v>
      </c>
      <c r="D260" s="2">
        <f ca="1">IFERROR(__xludf.DUMMYFUNCTION("""COMPUTED_VALUE"""),217.15)</f>
        <v>217.15</v>
      </c>
      <c r="E260" s="2">
        <f ca="1">IFERROR(__xludf.DUMMYFUNCTION("""COMPUTED_VALUE"""),218.89)</f>
        <v>218.89</v>
      </c>
      <c r="F260" s="2">
        <f ca="1">IFERROR(__xludf.DUMMYFUNCTION("""COMPUTED_VALUE"""),123043812)</f>
        <v>123043812</v>
      </c>
    </row>
    <row r="261" spans="1:6" ht="12.5" x14ac:dyDescent="0.25">
      <c r="A261" s="3">
        <f ca="1">IFERROR(__xludf.DUMMYFUNCTION("""COMPUTED_VALUE"""),45307.6666666666)</f>
        <v>45307.666666666599</v>
      </c>
      <c r="B261" s="2">
        <f ca="1">IFERROR(__xludf.DUMMYFUNCTION("""COMPUTED_VALUE"""),215.1)</f>
        <v>215.1</v>
      </c>
      <c r="C261" s="2">
        <f ca="1">IFERROR(__xludf.DUMMYFUNCTION("""COMPUTED_VALUE"""),223.49)</f>
        <v>223.49</v>
      </c>
      <c r="D261" s="2">
        <f ca="1">IFERROR(__xludf.DUMMYFUNCTION("""COMPUTED_VALUE"""),212.18)</f>
        <v>212.18</v>
      </c>
      <c r="E261" s="2">
        <f ca="1">IFERROR(__xludf.DUMMYFUNCTION("""COMPUTED_VALUE"""),219.91)</f>
        <v>219.91</v>
      </c>
      <c r="F261" s="2">
        <f ca="1">IFERROR(__xludf.DUMMYFUNCTION("""COMPUTED_VALUE"""),115355046)</f>
        <v>115355046</v>
      </c>
    </row>
    <row r="262" spans="1:6" ht="12.5" x14ac:dyDescent="0.25">
      <c r="A262" s="3">
        <f ca="1">IFERROR(__xludf.DUMMYFUNCTION("""COMPUTED_VALUE"""),45308.6666666666)</f>
        <v>45308.666666666599</v>
      </c>
      <c r="B262" s="2">
        <f ca="1">IFERROR(__xludf.DUMMYFUNCTION("""COMPUTED_VALUE"""),214.86)</f>
        <v>214.86</v>
      </c>
      <c r="C262" s="2">
        <f ca="1">IFERROR(__xludf.DUMMYFUNCTION("""COMPUTED_VALUE"""),215.67)</f>
        <v>215.67</v>
      </c>
      <c r="D262" s="2">
        <f ca="1">IFERROR(__xludf.DUMMYFUNCTION("""COMPUTED_VALUE"""),212.01)</f>
        <v>212.01</v>
      </c>
      <c r="E262" s="2">
        <f ca="1">IFERROR(__xludf.DUMMYFUNCTION("""COMPUTED_VALUE"""),215.55)</f>
        <v>215.55</v>
      </c>
      <c r="F262" s="2">
        <f ca="1">IFERROR(__xludf.DUMMYFUNCTION("""COMPUTED_VALUE"""),103164400)</f>
        <v>103164400</v>
      </c>
    </row>
    <row r="263" spans="1:6" ht="12.5" x14ac:dyDescent="0.25">
      <c r="A263" s="3">
        <f ca="1">IFERROR(__xludf.DUMMYFUNCTION("""COMPUTED_VALUE"""),45309.6666666666)</f>
        <v>45309.666666666599</v>
      </c>
      <c r="B263" s="2">
        <f ca="1">IFERROR(__xludf.DUMMYFUNCTION("""COMPUTED_VALUE"""),216.88)</f>
        <v>216.88</v>
      </c>
      <c r="C263" s="2">
        <f ca="1">IFERROR(__xludf.DUMMYFUNCTION("""COMPUTED_VALUE"""),217.45)</f>
        <v>217.45</v>
      </c>
      <c r="D263" s="2">
        <f ca="1">IFERROR(__xludf.DUMMYFUNCTION("""COMPUTED_VALUE"""),208.74)</f>
        <v>208.74</v>
      </c>
      <c r="E263" s="2">
        <f ca="1">IFERROR(__xludf.DUMMYFUNCTION("""COMPUTED_VALUE"""),211.88)</f>
        <v>211.88</v>
      </c>
      <c r="F263" s="2">
        <f ca="1">IFERROR(__xludf.DUMMYFUNCTION("""COMPUTED_VALUE"""),108595431)</f>
        <v>108595431</v>
      </c>
    </row>
    <row r="264" spans="1:6" ht="12.5" x14ac:dyDescent="0.25">
      <c r="A264" s="3">
        <f ca="1">IFERROR(__xludf.DUMMYFUNCTION("""COMPUTED_VALUE"""),45310.6666666666)</f>
        <v>45310.666666666599</v>
      </c>
      <c r="B264" s="2">
        <f ca="1">IFERROR(__xludf.DUMMYFUNCTION("""COMPUTED_VALUE"""),209.99)</f>
        <v>209.99</v>
      </c>
      <c r="C264" s="2">
        <f ca="1">IFERROR(__xludf.DUMMYFUNCTION("""COMPUTED_VALUE"""),213.19)</f>
        <v>213.19</v>
      </c>
      <c r="D264" s="2">
        <f ca="1">IFERROR(__xludf.DUMMYFUNCTION("""COMPUTED_VALUE"""),207.56)</f>
        <v>207.56</v>
      </c>
      <c r="E264" s="2">
        <f ca="1">IFERROR(__xludf.DUMMYFUNCTION("""COMPUTED_VALUE"""),212.19)</f>
        <v>212.19</v>
      </c>
      <c r="F264" s="2">
        <f ca="1">IFERROR(__xludf.DUMMYFUNCTION("""COMPUTED_VALUE"""),102260343)</f>
        <v>102260343</v>
      </c>
    </row>
    <row r="265" spans="1:6" ht="12.5" x14ac:dyDescent="0.25">
      <c r="A265" s="3">
        <f ca="1">IFERROR(__xludf.DUMMYFUNCTION("""COMPUTED_VALUE"""),45313.6666666666)</f>
        <v>45313.666666666599</v>
      </c>
      <c r="B265" s="2">
        <f ca="1">IFERROR(__xludf.DUMMYFUNCTION("""COMPUTED_VALUE"""),212.26)</f>
        <v>212.26</v>
      </c>
      <c r="C265" s="2">
        <f ca="1">IFERROR(__xludf.DUMMYFUNCTION("""COMPUTED_VALUE"""),217.8)</f>
        <v>217.8</v>
      </c>
      <c r="D265" s="2">
        <f ca="1">IFERROR(__xludf.DUMMYFUNCTION("""COMPUTED_VALUE"""),206.27)</f>
        <v>206.27</v>
      </c>
      <c r="E265" s="2">
        <f ca="1">IFERROR(__xludf.DUMMYFUNCTION("""COMPUTED_VALUE"""),208.8)</f>
        <v>208.8</v>
      </c>
      <c r="F265" s="2">
        <f ca="1">IFERROR(__xludf.DUMMYFUNCTION("""COMPUTED_VALUE"""),117952527)</f>
        <v>117952527</v>
      </c>
    </row>
    <row r="266" spans="1:6" ht="12.5" x14ac:dyDescent="0.25">
      <c r="A266" s="3">
        <f ca="1">IFERROR(__xludf.DUMMYFUNCTION("""COMPUTED_VALUE"""),45314.6666666666)</f>
        <v>45314.666666666599</v>
      </c>
      <c r="B266" s="2">
        <f ca="1">IFERROR(__xludf.DUMMYFUNCTION("""COMPUTED_VALUE"""),211.3)</f>
        <v>211.3</v>
      </c>
      <c r="C266" s="2">
        <f ca="1">IFERROR(__xludf.DUMMYFUNCTION("""COMPUTED_VALUE"""),215.65)</f>
        <v>215.65</v>
      </c>
      <c r="D266" s="2">
        <f ca="1">IFERROR(__xludf.DUMMYFUNCTION("""COMPUTED_VALUE"""),207.75)</f>
        <v>207.75</v>
      </c>
      <c r="E266" s="2">
        <f ca="1">IFERROR(__xludf.DUMMYFUNCTION("""COMPUTED_VALUE"""),209.14)</f>
        <v>209.14</v>
      </c>
      <c r="F266" s="2">
        <f ca="1">IFERROR(__xludf.DUMMYFUNCTION("""COMPUTED_VALUE"""),106605946)</f>
        <v>106605946</v>
      </c>
    </row>
    <row r="267" spans="1:6" ht="12.5" x14ac:dyDescent="0.25">
      <c r="A267" s="3">
        <f ca="1">IFERROR(__xludf.DUMMYFUNCTION("""COMPUTED_VALUE"""),45315.6666666666)</f>
        <v>45315.666666666599</v>
      </c>
      <c r="B267" s="2">
        <f ca="1">IFERROR(__xludf.DUMMYFUNCTION("""COMPUTED_VALUE"""),211.88)</f>
        <v>211.88</v>
      </c>
      <c r="C267" s="2">
        <f ca="1">IFERROR(__xludf.DUMMYFUNCTION("""COMPUTED_VALUE"""),212.73)</f>
        <v>212.73</v>
      </c>
      <c r="D267" s="2">
        <f ca="1">IFERROR(__xludf.DUMMYFUNCTION("""COMPUTED_VALUE"""),206.77)</f>
        <v>206.77</v>
      </c>
      <c r="E267" s="2">
        <f ca="1">IFERROR(__xludf.DUMMYFUNCTION("""COMPUTED_VALUE"""),207.83)</f>
        <v>207.83</v>
      </c>
      <c r="F267" s="2">
        <f ca="1">IFERROR(__xludf.DUMMYFUNCTION("""COMPUTED_VALUE"""),123369932)</f>
        <v>123369932</v>
      </c>
    </row>
    <row r="268" spans="1:6" ht="12.5" x14ac:dyDescent="0.25">
      <c r="A268" s="3">
        <f ca="1">IFERROR(__xludf.DUMMYFUNCTION("""COMPUTED_VALUE"""),45316.6666666666)</f>
        <v>45316.666666666599</v>
      </c>
      <c r="B268" s="2">
        <f ca="1">IFERROR(__xludf.DUMMYFUNCTION("""COMPUTED_VALUE"""),189.7)</f>
        <v>189.7</v>
      </c>
      <c r="C268" s="2">
        <f ca="1">IFERROR(__xludf.DUMMYFUNCTION("""COMPUTED_VALUE"""),193)</f>
        <v>193</v>
      </c>
      <c r="D268" s="2">
        <f ca="1">IFERROR(__xludf.DUMMYFUNCTION("""COMPUTED_VALUE"""),180.06)</f>
        <v>180.06</v>
      </c>
      <c r="E268" s="2">
        <f ca="1">IFERROR(__xludf.DUMMYFUNCTION("""COMPUTED_VALUE"""),182.63)</f>
        <v>182.63</v>
      </c>
      <c r="F268" s="2">
        <f ca="1">IFERROR(__xludf.DUMMYFUNCTION("""COMPUTED_VALUE"""),198076787)</f>
        <v>198076787</v>
      </c>
    </row>
    <row r="269" spans="1:6" ht="12.5" x14ac:dyDescent="0.25">
      <c r="A269" s="3">
        <f ca="1">IFERROR(__xludf.DUMMYFUNCTION("""COMPUTED_VALUE"""),45317.6666666666)</f>
        <v>45317.666666666599</v>
      </c>
      <c r="B269" s="2">
        <f ca="1">IFERROR(__xludf.DUMMYFUNCTION("""COMPUTED_VALUE"""),185.5)</f>
        <v>185.5</v>
      </c>
      <c r="C269" s="2">
        <f ca="1">IFERROR(__xludf.DUMMYFUNCTION("""COMPUTED_VALUE"""),186.78)</f>
        <v>186.78</v>
      </c>
      <c r="D269" s="2">
        <f ca="1">IFERROR(__xludf.DUMMYFUNCTION("""COMPUTED_VALUE"""),182.1)</f>
        <v>182.1</v>
      </c>
      <c r="E269" s="2">
        <f ca="1">IFERROR(__xludf.DUMMYFUNCTION("""COMPUTED_VALUE"""),183.25)</f>
        <v>183.25</v>
      </c>
      <c r="F269" s="2">
        <f ca="1">IFERROR(__xludf.DUMMYFUNCTION("""COMPUTED_VALUE"""),107343231)</f>
        <v>107343231</v>
      </c>
    </row>
    <row r="270" spans="1:6" ht="12.5" x14ac:dyDescent="0.25">
      <c r="A270" s="3">
        <f ca="1">IFERROR(__xludf.DUMMYFUNCTION("""COMPUTED_VALUE"""),45320.6666666666)</f>
        <v>45320.666666666599</v>
      </c>
      <c r="B270" s="2">
        <f ca="1">IFERROR(__xludf.DUMMYFUNCTION("""COMPUTED_VALUE"""),185.63)</f>
        <v>185.63</v>
      </c>
      <c r="C270" s="2">
        <f ca="1">IFERROR(__xludf.DUMMYFUNCTION("""COMPUTED_VALUE"""),191.48)</f>
        <v>191.48</v>
      </c>
      <c r="D270" s="2">
        <f ca="1">IFERROR(__xludf.DUMMYFUNCTION("""COMPUTED_VALUE"""),183.67)</f>
        <v>183.67</v>
      </c>
      <c r="E270" s="2">
        <f ca="1">IFERROR(__xludf.DUMMYFUNCTION("""COMPUTED_VALUE"""),190.93)</f>
        <v>190.93</v>
      </c>
      <c r="F270" s="2">
        <f ca="1">IFERROR(__xludf.DUMMYFUNCTION("""COMPUTED_VALUE"""),125013148)</f>
        <v>125013148</v>
      </c>
    </row>
    <row r="271" spans="1:6" ht="12.5" x14ac:dyDescent="0.25">
      <c r="A271" s="3">
        <f ca="1">IFERROR(__xludf.DUMMYFUNCTION("""COMPUTED_VALUE"""),45321.6666666666)</f>
        <v>45321.666666666599</v>
      </c>
      <c r="B271" s="2">
        <f ca="1">IFERROR(__xludf.DUMMYFUNCTION("""COMPUTED_VALUE"""),195.33)</f>
        <v>195.33</v>
      </c>
      <c r="C271" s="2">
        <f ca="1">IFERROR(__xludf.DUMMYFUNCTION("""COMPUTED_VALUE"""),196.36)</f>
        <v>196.36</v>
      </c>
      <c r="D271" s="2">
        <f ca="1">IFERROR(__xludf.DUMMYFUNCTION("""COMPUTED_VALUE"""),190.61)</f>
        <v>190.61</v>
      </c>
      <c r="E271" s="2">
        <f ca="1">IFERROR(__xludf.DUMMYFUNCTION("""COMPUTED_VALUE"""),191.59)</f>
        <v>191.59</v>
      </c>
      <c r="F271" s="2">
        <f ca="1">IFERROR(__xludf.DUMMYFUNCTION("""COMPUTED_VALUE"""),109982327)</f>
        <v>109982327</v>
      </c>
    </row>
    <row r="272" spans="1:6" ht="12.5" x14ac:dyDescent="0.25">
      <c r="A272" s="3">
        <f ca="1">IFERROR(__xludf.DUMMYFUNCTION("""COMPUTED_VALUE"""),45322.6666666666)</f>
        <v>45322.666666666599</v>
      </c>
      <c r="B272" s="2">
        <f ca="1">IFERROR(__xludf.DUMMYFUNCTION("""COMPUTED_VALUE"""),187)</f>
        <v>187</v>
      </c>
      <c r="C272" s="2">
        <f ca="1">IFERROR(__xludf.DUMMYFUNCTION("""COMPUTED_VALUE"""),193.97)</f>
        <v>193.97</v>
      </c>
      <c r="D272" s="2">
        <f ca="1">IFERROR(__xludf.DUMMYFUNCTION("""COMPUTED_VALUE"""),185.85)</f>
        <v>185.85</v>
      </c>
      <c r="E272" s="2">
        <f ca="1">IFERROR(__xludf.DUMMYFUNCTION("""COMPUTED_VALUE"""),187.29)</f>
        <v>187.29</v>
      </c>
      <c r="F272" s="2">
        <f ca="1">IFERROR(__xludf.DUMMYFUNCTION("""COMPUTED_VALUE"""),103221430)</f>
        <v>103221430</v>
      </c>
    </row>
    <row r="273" spans="1:6" ht="12.5" x14ac:dyDescent="0.25">
      <c r="A273" s="3">
        <f ca="1">IFERROR(__xludf.DUMMYFUNCTION("""COMPUTED_VALUE"""),45323.6666666666)</f>
        <v>45323.666666666599</v>
      </c>
      <c r="B273" s="2">
        <f ca="1">IFERROR(__xludf.DUMMYFUNCTION("""COMPUTED_VALUE"""),188.5)</f>
        <v>188.5</v>
      </c>
      <c r="C273" s="2">
        <f ca="1">IFERROR(__xludf.DUMMYFUNCTION("""COMPUTED_VALUE"""),189.88)</f>
        <v>189.88</v>
      </c>
      <c r="D273" s="2">
        <f ca="1">IFERROR(__xludf.DUMMYFUNCTION("""COMPUTED_VALUE"""),184.28)</f>
        <v>184.28</v>
      </c>
      <c r="E273" s="2">
        <f ca="1">IFERROR(__xludf.DUMMYFUNCTION("""COMPUTED_VALUE"""),188.86)</f>
        <v>188.86</v>
      </c>
      <c r="F273" s="2">
        <f ca="1">IFERROR(__xludf.DUMMYFUNCTION("""COMPUTED_VALUE"""),91843275)</f>
        <v>91843275</v>
      </c>
    </row>
    <row r="274" spans="1:6" ht="12.5" x14ac:dyDescent="0.25">
      <c r="A274" s="3">
        <f ca="1">IFERROR(__xludf.DUMMYFUNCTION("""COMPUTED_VALUE"""),45324.6666666666)</f>
        <v>45324.666666666599</v>
      </c>
      <c r="B274" s="2">
        <f ca="1">IFERROR(__xludf.DUMMYFUNCTION("""COMPUTED_VALUE"""),185.04)</f>
        <v>185.04</v>
      </c>
      <c r="C274" s="2">
        <f ca="1">IFERROR(__xludf.DUMMYFUNCTION("""COMPUTED_VALUE"""),188.69)</f>
        <v>188.69</v>
      </c>
      <c r="D274" s="2">
        <f ca="1">IFERROR(__xludf.DUMMYFUNCTION("""COMPUTED_VALUE"""),182)</f>
        <v>182</v>
      </c>
      <c r="E274" s="2">
        <f ca="1">IFERROR(__xludf.DUMMYFUNCTION("""COMPUTED_VALUE"""),187.91)</f>
        <v>187.91</v>
      </c>
      <c r="F274" s="2">
        <f ca="1">IFERROR(__xludf.DUMMYFUNCTION("""COMPUTED_VALUE"""),110612672)</f>
        <v>110612672</v>
      </c>
    </row>
    <row r="275" spans="1:6" ht="12.5" x14ac:dyDescent="0.25">
      <c r="A275" s="3">
        <f ca="1">IFERROR(__xludf.DUMMYFUNCTION("""COMPUTED_VALUE"""),45327.6666666666)</f>
        <v>45327.666666666599</v>
      </c>
      <c r="B275" s="2">
        <f ca="1">IFERROR(__xludf.DUMMYFUNCTION("""COMPUTED_VALUE"""),184.26)</f>
        <v>184.26</v>
      </c>
      <c r="C275" s="2">
        <f ca="1">IFERROR(__xludf.DUMMYFUNCTION("""COMPUTED_VALUE"""),184.68)</f>
        <v>184.68</v>
      </c>
      <c r="D275" s="2">
        <f ca="1">IFERROR(__xludf.DUMMYFUNCTION("""COMPUTED_VALUE"""),175.01)</f>
        <v>175.01</v>
      </c>
      <c r="E275" s="2">
        <f ca="1">IFERROR(__xludf.DUMMYFUNCTION("""COMPUTED_VALUE"""),181.06)</f>
        <v>181.06</v>
      </c>
      <c r="F275" s="2">
        <f ca="1">IFERROR(__xludf.DUMMYFUNCTION("""COMPUTED_VALUE"""),134294447)</f>
        <v>134294447</v>
      </c>
    </row>
    <row r="276" spans="1:6" ht="12.5" x14ac:dyDescent="0.25">
      <c r="A276" s="3">
        <f ca="1">IFERROR(__xludf.DUMMYFUNCTION("""COMPUTED_VALUE"""),45328.6666666666)</f>
        <v>45328.666666666599</v>
      </c>
      <c r="B276" s="2">
        <f ca="1">IFERROR(__xludf.DUMMYFUNCTION("""COMPUTED_VALUE"""),177.21)</f>
        <v>177.21</v>
      </c>
      <c r="C276" s="2">
        <f ca="1">IFERROR(__xludf.DUMMYFUNCTION("""COMPUTED_VALUE"""),186.49)</f>
        <v>186.49</v>
      </c>
      <c r="D276" s="2">
        <f ca="1">IFERROR(__xludf.DUMMYFUNCTION("""COMPUTED_VALUE"""),177.11)</f>
        <v>177.11</v>
      </c>
      <c r="E276" s="2">
        <f ca="1">IFERROR(__xludf.DUMMYFUNCTION("""COMPUTED_VALUE"""),185.1)</f>
        <v>185.1</v>
      </c>
      <c r="F276" s="2">
        <f ca="1">IFERROR(__xludf.DUMMYFUNCTION("""COMPUTED_VALUE"""),122675954)</f>
        <v>122675954</v>
      </c>
    </row>
    <row r="277" spans="1:6" ht="12.5" x14ac:dyDescent="0.25">
      <c r="A277" s="3">
        <f ca="1">IFERROR(__xludf.DUMMYFUNCTION("""COMPUTED_VALUE"""),45329.6666666666)</f>
        <v>45329.666666666599</v>
      </c>
      <c r="B277" s="2">
        <f ca="1">IFERROR(__xludf.DUMMYFUNCTION("""COMPUTED_VALUE"""),188.18)</f>
        <v>188.18</v>
      </c>
      <c r="C277" s="2">
        <f ca="1">IFERROR(__xludf.DUMMYFUNCTION("""COMPUTED_VALUE"""),189.79)</f>
        <v>189.79</v>
      </c>
      <c r="D277" s="2">
        <f ca="1">IFERROR(__xludf.DUMMYFUNCTION("""COMPUTED_VALUE"""),182.68)</f>
        <v>182.68</v>
      </c>
      <c r="E277" s="2">
        <f ca="1">IFERROR(__xludf.DUMMYFUNCTION("""COMPUTED_VALUE"""),187.58)</f>
        <v>187.58</v>
      </c>
      <c r="F277" s="2">
        <f ca="1">IFERROR(__xludf.DUMMYFUNCTION("""COMPUTED_VALUE"""),111535217)</f>
        <v>111535217</v>
      </c>
    </row>
    <row r="278" spans="1:6" ht="12.5" x14ac:dyDescent="0.25">
      <c r="A278" s="3">
        <f ca="1">IFERROR(__xludf.DUMMYFUNCTION("""COMPUTED_VALUE"""),45330.6666666666)</f>
        <v>45330.666666666599</v>
      </c>
      <c r="B278" s="2">
        <f ca="1">IFERROR(__xludf.DUMMYFUNCTION("""COMPUTED_VALUE"""),189)</f>
        <v>189</v>
      </c>
      <c r="C278" s="2">
        <f ca="1">IFERROR(__xludf.DUMMYFUNCTION("""COMPUTED_VALUE"""),191.62)</f>
        <v>191.62</v>
      </c>
      <c r="D278" s="2">
        <f ca="1">IFERROR(__xludf.DUMMYFUNCTION("""COMPUTED_VALUE"""),185.58)</f>
        <v>185.58</v>
      </c>
      <c r="E278" s="2">
        <f ca="1">IFERROR(__xludf.DUMMYFUNCTION("""COMPUTED_VALUE"""),189.56)</f>
        <v>189.56</v>
      </c>
      <c r="F278" s="2">
        <f ca="1">IFERROR(__xludf.DUMMYFUNCTION("""COMPUTED_VALUE"""),83034043)</f>
        <v>83034043</v>
      </c>
    </row>
    <row r="279" spans="1:6" ht="12.5" x14ac:dyDescent="0.25">
      <c r="A279" s="3">
        <f ca="1">IFERROR(__xludf.DUMMYFUNCTION("""COMPUTED_VALUE"""),45331.6666666666)</f>
        <v>45331.666666666599</v>
      </c>
      <c r="B279" s="2">
        <f ca="1">IFERROR(__xludf.DUMMYFUNCTION("""COMPUTED_VALUE"""),190.18)</f>
        <v>190.18</v>
      </c>
      <c r="C279" s="2">
        <f ca="1">IFERROR(__xludf.DUMMYFUNCTION("""COMPUTED_VALUE"""),194.12)</f>
        <v>194.12</v>
      </c>
      <c r="D279" s="2">
        <f ca="1">IFERROR(__xludf.DUMMYFUNCTION("""COMPUTED_VALUE"""),189.48)</f>
        <v>189.48</v>
      </c>
      <c r="E279" s="2">
        <f ca="1">IFERROR(__xludf.DUMMYFUNCTION("""COMPUTED_VALUE"""),193.57)</f>
        <v>193.57</v>
      </c>
      <c r="F279" s="2">
        <f ca="1">IFERROR(__xludf.DUMMYFUNCTION("""COMPUTED_VALUE"""),84476347)</f>
        <v>84476347</v>
      </c>
    </row>
    <row r="280" spans="1:6" ht="12.5" x14ac:dyDescent="0.25">
      <c r="A280" s="3">
        <f ca="1">IFERROR(__xludf.DUMMYFUNCTION("""COMPUTED_VALUE"""),45334.6666666666)</f>
        <v>45334.666666666599</v>
      </c>
      <c r="B280" s="2">
        <f ca="1">IFERROR(__xludf.DUMMYFUNCTION("""COMPUTED_VALUE"""),192.11)</f>
        <v>192.11</v>
      </c>
      <c r="C280" s="2">
        <f ca="1">IFERROR(__xludf.DUMMYFUNCTION("""COMPUTED_VALUE"""),194.73)</f>
        <v>194.73</v>
      </c>
      <c r="D280" s="2">
        <f ca="1">IFERROR(__xludf.DUMMYFUNCTION("""COMPUTED_VALUE"""),187.28)</f>
        <v>187.28</v>
      </c>
      <c r="E280" s="2">
        <f ca="1">IFERROR(__xludf.DUMMYFUNCTION("""COMPUTED_VALUE"""),188.13)</f>
        <v>188.13</v>
      </c>
      <c r="F280" s="2">
        <f ca="1">IFERROR(__xludf.DUMMYFUNCTION("""COMPUTED_VALUE"""),95498597)</f>
        <v>95498597</v>
      </c>
    </row>
    <row r="281" spans="1:6" ht="12.5" x14ac:dyDescent="0.25">
      <c r="A281" s="3">
        <f ca="1">IFERROR(__xludf.DUMMYFUNCTION("""COMPUTED_VALUE"""),45335.6666666666)</f>
        <v>45335.666666666599</v>
      </c>
      <c r="B281" s="2">
        <f ca="1">IFERROR(__xludf.DUMMYFUNCTION("""COMPUTED_VALUE"""),183.99)</f>
        <v>183.99</v>
      </c>
      <c r="C281" s="2">
        <f ca="1">IFERROR(__xludf.DUMMYFUNCTION("""COMPUTED_VALUE"""),187.26)</f>
        <v>187.26</v>
      </c>
      <c r="D281" s="2">
        <f ca="1">IFERROR(__xludf.DUMMYFUNCTION("""COMPUTED_VALUE"""),182.11)</f>
        <v>182.11</v>
      </c>
      <c r="E281" s="2">
        <f ca="1">IFERROR(__xludf.DUMMYFUNCTION("""COMPUTED_VALUE"""),184.02)</f>
        <v>184.02</v>
      </c>
      <c r="F281" s="2">
        <f ca="1">IFERROR(__xludf.DUMMYFUNCTION("""COMPUTED_VALUE"""),86759478)</f>
        <v>86759478</v>
      </c>
    </row>
    <row r="282" spans="1:6" ht="12.5" x14ac:dyDescent="0.25">
      <c r="A282" s="3">
        <f ca="1">IFERROR(__xludf.DUMMYFUNCTION("""COMPUTED_VALUE"""),45336.6666666666)</f>
        <v>45336.666666666599</v>
      </c>
      <c r="B282" s="2">
        <f ca="1">IFERROR(__xludf.DUMMYFUNCTION("""COMPUTED_VALUE"""),185.3)</f>
        <v>185.3</v>
      </c>
      <c r="C282" s="2">
        <f ca="1">IFERROR(__xludf.DUMMYFUNCTION("""COMPUTED_VALUE"""),188.89)</f>
        <v>188.89</v>
      </c>
      <c r="D282" s="2">
        <f ca="1">IFERROR(__xludf.DUMMYFUNCTION("""COMPUTED_VALUE"""),183.35)</f>
        <v>183.35</v>
      </c>
      <c r="E282" s="2">
        <f ca="1">IFERROR(__xludf.DUMMYFUNCTION("""COMPUTED_VALUE"""),188.71)</f>
        <v>188.71</v>
      </c>
      <c r="F282" s="2">
        <f ca="1">IFERROR(__xludf.DUMMYFUNCTION("""COMPUTED_VALUE"""),81202987)</f>
        <v>81202987</v>
      </c>
    </row>
    <row r="283" spans="1:6" ht="12.5" x14ac:dyDescent="0.25">
      <c r="A283" s="3">
        <f ca="1">IFERROR(__xludf.DUMMYFUNCTION("""COMPUTED_VALUE"""),45337.6666666666)</f>
        <v>45337.666666666599</v>
      </c>
      <c r="B283" s="2">
        <f ca="1">IFERROR(__xludf.DUMMYFUNCTION("""COMPUTED_VALUE"""),189.16)</f>
        <v>189.16</v>
      </c>
      <c r="C283" s="2">
        <f ca="1">IFERROR(__xludf.DUMMYFUNCTION("""COMPUTED_VALUE"""),200.88)</f>
        <v>200.88</v>
      </c>
      <c r="D283" s="2">
        <f ca="1">IFERROR(__xludf.DUMMYFUNCTION("""COMPUTED_VALUE"""),188.86)</f>
        <v>188.86</v>
      </c>
      <c r="E283" s="2">
        <f ca="1">IFERROR(__xludf.DUMMYFUNCTION("""COMPUTED_VALUE"""),200.45)</f>
        <v>200.45</v>
      </c>
      <c r="F283" s="2">
        <f ca="1">IFERROR(__xludf.DUMMYFUNCTION("""COMPUTED_VALUE"""),120831762)</f>
        <v>120831762</v>
      </c>
    </row>
    <row r="284" spans="1:6" ht="12.5" x14ac:dyDescent="0.25">
      <c r="A284" s="3">
        <f ca="1">IFERROR(__xludf.DUMMYFUNCTION("""COMPUTED_VALUE"""),45338.6666666666)</f>
        <v>45338.666666666599</v>
      </c>
      <c r="B284" s="2">
        <f ca="1">IFERROR(__xludf.DUMMYFUNCTION("""COMPUTED_VALUE"""),202.06)</f>
        <v>202.06</v>
      </c>
      <c r="C284" s="2">
        <f ca="1">IFERROR(__xludf.DUMMYFUNCTION("""COMPUTED_VALUE"""),203.17)</f>
        <v>203.17</v>
      </c>
      <c r="D284" s="2">
        <f ca="1">IFERROR(__xludf.DUMMYFUNCTION("""COMPUTED_VALUE"""),197.4)</f>
        <v>197.4</v>
      </c>
      <c r="E284" s="2">
        <f ca="1">IFERROR(__xludf.DUMMYFUNCTION("""COMPUTED_VALUE"""),199.95)</f>
        <v>199.95</v>
      </c>
      <c r="F284" s="2">
        <f ca="1">IFERROR(__xludf.DUMMYFUNCTION("""COMPUTED_VALUE"""),111346705)</f>
        <v>111346705</v>
      </c>
    </row>
    <row r="285" spans="1:6" ht="12.5" x14ac:dyDescent="0.25">
      <c r="A285" s="3">
        <f ca="1">IFERROR(__xludf.DUMMYFUNCTION("""COMPUTED_VALUE"""),45342.6666666666)</f>
        <v>45342.666666666599</v>
      </c>
      <c r="B285" s="2">
        <f ca="1">IFERROR(__xludf.DUMMYFUNCTION("""COMPUTED_VALUE"""),196.13)</f>
        <v>196.13</v>
      </c>
      <c r="C285" s="2">
        <f ca="1">IFERROR(__xludf.DUMMYFUNCTION("""COMPUTED_VALUE"""),198.6)</f>
        <v>198.6</v>
      </c>
      <c r="D285" s="2">
        <f ca="1">IFERROR(__xludf.DUMMYFUNCTION("""COMPUTED_VALUE"""),189.13)</f>
        <v>189.13</v>
      </c>
      <c r="E285" s="2">
        <f ca="1">IFERROR(__xludf.DUMMYFUNCTION("""COMPUTED_VALUE"""),193.76)</f>
        <v>193.76</v>
      </c>
      <c r="F285" s="2">
        <f ca="1">IFERROR(__xludf.DUMMYFUNCTION("""COMPUTED_VALUE"""),104545762)</f>
        <v>104545762</v>
      </c>
    </row>
    <row r="286" spans="1:6" ht="12.5" x14ac:dyDescent="0.25">
      <c r="A286" s="3">
        <f ca="1">IFERROR(__xludf.DUMMYFUNCTION("""COMPUTED_VALUE"""),45343.6666666666)</f>
        <v>45343.666666666599</v>
      </c>
      <c r="B286" s="2">
        <f ca="1">IFERROR(__xludf.DUMMYFUNCTION("""COMPUTED_VALUE"""),193.36)</f>
        <v>193.36</v>
      </c>
      <c r="C286" s="2">
        <f ca="1">IFERROR(__xludf.DUMMYFUNCTION("""COMPUTED_VALUE"""),199.44)</f>
        <v>199.44</v>
      </c>
      <c r="D286" s="2">
        <f ca="1">IFERROR(__xludf.DUMMYFUNCTION("""COMPUTED_VALUE"""),191.95)</f>
        <v>191.95</v>
      </c>
      <c r="E286" s="2">
        <f ca="1">IFERROR(__xludf.DUMMYFUNCTION("""COMPUTED_VALUE"""),194.77)</f>
        <v>194.77</v>
      </c>
      <c r="F286" s="2">
        <f ca="1">IFERROR(__xludf.DUMMYFUNCTION("""COMPUTED_VALUE"""),103844008)</f>
        <v>103844008</v>
      </c>
    </row>
    <row r="287" spans="1:6" ht="12.5" x14ac:dyDescent="0.25">
      <c r="A287" s="3">
        <f ca="1">IFERROR(__xludf.DUMMYFUNCTION("""COMPUTED_VALUE"""),45344.6666666666)</f>
        <v>45344.666666666599</v>
      </c>
      <c r="B287" s="2">
        <f ca="1">IFERROR(__xludf.DUMMYFUNCTION("""COMPUTED_VALUE"""),194)</f>
        <v>194</v>
      </c>
      <c r="C287" s="2">
        <f ca="1">IFERROR(__xludf.DUMMYFUNCTION("""COMPUTED_VALUE"""),198.32)</f>
        <v>198.32</v>
      </c>
      <c r="D287" s="2">
        <f ca="1">IFERROR(__xludf.DUMMYFUNCTION("""COMPUTED_VALUE"""),191.36)</f>
        <v>191.36</v>
      </c>
      <c r="E287" s="2">
        <f ca="1">IFERROR(__xludf.DUMMYFUNCTION("""COMPUTED_VALUE"""),197.41)</f>
        <v>197.41</v>
      </c>
      <c r="F287" s="2">
        <f ca="1">IFERROR(__xludf.DUMMYFUNCTION("""COMPUTED_VALUE"""),92739461)</f>
        <v>92739461</v>
      </c>
    </row>
    <row r="288" spans="1:6" ht="12.5" x14ac:dyDescent="0.25">
      <c r="A288" s="3">
        <f ca="1">IFERROR(__xludf.DUMMYFUNCTION("""COMPUTED_VALUE"""),45345.6666666666)</f>
        <v>45345.666666666599</v>
      </c>
      <c r="B288" s="2">
        <f ca="1">IFERROR(__xludf.DUMMYFUNCTION("""COMPUTED_VALUE"""),195.31)</f>
        <v>195.31</v>
      </c>
      <c r="C288" s="2">
        <f ca="1">IFERROR(__xludf.DUMMYFUNCTION("""COMPUTED_VALUE"""),197.57)</f>
        <v>197.57</v>
      </c>
      <c r="D288" s="2">
        <f ca="1">IFERROR(__xludf.DUMMYFUNCTION("""COMPUTED_VALUE"""),191.5)</f>
        <v>191.5</v>
      </c>
      <c r="E288" s="2">
        <f ca="1">IFERROR(__xludf.DUMMYFUNCTION("""COMPUTED_VALUE"""),191.97)</f>
        <v>191.97</v>
      </c>
      <c r="F288" s="2">
        <f ca="1">IFERROR(__xludf.DUMMYFUNCTION("""COMPUTED_VALUE"""),78841917)</f>
        <v>78841917</v>
      </c>
    </row>
    <row r="289" spans="1:6" ht="12.5" x14ac:dyDescent="0.25">
      <c r="A289" s="3">
        <f ca="1">IFERROR(__xludf.DUMMYFUNCTION("""COMPUTED_VALUE"""),45348.6666666666)</f>
        <v>45348.666666666599</v>
      </c>
      <c r="B289" s="2">
        <f ca="1">IFERROR(__xludf.DUMMYFUNCTION("""COMPUTED_VALUE"""),192.29)</f>
        <v>192.29</v>
      </c>
      <c r="C289" s="2">
        <f ca="1">IFERROR(__xludf.DUMMYFUNCTION("""COMPUTED_VALUE"""),201.78)</f>
        <v>201.78</v>
      </c>
      <c r="D289" s="2">
        <f ca="1">IFERROR(__xludf.DUMMYFUNCTION("""COMPUTED_VALUE"""),192)</f>
        <v>192</v>
      </c>
      <c r="E289" s="2">
        <f ca="1">IFERROR(__xludf.DUMMYFUNCTION("""COMPUTED_VALUE"""),199.4)</f>
        <v>199.4</v>
      </c>
      <c r="F289" s="2">
        <f ca="1">IFERROR(__xludf.DUMMYFUNCTION("""COMPUTED_VALUE"""),111747116)</f>
        <v>111747116</v>
      </c>
    </row>
    <row r="290" spans="1:6" ht="12.5" x14ac:dyDescent="0.25">
      <c r="A290" s="3">
        <f ca="1">IFERROR(__xludf.DUMMYFUNCTION("""COMPUTED_VALUE"""),45349.6666666666)</f>
        <v>45349.666666666599</v>
      </c>
      <c r="B290" s="2">
        <f ca="1">IFERROR(__xludf.DUMMYFUNCTION("""COMPUTED_VALUE"""),204.04)</f>
        <v>204.04</v>
      </c>
      <c r="C290" s="2">
        <f ca="1">IFERROR(__xludf.DUMMYFUNCTION("""COMPUTED_VALUE"""),205.6)</f>
        <v>205.6</v>
      </c>
      <c r="D290" s="2">
        <f ca="1">IFERROR(__xludf.DUMMYFUNCTION("""COMPUTED_VALUE"""),198.26)</f>
        <v>198.26</v>
      </c>
      <c r="E290" s="2">
        <f ca="1">IFERROR(__xludf.DUMMYFUNCTION("""COMPUTED_VALUE"""),199.73)</f>
        <v>199.73</v>
      </c>
      <c r="F290" s="2">
        <f ca="1">IFERROR(__xludf.DUMMYFUNCTION("""COMPUTED_VALUE"""),108645412)</f>
        <v>108645412</v>
      </c>
    </row>
    <row r="291" spans="1:6" ht="12.5" x14ac:dyDescent="0.25">
      <c r="A291" s="3">
        <f ca="1">IFERROR(__xludf.DUMMYFUNCTION("""COMPUTED_VALUE"""),45350.6666666666)</f>
        <v>45350.666666666599</v>
      </c>
      <c r="B291" s="2">
        <f ca="1">IFERROR(__xludf.DUMMYFUNCTION("""COMPUTED_VALUE"""),200.42)</f>
        <v>200.42</v>
      </c>
      <c r="C291" s="2">
        <f ca="1">IFERROR(__xludf.DUMMYFUNCTION("""COMPUTED_VALUE"""),205.3)</f>
        <v>205.3</v>
      </c>
      <c r="D291" s="2">
        <f ca="1">IFERROR(__xludf.DUMMYFUNCTION("""COMPUTED_VALUE"""),198.44)</f>
        <v>198.44</v>
      </c>
      <c r="E291" s="2">
        <f ca="1">IFERROR(__xludf.DUMMYFUNCTION("""COMPUTED_VALUE"""),202.04)</f>
        <v>202.04</v>
      </c>
      <c r="F291" s="2">
        <f ca="1">IFERROR(__xludf.DUMMYFUNCTION("""COMPUTED_VALUE"""),99806173)</f>
        <v>99806173</v>
      </c>
    </row>
    <row r="292" spans="1:6" ht="12.5" x14ac:dyDescent="0.25">
      <c r="A292" s="3">
        <f ca="1">IFERROR(__xludf.DUMMYFUNCTION("""COMPUTED_VALUE"""),45351.6666666666)</f>
        <v>45351.666666666599</v>
      </c>
      <c r="B292" s="2">
        <f ca="1">IFERROR(__xludf.DUMMYFUNCTION("""COMPUTED_VALUE"""),204.18)</f>
        <v>204.18</v>
      </c>
      <c r="C292" s="2">
        <f ca="1">IFERROR(__xludf.DUMMYFUNCTION("""COMPUTED_VALUE"""),205.28)</f>
        <v>205.28</v>
      </c>
      <c r="D292" s="2">
        <f ca="1">IFERROR(__xludf.DUMMYFUNCTION("""COMPUTED_VALUE"""),198.45)</f>
        <v>198.45</v>
      </c>
      <c r="E292" s="2">
        <f ca="1">IFERROR(__xludf.DUMMYFUNCTION("""COMPUTED_VALUE"""),201.88)</f>
        <v>201.88</v>
      </c>
      <c r="F292" s="2">
        <f ca="1">IFERROR(__xludf.DUMMYFUNCTION("""COMPUTED_VALUE"""),85906974)</f>
        <v>85906974</v>
      </c>
    </row>
    <row r="293" spans="1:6" ht="12.5" x14ac:dyDescent="0.25">
      <c r="A293" s="3">
        <f ca="1">IFERROR(__xludf.DUMMYFUNCTION("""COMPUTED_VALUE"""),45352.6666666666)</f>
        <v>45352.666666666599</v>
      </c>
      <c r="B293" s="2">
        <f ca="1">IFERROR(__xludf.DUMMYFUNCTION("""COMPUTED_VALUE"""),200.52)</f>
        <v>200.52</v>
      </c>
      <c r="C293" s="2">
        <f ca="1">IFERROR(__xludf.DUMMYFUNCTION("""COMPUTED_VALUE"""),204.52)</f>
        <v>204.52</v>
      </c>
      <c r="D293" s="2">
        <f ca="1">IFERROR(__xludf.DUMMYFUNCTION("""COMPUTED_VALUE"""),198.5)</f>
        <v>198.5</v>
      </c>
      <c r="E293" s="2">
        <f ca="1">IFERROR(__xludf.DUMMYFUNCTION("""COMPUTED_VALUE"""),202.64)</f>
        <v>202.64</v>
      </c>
      <c r="F293" s="2">
        <f ca="1">IFERROR(__xludf.DUMMYFUNCTION("""COMPUTED_VALUE"""),82243119)</f>
        <v>82243119</v>
      </c>
    </row>
    <row r="294" spans="1:6" ht="12.5" x14ac:dyDescent="0.25">
      <c r="A294" s="3">
        <f ca="1">IFERROR(__xludf.DUMMYFUNCTION("""COMPUTED_VALUE"""),45355.6666666666)</f>
        <v>45355.666666666599</v>
      </c>
      <c r="B294" s="2">
        <f ca="1">IFERROR(__xludf.DUMMYFUNCTION("""COMPUTED_VALUE"""),198.73)</f>
        <v>198.73</v>
      </c>
      <c r="C294" s="2">
        <f ca="1">IFERROR(__xludf.DUMMYFUNCTION("""COMPUTED_VALUE"""),199.75)</f>
        <v>199.75</v>
      </c>
      <c r="D294" s="2">
        <f ca="1">IFERROR(__xludf.DUMMYFUNCTION("""COMPUTED_VALUE"""),186.72)</f>
        <v>186.72</v>
      </c>
      <c r="E294" s="2">
        <f ca="1">IFERROR(__xludf.DUMMYFUNCTION("""COMPUTED_VALUE"""),188.14)</f>
        <v>188.14</v>
      </c>
      <c r="F294" s="2">
        <f ca="1">IFERROR(__xludf.DUMMYFUNCTION("""COMPUTED_VALUE"""),134334869)</f>
        <v>134334869</v>
      </c>
    </row>
    <row r="295" spans="1:6" ht="12.5" x14ac:dyDescent="0.25">
      <c r="A295" s="3">
        <f ca="1">IFERROR(__xludf.DUMMYFUNCTION("""COMPUTED_VALUE"""),45356.6666666666)</f>
        <v>45356.666666666599</v>
      </c>
      <c r="B295" s="2">
        <f ca="1">IFERROR(__xludf.DUMMYFUNCTION("""COMPUTED_VALUE"""),183.05)</f>
        <v>183.05</v>
      </c>
      <c r="C295" s="2">
        <f ca="1">IFERROR(__xludf.DUMMYFUNCTION("""COMPUTED_VALUE"""),184.59)</f>
        <v>184.59</v>
      </c>
      <c r="D295" s="2">
        <f ca="1">IFERROR(__xludf.DUMMYFUNCTION("""COMPUTED_VALUE"""),177.57)</f>
        <v>177.57</v>
      </c>
      <c r="E295" s="2">
        <f ca="1">IFERROR(__xludf.DUMMYFUNCTION("""COMPUTED_VALUE"""),180.74)</f>
        <v>180.74</v>
      </c>
      <c r="F295" s="2">
        <f ca="1">IFERROR(__xludf.DUMMYFUNCTION("""COMPUTED_VALUE"""),119660758)</f>
        <v>119660758</v>
      </c>
    </row>
    <row r="296" spans="1:6" ht="12.5" x14ac:dyDescent="0.25">
      <c r="A296" s="3">
        <f ca="1">IFERROR(__xludf.DUMMYFUNCTION("""COMPUTED_VALUE"""),45357.6666666666)</f>
        <v>45357.666666666599</v>
      </c>
      <c r="B296" s="2">
        <f ca="1">IFERROR(__xludf.DUMMYFUNCTION("""COMPUTED_VALUE"""),179.99)</f>
        <v>179.99</v>
      </c>
      <c r="C296" s="2">
        <f ca="1">IFERROR(__xludf.DUMMYFUNCTION("""COMPUTED_VALUE"""),181.58)</f>
        <v>181.58</v>
      </c>
      <c r="D296" s="2">
        <f ca="1">IFERROR(__xludf.DUMMYFUNCTION("""COMPUTED_VALUE"""),173.7)</f>
        <v>173.7</v>
      </c>
      <c r="E296" s="2">
        <f ca="1">IFERROR(__xludf.DUMMYFUNCTION("""COMPUTED_VALUE"""),176.54)</f>
        <v>176.54</v>
      </c>
      <c r="F296" s="2">
        <f ca="1">IFERROR(__xludf.DUMMYFUNCTION("""COMPUTED_VALUE"""),107920944)</f>
        <v>107920944</v>
      </c>
    </row>
    <row r="297" spans="1:6" ht="12.5" x14ac:dyDescent="0.25">
      <c r="A297" s="3">
        <f ca="1">IFERROR(__xludf.DUMMYFUNCTION("""COMPUTED_VALUE"""),45358.6666666666)</f>
        <v>45358.666666666599</v>
      </c>
      <c r="B297" s="2">
        <f ca="1">IFERROR(__xludf.DUMMYFUNCTION("""COMPUTED_VALUE"""),174.35)</f>
        <v>174.35</v>
      </c>
      <c r="C297" s="2">
        <f ca="1">IFERROR(__xludf.DUMMYFUNCTION("""COMPUTED_VALUE"""),180.04)</f>
        <v>180.04</v>
      </c>
      <c r="D297" s="2">
        <f ca="1">IFERROR(__xludf.DUMMYFUNCTION("""COMPUTED_VALUE"""),173.7)</f>
        <v>173.7</v>
      </c>
      <c r="E297" s="2">
        <f ca="1">IFERROR(__xludf.DUMMYFUNCTION("""COMPUTED_VALUE"""),178.65)</f>
        <v>178.65</v>
      </c>
      <c r="F297" s="2">
        <f ca="1">IFERROR(__xludf.DUMMYFUNCTION("""COMPUTED_VALUE"""),102129004)</f>
        <v>102129004</v>
      </c>
    </row>
    <row r="298" spans="1:6" ht="12.5" x14ac:dyDescent="0.25">
      <c r="A298" s="3">
        <f ca="1">IFERROR(__xludf.DUMMYFUNCTION("""COMPUTED_VALUE"""),45359.6666666666)</f>
        <v>45359.666666666599</v>
      </c>
      <c r="B298" s="2">
        <f ca="1">IFERROR(__xludf.DUMMYFUNCTION("""COMPUTED_VALUE"""),181.5)</f>
        <v>181.5</v>
      </c>
      <c r="C298" s="2">
        <f ca="1">IFERROR(__xludf.DUMMYFUNCTION("""COMPUTED_VALUE"""),182.73)</f>
        <v>182.73</v>
      </c>
      <c r="D298" s="2">
        <f ca="1">IFERROR(__xludf.DUMMYFUNCTION("""COMPUTED_VALUE"""),174.7)</f>
        <v>174.7</v>
      </c>
      <c r="E298" s="2">
        <f ca="1">IFERROR(__xludf.DUMMYFUNCTION("""COMPUTED_VALUE"""),175.34)</f>
        <v>175.34</v>
      </c>
      <c r="F298" s="2">
        <f ca="1">IFERROR(__xludf.DUMMYFUNCTION("""COMPUTED_VALUE"""),85544644)</f>
        <v>85544644</v>
      </c>
    </row>
    <row r="299" spans="1:6" ht="12.5" x14ac:dyDescent="0.25">
      <c r="A299" s="3">
        <f ca="1">IFERROR(__xludf.DUMMYFUNCTION("""COMPUTED_VALUE"""),45362.6666666666)</f>
        <v>45362.666666666599</v>
      </c>
      <c r="B299" s="2">
        <f ca="1">IFERROR(__xludf.DUMMYFUNCTION("""COMPUTED_VALUE"""),175.45)</f>
        <v>175.45</v>
      </c>
      <c r="C299" s="2">
        <f ca="1">IFERROR(__xludf.DUMMYFUNCTION("""COMPUTED_VALUE"""),182.87)</f>
        <v>182.87</v>
      </c>
      <c r="D299" s="2">
        <f ca="1">IFERROR(__xludf.DUMMYFUNCTION("""COMPUTED_VALUE"""),174.8)</f>
        <v>174.8</v>
      </c>
      <c r="E299" s="2">
        <f ca="1">IFERROR(__xludf.DUMMYFUNCTION("""COMPUTED_VALUE"""),177.77)</f>
        <v>177.77</v>
      </c>
      <c r="F299" s="2">
        <f ca="1">IFERROR(__xludf.DUMMYFUNCTION("""COMPUTED_VALUE"""),85391528)</f>
        <v>85391528</v>
      </c>
    </row>
    <row r="300" spans="1:6" ht="12.5" x14ac:dyDescent="0.25">
      <c r="A300" s="3">
        <f ca="1">IFERROR(__xludf.DUMMYFUNCTION("""COMPUTED_VALUE"""),45363.6666666666)</f>
        <v>45363.666666666599</v>
      </c>
      <c r="B300" s="2">
        <f ca="1">IFERROR(__xludf.DUMMYFUNCTION("""COMPUTED_VALUE"""),177.77)</f>
        <v>177.77</v>
      </c>
      <c r="C300" s="2">
        <f ca="1">IFERROR(__xludf.DUMMYFUNCTION("""COMPUTED_VALUE"""),179.43)</f>
        <v>179.43</v>
      </c>
      <c r="D300" s="2">
        <f ca="1">IFERROR(__xludf.DUMMYFUNCTION("""COMPUTED_VALUE"""),172.41)</f>
        <v>172.41</v>
      </c>
      <c r="E300" s="2">
        <f ca="1">IFERROR(__xludf.DUMMYFUNCTION("""COMPUTED_VALUE"""),177.54)</f>
        <v>177.54</v>
      </c>
      <c r="F300" s="2">
        <f ca="1">IFERROR(__xludf.DUMMYFUNCTION("""COMPUTED_VALUE"""),87391684)</f>
        <v>87391684</v>
      </c>
    </row>
    <row r="301" spans="1:6" ht="12.5" x14ac:dyDescent="0.25">
      <c r="A301" s="3">
        <f ca="1">IFERROR(__xludf.DUMMYFUNCTION("""COMPUTED_VALUE"""),45364.6666666666)</f>
        <v>45364.666666666599</v>
      </c>
      <c r="B301" s="2">
        <f ca="1">IFERROR(__xludf.DUMMYFUNCTION("""COMPUTED_VALUE"""),173.05)</f>
        <v>173.05</v>
      </c>
      <c r="C301" s="2">
        <f ca="1">IFERROR(__xludf.DUMMYFUNCTION("""COMPUTED_VALUE"""),176.05)</f>
        <v>176.05</v>
      </c>
      <c r="D301" s="2">
        <f ca="1">IFERROR(__xludf.DUMMYFUNCTION("""COMPUTED_VALUE"""),169.15)</f>
        <v>169.15</v>
      </c>
      <c r="E301" s="2">
        <f ca="1">IFERROR(__xludf.DUMMYFUNCTION("""COMPUTED_VALUE"""),169.48)</f>
        <v>169.48</v>
      </c>
      <c r="F301" s="2">
        <f ca="1">IFERROR(__xludf.DUMMYFUNCTION("""COMPUTED_VALUE"""),106524518)</f>
        <v>106524518</v>
      </c>
    </row>
    <row r="302" spans="1:6" ht="12.5" x14ac:dyDescent="0.25">
      <c r="A302" s="3">
        <f ca="1">IFERROR(__xludf.DUMMYFUNCTION("""COMPUTED_VALUE"""),45365.6666666666)</f>
        <v>45365.666666666599</v>
      </c>
      <c r="B302" s="2">
        <f ca="1">IFERROR(__xludf.DUMMYFUNCTION("""COMPUTED_VALUE"""),167.77)</f>
        <v>167.77</v>
      </c>
      <c r="C302" s="2">
        <f ca="1">IFERROR(__xludf.DUMMYFUNCTION("""COMPUTED_VALUE"""),171.17)</f>
        <v>171.17</v>
      </c>
      <c r="D302" s="2">
        <f ca="1">IFERROR(__xludf.DUMMYFUNCTION("""COMPUTED_VALUE"""),160.51)</f>
        <v>160.51</v>
      </c>
      <c r="E302" s="2">
        <f ca="1">IFERROR(__xludf.DUMMYFUNCTION("""COMPUTED_VALUE"""),162.5)</f>
        <v>162.5</v>
      </c>
      <c r="F302" s="2">
        <f ca="1">IFERROR(__xludf.DUMMYFUNCTION("""COMPUTED_VALUE"""),126325696)</f>
        <v>126325696</v>
      </c>
    </row>
    <row r="303" spans="1:6" ht="12.5" x14ac:dyDescent="0.25">
      <c r="A303" s="3">
        <f ca="1">IFERROR(__xludf.DUMMYFUNCTION("""COMPUTED_VALUE"""),45366.6666666666)</f>
        <v>45366.666666666599</v>
      </c>
      <c r="B303" s="2">
        <f ca="1">IFERROR(__xludf.DUMMYFUNCTION("""COMPUTED_VALUE"""),163.16)</f>
        <v>163.16</v>
      </c>
      <c r="C303" s="2">
        <f ca="1">IFERROR(__xludf.DUMMYFUNCTION("""COMPUTED_VALUE"""),165.18)</f>
        <v>165.18</v>
      </c>
      <c r="D303" s="2">
        <f ca="1">IFERROR(__xludf.DUMMYFUNCTION("""COMPUTED_VALUE"""),160.76)</f>
        <v>160.76</v>
      </c>
      <c r="E303" s="2">
        <f ca="1">IFERROR(__xludf.DUMMYFUNCTION("""COMPUTED_VALUE"""),163.57)</f>
        <v>163.57</v>
      </c>
      <c r="F303" s="2">
        <f ca="1">IFERROR(__xludf.DUMMYFUNCTION("""COMPUTED_VALUE"""),97146832)</f>
        <v>97146832</v>
      </c>
    </row>
    <row r="304" spans="1:6" ht="12.5" x14ac:dyDescent="0.25">
      <c r="A304" s="3">
        <f ca="1">IFERROR(__xludf.DUMMYFUNCTION("""COMPUTED_VALUE"""),45369.6666666666)</f>
        <v>45369.666666666599</v>
      </c>
      <c r="B304" s="2">
        <f ca="1">IFERROR(__xludf.DUMMYFUNCTION("""COMPUTED_VALUE"""),170.02)</f>
        <v>170.02</v>
      </c>
      <c r="C304" s="2">
        <f ca="1">IFERROR(__xludf.DUMMYFUNCTION("""COMPUTED_VALUE"""),174.72)</f>
        <v>174.72</v>
      </c>
      <c r="D304" s="2">
        <f ca="1">IFERROR(__xludf.DUMMYFUNCTION("""COMPUTED_VALUE"""),165.9)</f>
        <v>165.9</v>
      </c>
      <c r="E304" s="2">
        <f ca="1">IFERROR(__xludf.DUMMYFUNCTION("""COMPUTED_VALUE"""),173.8)</f>
        <v>173.8</v>
      </c>
      <c r="F304" s="2">
        <f ca="1">IFERROR(__xludf.DUMMYFUNCTION("""COMPUTED_VALUE"""),108214358)</f>
        <v>108214358</v>
      </c>
    </row>
    <row r="305" spans="1:6" ht="12.5" x14ac:dyDescent="0.25">
      <c r="A305" s="3">
        <f ca="1">IFERROR(__xludf.DUMMYFUNCTION("""COMPUTED_VALUE"""),45370.6666666666)</f>
        <v>45370.666666666599</v>
      </c>
      <c r="B305" s="2">
        <f ca="1">IFERROR(__xludf.DUMMYFUNCTION("""COMPUTED_VALUE"""),172.36)</f>
        <v>172.36</v>
      </c>
      <c r="C305" s="2">
        <f ca="1">IFERROR(__xludf.DUMMYFUNCTION("""COMPUTED_VALUE"""),172.82)</f>
        <v>172.82</v>
      </c>
      <c r="D305" s="2">
        <f ca="1">IFERROR(__xludf.DUMMYFUNCTION("""COMPUTED_VALUE"""),167.42)</f>
        <v>167.42</v>
      </c>
      <c r="E305" s="2">
        <f ca="1">IFERROR(__xludf.DUMMYFUNCTION("""COMPUTED_VALUE"""),171.32)</f>
        <v>171.32</v>
      </c>
      <c r="F305" s="2">
        <f ca="1">IFERROR(__xludf.DUMMYFUNCTION("""COMPUTED_VALUE"""),77271428)</f>
        <v>77271428</v>
      </c>
    </row>
    <row r="306" spans="1:6" ht="12.5" x14ac:dyDescent="0.25">
      <c r="A306" s="3">
        <f ca="1">IFERROR(__xludf.DUMMYFUNCTION("""COMPUTED_VALUE"""),45371.6666666666)</f>
        <v>45371.666666666599</v>
      </c>
      <c r="B306" s="2">
        <f ca="1">IFERROR(__xludf.DUMMYFUNCTION("""COMPUTED_VALUE"""),173)</f>
        <v>173</v>
      </c>
      <c r="C306" s="2">
        <f ca="1">IFERROR(__xludf.DUMMYFUNCTION("""COMPUTED_VALUE"""),176.25)</f>
        <v>176.25</v>
      </c>
      <c r="D306" s="2">
        <f ca="1">IFERROR(__xludf.DUMMYFUNCTION("""COMPUTED_VALUE"""),170.82)</f>
        <v>170.82</v>
      </c>
      <c r="E306" s="2">
        <f ca="1">IFERROR(__xludf.DUMMYFUNCTION("""COMPUTED_VALUE"""),175.66)</f>
        <v>175.66</v>
      </c>
      <c r="F306" s="2">
        <f ca="1">IFERROR(__xludf.DUMMYFUNCTION("""COMPUTED_VALUE"""),83846726)</f>
        <v>83846726</v>
      </c>
    </row>
    <row r="307" spans="1:6" ht="12.5" x14ac:dyDescent="0.25">
      <c r="A307" s="3">
        <f ca="1">IFERROR(__xludf.DUMMYFUNCTION("""COMPUTED_VALUE"""),45372.6666666666)</f>
        <v>45372.666666666599</v>
      </c>
      <c r="B307" s="2">
        <f ca="1">IFERROR(__xludf.DUMMYFUNCTION("""COMPUTED_VALUE"""),176.39)</f>
        <v>176.39</v>
      </c>
      <c r="C307" s="2">
        <f ca="1">IFERROR(__xludf.DUMMYFUNCTION("""COMPUTED_VALUE"""),178.18)</f>
        <v>178.18</v>
      </c>
      <c r="D307" s="2">
        <f ca="1">IFERROR(__xludf.DUMMYFUNCTION("""COMPUTED_VALUE"""),171.8)</f>
        <v>171.8</v>
      </c>
      <c r="E307" s="2">
        <f ca="1">IFERROR(__xludf.DUMMYFUNCTION("""COMPUTED_VALUE"""),172.82)</f>
        <v>172.82</v>
      </c>
      <c r="F307" s="2">
        <f ca="1">IFERROR(__xludf.DUMMYFUNCTION("""COMPUTED_VALUE"""),73178014)</f>
        <v>73178014</v>
      </c>
    </row>
    <row r="308" spans="1:6" ht="12.5" x14ac:dyDescent="0.25">
      <c r="A308" s="3">
        <f ca="1">IFERROR(__xludf.DUMMYFUNCTION("""COMPUTED_VALUE"""),45373.6666666666)</f>
        <v>45373.666666666599</v>
      </c>
      <c r="B308" s="2">
        <f ca="1">IFERROR(__xludf.DUMMYFUNCTION("""COMPUTED_VALUE"""),166.69)</f>
        <v>166.69</v>
      </c>
      <c r="C308" s="2">
        <f ca="1">IFERROR(__xludf.DUMMYFUNCTION("""COMPUTED_VALUE"""),171.2)</f>
        <v>171.2</v>
      </c>
      <c r="D308" s="2">
        <f ca="1">IFERROR(__xludf.DUMMYFUNCTION("""COMPUTED_VALUE"""),166.3)</f>
        <v>166.3</v>
      </c>
      <c r="E308" s="2">
        <f ca="1">IFERROR(__xludf.DUMMYFUNCTION("""COMPUTED_VALUE"""),170.83)</f>
        <v>170.83</v>
      </c>
      <c r="F308" s="2">
        <f ca="1">IFERROR(__xludf.DUMMYFUNCTION("""COMPUTED_VALUE"""),75580637)</f>
        <v>75580637</v>
      </c>
    </row>
    <row r="309" spans="1:6" ht="12.5" x14ac:dyDescent="0.25">
      <c r="A309" s="3">
        <f ca="1">IFERROR(__xludf.DUMMYFUNCTION("""COMPUTED_VALUE"""),45376.6666666666)</f>
        <v>45376.666666666599</v>
      </c>
      <c r="B309" s="2">
        <f ca="1">IFERROR(__xludf.DUMMYFUNCTION("""COMPUTED_VALUE"""),168.76)</f>
        <v>168.76</v>
      </c>
      <c r="C309" s="2">
        <f ca="1">IFERROR(__xludf.DUMMYFUNCTION("""COMPUTED_VALUE"""),175.24)</f>
        <v>175.24</v>
      </c>
      <c r="D309" s="2">
        <f ca="1">IFERROR(__xludf.DUMMYFUNCTION("""COMPUTED_VALUE"""),168.73)</f>
        <v>168.73</v>
      </c>
      <c r="E309" s="2">
        <f ca="1">IFERROR(__xludf.DUMMYFUNCTION("""COMPUTED_VALUE"""),172.63)</f>
        <v>172.63</v>
      </c>
      <c r="F309" s="2">
        <f ca="1">IFERROR(__xludf.DUMMYFUNCTION("""COMPUTED_VALUE"""),74228615)</f>
        <v>74228615</v>
      </c>
    </row>
    <row r="310" spans="1:6" ht="12.5" x14ac:dyDescent="0.25">
      <c r="A310" s="3">
        <f ca="1">IFERROR(__xludf.DUMMYFUNCTION("""COMPUTED_VALUE"""),45377.6666666666)</f>
        <v>45377.666666666599</v>
      </c>
      <c r="B310" s="2">
        <f ca="1">IFERROR(__xludf.DUMMYFUNCTION("""COMPUTED_VALUE"""),178.58)</f>
        <v>178.58</v>
      </c>
      <c r="C310" s="2">
        <f ca="1">IFERROR(__xludf.DUMMYFUNCTION("""COMPUTED_VALUE"""),184.25)</f>
        <v>184.25</v>
      </c>
      <c r="D310" s="2">
        <f ca="1">IFERROR(__xludf.DUMMYFUNCTION("""COMPUTED_VALUE"""),177.38)</f>
        <v>177.38</v>
      </c>
      <c r="E310" s="2">
        <f ca="1">IFERROR(__xludf.DUMMYFUNCTION("""COMPUTED_VALUE"""),177.67)</f>
        <v>177.67</v>
      </c>
      <c r="F310" s="2">
        <f ca="1">IFERROR(__xludf.DUMMYFUNCTION("""COMPUTED_VALUE"""),113186227)</f>
        <v>113186227</v>
      </c>
    </row>
    <row r="311" spans="1:6" ht="12.5" x14ac:dyDescent="0.25">
      <c r="A311" s="3">
        <f ca="1">IFERROR(__xludf.DUMMYFUNCTION("""COMPUTED_VALUE"""),45378.6666666666)</f>
        <v>45378.666666666599</v>
      </c>
      <c r="B311" s="2">
        <f ca="1">IFERROR(__xludf.DUMMYFUNCTION("""COMPUTED_VALUE"""),181.41)</f>
        <v>181.41</v>
      </c>
      <c r="C311" s="2">
        <f ca="1">IFERROR(__xludf.DUMMYFUNCTION("""COMPUTED_VALUE"""),181.91)</f>
        <v>181.91</v>
      </c>
      <c r="D311" s="2">
        <f ca="1">IFERROR(__xludf.DUMMYFUNCTION("""COMPUTED_VALUE"""),176)</f>
        <v>176</v>
      </c>
      <c r="E311" s="2">
        <f ca="1">IFERROR(__xludf.DUMMYFUNCTION("""COMPUTED_VALUE"""),179.83)</f>
        <v>179.83</v>
      </c>
      <c r="F311" s="2">
        <f ca="1">IFERROR(__xludf.DUMMYFUNCTION("""COMPUTED_VALUE"""),81804043)</f>
        <v>81804043</v>
      </c>
    </row>
    <row r="312" spans="1:6" ht="12.5" x14ac:dyDescent="0.25">
      <c r="A312" s="3">
        <f ca="1">IFERROR(__xludf.DUMMYFUNCTION("""COMPUTED_VALUE"""),45379.6666666666)</f>
        <v>45379.666666666599</v>
      </c>
      <c r="B312" s="2">
        <f ca="1">IFERROR(__xludf.DUMMYFUNCTION("""COMPUTED_VALUE"""),177.45)</f>
        <v>177.45</v>
      </c>
      <c r="C312" s="2">
        <f ca="1">IFERROR(__xludf.DUMMYFUNCTION("""COMPUTED_VALUE"""),179.57)</f>
        <v>179.57</v>
      </c>
      <c r="D312" s="2">
        <f ca="1">IFERROR(__xludf.DUMMYFUNCTION("""COMPUTED_VALUE"""),175.3)</f>
        <v>175.3</v>
      </c>
      <c r="E312" s="2">
        <f ca="1">IFERROR(__xludf.DUMMYFUNCTION("""COMPUTED_VALUE"""),175.79)</f>
        <v>175.79</v>
      </c>
      <c r="F312" s="2">
        <f ca="1">IFERROR(__xludf.DUMMYFUNCTION("""COMPUTED_VALUE"""),77654838)</f>
        <v>77654838</v>
      </c>
    </row>
    <row r="313" spans="1:6" ht="12.5" x14ac:dyDescent="0.25">
      <c r="A313" s="3">
        <f ca="1">IFERROR(__xludf.DUMMYFUNCTION("""COMPUTED_VALUE"""),45383.6666666666)</f>
        <v>45383.666666666599</v>
      </c>
      <c r="B313" s="2">
        <f ca="1">IFERROR(__xludf.DUMMYFUNCTION("""COMPUTED_VALUE"""),176.17)</f>
        <v>176.17</v>
      </c>
      <c r="C313" s="2">
        <f ca="1">IFERROR(__xludf.DUMMYFUNCTION("""COMPUTED_VALUE"""),176.75)</f>
        <v>176.75</v>
      </c>
      <c r="D313" s="2">
        <f ca="1">IFERROR(__xludf.DUMMYFUNCTION("""COMPUTED_VALUE"""),170.21)</f>
        <v>170.21</v>
      </c>
      <c r="E313" s="2">
        <f ca="1">IFERROR(__xludf.DUMMYFUNCTION("""COMPUTED_VALUE"""),175.22)</f>
        <v>175.22</v>
      </c>
      <c r="F313" s="2">
        <f ca="1">IFERROR(__xludf.DUMMYFUNCTION("""COMPUTED_VALUE"""),81562127)</f>
        <v>81562127</v>
      </c>
    </row>
    <row r="314" spans="1:6" ht="12.5" x14ac:dyDescent="0.25">
      <c r="A314" s="3">
        <f ca="1">IFERROR(__xludf.DUMMYFUNCTION("""COMPUTED_VALUE"""),45384.6666666666)</f>
        <v>45384.666666666599</v>
      </c>
      <c r="B314" s="2">
        <f ca="1">IFERROR(__xludf.DUMMYFUNCTION("""COMPUTED_VALUE"""),164.75)</f>
        <v>164.75</v>
      </c>
      <c r="C314" s="2">
        <f ca="1">IFERROR(__xludf.DUMMYFUNCTION("""COMPUTED_VALUE"""),167.69)</f>
        <v>167.69</v>
      </c>
      <c r="D314" s="2">
        <f ca="1">IFERROR(__xludf.DUMMYFUNCTION("""COMPUTED_VALUE"""),163.43)</f>
        <v>163.43</v>
      </c>
      <c r="E314" s="2">
        <f ca="1">IFERROR(__xludf.DUMMYFUNCTION("""COMPUTED_VALUE"""),166.63)</f>
        <v>166.63</v>
      </c>
      <c r="F314" s="2">
        <f ca="1">IFERROR(__xludf.DUMMYFUNCTION("""COMPUTED_VALUE"""),116650594)</f>
        <v>116650594</v>
      </c>
    </row>
    <row r="315" spans="1:6" ht="12.5" x14ac:dyDescent="0.25">
      <c r="A315" s="3">
        <f ca="1">IFERROR(__xludf.DUMMYFUNCTION("""COMPUTED_VALUE"""),45385.6666666666)</f>
        <v>45385.666666666599</v>
      </c>
      <c r="B315" s="2">
        <f ca="1">IFERROR(__xludf.DUMMYFUNCTION("""COMPUTED_VALUE"""),164.02)</f>
        <v>164.02</v>
      </c>
      <c r="C315" s="2">
        <f ca="1">IFERROR(__xludf.DUMMYFUNCTION("""COMPUTED_VALUE"""),168.82)</f>
        <v>168.82</v>
      </c>
      <c r="D315" s="2">
        <f ca="1">IFERROR(__xludf.DUMMYFUNCTION("""COMPUTED_VALUE"""),163.28)</f>
        <v>163.28</v>
      </c>
      <c r="E315" s="2">
        <f ca="1">IFERROR(__xludf.DUMMYFUNCTION("""COMPUTED_VALUE"""),168.38)</f>
        <v>168.38</v>
      </c>
      <c r="F315" s="2">
        <f ca="1">IFERROR(__xludf.DUMMYFUNCTION("""COMPUTED_VALUE"""),82950141)</f>
        <v>82950141</v>
      </c>
    </row>
    <row r="316" spans="1:6" ht="12.5" x14ac:dyDescent="0.25">
      <c r="A316" s="3">
        <f ca="1">IFERROR(__xludf.DUMMYFUNCTION("""COMPUTED_VALUE"""),45386.6666666666)</f>
        <v>45386.666666666599</v>
      </c>
      <c r="B316" s="2">
        <f ca="1">IFERROR(__xludf.DUMMYFUNCTION("""COMPUTED_VALUE"""),170.07)</f>
        <v>170.07</v>
      </c>
      <c r="C316" s="2">
        <f ca="1">IFERROR(__xludf.DUMMYFUNCTION("""COMPUTED_VALUE"""),177.19)</f>
        <v>177.19</v>
      </c>
      <c r="D316" s="2">
        <f ca="1">IFERROR(__xludf.DUMMYFUNCTION("""COMPUTED_VALUE"""),168.01)</f>
        <v>168.01</v>
      </c>
      <c r="E316" s="2">
        <f ca="1">IFERROR(__xludf.DUMMYFUNCTION("""COMPUTED_VALUE"""),171.11)</f>
        <v>171.11</v>
      </c>
      <c r="F316" s="2">
        <f ca="1">IFERROR(__xludf.DUMMYFUNCTION("""COMPUTED_VALUE"""),123161960)</f>
        <v>123161960</v>
      </c>
    </row>
    <row r="317" spans="1:6" ht="12.5" x14ac:dyDescent="0.25">
      <c r="A317" s="3">
        <f ca="1">IFERROR(__xludf.DUMMYFUNCTION("""COMPUTED_VALUE"""),45387.6666666666)</f>
        <v>45387.666666666599</v>
      </c>
      <c r="B317" s="2">
        <f ca="1">IFERROR(__xludf.DUMMYFUNCTION("""COMPUTED_VALUE"""),169.08)</f>
        <v>169.08</v>
      </c>
      <c r="C317" s="2">
        <f ca="1">IFERROR(__xludf.DUMMYFUNCTION("""COMPUTED_VALUE"""),170.86)</f>
        <v>170.86</v>
      </c>
      <c r="D317" s="2">
        <f ca="1">IFERROR(__xludf.DUMMYFUNCTION("""COMPUTED_VALUE"""),160.51)</f>
        <v>160.51</v>
      </c>
      <c r="E317" s="2">
        <f ca="1">IFERROR(__xludf.DUMMYFUNCTION("""COMPUTED_VALUE"""),164.9)</f>
        <v>164.9</v>
      </c>
      <c r="F317" s="2">
        <f ca="1">IFERROR(__xludf.DUMMYFUNCTION("""COMPUTED_VALUE"""),143157603)</f>
        <v>143157603</v>
      </c>
    </row>
    <row r="318" spans="1:6" ht="12.5" x14ac:dyDescent="0.25">
      <c r="A318" s="3">
        <f ca="1">IFERROR(__xludf.DUMMYFUNCTION("""COMPUTED_VALUE"""),45390.6666666666)</f>
        <v>45390.666666666599</v>
      </c>
      <c r="B318" s="2">
        <f ca="1">IFERROR(__xludf.DUMMYFUNCTION("""COMPUTED_VALUE"""),169.34)</f>
        <v>169.34</v>
      </c>
      <c r="C318" s="2">
        <f ca="1">IFERROR(__xludf.DUMMYFUNCTION("""COMPUTED_VALUE"""),174.5)</f>
        <v>174.5</v>
      </c>
      <c r="D318" s="2">
        <f ca="1">IFERROR(__xludf.DUMMYFUNCTION("""COMPUTED_VALUE"""),167.79)</f>
        <v>167.79</v>
      </c>
      <c r="E318" s="2">
        <f ca="1">IFERROR(__xludf.DUMMYFUNCTION("""COMPUTED_VALUE"""),172.98)</f>
        <v>172.98</v>
      </c>
      <c r="F318" s="2">
        <f ca="1">IFERROR(__xludf.DUMMYFUNCTION("""COMPUTED_VALUE"""),104423320)</f>
        <v>104423320</v>
      </c>
    </row>
    <row r="319" spans="1:6" ht="12.5" x14ac:dyDescent="0.25">
      <c r="A319" s="3">
        <f ca="1">IFERROR(__xludf.DUMMYFUNCTION("""COMPUTED_VALUE"""),45391.6666666666)</f>
        <v>45391.666666666599</v>
      </c>
      <c r="B319" s="2">
        <f ca="1">IFERROR(__xludf.DUMMYFUNCTION("""COMPUTED_VALUE"""),172.91)</f>
        <v>172.91</v>
      </c>
      <c r="C319" s="2">
        <f ca="1">IFERROR(__xludf.DUMMYFUNCTION("""COMPUTED_VALUE"""),179.22)</f>
        <v>179.22</v>
      </c>
      <c r="D319" s="2">
        <f ca="1">IFERROR(__xludf.DUMMYFUNCTION("""COMPUTED_VALUE"""),171.92)</f>
        <v>171.92</v>
      </c>
      <c r="E319" s="2">
        <f ca="1">IFERROR(__xludf.DUMMYFUNCTION("""COMPUTED_VALUE"""),176.88)</f>
        <v>176.88</v>
      </c>
      <c r="F319" s="2">
        <f ca="1">IFERROR(__xludf.DUMMYFUNCTION("""COMPUTED_VALUE"""),103232675)</f>
        <v>103232675</v>
      </c>
    </row>
    <row r="320" spans="1:6" ht="12.5" x14ac:dyDescent="0.25">
      <c r="A320" s="3">
        <f ca="1">IFERROR(__xludf.DUMMYFUNCTION("""COMPUTED_VALUE"""),45392.6666666666)</f>
        <v>45392.666666666599</v>
      </c>
      <c r="B320" s="2">
        <f ca="1">IFERROR(__xludf.DUMMYFUNCTION("""COMPUTED_VALUE"""),173.04)</f>
        <v>173.04</v>
      </c>
      <c r="C320" s="2">
        <f ca="1">IFERROR(__xludf.DUMMYFUNCTION("""COMPUTED_VALUE"""),174.93)</f>
        <v>174.93</v>
      </c>
      <c r="D320" s="2">
        <f ca="1">IFERROR(__xludf.DUMMYFUNCTION("""COMPUTED_VALUE"""),170.01)</f>
        <v>170.01</v>
      </c>
      <c r="E320" s="2">
        <f ca="1">IFERROR(__xludf.DUMMYFUNCTION("""COMPUTED_VALUE"""),171.76)</f>
        <v>171.76</v>
      </c>
      <c r="F320" s="2">
        <f ca="1">IFERROR(__xludf.DUMMYFUNCTION("""COMPUTED_VALUE"""),84532407)</f>
        <v>84532407</v>
      </c>
    </row>
    <row r="321" spans="1:6" ht="12.5" x14ac:dyDescent="0.25">
      <c r="A321" s="3">
        <f ca="1">IFERROR(__xludf.DUMMYFUNCTION("""COMPUTED_VALUE"""),45393.6666666666)</f>
        <v>45393.666666666599</v>
      </c>
      <c r="B321" s="2">
        <f ca="1">IFERROR(__xludf.DUMMYFUNCTION("""COMPUTED_VALUE"""),172.55)</f>
        <v>172.55</v>
      </c>
      <c r="C321" s="2">
        <f ca="1">IFERROR(__xludf.DUMMYFUNCTION("""COMPUTED_VALUE"""),175.88)</f>
        <v>175.88</v>
      </c>
      <c r="D321" s="2">
        <f ca="1">IFERROR(__xludf.DUMMYFUNCTION("""COMPUTED_VALUE"""),168.51)</f>
        <v>168.51</v>
      </c>
      <c r="E321" s="2">
        <f ca="1">IFERROR(__xludf.DUMMYFUNCTION("""COMPUTED_VALUE"""),174.6)</f>
        <v>174.6</v>
      </c>
      <c r="F321" s="2">
        <f ca="1">IFERROR(__xludf.DUMMYFUNCTION("""COMPUTED_VALUE"""),94515987)</f>
        <v>94515987</v>
      </c>
    </row>
    <row r="322" spans="1:6" ht="12.5" x14ac:dyDescent="0.25">
      <c r="A322" s="3">
        <f ca="1">IFERROR(__xludf.DUMMYFUNCTION("""COMPUTED_VALUE"""),45394.6666666666)</f>
        <v>45394.666666666599</v>
      </c>
      <c r="B322" s="2">
        <f ca="1">IFERROR(__xludf.DUMMYFUNCTION("""COMPUTED_VALUE"""),172.34)</f>
        <v>172.34</v>
      </c>
      <c r="C322" s="2">
        <f ca="1">IFERROR(__xludf.DUMMYFUNCTION("""COMPUTED_VALUE"""),173.81)</f>
        <v>173.81</v>
      </c>
      <c r="D322" s="2">
        <f ca="1">IFERROR(__xludf.DUMMYFUNCTION("""COMPUTED_VALUE"""),170.36)</f>
        <v>170.36</v>
      </c>
      <c r="E322" s="2">
        <f ca="1">IFERROR(__xludf.DUMMYFUNCTION("""COMPUTED_VALUE"""),171.05)</f>
        <v>171.05</v>
      </c>
      <c r="F322" s="2">
        <f ca="1">IFERROR(__xludf.DUMMYFUNCTION("""COMPUTED_VALUE"""),64722669)</f>
        <v>64722669</v>
      </c>
    </row>
    <row r="323" spans="1:6" ht="12.5" x14ac:dyDescent="0.25">
      <c r="A323" s="3">
        <f ca="1">IFERROR(__xludf.DUMMYFUNCTION("""COMPUTED_VALUE"""),45397.6666666666)</f>
        <v>45397.666666666599</v>
      </c>
      <c r="B323" s="2">
        <f ca="1">IFERROR(__xludf.DUMMYFUNCTION("""COMPUTED_VALUE"""),170.24)</f>
        <v>170.24</v>
      </c>
      <c r="C323" s="2">
        <f ca="1">IFERROR(__xludf.DUMMYFUNCTION("""COMPUTED_VALUE"""),170.69)</f>
        <v>170.69</v>
      </c>
      <c r="D323" s="2">
        <f ca="1">IFERROR(__xludf.DUMMYFUNCTION("""COMPUTED_VALUE"""),161.38)</f>
        <v>161.38</v>
      </c>
      <c r="E323" s="2">
        <f ca="1">IFERROR(__xludf.DUMMYFUNCTION("""COMPUTED_VALUE"""),161.48)</f>
        <v>161.47999999999999</v>
      </c>
      <c r="F323" s="2">
        <f ca="1">IFERROR(__xludf.DUMMYFUNCTION("""COMPUTED_VALUE"""),100245310)</f>
        <v>100245310</v>
      </c>
    </row>
    <row r="324" spans="1:6" ht="12.5" x14ac:dyDescent="0.25">
      <c r="A324" s="3">
        <f ca="1">IFERROR(__xludf.DUMMYFUNCTION("""COMPUTED_VALUE"""),45398.6666666666)</f>
        <v>45398.666666666599</v>
      </c>
      <c r="B324" s="2">
        <f ca="1">IFERROR(__xludf.DUMMYFUNCTION("""COMPUTED_VALUE"""),156.74)</f>
        <v>156.74</v>
      </c>
      <c r="C324" s="2">
        <f ca="1">IFERROR(__xludf.DUMMYFUNCTION("""COMPUTED_VALUE"""),158.19)</f>
        <v>158.19</v>
      </c>
      <c r="D324" s="2">
        <f ca="1">IFERROR(__xludf.DUMMYFUNCTION("""COMPUTED_VALUE"""),153.75)</f>
        <v>153.75</v>
      </c>
      <c r="E324" s="2">
        <f ca="1">IFERROR(__xludf.DUMMYFUNCTION("""COMPUTED_VALUE"""),157.11)</f>
        <v>157.11000000000001</v>
      </c>
      <c r="F324" s="2">
        <f ca="1">IFERROR(__xludf.DUMMYFUNCTION("""COMPUTED_VALUE"""),96999956)</f>
        <v>96999956</v>
      </c>
    </row>
    <row r="325" spans="1:6" ht="12.5" x14ac:dyDescent="0.25">
      <c r="A325" s="3">
        <f ca="1">IFERROR(__xludf.DUMMYFUNCTION("""COMPUTED_VALUE"""),45399.6666666666)</f>
        <v>45399.666666666599</v>
      </c>
      <c r="B325" s="2">
        <f ca="1">IFERROR(__xludf.DUMMYFUNCTION("""COMPUTED_VALUE"""),157.64)</f>
        <v>157.63999999999999</v>
      </c>
      <c r="C325" s="2">
        <f ca="1">IFERROR(__xludf.DUMMYFUNCTION("""COMPUTED_VALUE"""),158.33)</f>
        <v>158.33000000000001</v>
      </c>
      <c r="D325" s="2">
        <f ca="1">IFERROR(__xludf.DUMMYFUNCTION("""COMPUTED_VALUE"""),153.78)</f>
        <v>153.78</v>
      </c>
      <c r="E325" s="2">
        <f ca="1">IFERROR(__xludf.DUMMYFUNCTION("""COMPUTED_VALUE"""),155.45)</f>
        <v>155.44999999999999</v>
      </c>
      <c r="F325" s="2">
        <f ca="1">IFERROR(__xludf.DUMMYFUNCTION("""COMPUTED_VALUE"""),82439718)</f>
        <v>82439718</v>
      </c>
    </row>
    <row r="326" spans="1:6" ht="12.5" x14ac:dyDescent="0.25">
      <c r="A326" s="3">
        <f ca="1">IFERROR(__xludf.DUMMYFUNCTION("""COMPUTED_VALUE"""),45400.6666666666)</f>
        <v>45400.666666666599</v>
      </c>
      <c r="B326" s="2">
        <f ca="1">IFERROR(__xludf.DUMMYFUNCTION("""COMPUTED_VALUE"""),151.25)</f>
        <v>151.25</v>
      </c>
      <c r="C326" s="2">
        <f ca="1">IFERROR(__xludf.DUMMYFUNCTION("""COMPUTED_VALUE"""),152.2)</f>
        <v>152.19999999999999</v>
      </c>
      <c r="D326" s="2">
        <f ca="1">IFERROR(__xludf.DUMMYFUNCTION("""COMPUTED_VALUE"""),148.7)</f>
        <v>148.69999999999999</v>
      </c>
      <c r="E326" s="2">
        <f ca="1">IFERROR(__xludf.DUMMYFUNCTION("""COMPUTED_VALUE"""),149.93)</f>
        <v>149.93</v>
      </c>
      <c r="F326" s="2">
        <f ca="1">IFERROR(__xludf.DUMMYFUNCTION("""COMPUTED_VALUE"""),96098830)</f>
        <v>96098830</v>
      </c>
    </row>
    <row r="327" spans="1:6" ht="12.5" x14ac:dyDescent="0.25">
      <c r="A327" s="3">
        <f ca="1">IFERROR(__xludf.DUMMYFUNCTION("""COMPUTED_VALUE"""),45401.6666666666)</f>
        <v>45401.666666666599</v>
      </c>
      <c r="B327" s="2">
        <f ca="1">IFERROR(__xludf.DUMMYFUNCTION("""COMPUTED_VALUE"""),148.97)</f>
        <v>148.97</v>
      </c>
      <c r="C327" s="2">
        <f ca="1">IFERROR(__xludf.DUMMYFUNCTION("""COMPUTED_VALUE"""),150.94)</f>
        <v>150.94</v>
      </c>
      <c r="D327" s="2">
        <f ca="1">IFERROR(__xludf.DUMMYFUNCTION("""COMPUTED_VALUE"""),146.22)</f>
        <v>146.22</v>
      </c>
      <c r="E327" s="2">
        <f ca="1">IFERROR(__xludf.DUMMYFUNCTION("""COMPUTED_VALUE"""),147.05)</f>
        <v>147.05000000000001</v>
      </c>
      <c r="F327" s="2">
        <f ca="1">IFERROR(__xludf.DUMMYFUNCTION("""COMPUTED_VALUE"""),87074500)</f>
        <v>87074500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327"/>
  <sheetViews>
    <sheetView workbookViewId="0"/>
  </sheetViews>
  <sheetFormatPr defaultColWidth="12.6328125" defaultRowHeight="15.75" customHeight="1" x14ac:dyDescent="0.25"/>
  <sheetData>
    <row r="1" spans="1:6" ht="15.75" customHeight="1" x14ac:dyDescent="0.25">
      <c r="A1" s="2" t="str">
        <f ca="1">IFERROR(__xludf.DUMMYFUNCTION("GOOGLEFINANCE(""META"",""all"",DATE(2023,1,1), today())"),"Date")</f>
        <v>Date</v>
      </c>
      <c r="B1" s="2" t="str">
        <f ca="1">IFERROR(__xludf.DUMMYFUNCTION("""COMPUTED_VALUE"""),"Open")</f>
        <v>Open</v>
      </c>
      <c r="C1" s="2" t="str">
        <f ca="1">IFERROR(__xludf.DUMMYFUNCTION("""COMPUTED_VALUE"""),"High")</f>
        <v>High</v>
      </c>
      <c r="D1" s="2" t="str">
        <f ca="1">IFERROR(__xludf.DUMMYFUNCTION("""COMPUTED_VALUE"""),"Low")</f>
        <v>Low</v>
      </c>
      <c r="E1" s="2" t="str">
        <f ca="1">IFERROR(__xludf.DUMMYFUNCTION("""COMPUTED_VALUE"""),"Close")</f>
        <v>Close</v>
      </c>
      <c r="F1" s="2" t="str">
        <f ca="1">IFERROR(__xludf.DUMMYFUNCTION("""COMPUTED_VALUE"""),"Volume")</f>
        <v>Volume</v>
      </c>
    </row>
    <row r="2" spans="1:6" ht="15.75" customHeight="1" x14ac:dyDescent="0.25">
      <c r="A2" s="3">
        <f ca="1">IFERROR(__xludf.DUMMYFUNCTION("""COMPUTED_VALUE"""),44929.6666666666)</f>
        <v>44929.666666666599</v>
      </c>
      <c r="B2" s="2">
        <f ca="1">IFERROR(__xludf.DUMMYFUNCTION("""COMPUTED_VALUE"""),122.82)</f>
        <v>122.82</v>
      </c>
      <c r="C2" s="2">
        <f ca="1">IFERROR(__xludf.DUMMYFUNCTION("""COMPUTED_VALUE"""),126.37)</f>
        <v>126.37</v>
      </c>
      <c r="D2" s="2">
        <f ca="1">IFERROR(__xludf.DUMMYFUNCTION("""COMPUTED_VALUE"""),122.28)</f>
        <v>122.28</v>
      </c>
      <c r="E2" s="2">
        <f ca="1">IFERROR(__xludf.DUMMYFUNCTION("""COMPUTED_VALUE"""),124.74)</f>
        <v>124.74</v>
      </c>
      <c r="F2" s="2">
        <f ca="1">IFERROR(__xludf.DUMMYFUNCTION("""COMPUTED_VALUE"""),35528531)</f>
        <v>35528531</v>
      </c>
    </row>
    <row r="3" spans="1:6" ht="15.75" customHeight="1" x14ac:dyDescent="0.25">
      <c r="A3" s="3">
        <f ca="1">IFERROR(__xludf.DUMMYFUNCTION("""COMPUTED_VALUE"""),44930.6666666666)</f>
        <v>44930.666666666599</v>
      </c>
      <c r="B3" s="2">
        <f ca="1">IFERROR(__xludf.DUMMYFUNCTION("""COMPUTED_VALUE"""),127.38)</f>
        <v>127.38</v>
      </c>
      <c r="C3" s="2">
        <f ca="1">IFERROR(__xludf.DUMMYFUNCTION("""COMPUTED_VALUE"""),129.05)</f>
        <v>129.05000000000001</v>
      </c>
      <c r="D3" s="2">
        <f ca="1">IFERROR(__xludf.DUMMYFUNCTION("""COMPUTED_VALUE"""),125.85)</f>
        <v>125.85</v>
      </c>
      <c r="E3" s="2">
        <f ca="1">IFERROR(__xludf.DUMMYFUNCTION("""COMPUTED_VALUE"""),127.37)</f>
        <v>127.37</v>
      </c>
      <c r="F3" s="2">
        <f ca="1">IFERROR(__xludf.DUMMYFUNCTION("""COMPUTED_VALUE"""),32397094)</f>
        <v>32397094</v>
      </c>
    </row>
    <row r="4" spans="1:6" ht="15.75" customHeight="1" x14ac:dyDescent="0.25">
      <c r="A4" s="3">
        <f ca="1">IFERROR(__xludf.DUMMYFUNCTION("""COMPUTED_VALUE"""),44931.6666666666)</f>
        <v>44931.666666666599</v>
      </c>
      <c r="B4" s="2">
        <f ca="1">IFERROR(__xludf.DUMMYFUNCTION("""COMPUTED_VALUE"""),126.13)</f>
        <v>126.13</v>
      </c>
      <c r="C4" s="2">
        <f ca="1">IFERROR(__xludf.DUMMYFUNCTION("""COMPUTED_VALUE"""),128.52)</f>
        <v>128.52000000000001</v>
      </c>
      <c r="D4" s="2">
        <f ca="1">IFERROR(__xludf.DUMMYFUNCTION("""COMPUTED_VALUE"""),124.54)</f>
        <v>124.54</v>
      </c>
      <c r="E4" s="2">
        <f ca="1">IFERROR(__xludf.DUMMYFUNCTION("""COMPUTED_VALUE"""),126.94)</f>
        <v>126.94</v>
      </c>
      <c r="F4" s="2">
        <f ca="1">IFERROR(__xludf.DUMMYFUNCTION("""COMPUTED_VALUE"""),25447099)</f>
        <v>25447099</v>
      </c>
    </row>
    <row r="5" spans="1:6" ht="15.75" customHeight="1" x14ac:dyDescent="0.25">
      <c r="A5" s="3">
        <f ca="1">IFERROR(__xludf.DUMMYFUNCTION("""COMPUTED_VALUE"""),44932.6666666666)</f>
        <v>44932.666666666599</v>
      </c>
      <c r="B5" s="2">
        <f ca="1">IFERROR(__xludf.DUMMYFUNCTION("""COMPUTED_VALUE"""),128.97)</f>
        <v>128.97</v>
      </c>
      <c r="C5" s="2">
        <f ca="1">IFERROR(__xludf.DUMMYFUNCTION("""COMPUTED_VALUE"""),130.33)</f>
        <v>130.33000000000001</v>
      </c>
      <c r="D5" s="2">
        <f ca="1">IFERROR(__xludf.DUMMYFUNCTION("""COMPUTED_VALUE"""),126.04)</f>
        <v>126.04</v>
      </c>
      <c r="E5" s="2">
        <f ca="1">IFERROR(__xludf.DUMMYFUNCTION("""COMPUTED_VALUE"""),130.02)</f>
        <v>130.02000000000001</v>
      </c>
      <c r="F5" s="2">
        <f ca="1">IFERROR(__xludf.DUMMYFUNCTION("""COMPUTED_VALUE"""),27584498)</f>
        <v>27584498</v>
      </c>
    </row>
    <row r="6" spans="1:6" ht="15.75" customHeight="1" x14ac:dyDescent="0.25">
      <c r="A6" s="3">
        <f ca="1">IFERROR(__xludf.DUMMYFUNCTION("""COMPUTED_VALUE"""),44935.6666666666)</f>
        <v>44935.666666666599</v>
      </c>
      <c r="B6" s="2">
        <f ca="1">IFERROR(__xludf.DUMMYFUNCTION("""COMPUTED_VALUE"""),131.16)</f>
        <v>131.16</v>
      </c>
      <c r="C6" s="2">
        <f ca="1">IFERROR(__xludf.DUMMYFUNCTION("""COMPUTED_VALUE"""),132.95)</f>
        <v>132.94999999999999</v>
      </c>
      <c r="D6" s="2">
        <f ca="1">IFERROR(__xludf.DUMMYFUNCTION("""COMPUTED_VALUE"""),129.28)</f>
        <v>129.28</v>
      </c>
      <c r="E6" s="2">
        <f ca="1">IFERROR(__xludf.DUMMYFUNCTION("""COMPUTED_VALUE"""),129.47)</f>
        <v>129.47</v>
      </c>
      <c r="F6" s="2">
        <f ca="1">IFERROR(__xludf.DUMMYFUNCTION("""COMPUTED_VALUE"""),26649145)</f>
        <v>26649145</v>
      </c>
    </row>
    <row r="7" spans="1:6" ht="15.75" customHeight="1" x14ac:dyDescent="0.25">
      <c r="A7" s="3">
        <f ca="1">IFERROR(__xludf.DUMMYFUNCTION("""COMPUTED_VALUE"""),44936.6666666666)</f>
        <v>44936.666666666599</v>
      </c>
      <c r="B7" s="2">
        <f ca="1">IFERROR(__xludf.DUMMYFUNCTION("""COMPUTED_VALUE"""),127.27)</f>
        <v>127.27</v>
      </c>
      <c r="C7" s="2">
        <f ca="1">IFERROR(__xludf.DUMMYFUNCTION("""COMPUTED_VALUE"""),133.44)</f>
        <v>133.44</v>
      </c>
      <c r="D7" s="2">
        <f ca="1">IFERROR(__xludf.DUMMYFUNCTION("""COMPUTED_VALUE"""),127.15)</f>
        <v>127.15</v>
      </c>
      <c r="E7" s="2">
        <f ca="1">IFERROR(__xludf.DUMMYFUNCTION("""COMPUTED_VALUE"""),132.99)</f>
        <v>132.99</v>
      </c>
      <c r="F7" s="2">
        <f ca="1">IFERROR(__xludf.DUMMYFUNCTION("""COMPUTED_VALUE"""),28684431)</f>
        <v>28684431</v>
      </c>
    </row>
    <row r="8" spans="1:6" ht="15.75" customHeight="1" x14ac:dyDescent="0.25">
      <c r="A8" s="3">
        <f ca="1">IFERROR(__xludf.DUMMYFUNCTION("""COMPUTED_VALUE"""),44937.6666666666)</f>
        <v>44937.666666666599</v>
      </c>
      <c r="B8" s="2">
        <f ca="1">IFERROR(__xludf.DUMMYFUNCTION("""COMPUTED_VALUE"""),130.96)</f>
        <v>130.96</v>
      </c>
      <c r="C8" s="2">
        <f ca="1">IFERROR(__xludf.DUMMYFUNCTION("""COMPUTED_VALUE"""),133.85)</f>
        <v>133.85</v>
      </c>
      <c r="D8" s="2">
        <f ca="1">IFERROR(__xludf.DUMMYFUNCTION("""COMPUTED_VALUE"""),130.34)</f>
        <v>130.34</v>
      </c>
      <c r="E8" s="2">
        <f ca="1">IFERROR(__xludf.DUMMYFUNCTION("""COMPUTED_VALUE"""),132.89)</f>
        <v>132.88999999999999</v>
      </c>
      <c r="F8" s="2">
        <f ca="1">IFERROR(__xludf.DUMMYFUNCTION("""COMPUTED_VALUE"""),25423046)</f>
        <v>25423046</v>
      </c>
    </row>
    <row r="9" spans="1:6" ht="15.75" customHeight="1" x14ac:dyDescent="0.25">
      <c r="A9" s="3">
        <f ca="1">IFERROR(__xludf.DUMMYFUNCTION("""COMPUTED_VALUE"""),44938.6666666666)</f>
        <v>44938.666666666599</v>
      </c>
      <c r="B9" s="2">
        <f ca="1">IFERROR(__xludf.DUMMYFUNCTION("""COMPUTED_VALUE"""),133.44)</f>
        <v>133.44</v>
      </c>
      <c r="C9" s="2">
        <f ca="1">IFERROR(__xludf.DUMMYFUNCTION("""COMPUTED_VALUE"""),137.68)</f>
        <v>137.68</v>
      </c>
      <c r="D9" s="2">
        <f ca="1">IFERROR(__xludf.DUMMYFUNCTION("""COMPUTED_VALUE"""),131.76)</f>
        <v>131.76</v>
      </c>
      <c r="E9" s="2">
        <f ca="1">IFERROR(__xludf.DUMMYFUNCTION("""COMPUTED_VALUE"""),136.71)</f>
        <v>136.71</v>
      </c>
      <c r="F9" s="2">
        <f ca="1">IFERROR(__xludf.DUMMYFUNCTION("""COMPUTED_VALUE"""),30757732)</f>
        <v>30757732</v>
      </c>
    </row>
    <row r="10" spans="1:6" ht="15.75" customHeight="1" x14ac:dyDescent="0.25">
      <c r="A10" s="3">
        <f ca="1">IFERROR(__xludf.DUMMYFUNCTION("""COMPUTED_VALUE"""),44939.6666666666)</f>
        <v>44939.666666666599</v>
      </c>
      <c r="B10" s="2">
        <f ca="1">IFERROR(__xludf.DUMMYFUNCTION("""COMPUTED_VALUE"""),134.97)</f>
        <v>134.97</v>
      </c>
      <c r="C10" s="2">
        <f ca="1">IFERROR(__xludf.DUMMYFUNCTION("""COMPUTED_VALUE"""),137.39)</f>
        <v>137.38999999999999</v>
      </c>
      <c r="D10" s="2">
        <f ca="1">IFERROR(__xludf.DUMMYFUNCTION("""COMPUTED_VALUE"""),134.84)</f>
        <v>134.84</v>
      </c>
      <c r="E10" s="2">
        <f ca="1">IFERROR(__xludf.DUMMYFUNCTION("""COMPUTED_VALUE"""),136.98)</f>
        <v>136.97999999999999</v>
      </c>
      <c r="F10" s="2">
        <f ca="1">IFERROR(__xludf.DUMMYFUNCTION("""COMPUTED_VALUE"""),22423839)</f>
        <v>22423839</v>
      </c>
    </row>
    <row r="11" spans="1:6" ht="15.75" customHeight="1" x14ac:dyDescent="0.25">
      <c r="A11" s="3">
        <f ca="1">IFERROR(__xludf.DUMMYFUNCTION("""COMPUTED_VALUE"""),44943.6666666666)</f>
        <v>44943.666666666599</v>
      </c>
      <c r="B11" s="2">
        <f ca="1">IFERROR(__xludf.DUMMYFUNCTION("""COMPUTED_VALUE"""),136.18)</f>
        <v>136.18</v>
      </c>
      <c r="C11" s="2">
        <f ca="1">IFERROR(__xludf.DUMMYFUNCTION("""COMPUTED_VALUE"""),136.75)</f>
        <v>136.75</v>
      </c>
      <c r="D11" s="2">
        <f ca="1">IFERROR(__xludf.DUMMYFUNCTION("""COMPUTED_VALUE"""),134.25)</f>
        <v>134.25</v>
      </c>
      <c r="E11" s="2">
        <f ca="1">IFERROR(__xludf.DUMMYFUNCTION("""COMPUTED_VALUE"""),135.36)</f>
        <v>135.36000000000001</v>
      </c>
      <c r="F11" s="2">
        <f ca="1">IFERROR(__xludf.DUMMYFUNCTION("""COMPUTED_VALUE"""),21147587)</f>
        <v>21147587</v>
      </c>
    </row>
    <row r="12" spans="1:6" ht="15.75" customHeight="1" x14ac:dyDescent="0.25">
      <c r="A12" s="3">
        <f ca="1">IFERROR(__xludf.DUMMYFUNCTION("""COMPUTED_VALUE"""),44944.6666666666)</f>
        <v>44944.666666666599</v>
      </c>
      <c r="B12" s="2">
        <f ca="1">IFERROR(__xludf.DUMMYFUNCTION("""COMPUTED_VALUE"""),135.81)</f>
        <v>135.81</v>
      </c>
      <c r="C12" s="2">
        <f ca="1">IFERROR(__xludf.DUMMYFUNCTION("""COMPUTED_VALUE"""),137.25)</f>
        <v>137.25</v>
      </c>
      <c r="D12" s="2">
        <f ca="1">IFERROR(__xludf.DUMMYFUNCTION("""COMPUTED_VALUE"""),132.8)</f>
        <v>132.80000000000001</v>
      </c>
      <c r="E12" s="2">
        <f ca="1">IFERROR(__xludf.DUMMYFUNCTION("""COMPUTED_VALUE"""),133.02)</f>
        <v>133.02000000000001</v>
      </c>
      <c r="F12" s="2">
        <f ca="1">IFERROR(__xludf.DUMMYFUNCTION("""COMPUTED_VALUE"""),20215486)</f>
        <v>20215486</v>
      </c>
    </row>
    <row r="13" spans="1:6" ht="15.75" customHeight="1" x14ac:dyDescent="0.25">
      <c r="A13" s="3">
        <f ca="1">IFERROR(__xludf.DUMMYFUNCTION("""COMPUTED_VALUE"""),44945.6666666666)</f>
        <v>44945.666666666599</v>
      </c>
      <c r="B13" s="2">
        <f ca="1">IFERROR(__xludf.DUMMYFUNCTION("""COMPUTED_VALUE"""),132.49)</f>
        <v>132.49</v>
      </c>
      <c r="C13" s="2">
        <f ca="1">IFERROR(__xludf.DUMMYFUNCTION("""COMPUTED_VALUE"""),137.45)</f>
        <v>137.44999999999999</v>
      </c>
      <c r="D13" s="2">
        <f ca="1">IFERROR(__xludf.DUMMYFUNCTION("""COMPUTED_VALUE"""),132.14)</f>
        <v>132.13999999999999</v>
      </c>
      <c r="E13" s="2">
        <f ca="1">IFERROR(__xludf.DUMMYFUNCTION("""COMPUTED_VALUE"""),136.15)</f>
        <v>136.15</v>
      </c>
      <c r="F13" s="2">
        <f ca="1">IFERROR(__xludf.DUMMYFUNCTION("""COMPUTED_VALUE"""),28625232)</f>
        <v>28625232</v>
      </c>
    </row>
    <row r="14" spans="1:6" ht="15.75" customHeight="1" x14ac:dyDescent="0.25">
      <c r="A14" s="3">
        <f ca="1">IFERROR(__xludf.DUMMYFUNCTION("""COMPUTED_VALUE"""),44946.6666666666)</f>
        <v>44946.666666666599</v>
      </c>
      <c r="B14" s="2">
        <f ca="1">IFERROR(__xludf.DUMMYFUNCTION("""COMPUTED_VALUE"""),135.89)</f>
        <v>135.88999999999999</v>
      </c>
      <c r="C14" s="2">
        <f ca="1">IFERROR(__xludf.DUMMYFUNCTION("""COMPUTED_VALUE"""),139.94)</f>
        <v>139.94</v>
      </c>
      <c r="D14" s="2">
        <f ca="1">IFERROR(__xludf.DUMMYFUNCTION("""COMPUTED_VALUE"""),134.61)</f>
        <v>134.61000000000001</v>
      </c>
      <c r="E14" s="2">
        <f ca="1">IFERROR(__xludf.DUMMYFUNCTION("""COMPUTED_VALUE"""),139.37)</f>
        <v>139.37</v>
      </c>
      <c r="F14" s="2">
        <f ca="1">IFERROR(__xludf.DUMMYFUNCTION("""COMPUTED_VALUE"""),28688630)</f>
        <v>28688630</v>
      </c>
    </row>
    <row r="15" spans="1:6" ht="15.75" customHeight="1" x14ac:dyDescent="0.25">
      <c r="A15" s="3">
        <f ca="1">IFERROR(__xludf.DUMMYFUNCTION("""COMPUTED_VALUE"""),44949.6666666666)</f>
        <v>44949.666666666599</v>
      </c>
      <c r="B15" s="2">
        <f ca="1">IFERROR(__xludf.DUMMYFUNCTION("""COMPUTED_VALUE"""),139.29)</f>
        <v>139.29</v>
      </c>
      <c r="C15" s="2">
        <f ca="1">IFERROR(__xludf.DUMMYFUNCTION("""COMPUTED_VALUE"""),143.76)</f>
        <v>143.76</v>
      </c>
      <c r="D15" s="2">
        <f ca="1">IFERROR(__xludf.DUMMYFUNCTION("""COMPUTED_VALUE"""),138.66)</f>
        <v>138.66</v>
      </c>
      <c r="E15" s="2">
        <f ca="1">IFERROR(__xludf.DUMMYFUNCTION("""COMPUTED_VALUE"""),143.27)</f>
        <v>143.27000000000001</v>
      </c>
      <c r="F15" s="2">
        <f ca="1">IFERROR(__xludf.DUMMYFUNCTION("""COMPUTED_VALUE"""),27470093)</f>
        <v>27470093</v>
      </c>
    </row>
    <row r="16" spans="1:6" ht="15.75" customHeight="1" x14ac:dyDescent="0.25">
      <c r="A16" s="3">
        <f ca="1">IFERROR(__xludf.DUMMYFUNCTION("""COMPUTED_VALUE"""),44950.6666666666)</f>
        <v>44950.666666666599</v>
      </c>
      <c r="B16" s="2">
        <f ca="1">IFERROR(__xludf.DUMMYFUNCTION("""COMPUTED_VALUE"""),141.69)</f>
        <v>141.69</v>
      </c>
      <c r="C16" s="2">
        <f ca="1">IFERROR(__xludf.DUMMYFUNCTION("""COMPUTED_VALUE"""),145)</f>
        <v>145</v>
      </c>
      <c r="D16" s="2">
        <f ca="1">IFERROR(__xludf.DUMMYFUNCTION("""COMPUTED_VALUE"""),141.36)</f>
        <v>141.36000000000001</v>
      </c>
      <c r="E16" s="2">
        <f ca="1">IFERROR(__xludf.DUMMYFUNCTION("""COMPUTED_VALUE"""),143.14)</f>
        <v>143.13999999999999</v>
      </c>
      <c r="F16" s="2">
        <f ca="1">IFERROR(__xludf.DUMMYFUNCTION("""COMPUTED_VALUE"""),21970190)</f>
        <v>21970190</v>
      </c>
    </row>
    <row r="17" spans="1:6" ht="15.75" customHeight="1" x14ac:dyDescent="0.25">
      <c r="A17" s="3">
        <f ca="1">IFERROR(__xludf.DUMMYFUNCTION("""COMPUTED_VALUE"""),44951.6666666666)</f>
        <v>44951.666666666599</v>
      </c>
      <c r="B17" s="2">
        <f ca="1">IFERROR(__xludf.DUMMYFUNCTION("""COMPUTED_VALUE"""),141.22)</f>
        <v>141.22</v>
      </c>
      <c r="C17" s="2">
        <f ca="1">IFERROR(__xludf.DUMMYFUNCTION("""COMPUTED_VALUE"""),143.17)</f>
        <v>143.16999999999999</v>
      </c>
      <c r="D17" s="2">
        <f ca="1">IFERROR(__xludf.DUMMYFUNCTION("""COMPUTED_VALUE"""),140.31)</f>
        <v>140.31</v>
      </c>
      <c r="E17" s="2">
        <f ca="1">IFERROR(__xludf.DUMMYFUNCTION("""COMPUTED_VALUE"""),141.5)</f>
        <v>141.5</v>
      </c>
      <c r="F17" s="2">
        <f ca="1">IFERROR(__xludf.DUMMYFUNCTION("""COMPUTED_VALUE"""),26622021)</f>
        <v>26622021</v>
      </c>
    </row>
    <row r="18" spans="1:6" ht="15.75" customHeight="1" x14ac:dyDescent="0.25">
      <c r="A18" s="3">
        <f ca="1">IFERROR(__xludf.DUMMYFUNCTION("""COMPUTED_VALUE"""),44952.6666666666)</f>
        <v>44952.666666666599</v>
      </c>
      <c r="B18" s="2">
        <f ca="1">IFERROR(__xludf.DUMMYFUNCTION("""COMPUTED_VALUE"""),144.4)</f>
        <v>144.4</v>
      </c>
      <c r="C18" s="2">
        <f ca="1">IFERROR(__xludf.DUMMYFUNCTION("""COMPUTED_VALUE"""),147.51)</f>
        <v>147.51</v>
      </c>
      <c r="D18" s="2">
        <f ca="1">IFERROR(__xludf.DUMMYFUNCTION("""COMPUTED_VALUE"""),143.3)</f>
        <v>143.30000000000001</v>
      </c>
      <c r="E18" s="2">
        <f ca="1">IFERROR(__xludf.DUMMYFUNCTION("""COMPUTED_VALUE"""),147.3)</f>
        <v>147.30000000000001</v>
      </c>
      <c r="F18" s="2">
        <f ca="1">IFERROR(__xludf.DUMMYFUNCTION("""COMPUTED_VALUE"""),25482084)</f>
        <v>25482084</v>
      </c>
    </row>
    <row r="19" spans="1:6" ht="15.75" customHeight="1" x14ac:dyDescent="0.25">
      <c r="A19" s="3">
        <f ca="1">IFERROR(__xludf.DUMMYFUNCTION("""COMPUTED_VALUE"""),44953.6666666666)</f>
        <v>44953.666666666599</v>
      </c>
      <c r="B19" s="2">
        <f ca="1">IFERROR(__xludf.DUMMYFUNCTION("""COMPUTED_VALUE"""),148.24)</f>
        <v>148.24</v>
      </c>
      <c r="C19" s="2">
        <f ca="1">IFERROR(__xludf.DUMMYFUNCTION("""COMPUTED_VALUE"""),153.19)</f>
        <v>153.19</v>
      </c>
      <c r="D19" s="2">
        <f ca="1">IFERROR(__xludf.DUMMYFUNCTION("""COMPUTED_VALUE"""),147.39)</f>
        <v>147.38999999999999</v>
      </c>
      <c r="E19" s="2">
        <f ca="1">IFERROR(__xludf.DUMMYFUNCTION("""COMPUTED_VALUE"""),151.74)</f>
        <v>151.74</v>
      </c>
      <c r="F19" s="2">
        <f ca="1">IFERROR(__xludf.DUMMYFUNCTION("""COMPUTED_VALUE"""),35771865)</f>
        <v>35771865</v>
      </c>
    </row>
    <row r="20" spans="1:6" ht="15.75" customHeight="1" x14ac:dyDescent="0.25">
      <c r="A20" s="3">
        <f ca="1">IFERROR(__xludf.DUMMYFUNCTION("""COMPUTED_VALUE"""),44956.6666666666)</f>
        <v>44956.666666666599</v>
      </c>
      <c r="B20" s="2">
        <f ca="1">IFERROR(__xludf.DUMMYFUNCTION("""COMPUTED_VALUE"""),149.41)</f>
        <v>149.41</v>
      </c>
      <c r="C20" s="2">
        <f ca="1">IFERROR(__xludf.DUMMYFUNCTION("""COMPUTED_VALUE"""),151.12)</f>
        <v>151.12</v>
      </c>
      <c r="D20" s="2">
        <f ca="1">IFERROR(__xludf.DUMMYFUNCTION("""COMPUTED_VALUE"""),146.95)</f>
        <v>146.94999999999999</v>
      </c>
      <c r="E20" s="2">
        <f ca="1">IFERROR(__xludf.DUMMYFUNCTION("""COMPUTED_VALUE"""),147.06)</f>
        <v>147.06</v>
      </c>
      <c r="F20" s="2">
        <f ca="1">IFERROR(__xludf.DUMMYFUNCTION("""COMPUTED_VALUE"""),28040100)</f>
        <v>28040100</v>
      </c>
    </row>
    <row r="21" spans="1:6" ht="15.75" customHeight="1" x14ac:dyDescent="0.25">
      <c r="A21" s="3">
        <f ca="1">IFERROR(__xludf.DUMMYFUNCTION("""COMPUTED_VALUE"""),44957.6666666666)</f>
        <v>44957.666666666599</v>
      </c>
      <c r="B21" s="2">
        <f ca="1">IFERROR(__xludf.DUMMYFUNCTION("""COMPUTED_VALUE"""),147.95)</f>
        <v>147.94999999999999</v>
      </c>
      <c r="C21" s="2">
        <f ca="1">IFERROR(__xludf.DUMMYFUNCTION("""COMPUTED_VALUE"""),149.88)</f>
        <v>149.88</v>
      </c>
      <c r="D21" s="2">
        <f ca="1">IFERROR(__xludf.DUMMYFUNCTION("""COMPUTED_VALUE"""),147.52)</f>
        <v>147.52000000000001</v>
      </c>
      <c r="E21" s="2">
        <f ca="1">IFERROR(__xludf.DUMMYFUNCTION("""COMPUTED_VALUE"""),148.97)</f>
        <v>148.97</v>
      </c>
      <c r="F21" s="2">
        <f ca="1">IFERROR(__xludf.DUMMYFUNCTION("""COMPUTED_VALUE"""),29842109)</f>
        <v>29842109</v>
      </c>
    </row>
    <row r="22" spans="1:6" ht="15.75" customHeight="1" x14ac:dyDescent="0.25">
      <c r="A22" s="3">
        <f ca="1">IFERROR(__xludf.DUMMYFUNCTION("""COMPUTED_VALUE"""),44958.6666666666)</f>
        <v>44958.666666666599</v>
      </c>
      <c r="B22" s="2">
        <f ca="1">IFERROR(__xludf.DUMMYFUNCTION("""COMPUTED_VALUE"""),148.03)</f>
        <v>148.03</v>
      </c>
      <c r="C22" s="2">
        <f ca="1">IFERROR(__xludf.DUMMYFUNCTION("""COMPUTED_VALUE"""),153.58)</f>
        <v>153.58000000000001</v>
      </c>
      <c r="D22" s="2">
        <f ca="1">IFERROR(__xludf.DUMMYFUNCTION("""COMPUTED_VALUE"""),147.06)</f>
        <v>147.06</v>
      </c>
      <c r="E22" s="2">
        <f ca="1">IFERROR(__xludf.DUMMYFUNCTION("""COMPUTED_VALUE"""),153.12)</f>
        <v>153.12</v>
      </c>
      <c r="F22" s="2">
        <f ca="1">IFERROR(__xludf.DUMMYFUNCTION("""COMPUTED_VALUE"""),55661017)</f>
        <v>55661017</v>
      </c>
    </row>
    <row r="23" spans="1:6" ht="15.75" customHeight="1" x14ac:dyDescent="0.25">
      <c r="A23" s="3">
        <f ca="1">IFERROR(__xludf.DUMMYFUNCTION("""COMPUTED_VALUE"""),44959.6666666666)</f>
        <v>44959.666666666599</v>
      </c>
      <c r="B23" s="2">
        <f ca="1">IFERROR(__xludf.DUMMYFUNCTION("""COMPUTED_VALUE"""),183.38)</f>
        <v>183.38</v>
      </c>
      <c r="C23" s="2">
        <f ca="1">IFERROR(__xludf.DUMMYFUNCTION("""COMPUTED_VALUE"""),197.16)</f>
        <v>197.16</v>
      </c>
      <c r="D23" s="2">
        <f ca="1">IFERROR(__xludf.DUMMYFUNCTION("""COMPUTED_VALUE"""),180.16)</f>
        <v>180.16</v>
      </c>
      <c r="E23" s="2">
        <f ca="1">IFERROR(__xludf.DUMMYFUNCTION("""COMPUTED_VALUE"""),188.77)</f>
        <v>188.77</v>
      </c>
      <c r="F23" s="2">
        <f ca="1">IFERROR(__xludf.DUMMYFUNCTION("""COMPUTED_VALUE"""),150475687)</f>
        <v>150475687</v>
      </c>
    </row>
    <row r="24" spans="1:6" ht="15.75" customHeight="1" x14ac:dyDescent="0.25">
      <c r="A24" s="3">
        <f ca="1">IFERROR(__xludf.DUMMYFUNCTION("""COMPUTED_VALUE"""),44960.6666666666)</f>
        <v>44960.666666666599</v>
      </c>
      <c r="B24" s="2">
        <f ca="1">IFERROR(__xludf.DUMMYFUNCTION("""COMPUTED_VALUE"""),183.47)</f>
        <v>183.47</v>
      </c>
      <c r="C24" s="2">
        <f ca="1">IFERROR(__xludf.DUMMYFUNCTION("""COMPUTED_VALUE"""),196.77)</f>
        <v>196.77</v>
      </c>
      <c r="D24" s="2">
        <f ca="1">IFERROR(__xludf.DUMMYFUNCTION("""COMPUTED_VALUE"""),182.89)</f>
        <v>182.89</v>
      </c>
      <c r="E24" s="2">
        <f ca="1">IFERROR(__xludf.DUMMYFUNCTION("""COMPUTED_VALUE"""),186.53)</f>
        <v>186.53</v>
      </c>
      <c r="F24" s="2">
        <f ca="1">IFERROR(__xludf.DUMMYFUNCTION("""COMPUTED_VALUE"""),76809701)</f>
        <v>76809701</v>
      </c>
    </row>
    <row r="25" spans="1:6" ht="15.75" customHeight="1" x14ac:dyDescent="0.25">
      <c r="A25" s="3">
        <f ca="1">IFERROR(__xludf.DUMMYFUNCTION("""COMPUTED_VALUE"""),44963.6666666666)</f>
        <v>44963.666666666599</v>
      </c>
      <c r="B25" s="2">
        <f ca="1">IFERROR(__xludf.DUMMYFUNCTION("""COMPUTED_VALUE"""),186.53)</f>
        <v>186.53</v>
      </c>
      <c r="C25" s="2">
        <f ca="1">IFERROR(__xludf.DUMMYFUNCTION("""COMPUTED_VALUE"""),190.7)</f>
        <v>190.7</v>
      </c>
      <c r="D25" s="2">
        <f ca="1">IFERROR(__xludf.DUMMYFUNCTION("""COMPUTED_VALUE"""),185.52)</f>
        <v>185.52</v>
      </c>
      <c r="E25" s="2">
        <f ca="1">IFERROR(__xludf.DUMMYFUNCTION("""COMPUTED_VALUE"""),186.06)</f>
        <v>186.06</v>
      </c>
      <c r="F25" s="2">
        <f ca="1">IFERROR(__xludf.DUMMYFUNCTION("""COMPUTED_VALUE"""),42483811)</f>
        <v>42483811</v>
      </c>
    </row>
    <row r="26" spans="1:6" ht="15.75" customHeight="1" x14ac:dyDescent="0.25">
      <c r="A26" s="3">
        <f ca="1">IFERROR(__xludf.DUMMYFUNCTION("""COMPUTED_VALUE"""),44964.6666666666)</f>
        <v>44964.666666666599</v>
      </c>
      <c r="B26" s="2">
        <f ca="1">IFERROR(__xludf.DUMMYFUNCTION("""COMPUTED_VALUE"""),185.58)</f>
        <v>185.58</v>
      </c>
      <c r="C26" s="2">
        <f ca="1">IFERROR(__xludf.DUMMYFUNCTION("""COMPUTED_VALUE"""),193.78)</f>
        <v>193.78</v>
      </c>
      <c r="D26" s="2">
        <f ca="1">IFERROR(__xludf.DUMMYFUNCTION("""COMPUTED_VALUE"""),184.4)</f>
        <v>184.4</v>
      </c>
      <c r="E26" s="2">
        <f ca="1">IFERROR(__xludf.DUMMYFUNCTION("""COMPUTED_VALUE"""),191.62)</f>
        <v>191.62</v>
      </c>
      <c r="F26" s="2">
        <f ca="1">IFERROR(__xludf.DUMMYFUNCTION("""COMPUTED_VALUE"""),47080662)</f>
        <v>47080662</v>
      </c>
    </row>
    <row r="27" spans="1:6" ht="15.75" customHeight="1" x14ac:dyDescent="0.25">
      <c r="A27" s="3">
        <f ca="1">IFERROR(__xludf.DUMMYFUNCTION("""COMPUTED_VALUE"""),44965.6666666666)</f>
        <v>44965.666666666599</v>
      </c>
      <c r="B27" s="2">
        <f ca="1">IFERROR(__xludf.DUMMYFUNCTION("""COMPUTED_VALUE"""),190)</f>
        <v>190</v>
      </c>
      <c r="C27" s="2">
        <f ca="1">IFERROR(__xludf.DUMMYFUNCTION("""COMPUTED_VALUE"""),190.83)</f>
        <v>190.83</v>
      </c>
      <c r="D27" s="2">
        <f ca="1">IFERROR(__xludf.DUMMYFUNCTION("""COMPUTED_VALUE"""),182.92)</f>
        <v>182.92</v>
      </c>
      <c r="E27" s="2">
        <f ca="1">IFERROR(__xludf.DUMMYFUNCTION("""COMPUTED_VALUE"""),183.43)</f>
        <v>183.43</v>
      </c>
      <c r="F27" s="2">
        <f ca="1">IFERROR(__xludf.DUMMYFUNCTION("""COMPUTED_VALUE"""),36139074)</f>
        <v>36139074</v>
      </c>
    </row>
    <row r="28" spans="1:6" ht="15.75" customHeight="1" x14ac:dyDescent="0.25">
      <c r="A28" s="3">
        <f ca="1">IFERROR(__xludf.DUMMYFUNCTION("""COMPUTED_VALUE"""),44966.6666666666)</f>
        <v>44966.666666666599</v>
      </c>
      <c r="B28" s="2">
        <f ca="1">IFERROR(__xludf.DUMMYFUNCTION("""COMPUTED_VALUE"""),186.13)</f>
        <v>186.13</v>
      </c>
      <c r="C28" s="2">
        <f ca="1">IFERROR(__xludf.DUMMYFUNCTION("""COMPUTED_VALUE"""),186.65)</f>
        <v>186.65</v>
      </c>
      <c r="D28" s="2">
        <f ca="1">IFERROR(__xludf.DUMMYFUNCTION("""COMPUTED_VALUE"""),177.27)</f>
        <v>177.27</v>
      </c>
      <c r="E28" s="2">
        <f ca="1">IFERROR(__xludf.DUMMYFUNCTION("""COMPUTED_VALUE"""),177.92)</f>
        <v>177.92</v>
      </c>
      <c r="F28" s="2">
        <f ca="1">IFERROR(__xludf.DUMMYFUNCTION("""COMPUTED_VALUE"""),37118811)</f>
        <v>37118811</v>
      </c>
    </row>
    <row r="29" spans="1:6" ht="15.75" customHeight="1" x14ac:dyDescent="0.25">
      <c r="A29" s="3">
        <f ca="1">IFERROR(__xludf.DUMMYFUNCTION("""COMPUTED_VALUE"""),44967.6666666666)</f>
        <v>44967.666666666599</v>
      </c>
      <c r="B29" s="2">
        <f ca="1">IFERROR(__xludf.DUMMYFUNCTION("""COMPUTED_VALUE"""),176.35)</f>
        <v>176.35</v>
      </c>
      <c r="C29" s="2">
        <f ca="1">IFERROR(__xludf.DUMMYFUNCTION("""COMPUTED_VALUE"""),178.89)</f>
        <v>178.89</v>
      </c>
      <c r="D29" s="2">
        <f ca="1">IFERROR(__xludf.DUMMYFUNCTION("""COMPUTED_VALUE"""),173.35)</f>
        <v>173.35</v>
      </c>
      <c r="E29" s="2">
        <f ca="1">IFERROR(__xludf.DUMMYFUNCTION("""COMPUTED_VALUE"""),174.15)</f>
        <v>174.15</v>
      </c>
      <c r="F29" s="2">
        <f ca="1">IFERROR(__xludf.DUMMYFUNCTION("""COMPUTED_VALUE"""),33433567)</f>
        <v>33433567</v>
      </c>
    </row>
    <row r="30" spans="1:6" ht="15.75" customHeight="1" x14ac:dyDescent="0.25">
      <c r="A30" s="3">
        <f ca="1">IFERROR(__xludf.DUMMYFUNCTION("""COMPUTED_VALUE"""),44970.6666666666)</f>
        <v>44970.666666666599</v>
      </c>
      <c r="B30" s="2">
        <f ca="1">IFERROR(__xludf.DUMMYFUNCTION("""COMPUTED_VALUE"""),178.22)</f>
        <v>178.22</v>
      </c>
      <c r="C30" s="2">
        <f ca="1">IFERROR(__xludf.DUMMYFUNCTION("""COMPUTED_VALUE"""),181)</f>
        <v>181</v>
      </c>
      <c r="D30" s="2">
        <f ca="1">IFERROR(__xludf.DUMMYFUNCTION("""COMPUTED_VALUE"""),175.82)</f>
        <v>175.82</v>
      </c>
      <c r="E30" s="2">
        <f ca="1">IFERROR(__xludf.DUMMYFUNCTION("""COMPUTED_VALUE"""),179.43)</f>
        <v>179.43</v>
      </c>
      <c r="F30" s="2">
        <f ca="1">IFERROR(__xludf.DUMMYFUNCTION("""COMPUTED_VALUE"""),31463223)</f>
        <v>31463223</v>
      </c>
    </row>
    <row r="31" spans="1:6" ht="15.75" customHeight="1" x14ac:dyDescent="0.25">
      <c r="A31" s="3">
        <f ca="1">IFERROR(__xludf.DUMMYFUNCTION("""COMPUTED_VALUE"""),44971.6666666666)</f>
        <v>44971.666666666599</v>
      </c>
      <c r="B31" s="2">
        <f ca="1">IFERROR(__xludf.DUMMYFUNCTION("""COMPUTED_VALUE"""),177.16)</f>
        <v>177.16</v>
      </c>
      <c r="C31" s="2">
        <f ca="1">IFERROR(__xludf.DUMMYFUNCTION("""COMPUTED_VALUE"""),181.51)</f>
        <v>181.51</v>
      </c>
      <c r="D31" s="2">
        <f ca="1">IFERROR(__xludf.DUMMYFUNCTION("""COMPUTED_VALUE"""),175.88)</f>
        <v>175.88</v>
      </c>
      <c r="E31" s="2">
        <f ca="1">IFERROR(__xludf.DUMMYFUNCTION("""COMPUTED_VALUE"""),179.48)</f>
        <v>179.48</v>
      </c>
      <c r="F31" s="2">
        <f ca="1">IFERROR(__xludf.DUMMYFUNCTION("""COMPUTED_VALUE"""),24034631)</f>
        <v>24034631</v>
      </c>
    </row>
    <row r="32" spans="1:6" ht="15.75" customHeight="1" x14ac:dyDescent="0.25">
      <c r="A32" s="3">
        <f ca="1">IFERROR(__xludf.DUMMYFUNCTION("""COMPUTED_VALUE"""),44972.6666666666)</f>
        <v>44972.666666666599</v>
      </c>
      <c r="B32" s="2">
        <f ca="1">IFERROR(__xludf.DUMMYFUNCTION("""COMPUTED_VALUE"""),176.42)</f>
        <v>176.42</v>
      </c>
      <c r="C32" s="2">
        <f ca="1">IFERROR(__xludf.DUMMYFUNCTION("""COMPUTED_VALUE"""),178.19)</f>
        <v>178.19</v>
      </c>
      <c r="D32" s="2">
        <f ca="1">IFERROR(__xludf.DUMMYFUNCTION("""COMPUTED_VALUE"""),175.33)</f>
        <v>175.33</v>
      </c>
      <c r="E32" s="2">
        <f ca="1">IFERROR(__xludf.DUMMYFUNCTION("""COMPUTED_VALUE"""),177.16)</f>
        <v>177.16</v>
      </c>
      <c r="F32" s="2">
        <f ca="1">IFERROR(__xludf.DUMMYFUNCTION("""COMPUTED_VALUE"""),25337966)</f>
        <v>25337966</v>
      </c>
    </row>
    <row r="33" spans="1:6" ht="15.75" customHeight="1" x14ac:dyDescent="0.25">
      <c r="A33" s="3">
        <f ca="1">IFERROR(__xludf.DUMMYFUNCTION("""COMPUTED_VALUE"""),44973.6666666666)</f>
        <v>44973.666666666599</v>
      </c>
      <c r="B33" s="2">
        <f ca="1">IFERROR(__xludf.DUMMYFUNCTION("""COMPUTED_VALUE"""),172.75)</f>
        <v>172.75</v>
      </c>
      <c r="C33" s="2">
        <f ca="1">IFERROR(__xludf.DUMMYFUNCTION("""COMPUTED_VALUE"""),175.85)</f>
        <v>175.85</v>
      </c>
      <c r="D33" s="2">
        <f ca="1">IFERROR(__xludf.DUMMYFUNCTION("""COMPUTED_VALUE"""),171.79)</f>
        <v>171.79</v>
      </c>
      <c r="E33" s="2">
        <f ca="1">IFERROR(__xludf.DUMMYFUNCTION("""COMPUTED_VALUE"""),172.44)</f>
        <v>172.44</v>
      </c>
      <c r="F33" s="2">
        <f ca="1">IFERROR(__xludf.DUMMYFUNCTION("""COMPUTED_VALUE"""),25827473)</f>
        <v>25827473</v>
      </c>
    </row>
    <row r="34" spans="1:6" ht="15.75" customHeight="1" x14ac:dyDescent="0.25">
      <c r="A34" s="3">
        <f ca="1">IFERROR(__xludf.DUMMYFUNCTION("""COMPUTED_VALUE"""),44974.6666666666)</f>
        <v>44974.666666666599</v>
      </c>
      <c r="B34" s="2">
        <f ca="1">IFERROR(__xludf.DUMMYFUNCTION("""COMPUTED_VALUE"""),170.22)</f>
        <v>170.22</v>
      </c>
      <c r="C34" s="2">
        <f ca="1">IFERROR(__xludf.DUMMYFUNCTION("""COMPUTED_VALUE"""),173.18)</f>
        <v>173.18</v>
      </c>
      <c r="D34" s="2">
        <f ca="1">IFERROR(__xludf.DUMMYFUNCTION("""COMPUTED_VALUE"""),169.7)</f>
        <v>169.7</v>
      </c>
      <c r="E34" s="2">
        <f ca="1">IFERROR(__xludf.DUMMYFUNCTION("""COMPUTED_VALUE"""),172.88)</f>
        <v>172.88</v>
      </c>
      <c r="F34" s="2">
        <f ca="1">IFERROR(__xludf.DUMMYFUNCTION("""COMPUTED_VALUE"""),24171260)</f>
        <v>24171260</v>
      </c>
    </row>
    <row r="35" spans="1:6" ht="15.75" customHeight="1" x14ac:dyDescent="0.25">
      <c r="A35" s="3">
        <f ca="1">IFERROR(__xludf.DUMMYFUNCTION("""COMPUTED_VALUE"""),44978.6666666666)</f>
        <v>44978.666666666599</v>
      </c>
      <c r="B35" s="2">
        <f ca="1">IFERROR(__xludf.DUMMYFUNCTION("""COMPUTED_VALUE"""),174.31)</f>
        <v>174.31</v>
      </c>
      <c r="C35" s="2">
        <f ca="1">IFERROR(__xludf.DUMMYFUNCTION("""COMPUTED_VALUE"""),178.17)</f>
        <v>178.17</v>
      </c>
      <c r="D35" s="2">
        <f ca="1">IFERROR(__xludf.DUMMYFUNCTION("""COMPUTED_VALUE"""),171.88)</f>
        <v>171.88</v>
      </c>
      <c r="E35" s="2">
        <f ca="1">IFERROR(__xludf.DUMMYFUNCTION("""COMPUTED_VALUE"""),172.08)</f>
        <v>172.08</v>
      </c>
      <c r="F35" s="2">
        <f ca="1">IFERROR(__xludf.DUMMYFUNCTION("""COMPUTED_VALUE"""),34592582)</f>
        <v>34592582</v>
      </c>
    </row>
    <row r="36" spans="1:6" ht="15.75" customHeight="1" x14ac:dyDescent="0.25">
      <c r="A36" s="3">
        <f ca="1">IFERROR(__xludf.DUMMYFUNCTION("""COMPUTED_VALUE"""),44979.6666666666)</f>
        <v>44979.666666666599</v>
      </c>
      <c r="B36" s="2">
        <f ca="1">IFERROR(__xludf.DUMMYFUNCTION("""COMPUTED_VALUE"""),171.07)</f>
        <v>171.07</v>
      </c>
      <c r="C36" s="2">
        <f ca="1">IFERROR(__xludf.DUMMYFUNCTION("""COMPUTED_VALUE"""),172.76)</f>
        <v>172.76</v>
      </c>
      <c r="D36" s="2">
        <f ca="1">IFERROR(__xludf.DUMMYFUNCTION("""COMPUTED_VALUE"""),169.69)</f>
        <v>169.69</v>
      </c>
      <c r="E36" s="2">
        <f ca="1">IFERROR(__xludf.DUMMYFUNCTION("""COMPUTED_VALUE"""),171.12)</f>
        <v>171.12</v>
      </c>
      <c r="F36" s="2">
        <f ca="1">IFERROR(__xludf.DUMMYFUNCTION("""COMPUTED_VALUE"""),22433158)</f>
        <v>22433158</v>
      </c>
    </row>
    <row r="37" spans="1:6" ht="15.75" customHeight="1" x14ac:dyDescent="0.25">
      <c r="A37" s="3">
        <f ca="1">IFERROR(__xludf.DUMMYFUNCTION("""COMPUTED_VALUE"""),44980.6666666666)</f>
        <v>44980.666666666599</v>
      </c>
      <c r="B37" s="2">
        <f ca="1">IFERROR(__xludf.DUMMYFUNCTION("""COMPUTED_VALUE"""),172)</f>
        <v>172</v>
      </c>
      <c r="C37" s="2">
        <f ca="1">IFERROR(__xludf.DUMMYFUNCTION("""COMPUTED_VALUE"""),173.69)</f>
        <v>173.69</v>
      </c>
      <c r="D37" s="2">
        <f ca="1">IFERROR(__xludf.DUMMYFUNCTION("""COMPUTED_VALUE"""),169.38)</f>
        <v>169.38</v>
      </c>
      <c r="E37" s="2">
        <f ca="1">IFERROR(__xludf.DUMMYFUNCTION("""COMPUTED_VALUE"""),172.04)</f>
        <v>172.04</v>
      </c>
      <c r="F37" s="2">
        <f ca="1">IFERROR(__xludf.DUMMYFUNCTION("""COMPUTED_VALUE"""),20017779)</f>
        <v>20017779</v>
      </c>
    </row>
    <row r="38" spans="1:6" ht="15.75" customHeight="1" x14ac:dyDescent="0.25">
      <c r="A38" s="3">
        <f ca="1">IFERROR(__xludf.DUMMYFUNCTION("""COMPUTED_VALUE"""),44981.6666666666)</f>
        <v>44981.666666666599</v>
      </c>
      <c r="B38" s="2">
        <f ca="1">IFERROR(__xludf.DUMMYFUNCTION("""COMPUTED_VALUE"""),168.64)</f>
        <v>168.64</v>
      </c>
      <c r="C38" s="2">
        <f ca="1">IFERROR(__xludf.DUMMYFUNCTION("""COMPUTED_VALUE"""),170.72)</f>
        <v>170.72</v>
      </c>
      <c r="D38" s="2">
        <f ca="1">IFERROR(__xludf.DUMMYFUNCTION("""COMPUTED_VALUE"""),167.66)</f>
        <v>167.66</v>
      </c>
      <c r="E38" s="2">
        <f ca="1">IFERROR(__xludf.DUMMYFUNCTION("""COMPUTED_VALUE"""),170.39)</f>
        <v>170.39</v>
      </c>
      <c r="F38" s="2">
        <f ca="1">IFERROR(__xludf.DUMMYFUNCTION("""COMPUTED_VALUE"""),19791334)</f>
        <v>19791334</v>
      </c>
    </row>
    <row r="39" spans="1:6" ht="15.75" customHeight="1" x14ac:dyDescent="0.25">
      <c r="A39" s="3">
        <f ca="1">IFERROR(__xludf.DUMMYFUNCTION("""COMPUTED_VALUE"""),44984.6666666666)</f>
        <v>44984.666666666599</v>
      </c>
      <c r="B39" s="2">
        <f ca="1">IFERROR(__xludf.DUMMYFUNCTION("""COMPUTED_VALUE"""),171.88)</f>
        <v>171.88</v>
      </c>
      <c r="C39" s="2">
        <f ca="1">IFERROR(__xludf.DUMMYFUNCTION("""COMPUTED_VALUE"""),173.12)</f>
        <v>173.12</v>
      </c>
      <c r="D39" s="2">
        <f ca="1">IFERROR(__xludf.DUMMYFUNCTION("""COMPUTED_VALUE"""),169.06)</f>
        <v>169.06</v>
      </c>
      <c r="E39" s="2">
        <f ca="1">IFERROR(__xludf.DUMMYFUNCTION("""COMPUTED_VALUE"""),169.54)</f>
        <v>169.54</v>
      </c>
      <c r="F39" s="2">
        <f ca="1">IFERROR(__xludf.DUMMYFUNCTION("""COMPUTED_VALUE"""),19277002)</f>
        <v>19277002</v>
      </c>
    </row>
    <row r="40" spans="1:6" ht="12.5" x14ac:dyDescent="0.25">
      <c r="A40" s="3">
        <f ca="1">IFERROR(__xludf.DUMMYFUNCTION("""COMPUTED_VALUE"""),44985.6666666666)</f>
        <v>44985.666666666599</v>
      </c>
      <c r="B40" s="2">
        <f ca="1">IFERROR(__xludf.DUMMYFUNCTION("""COMPUTED_VALUE"""),171.9)</f>
        <v>171.9</v>
      </c>
      <c r="C40" s="2">
        <f ca="1">IFERROR(__xludf.DUMMYFUNCTION("""COMPUTED_VALUE"""),177.55)</f>
        <v>177.55</v>
      </c>
      <c r="D40" s="2">
        <f ca="1">IFERROR(__xludf.DUMMYFUNCTION("""COMPUTED_VALUE"""),171.87)</f>
        <v>171.87</v>
      </c>
      <c r="E40" s="2">
        <f ca="1">IFERROR(__xludf.DUMMYFUNCTION("""COMPUTED_VALUE"""),174.94)</f>
        <v>174.94</v>
      </c>
      <c r="F40" s="2">
        <f ca="1">IFERROR(__xludf.DUMMYFUNCTION("""COMPUTED_VALUE"""),46051117)</f>
        <v>46051117</v>
      </c>
    </row>
    <row r="41" spans="1:6" ht="12.5" x14ac:dyDescent="0.25">
      <c r="A41" s="3">
        <f ca="1">IFERROR(__xludf.DUMMYFUNCTION("""COMPUTED_VALUE"""),44986.6666666666)</f>
        <v>44986.666666666599</v>
      </c>
      <c r="B41" s="2">
        <f ca="1">IFERROR(__xludf.DUMMYFUNCTION("""COMPUTED_VALUE"""),174.59)</f>
        <v>174.59</v>
      </c>
      <c r="C41" s="2">
        <f ca="1">IFERROR(__xludf.DUMMYFUNCTION("""COMPUTED_VALUE"""),177.85)</f>
        <v>177.85</v>
      </c>
      <c r="D41" s="2">
        <f ca="1">IFERROR(__xludf.DUMMYFUNCTION("""COMPUTED_VALUE"""),173.05)</f>
        <v>173.05</v>
      </c>
      <c r="E41" s="2">
        <f ca="1">IFERROR(__xludf.DUMMYFUNCTION("""COMPUTED_VALUE"""),173.42)</f>
        <v>173.42</v>
      </c>
      <c r="F41" s="2">
        <f ca="1">IFERROR(__xludf.DUMMYFUNCTION("""COMPUTED_VALUE"""),30998380)</f>
        <v>30998380</v>
      </c>
    </row>
    <row r="42" spans="1:6" ht="12.5" x14ac:dyDescent="0.25">
      <c r="A42" s="3">
        <f ca="1">IFERROR(__xludf.DUMMYFUNCTION("""COMPUTED_VALUE"""),44987.6666666666)</f>
        <v>44987.666666666599</v>
      </c>
      <c r="B42" s="2">
        <f ca="1">IFERROR(__xludf.DUMMYFUNCTION("""COMPUTED_VALUE"""),172.38)</f>
        <v>172.38</v>
      </c>
      <c r="C42" s="2">
        <f ca="1">IFERROR(__xludf.DUMMYFUNCTION("""COMPUTED_VALUE"""),175.01)</f>
        <v>175.01</v>
      </c>
      <c r="D42" s="2">
        <f ca="1">IFERROR(__xludf.DUMMYFUNCTION("""COMPUTED_VALUE"""),171.43)</f>
        <v>171.43</v>
      </c>
      <c r="E42" s="2">
        <f ca="1">IFERROR(__xludf.DUMMYFUNCTION("""COMPUTED_VALUE"""),174.53)</f>
        <v>174.53</v>
      </c>
      <c r="F42" s="2">
        <f ca="1">IFERROR(__xludf.DUMMYFUNCTION("""COMPUTED_VALUE"""),17360708)</f>
        <v>17360708</v>
      </c>
    </row>
    <row r="43" spans="1:6" ht="12.5" x14ac:dyDescent="0.25">
      <c r="A43" s="3">
        <f ca="1">IFERROR(__xludf.DUMMYFUNCTION("""COMPUTED_VALUE"""),44988.6666666666)</f>
        <v>44988.666666666599</v>
      </c>
      <c r="B43" s="2">
        <f ca="1">IFERROR(__xludf.DUMMYFUNCTION("""COMPUTED_VALUE"""),178.92)</f>
        <v>178.92</v>
      </c>
      <c r="C43" s="2">
        <f ca="1">IFERROR(__xludf.DUMMYFUNCTION("""COMPUTED_VALUE"""),186.62)</f>
        <v>186.62</v>
      </c>
      <c r="D43" s="2">
        <f ca="1">IFERROR(__xludf.DUMMYFUNCTION("""COMPUTED_VALUE"""),177.05)</f>
        <v>177.05</v>
      </c>
      <c r="E43" s="2">
        <f ca="1">IFERROR(__xludf.DUMMYFUNCTION("""COMPUTED_VALUE"""),185.25)</f>
        <v>185.25</v>
      </c>
      <c r="F43" s="2">
        <f ca="1">IFERROR(__xludf.DUMMYFUNCTION("""COMPUTED_VALUE"""),45877692)</f>
        <v>45877692</v>
      </c>
    </row>
    <row r="44" spans="1:6" ht="12.5" x14ac:dyDescent="0.25">
      <c r="A44" s="3">
        <f ca="1">IFERROR(__xludf.DUMMYFUNCTION("""COMPUTED_VALUE"""),44991.6666666666)</f>
        <v>44991.666666666599</v>
      </c>
      <c r="B44" s="2">
        <f ca="1">IFERROR(__xludf.DUMMYFUNCTION("""COMPUTED_VALUE"""),188)</f>
        <v>188</v>
      </c>
      <c r="C44" s="2">
        <f ca="1">IFERROR(__xludf.DUMMYFUNCTION("""COMPUTED_VALUE"""),189.66)</f>
        <v>189.66</v>
      </c>
      <c r="D44" s="2">
        <f ca="1">IFERROR(__xludf.DUMMYFUNCTION("""COMPUTED_VALUE"""),184.64)</f>
        <v>184.64</v>
      </c>
      <c r="E44" s="2">
        <f ca="1">IFERROR(__xludf.DUMMYFUNCTION("""COMPUTED_VALUE"""),184.9)</f>
        <v>184.9</v>
      </c>
      <c r="F44" s="2">
        <f ca="1">IFERROR(__xludf.DUMMYFUNCTION("""COMPUTED_VALUE"""),33209394)</f>
        <v>33209394</v>
      </c>
    </row>
    <row r="45" spans="1:6" ht="12.5" x14ac:dyDescent="0.25">
      <c r="A45" s="3">
        <f ca="1">IFERROR(__xludf.DUMMYFUNCTION("""COMPUTED_VALUE"""),44992.6666666666)</f>
        <v>44992.666666666599</v>
      </c>
      <c r="B45" s="2">
        <f ca="1">IFERROR(__xludf.DUMMYFUNCTION("""COMPUTED_VALUE"""),189)</f>
        <v>189</v>
      </c>
      <c r="C45" s="2">
        <f ca="1">IFERROR(__xludf.DUMMYFUNCTION("""COMPUTED_VALUE"""),190.36)</f>
        <v>190.36</v>
      </c>
      <c r="D45" s="2">
        <f ca="1">IFERROR(__xludf.DUMMYFUNCTION("""COMPUTED_VALUE"""),184.01)</f>
        <v>184.01</v>
      </c>
      <c r="E45" s="2">
        <f ca="1">IFERROR(__xludf.DUMMYFUNCTION("""COMPUTED_VALUE"""),184.51)</f>
        <v>184.51</v>
      </c>
      <c r="F45" s="2">
        <f ca="1">IFERROR(__xludf.DUMMYFUNCTION("""COMPUTED_VALUE"""),36701495)</f>
        <v>36701495</v>
      </c>
    </row>
    <row r="46" spans="1:6" ht="12.5" x14ac:dyDescent="0.25">
      <c r="A46" s="3">
        <f ca="1">IFERROR(__xludf.DUMMYFUNCTION("""COMPUTED_VALUE"""),44993.6666666666)</f>
        <v>44993.666666666599</v>
      </c>
      <c r="B46" s="2">
        <f ca="1">IFERROR(__xludf.DUMMYFUNCTION("""COMPUTED_VALUE"""),182.87)</f>
        <v>182.87</v>
      </c>
      <c r="C46" s="2">
        <f ca="1">IFERROR(__xludf.DUMMYFUNCTION("""COMPUTED_VALUE"""),185.26)</f>
        <v>185.26</v>
      </c>
      <c r="D46" s="2">
        <f ca="1">IFERROR(__xludf.DUMMYFUNCTION("""COMPUTED_VALUE"""),181.34)</f>
        <v>181.34</v>
      </c>
      <c r="E46" s="2">
        <f ca="1">IFERROR(__xludf.DUMMYFUNCTION("""COMPUTED_VALUE"""),184.97)</f>
        <v>184.97</v>
      </c>
      <c r="F46" s="2">
        <f ca="1">IFERROR(__xludf.DUMMYFUNCTION("""COMPUTED_VALUE"""),19432405)</f>
        <v>19432405</v>
      </c>
    </row>
    <row r="47" spans="1:6" ht="12.5" x14ac:dyDescent="0.25">
      <c r="A47" s="3">
        <f ca="1">IFERROR(__xludf.DUMMYFUNCTION("""COMPUTED_VALUE"""),44994.6666666666)</f>
        <v>44994.666666666599</v>
      </c>
      <c r="B47" s="2">
        <f ca="1">IFERROR(__xludf.DUMMYFUNCTION("""COMPUTED_VALUE"""),186.35)</f>
        <v>186.35</v>
      </c>
      <c r="C47" s="2">
        <f ca="1">IFERROR(__xludf.DUMMYFUNCTION("""COMPUTED_VALUE"""),188.93)</f>
        <v>188.93</v>
      </c>
      <c r="D47" s="2">
        <f ca="1">IFERROR(__xludf.DUMMYFUNCTION("""COMPUTED_VALUE"""),180.3)</f>
        <v>180.3</v>
      </c>
      <c r="E47" s="2">
        <f ca="1">IFERROR(__xludf.DUMMYFUNCTION("""COMPUTED_VALUE"""),181.69)</f>
        <v>181.69</v>
      </c>
      <c r="F47" s="2">
        <f ca="1">IFERROR(__xludf.DUMMYFUNCTION("""COMPUTED_VALUE"""),26582750)</f>
        <v>26582750</v>
      </c>
    </row>
    <row r="48" spans="1:6" ht="12.5" x14ac:dyDescent="0.25">
      <c r="A48" s="3">
        <f ca="1">IFERROR(__xludf.DUMMYFUNCTION("""COMPUTED_VALUE"""),44995.6666666666)</f>
        <v>44995.666666666599</v>
      </c>
      <c r="B48" s="2">
        <f ca="1">IFERROR(__xludf.DUMMYFUNCTION("""COMPUTED_VALUE"""),181.01)</f>
        <v>181.01</v>
      </c>
      <c r="C48" s="2">
        <f ca="1">IFERROR(__xludf.DUMMYFUNCTION("""COMPUTED_VALUE"""),184.77)</f>
        <v>184.77</v>
      </c>
      <c r="D48" s="2">
        <f ca="1">IFERROR(__xludf.DUMMYFUNCTION("""COMPUTED_VALUE"""),178.8)</f>
        <v>178.8</v>
      </c>
      <c r="E48" s="2">
        <f ca="1">IFERROR(__xludf.DUMMYFUNCTION("""COMPUTED_VALUE"""),179.51)</f>
        <v>179.51</v>
      </c>
      <c r="F48" s="2">
        <f ca="1">IFERROR(__xludf.DUMMYFUNCTION("""COMPUTED_VALUE"""),25665032)</f>
        <v>25665032</v>
      </c>
    </row>
    <row r="49" spans="1:6" ht="12.5" x14ac:dyDescent="0.25">
      <c r="A49" s="3">
        <f ca="1">IFERROR(__xludf.DUMMYFUNCTION("""COMPUTED_VALUE"""),44998.6666666666)</f>
        <v>44998.666666666599</v>
      </c>
      <c r="B49" s="2">
        <f ca="1">IFERROR(__xludf.DUMMYFUNCTION("""COMPUTED_VALUE"""),177.96)</f>
        <v>177.96</v>
      </c>
      <c r="C49" s="2">
        <f ca="1">IFERROR(__xludf.DUMMYFUNCTION("""COMPUTED_VALUE"""),183.78)</f>
        <v>183.78</v>
      </c>
      <c r="D49" s="2">
        <f ca="1">IFERROR(__xludf.DUMMYFUNCTION("""COMPUTED_VALUE"""),174.82)</f>
        <v>174.82</v>
      </c>
      <c r="E49" s="2">
        <f ca="1">IFERROR(__xludf.DUMMYFUNCTION("""COMPUTED_VALUE"""),180.9)</f>
        <v>180.9</v>
      </c>
      <c r="F49" s="2">
        <f ca="1">IFERROR(__xludf.DUMMYFUNCTION("""COMPUTED_VALUE"""),24727969)</f>
        <v>24727969</v>
      </c>
    </row>
    <row r="50" spans="1:6" ht="12.5" x14ac:dyDescent="0.25">
      <c r="A50" s="3">
        <f ca="1">IFERROR(__xludf.DUMMYFUNCTION("""COMPUTED_VALUE"""),44999.6666666666)</f>
        <v>44999.666666666599</v>
      </c>
      <c r="B50" s="2">
        <f ca="1">IFERROR(__xludf.DUMMYFUNCTION("""COMPUTED_VALUE"""),187.58)</f>
        <v>187.58</v>
      </c>
      <c r="C50" s="2">
        <f ca="1">IFERROR(__xludf.DUMMYFUNCTION("""COMPUTED_VALUE"""),194.32)</f>
        <v>194.32</v>
      </c>
      <c r="D50" s="2">
        <f ca="1">IFERROR(__xludf.DUMMYFUNCTION("""COMPUTED_VALUE"""),186.56)</f>
        <v>186.56</v>
      </c>
      <c r="E50" s="2">
        <f ca="1">IFERROR(__xludf.DUMMYFUNCTION("""COMPUTED_VALUE"""),194.02)</f>
        <v>194.02</v>
      </c>
      <c r="F50" s="2">
        <f ca="1">IFERROR(__xludf.DUMMYFUNCTION("""COMPUTED_VALUE"""),41642627)</f>
        <v>41642627</v>
      </c>
    </row>
    <row r="51" spans="1:6" ht="12.5" x14ac:dyDescent="0.25">
      <c r="A51" s="3">
        <f ca="1">IFERROR(__xludf.DUMMYFUNCTION("""COMPUTED_VALUE"""),45000.6666666666)</f>
        <v>45000.666666666599</v>
      </c>
      <c r="B51" s="2">
        <f ca="1">IFERROR(__xludf.DUMMYFUNCTION("""COMPUTED_VALUE"""),192.95)</f>
        <v>192.95</v>
      </c>
      <c r="C51" s="2">
        <f ca="1">IFERROR(__xludf.DUMMYFUNCTION("""COMPUTED_VALUE"""),197.78)</f>
        <v>197.78</v>
      </c>
      <c r="D51" s="2">
        <f ca="1">IFERROR(__xludf.DUMMYFUNCTION("""COMPUTED_VALUE"""),190.84)</f>
        <v>190.84</v>
      </c>
      <c r="E51" s="2">
        <f ca="1">IFERROR(__xludf.DUMMYFUNCTION("""COMPUTED_VALUE"""),197.75)</f>
        <v>197.75</v>
      </c>
      <c r="F51" s="2">
        <f ca="1">IFERROR(__xludf.DUMMYFUNCTION("""COMPUTED_VALUE"""),42123552)</f>
        <v>42123552</v>
      </c>
    </row>
    <row r="52" spans="1:6" ht="12.5" x14ac:dyDescent="0.25">
      <c r="A52" s="3">
        <f ca="1">IFERROR(__xludf.DUMMYFUNCTION("""COMPUTED_VALUE"""),45001.6666666666)</f>
        <v>45001.666666666599</v>
      </c>
      <c r="B52" s="2">
        <f ca="1">IFERROR(__xludf.DUMMYFUNCTION("""COMPUTED_VALUE"""),198.26)</f>
        <v>198.26</v>
      </c>
      <c r="C52" s="2">
        <f ca="1">IFERROR(__xludf.DUMMYFUNCTION("""COMPUTED_VALUE"""),205.76)</f>
        <v>205.76</v>
      </c>
      <c r="D52" s="2">
        <f ca="1">IFERROR(__xludf.DUMMYFUNCTION("""COMPUTED_VALUE"""),196.09)</f>
        <v>196.09</v>
      </c>
      <c r="E52" s="2">
        <f ca="1">IFERROR(__xludf.DUMMYFUNCTION("""COMPUTED_VALUE"""),204.93)</f>
        <v>204.93</v>
      </c>
      <c r="F52" s="2">
        <f ca="1">IFERROR(__xludf.DUMMYFUNCTION("""COMPUTED_VALUE"""),50819659)</f>
        <v>50819659</v>
      </c>
    </row>
    <row r="53" spans="1:6" ht="12.5" x14ac:dyDescent="0.25">
      <c r="A53" s="3">
        <f ca="1">IFERROR(__xludf.DUMMYFUNCTION("""COMPUTED_VALUE"""),45002.6666666666)</f>
        <v>45002.666666666599</v>
      </c>
      <c r="B53" s="2">
        <f ca="1">IFERROR(__xludf.DUMMYFUNCTION("""COMPUTED_VALUE"""),200.56)</f>
        <v>200.56</v>
      </c>
      <c r="C53" s="2">
        <f ca="1">IFERROR(__xludf.DUMMYFUNCTION("""COMPUTED_VALUE"""),201.9)</f>
        <v>201.9</v>
      </c>
      <c r="D53" s="2">
        <f ca="1">IFERROR(__xludf.DUMMYFUNCTION("""COMPUTED_VALUE"""),195.43)</f>
        <v>195.43</v>
      </c>
      <c r="E53" s="2">
        <f ca="1">IFERROR(__xludf.DUMMYFUNCTION("""COMPUTED_VALUE"""),195.61)</f>
        <v>195.61</v>
      </c>
      <c r="F53" s="2">
        <f ca="1">IFERROR(__xludf.DUMMYFUNCTION("""COMPUTED_VALUE"""),50141098)</f>
        <v>50141098</v>
      </c>
    </row>
    <row r="54" spans="1:6" ht="12.5" x14ac:dyDescent="0.25">
      <c r="A54" s="3">
        <f ca="1">IFERROR(__xludf.DUMMYFUNCTION("""COMPUTED_VALUE"""),45005.6666666666)</f>
        <v>45005.666666666599</v>
      </c>
      <c r="B54" s="2">
        <f ca="1">IFERROR(__xludf.DUMMYFUNCTION("""COMPUTED_VALUE"""),198.48)</f>
        <v>198.48</v>
      </c>
      <c r="C54" s="2">
        <f ca="1">IFERROR(__xludf.DUMMYFUNCTION("""COMPUTED_VALUE"""),199.36)</f>
        <v>199.36</v>
      </c>
      <c r="D54" s="2">
        <f ca="1">IFERROR(__xludf.DUMMYFUNCTION("""COMPUTED_VALUE"""),193.64)</f>
        <v>193.64</v>
      </c>
      <c r="E54" s="2">
        <f ca="1">IFERROR(__xludf.DUMMYFUNCTION("""COMPUTED_VALUE"""),197.81)</f>
        <v>197.81</v>
      </c>
      <c r="F54" s="2">
        <f ca="1">IFERROR(__xludf.DUMMYFUNCTION("""COMPUTED_VALUE"""),25186315)</f>
        <v>25186315</v>
      </c>
    </row>
    <row r="55" spans="1:6" ht="12.5" x14ac:dyDescent="0.25">
      <c r="A55" s="3">
        <f ca="1">IFERROR(__xludf.DUMMYFUNCTION("""COMPUTED_VALUE"""),45006.6666666666)</f>
        <v>45006.666666666599</v>
      </c>
      <c r="B55" s="2">
        <f ca="1">IFERROR(__xludf.DUMMYFUNCTION("""COMPUTED_VALUE"""),203.2)</f>
        <v>203.2</v>
      </c>
      <c r="C55" s="2">
        <f ca="1">IFERROR(__xludf.DUMMYFUNCTION("""COMPUTED_VALUE"""),203.55)</f>
        <v>203.55</v>
      </c>
      <c r="D55" s="2">
        <f ca="1">IFERROR(__xludf.DUMMYFUNCTION("""COMPUTED_VALUE"""),197.95)</f>
        <v>197.95</v>
      </c>
      <c r="E55" s="2">
        <f ca="1">IFERROR(__xludf.DUMMYFUNCTION("""COMPUTED_VALUE"""),202.16)</f>
        <v>202.16</v>
      </c>
      <c r="F55" s="2">
        <f ca="1">IFERROR(__xludf.DUMMYFUNCTION("""COMPUTED_VALUE"""),31826952)</f>
        <v>31826952</v>
      </c>
    </row>
    <row r="56" spans="1:6" ht="12.5" x14ac:dyDescent="0.25">
      <c r="A56" s="3">
        <f ca="1">IFERROR(__xludf.DUMMYFUNCTION("""COMPUTED_VALUE"""),45007.6666666666)</f>
        <v>45007.666666666599</v>
      </c>
      <c r="B56" s="2">
        <f ca="1">IFERROR(__xludf.DUMMYFUNCTION("""COMPUTED_VALUE"""),202.5)</f>
        <v>202.5</v>
      </c>
      <c r="C56" s="2">
        <f ca="1">IFERROR(__xludf.DUMMYFUNCTION("""COMPUTED_VALUE"""),207.37)</f>
        <v>207.37</v>
      </c>
      <c r="D56" s="2">
        <f ca="1">IFERROR(__xludf.DUMMYFUNCTION("""COMPUTED_VALUE"""),199.67)</f>
        <v>199.67</v>
      </c>
      <c r="E56" s="2">
        <f ca="1">IFERROR(__xludf.DUMMYFUNCTION("""COMPUTED_VALUE"""),199.81)</f>
        <v>199.81</v>
      </c>
      <c r="F56" s="2">
        <f ca="1">IFERROR(__xludf.DUMMYFUNCTION("""COMPUTED_VALUE"""),28477759)</f>
        <v>28477759</v>
      </c>
    </row>
    <row r="57" spans="1:6" ht="12.5" x14ac:dyDescent="0.25">
      <c r="A57" s="3">
        <f ca="1">IFERROR(__xludf.DUMMYFUNCTION("""COMPUTED_VALUE"""),45008.6666666666)</f>
        <v>45008.666666666599</v>
      </c>
      <c r="B57" s="2">
        <f ca="1">IFERROR(__xludf.DUMMYFUNCTION("""COMPUTED_VALUE"""),202.84)</f>
        <v>202.84</v>
      </c>
      <c r="C57" s="2">
        <f ca="1">IFERROR(__xludf.DUMMYFUNCTION("""COMPUTED_VALUE"""),207.88)</f>
        <v>207.88</v>
      </c>
      <c r="D57" s="2">
        <f ca="1">IFERROR(__xludf.DUMMYFUNCTION("""COMPUTED_VALUE"""),202.15)</f>
        <v>202.15</v>
      </c>
      <c r="E57" s="2">
        <f ca="1">IFERROR(__xludf.DUMMYFUNCTION("""COMPUTED_VALUE"""),204.28)</f>
        <v>204.28</v>
      </c>
      <c r="F57" s="2">
        <f ca="1">IFERROR(__xludf.DUMMYFUNCTION("""COMPUTED_VALUE"""),27389669)</f>
        <v>27389669</v>
      </c>
    </row>
    <row r="58" spans="1:6" ht="12.5" x14ac:dyDescent="0.25">
      <c r="A58" s="3">
        <f ca="1">IFERROR(__xludf.DUMMYFUNCTION("""COMPUTED_VALUE"""),45009.6666666666)</f>
        <v>45009.666666666599</v>
      </c>
      <c r="B58" s="2">
        <f ca="1">IFERROR(__xludf.DUMMYFUNCTION("""COMPUTED_VALUE"""),205.18)</f>
        <v>205.18</v>
      </c>
      <c r="C58" s="2">
        <f ca="1">IFERROR(__xludf.DUMMYFUNCTION("""COMPUTED_VALUE"""),207.58)</f>
        <v>207.58</v>
      </c>
      <c r="D58" s="2">
        <f ca="1">IFERROR(__xludf.DUMMYFUNCTION("""COMPUTED_VALUE"""),203.55)</f>
        <v>203.55</v>
      </c>
      <c r="E58" s="2">
        <f ca="1">IFERROR(__xludf.DUMMYFUNCTION("""COMPUTED_VALUE"""),206.01)</f>
        <v>206.01</v>
      </c>
      <c r="F58" s="2">
        <f ca="1">IFERROR(__xludf.DUMMYFUNCTION("""COMPUTED_VALUE"""),27733042)</f>
        <v>27733042</v>
      </c>
    </row>
    <row r="59" spans="1:6" ht="12.5" x14ac:dyDescent="0.25">
      <c r="A59" s="3">
        <f ca="1">IFERROR(__xludf.DUMMYFUNCTION("""COMPUTED_VALUE"""),45012.6666666666)</f>
        <v>45012.666666666599</v>
      </c>
      <c r="B59" s="2">
        <f ca="1">IFERROR(__xludf.DUMMYFUNCTION("""COMPUTED_VALUE"""),204.81)</f>
        <v>204.81</v>
      </c>
      <c r="C59" s="2">
        <f ca="1">IFERROR(__xludf.DUMMYFUNCTION("""COMPUTED_VALUE"""),205.86)</f>
        <v>205.86</v>
      </c>
      <c r="D59" s="2">
        <f ca="1">IFERROR(__xludf.DUMMYFUNCTION("""COMPUTED_VALUE"""),201.36)</f>
        <v>201.36</v>
      </c>
      <c r="E59" s="2">
        <f ca="1">IFERROR(__xludf.DUMMYFUNCTION("""COMPUTED_VALUE"""),202.84)</f>
        <v>202.84</v>
      </c>
      <c r="F59" s="2">
        <f ca="1">IFERROR(__xludf.DUMMYFUNCTION("""COMPUTED_VALUE"""),18527184)</f>
        <v>18527184</v>
      </c>
    </row>
    <row r="60" spans="1:6" ht="12.5" x14ac:dyDescent="0.25">
      <c r="A60" s="3">
        <f ca="1">IFERROR(__xludf.DUMMYFUNCTION("""COMPUTED_VALUE"""),45013.6666666666)</f>
        <v>45013.666666666599</v>
      </c>
      <c r="B60" s="2">
        <f ca="1">IFERROR(__xludf.DUMMYFUNCTION("""COMPUTED_VALUE"""),200.15)</f>
        <v>200.15</v>
      </c>
      <c r="C60" s="2">
        <f ca="1">IFERROR(__xludf.DUMMYFUNCTION("""COMPUTED_VALUE"""),201.03)</f>
        <v>201.03</v>
      </c>
      <c r="D60" s="2">
        <f ca="1">IFERROR(__xludf.DUMMYFUNCTION("""COMPUTED_VALUE"""),197.9)</f>
        <v>197.9</v>
      </c>
      <c r="E60" s="2">
        <f ca="1">IFERROR(__xludf.DUMMYFUNCTION("""COMPUTED_VALUE"""),200.68)</f>
        <v>200.68</v>
      </c>
      <c r="F60" s="2">
        <f ca="1">IFERROR(__xludf.DUMMYFUNCTION("""COMPUTED_VALUE"""),19127295)</f>
        <v>19127295</v>
      </c>
    </row>
    <row r="61" spans="1:6" ht="12.5" x14ac:dyDescent="0.25">
      <c r="A61" s="3">
        <f ca="1">IFERROR(__xludf.DUMMYFUNCTION("""COMPUTED_VALUE"""),45014.6666666666)</f>
        <v>45014.666666666599</v>
      </c>
      <c r="B61" s="2">
        <f ca="1">IFERROR(__xludf.DUMMYFUNCTION("""COMPUTED_VALUE"""),203.56)</f>
        <v>203.56</v>
      </c>
      <c r="C61" s="2">
        <f ca="1">IFERROR(__xludf.DUMMYFUNCTION("""COMPUTED_VALUE"""),205.72)</f>
        <v>205.72</v>
      </c>
      <c r="D61" s="2">
        <f ca="1">IFERROR(__xludf.DUMMYFUNCTION("""COMPUTED_VALUE"""),202.54)</f>
        <v>202.54</v>
      </c>
      <c r="E61" s="2">
        <f ca="1">IFERROR(__xludf.DUMMYFUNCTION("""COMPUTED_VALUE"""),205.35)</f>
        <v>205.35</v>
      </c>
      <c r="F61" s="2">
        <f ca="1">IFERROR(__xludf.DUMMYFUNCTION("""COMPUTED_VALUE"""),18851137)</f>
        <v>18851137</v>
      </c>
    </row>
    <row r="62" spans="1:6" ht="12.5" x14ac:dyDescent="0.25">
      <c r="A62" s="3">
        <f ca="1">IFERROR(__xludf.DUMMYFUNCTION("""COMPUTED_VALUE"""),45015.6666666666)</f>
        <v>45015.666666666599</v>
      </c>
      <c r="B62" s="2">
        <f ca="1">IFERROR(__xludf.DUMMYFUNCTION("""COMPUTED_VALUE"""),203.38)</f>
        <v>203.38</v>
      </c>
      <c r="C62" s="2">
        <f ca="1">IFERROR(__xludf.DUMMYFUNCTION("""COMPUTED_VALUE"""),208.09)</f>
        <v>208.09</v>
      </c>
      <c r="D62" s="2">
        <f ca="1">IFERROR(__xludf.DUMMYFUNCTION("""COMPUTED_VALUE"""),202.82)</f>
        <v>202.82</v>
      </c>
      <c r="E62" s="2">
        <f ca="1">IFERROR(__xludf.DUMMYFUNCTION("""COMPUTED_VALUE"""),207.84)</f>
        <v>207.84</v>
      </c>
      <c r="F62" s="2">
        <f ca="1">IFERROR(__xludf.DUMMYFUNCTION("""COMPUTED_VALUE"""),22608303)</f>
        <v>22608303</v>
      </c>
    </row>
    <row r="63" spans="1:6" ht="12.5" x14ac:dyDescent="0.25">
      <c r="A63" s="3">
        <f ca="1">IFERROR(__xludf.DUMMYFUNCTION("""COMPUTED_VALUE"""),45016.6666666666)</f>
        <v>45016.666666666599</v>
      </c>
      <c r="B63" s="2">
        <f ca="1">IFERROR(__xludf.DUMMYFUNCTION("""COMPUTED_VALUE"""),207.24)</f>
        <v>207.24</v>
      </c>
      <c r="C63" s="2">
        <f ca="1">IFERROR(__xludf.DUMMYFUNCTION("""COMPUTED_VALUE"""),212.17)</f>
        <v>212.17</v>
      </c>
      <c r="D63" s="2">
        <f ca="1">IFERROR(__xludf.DUMMYFUNCTION("""COMPUTED_VALUE"""),206.77)</f>
        <v>206.77</v>
      </c>
      <c r="E63" s="2">
        <f ca="1">IFERROR(__xludf.DUMMYFUNCTION("""COMPUTED_VALUE"""),211.94)</f>
        <v>211.94</v>
      </c>
      <c r="F63" s="2">
        <f ca="1">IFERROR(__xludf.DUMMYFUNCTION("""COMPUTED_VALUE"""),25440273)</f>
        <v>25440273</v>
      </c>
    </row>
    <row r="64" spans="1:6" ht="12.5" x14ac:dyDescent="0.25">
      <c r="A64" s="3">
        <f ca="1">IFERROR(__xludf.DUMMYFUNCTION("""COMPUTED_VALUE"""),45019.6666666666)</f>
        <v>45019.666666666599</v>
      </c>
      <c r="B64" s="2">
        <f ca="1">IFERROR(__xludf.DUMMYFUNCTION("""COMPUTED_VALUE"""),208.84)</f>
        <v>208.84</v>
      </c>
      <c r="C64" s="2">
        <f ca="1">IFERROR(__xludf.DUMMYFUNCTION("""COMPUTED_VALUE"""),213.49)</f>
        <v>213.49</v>
      </c>
      <c r="D64" s="2">
        <f ca="1">IFERROR(__xludf.DUMMYFUNCTION("""COMPUTED_VALUE"""),208.2)</f>
        <v>208.2</v>
      </c>
      <c r="E64" s="2">
        <f ca="1">IFERROR(__xludf.DUMMYFUNCTION("""COMPUTED_VALUE"""),213.07)</f>
        <v>213.07</v>
      </c>
      <c r="F64" s="2">
        <f ca="1">IFERROR(__xludf.DUMMYFUNCTION("""COMPUTED_VALUE"""),17924613)</f>
        <v>17924613</v>
      </c>
    </row>
    <row r="65" spans="1:6" ht="12.5" x14ac:dyDescent="0.25">
      <c r="A65" s="3">
        <f ca="1">IFERROR(__xludf.DUMMYFUNCTION("""COMPUTED_VALUE"""),45020.6666666666)</f>
        <v>45020.666666666599</v>
      </c>
      <c r="B65" s="2">
        <f ca="1">IFERROR(__xludf.DUMMYFUNCTION("""COMPUTED_VALUE"""),213.39)</f>
        <v>213.39</v>
      </c>
      <c r="C65" s="2">
        <f ca="1">IFERROR(__xludf.DUMMYFUNCTION("""COMPUTED_VALUE"""),216.24)</f>
        <v>216.24</v>
      </c>
      <c r="D65" s="2">
        <f ca="1">IFERROR(__xludf.DUMMYFUNCTION("""COMPUTED_VALUE"""),212.54)</f>
        <v>212.54</v>
      </c>
      <c r="E65" s="2">
        <f ca="1">IFERROR(__xludf.DUMMYFUNCTION("""COMPUTED_VALUE"""),214.72)</f>
        <v>214.72</v>
      </c>
      <c r="F65" s="2">
        <f ca="1">IFERROR(__xludf.DUMMYFUNCTION("""COMPUTED_VALUE"""),21026367)</f>
        <v>21026367</v>
      </c>
    </row>
    <row r="66" spans="1:6" ht="12.5" x14ac:dyDescent="0.25">
      <c r="A66" s="3">
        <f ca="1">IFERROR(__xludf.DUMMYFUNCTION("""COMPUTED_VALUE"""),45021.6666666666)</f>
        <v>45021.666666666599</v>
      </c>
      <c r="B66" s="2">
        <f ca="1">IFERROR(__xludf.DUMMYFUNCTION("""COMPUTED_VALUE"""),214.15)</f>
        <v>214.15</v>
      </c>
      <c r="C66" s="2">
        <f ca="1">IFERROR(__xludf.DUMMYFUNCTION("""COMPUTED_VALUE"""),215.19)</f>
        <v>215.19</v>
      </c>
      <c r="D66" s="2">
        <f ca="1">IFERROR(__xludf.DUMMYFUNCTION("""COMPUTED_VALUE"""),209.94)</f>
        <v>209.94</v>
      </c>
      <c r="E66" s="2">
        <f ca="1">IFERROR(__xludf.DUMMYFUNCTION("""COMPUTED_VALUE"""),211.48)</f>
        <v>211.48</v>
      </c>
      <c r="F66" s="2">
        <f ca="1">IFERROR(__xludf.DUMMYFUNCTION("""COMPUTED_VALUE"""),19396630)</f>
        <v>19396630</v>
      </c>
    </row>
    <row r="67" spans="1:6" ht="12.5" x14ac:dyDescent="0.25">
      <c r="A67" s="3">
        <f ca="1">IFERROR(__xludf.DUMMYFUNCTION("""COMPUTED_VALUE"""),45022.6666666666)</f>
        <v>45022.666666666599</v>
      </c>
      <c r="B67" s="2">
        <f ca="1">IFERROR(__xludf.DUMMYFUNCTION("""COMPUTED_VALUE"""),209.25)</f>
        <v>209.25</v>
      </c>
      <c r="C67" s="2">
        <f ca="1">IFERROR(__xludf.DUMMYFUNCTION("""COMPUTED_VALUE"""),216.94)</f>
        <v>216.94</v>
      </c>
      <c r="D67" s="2">
        <f ca="1">IFERROR(__xludf.DUMMYFUNCTION("""COMPUTED_VALUE"""),208.65)</f>
        <v>208.65</v>
      </c>
      <c r="E67" s="2">
        <f ca="1">IFERROR(__xludf.DUMMYFUNCTION("""COMPUTED_VALUE"""),216.1)</f>
        <v>216.1</v>
      </c>
      <c r="F67" s="2">
        <f ca="1">IFERROR(__xludf.DUMMYFUNCTION("""COMPUTED_VALUE"""),26104411)</f>
        <v>26104411</v>
      </c>
    </row>
    <row r="68" spans="1:6" ht="12.5" x14ac:dyDescent="0.25">
      <c r="A68" s="3">
        <f ca="1">IFERROR(__xludf.DUMMYFUNCTION("""COMPUTED_VALUE"""),45026.6666666666)</f>
        <v>45026.666666666599</v>
      </c>
      <c r="B68" s="2">
        <f ca="1">IFERROR(__xludf.DUMMYFUNCTION("""COMPUTED_VALUE"""),214.71)</f>
        <v>214.71</v>
      </c>
      <c r="C68" s="2">
        <f ca="1">IFERROR(__xludf.DUMMYFUNCTION("""COMPUTED_VALUE"""),215.66)</f>
        <v>215.66</v>
      </c>
      <c r="D68" s="2">
        <f ca="1">IFERROR(__xludf.DUMMYFUNCTION("""COMPUTED_VALUE"""),210.66)</f>
        <v>210.66</v>
      </c>
      <c r="E68" s="2">
        <f ca="1">IFERROR(__xludf.DUMMYFUNCTION("""COMPUTED_VALUE"""),214.75)</f>
        <v>214.75</v>
      </c>
      <c r="F68" s="2">
        <f ca="1">IFERROR(__xludf.DUMMYFUNCTION("""COMPUTED_VALUE"""),16106074)</f>
        <v>16106074</v>
      </c>
    </row>
    <row r="69" spans="1:6" ht="12.5" x14ac:dyDescent="0.25">
      <c r="A69" s="3">
        <f ca="1">IFERROR(__xludf.DUMMYFUNCTION("""COMPUTED_VALUE"""),45027.6666666666)</f>
        <v>45027.666666666599</v>
      </c>
      <c r="B69" s="2">
        <f ca="1">IFERROR(__xludf.DUMMYFUNCTION("""COMPUTED_VALUE"""),215.48)</f>
        <v>215.48</v>
      </c>
      <c r="C69" s="2">
        <f ca="1">IFERROR(__xludf.DUMMYFUNCTION("""COMPUTED_VALUE"""),216.02)</f>
        <v>216.02</v>
      </c>
      <c r="D69" s="2">
        <f ca="1">IFERROR(__xludf.DUMMYFUNCTION("""COMPUTED_VALUE"""),213.41)</f>
        <v>213.41</v>
      </c>
      <c r="E69" s="2">
        <f ca="1">IFERROR(__xludf.DUMMYFUNCTION("""COMPUTED_VALUE"""),213.85)</f>
        <v>213.85</v>
      </c>
      <c r="F69" s="2">
        <f ca="1">IFERROR(__xludf.DUMMYFUNCTION("""COMPUTED_VALUE"""),16710101)</f>
        <v>16710101</v>
      </c>
    </row>
    <row r="70" spans="1:6" ht="12.5" x14ac:dyDescent="0.25">
      <c r="A70" s="3">
        <f ca="1">IFERROR(__xludf.DUMMYFUNCTION("""COMPUTED_VALUE"""),45028.6666666666)</f>
        <v>45028.666666666599</v>
      </c>
      <c r="B70" s="2">
        <f ca="1">IFERROR(__xludf.DUMMYFUNCTION("""COMPUTED_VALUE"""),214.84)</f>
        <v>214.84</v>
      </c>
      <c r="C70" s="2">
        <f ca="1">IFERROR(__xludf.DUMMYFUNCTION("""COMPUTED_VALUE"""),216.84)</f>
        <v>216.84</v>
      </c>
      <c r="D70" s="2">
        <f ca="1">IFERROR(__xludf.DUMMYFUNCTION("""COMPUTED_VALUE"""),212.58)</f>
        <v>212.58</v>
      </c>
      <c r="E70" s="2">
        <f ca="1">IFERROR(__xludf.DUMMYFUNCTION("""COMPUTED_VALUE"""),214)</f>
        <v>214</v>
      </c>
      <c r="F70" s="2">
        <f ca="1">IFERROR(__xludf.DUMMYFUNCTION("""COMPUTED_VALUE"""),18972172)</f>
        <v>18972172</v>
      </c>
    </row>
    <row r="71" spans="1:6" ht="12.5" x14ac:dyDescent="0.25">
      <c r="A71" s="3">
        <f ca="1">IFERROR(__xludf.DUMMYFUNCTION("""COMPUTED_VALUE"""),45029.6666666666)</f>
        <v>45029.666666666599</v>
      </c>
      <c r="B71" s="2">
        <f ca="1">IFERROR(__xludf.DUMMYFUNCTION("""COMPUTED_VALUE"""),215.73)</f>
        <v>215.73</v>
      </c>
      <c r="C71" s="2">
        <f ca="1">IFERROR(__xludf.DUMMYFUNCTION("""COMPUTED_VALUE"""),221.15)</f>
        <v>221.15</v>
      </c>
      <c r="D71" s="2">
        <f ca="1">IFERROR(__xludf.DUMMYFUNCTION("""COMPUTED_VALUE"""),215.69)</f>
        <v>215.69</v>
      </c>
      <c r="E71" s="2">
        <f ca="1">IFERROR(__xludf.DUMMYFUNCTION("""COMPUTED_VALUE"""),220.35)</f>
        <v>220.35</v>
      </c>
      <c r="F71" s="2">
        <f ca="1">IFERROR(__xludf.DUMMYFUNCTION("""COMPUTED_VALUE"""),23310357)</f>
        <v>23310357</v>
      </c>
    </row>
    <row r="72" spans="1:6" ht="12.5" x14ac:dyDescent="0.25">
      <c r="A72" s="3">
        <f ca="1">IFERROR(__xludf.DUMMYFUNCTION("""COMPUTED_VALUE"""),45030.6666666666)</f>
        <v>45030.666666666599</v>
      </c>
      <c r="B72" s="2">
        <f ca="1">IFERROR(__xludf.DUMMYFUNCTION("""COMPUTED_VALUE"""),217.88)</f>
        <v>217.88</v>
      </c>
      <c r="C72" s="2">
        <f ca="1">IFERROR(__xludf.DUMMYFUNCTION("""COMPUTED_VALUE"""),222.11)</f>
        <v>222.11</v>
      </c>
      <c r="D72" s="2">
        <f ca="1">IFERROR(__xludf.DUMMYFUNCTION("""COMPUTED_VALUE"""),217.55)</f>
        <v>217.55</v>
      </c>
      <c r="E72" s="2">
        <f ca="1">IFERROR(__xludf.DUMMYFUNCTION("""COMPUTED_VALUE"""),221.49)</f>
        <v>221.49</v>
      </c>
      <c r="F72" s="2">
        <f ca="1">IFERROR(__xludf.DUMMYFUNCTION("""COMPUTED_VALUE"""),21591207)</f>
        <v>21591207</v>
      </c>
    </row>
    <row r="73" spans="1:6" ht="12.5" x14ac:dyDescent="0.25">
      <c r="A73" s="3">
        <f ca="1">IFERROR(__xludf.DUMMYFUNCTION("""COMPUTED_VALUE"""),45033.6666666666)</f>
        <v>45033.666666666599</v>
      </c>
      <c r="B73" s="2">
        <f ca="1">IFERROR(__xludf.DUMMYFUNCTION("""COMPUTED_VALUE"""),219.79)</f>
        <v>219.79</v>
      </c>
      <c r="C73" s="2">
        <f ca="1">IFERROR(__xludf.DUMMYFUNCTION("""COMPUTED_VALUE"""),220.98)</f>
        <v>220.98</v>
      </c>
      <c r="D73" s="2">
        <f ca="1">IFERROR(__xludf.DUMMYFUNCTION("""COMPUTED_VALUE"""),217.13)</f>
        <v>217.13</v>
      </c>
      <c r="E73" s="2">
        <f ca="1">IFERROR(__xludf.DUMMYFUNCTION("""COMPUTED_VALUE"""),218.86)</f>
        <v>218.86</v>
      </c>
      <c r="F73" s="2">
        <f ca="1">IFERROR(__xludf.DUMMYFUNCTION("""COMPUTED_VALUE"""),15481874)</f>
        <v>15481874</v>
      </c>
    </row>
    <row r="74" spans="1:6" ht="12.5" x14ac:dyDescent="0.25">
      <c r="A74" s="3">
        <f ca="1">IFERROR(__xludf.DUMMYFUNCTION("""COMPUTED_VALUE"""),45034.6666666666)</f>
        <v>45034.666666666599</v>
      </c>
      <c r="B74" s="2">
        <f ca="1">IFERROR(__xludf.DUMMYFUNCTION("""COMPUTED_VALUE"""),219.91)</f>
        <v>219.91</v>
      </c>
      <c r="C74" s="2">
        <f ca="1">IFERROR(__xludf.DUMMYFUNCTION("""COMPUTED_VALUE"""),220.44)</f>
        <v>220.44</v>
      </c>
      <c r="D74" s="2">
        <f ca="1">IFERROR(__xludf.DUMMYFUNCTION("""COMPUTED_VALUE"""),216.21)</f>
        <v>216.21</v>
      </c>
      <c r="E74" s="2">
        <f ca="1">IFERROR(__xludf.DUMMYFUNCTION("""COMPUTED_VALUE"""),217.89)</f>
        <v>217.89</v>
      </c>
      <c r="F74" s="2">
        <f ca="1">IFERROR(__xludf.DUMMYFUNCTION("""COMPUTED_VALUE"""),12280984)</f>
        <v>12280984</v>
      </c>
    </row>
    <row r="75" spans="1:6" ht="12.5" x14ac:dyDescent="0.25">
      <c r="A75" s="3">
        <f ca="1">IFERROR(__xludf.DUMMYFUNCTION("""COMPUTED_VALUE"""),45035.6666666666)</f>
        <v>45035.666666666599</v>
      </c>
      <c r="B75" s="2">
        <f ca="1">IFERROR(__xludf.DUMMYFUNCTION("""COMPUTED_VALUE"""),213.47)</f>
        <v>213.47</v>
      </c>
      <c r="C75" s="2">
        <f ca="1">IFERROR(__xludf.DUMMYFUNCTION("""COMPUTED_VALUE"""),217.33)</f>
        <v>217.33</v>
      </c>
      <c r="D75" s="2">
        <f ca="1">IFERROR(__xludf.DUMMYFUNCTION("""COMPUTED_VALUE"""),212.93)</f>
        <v>212.93</v>
      </c>
      <c r="E75" s="2">
        <f ca="1">IFERROR(__xludf.DUMMYFUNCTION("""COMPUTED_VALUE"""),215.7)</f>
        <v>215.7</v>
      </c>
      <c r="F75" s="2">
        <f ca="1">IFERROR(__xludf.DUMMYFUNCTION("""COMPUTED_VALUE"""),15898078)</f>
        <v>15898078</v>
      </c>
    </row>
    <row r="76" spans="1:6" ht="12.5" x14ac:dyDescent="0.25">
      <c r="A76" s="3">
        <f ca="1">IFERROR(__xludf.DUMMYFUNCTION("""COMPUTED_VALUE"""),45036.6666666666)</f>
        <v>45036.666666666599</v>
      </c>
      <c r="B76" s="2">
        <f ca="1">IFERROR(__xludf.DUMMYFUNCTION("""COMPUTED_VALUE"""),213.48)</f>
        <v>213.48</v>
      </c>
      <c r="C76" s="2">
        <f ca="1">IFERROR(__xludf.DUMMYFUNCTION("""COMPUTED_VALUE"""),216.75)</f>
        <v>216.75</v>
      </c>
      <c r="D76" s="2">
        <f ca="1">IFERROR(__xludf.DUMMYFUNCTION("""COMPUTED_VALUE"""),212.77)</f>
        <v>212.77</v>
      </c>
      <c r="E76" s="2">
        <f ca="1">IFERROR(__xludf.DUMMYFUNCTION("""COMPUTED_VALUE"""),213.07)</f>
        <v>213.07</v>
      </c>
      <c r="F76" s="2">
        <f ca="1">IFERROR(__xludf.DUMMYFUNCTION("""COMPUTED_VALUE"""),16475443)</f>
        <v>16475443</v>
      </c>
    </row>
    <row r="77" spans="1:6" ht="12.5" x14ac:dyDescent="0.25">
      <c r="A77" s="3">
        <f ca="1">IFERROR(__xludf.DUMMYFUNCTION("""COMPUTED_VALUE"""),45037.6666666666)</f>
        <v>45037.666666666599</v>
      </c>
      <c r="B77" s="2">
        <f ca="1">IFERROR(__xludf.DUMMYFUNCTION("""COMPUTED_VALUE"""),210.21)</f>
        <v>210.21</v>
      </c>
      <c r="C77" s="2">
        <f ca="1">IFERROR(__xludf.DUMMYFUNCTION("""COMPUTED_VALUE"""),213.41)</f>
        <v>213.41</v>
      </c>
      <c r="D77" s="2">
        <f ca="1">IFERROR(__xludf.DUMMYFUNCTION("""COMPUTED_VALUE"""),209.58)</f>
        <v>209.58</v>
      </c>
      <c r="E77" s="2">
        <f ca="1">IFERROR(__xludf.DUMMYFUNCTION("""COMPUTED_VALUE"""),212.89)</f>
        <v>212.89</v>
      </c>
      <c r="F77" s="2">
        <f ca="1">IFERROR(__xludf.DUMMYFUNCTION("""COMPUTED_VALUE"""),17717166)</f>
        <v>17717166</v>
      </c>
    </row>
    <row r="78" spans="1:6" ht="12.5" x14ac:dyDescent="0.25">
      <c r="A78" s="3">
        <f ca="1">IFERROR(__xludf.DUMMYFUNCTION("""COMPUTED_VALUE"""),45040.6666666666)</f>
        <v>45040.666666666599</v>
      </c>
      <c r="B78" s="2">
        <f ca="1">IFERROR(__xludf.DUMMYFUNCTION("""COMPUTED_VALUE"""),213.68)</f>
        <v>213.68</v>
      </c>
      <c r="C78" s="2">
        <f ca="1">IFERROR(__xludf.DUMMYFUNCTION("""COMPUTED_VALUE"""),213.92)</f>
        <v>213.92</v>
      </c>
      <c r="D78" s="2">
        <f ca="1">IFERROR(__xludf.DUMMYFUNCTION("""COMPUTED_VALUE"""),210.71)</f>
        <v>210.71</v>
      </c>
      <c r="E78" s="2">
        <f ca="1">IFERROR(__xludf.DUMMYFUNCTION("""COMPUTED_VALUE"""),212.79)</f>
        <v>212.79</v>
      </c>
      <c r="F78" s="2">
        <f ca="1">IFERROR(__xludf.DUMMYFUNCTION("""COMPUTED_VALUE"""),15750920)</f>
        <v>15750920</v>
      </c>
    </row>
    <row r="79" spans="1:6" ht="12.5" x14ac:dyDescent="0.25">
      <c r="A79" s="3">
        <f ca="1">IFERROR(__xludf.DUMMYFUNCTION("""COMPUTED_VALUE"""),45041.6666666666)</f>
        <v>45041.666666666599</v>
      </c>
      <c r="B79" s="2">
        <f ca="1">IFERROR(__xludf.DUMMYFUNCTION("""COMPUTED_VALUE"""),210.82)</f>
        <v>210.82</v>
      </c>
      <c r="C79" s="2">
        <f ca="1">IFERROR(__xludf.DUMMYFUNCTION("""COMPUTED_VALUE"""),211.26)</f>
        <v>211.26</v>
      </c>
      <c r="D79" s="2">
        <f ca="1">IFERROR(__xludf.DUMMYFUNCTION("""COMPUTED_VALUE"""),207.13)</f>
        <v>207.13</v>
      </c>
      <c r="E79" s="2">
        <f ca="1">IFERROR(__xludf.DUMMYFUNCTION("""COMPUTED_VALUE"""),207.55)</f>
        <v>207.55</v>
      </c>
      <c r="F79" s="2">
        <f ca="1">IFERROR(__xludf.DUMMYFUNCTION("""COMPUTED_VALUE"""),19198175)</f>
        <v>19198175</v>
      </c>
    </row>
    <row r="80" spans="1:6" ht="12.5" x14ac:dyDescent="0.25">
      <c r="A80" s="3">
        <f ca="1">IFERROR(__xludf.DUMMYFUNCTION("""COMPUTED_VALUE"""),45042.6666666666)</f>
        <v>45042.666666666599</v>
      </c>
      <c r="B80" s="2">
        <f ca="1">IFERROR(__xludf.DUMMYFUNCTION("""COMPUTED_VALUE"""),212.5)</f>
        <v>212.5</v>
      </c>
      <c r="C80" s="2">
        <f ca="1">IFERROR(__xludf.DUMMYFUNCTION("""COMPUTED_VALUE"""),214.11)</f>
        <v>214.11</v>
      </c>
      <c r="D80" s="2">
        <f ca="1">IFERROR(__xludf.DUMMYFUNCTION("""COMPUTED_VALUE"""),208.88)</f>
        <v>208.88</v>
      </c>
      <c r="E80" s="2">
        <f ca="1">IFERROR(__xludf.DUMMYFUNCTION("""COMPUTED_VALUE"""),209.4)</f>
        <v>209.4</v>
      </c>
      <c r="F80" s="2">
        <f ca="1">IFERROR(__xludf.DUMMYFUNCTION("""COMPUTED_VALUE"""),41992726)</f>
        <v>41992726</v>
      </c>
    </row>
    <row r="81" spans="1:6" ht="12.5" x14ac:dyDescent="0.25">
      <c r="A81" s="3">
        <f ca="1">IFERROR(__xludf.DUMMYFUNCTION("""COMPUTED_VALUE"""),45043.6666666666)</f>
        <v>45043.666666666599</v>
      </c>
      <c r="B81" s="2">
        <f ca="1">IFERROR(__xludf.DUMMYFUNCTION("""COMPUTED_VALUE"""),239.89)</f>
        <v>239.89</v>
      </c>
      <c r="C81" s="2">
        <f ca="1">IFERROR(__xludf.DUMMYFUNCTION("""COMPUTED_VALUE"""),241.69)</f>
        <v>241.69</v>
      </c>
      <c r="D81" s="2">
        <f ca="1">IFERROR(__xludf.DUMMYFUNCTION("""COMPUTED_VALUE"""),236.77)</f>
        <v>236.77</v>
      </c>
      <c r="E81" s="2">
        <f ca="1">IFERROR(__xludf.DUMMYFUNCTION("""COMPUTED_VALUE"""),238.56)</f>
        <v>238.56</v>
      </c>
      <c r="F81" s="2">
        <f ca="1">IFERROR(__xludf.DUMMYFUNCTION("""COMPUTED_VALUE"""),71196531)</f>
        <v>71196531</v>
      </c>
    </row>
    <row r="82" spans="1:6" ht="12.5" x14ac:dyDescent="0.25">
      <c r="A82" s="3">
        <f ca="1">IFERROR(__xludf.DUMMYFUNCTION("""COMPUTED_VALUE"""),45044.6666666666)</f>
        <v>45044.666666666599</v>
      </c>
      <c r="B82" s="2">
        <f ca="1">IFERROR(__xludf.DUMMYFUNCTION("""COMPUTED_VALUE"""),239.01)</f>
        <v>239.01</v>
      </c>
      <c r="C82" s="2">
        <f ca="1">IFERROR(__xludf.DUMMYFUNCTION("""COMPUTED_VALUE"""),240.43)</f>
        <v>240.43</v>
      </c>
      <c r="D82" s="2">
        <f ca="1">IFERROR(__xludf.DUMMYFUNCTION("""COMPUTED_VALUE"""),235.75)</f>
        <v>235.75</v>
      </c>
      <c r="E82" s="2">
        <f ca="1">IFERROR(__xludf.DUMMYFUNCTION("""COMPUTED_VALUE"""),240.32)</f>
        <v>240.32</v>
      </c>
      <c r="F82" s="2">
        <f ca="1">IFERROR(__xludf.DUMMYFUNCTION("""COMPUTED_VALUE"""),39554036)</f>
        <v>39554036</v>
      </c>
    </row>
    <row r="83" spans="1:6" ht="12.5" x14ac:dyDescent="0.25">
      <c r="A83" s="3">
        <f ca="1">IFERROR(__xludf.DUMMYFUNCTION("""COMPUTED_VALUE"""),45047.6666666666)</f>
        <v>45047.666666666599</v>
      </c>
      <c r="B83" s="2">
        <f ca="1">IFERROR(__xludf.DUMMYFUNCTION("""COMPUTED_VALUE"""),238.62)</f>
        <v>238.62</v>
      </c>
      <c r="C83" s="2">
        <f ca="1">IFERROR(__xludf.DUMMYFUNCTION("""COMPUTED_VALUE"""),244)</f>
        <v>244</v>
      </c>
      <c r="D83" s="2">
        <f ca="1">IFERROR(__xludf.DUMMYFUNCTION("""COMPUTED_VALUE"""),236.46)</f>
        <v>236.46</v>
      </c>
      <c r="E83" s="2">
        <f ca="1">IFERROR(__xludf.DUMMYFUNCTION("""COMPUTED_VALUE"""),243.18)</f>
        <v>243.18</v>
      </c>
      <c r="F83" s="2">
        <f ca="1">IFERROR(__xludf.DUMMYFUNCTION("""COMPUTED_VALUE"""),29143912)</f>
        <v>29143912</v>
      </c>
    </row>
    <row r="84" spans="1:6" ht="12.5" x14ac:dyDescent="0.25">
      <c r="A84" s="3">
        <f ca="1">IFERROR(__xludf.DUMMYFUNCTION("""COMPUTED_VALUE"""),45048.6666666666)</f>
        <v>45048.666666666599</v>
      </c>
      <c r="B84" s="2">
        <f ca="1">IFERROR(__xludf.DUMMYFUNCTION("""COMPUTED_VALUE"""),243.18)</f>
        <v>243.18</v>
      </c>
      <c r="C84" s="2">
        <f ca="1">IFERROR(__xludf.DUMMYFUNCTION("""COMPUTED_VALUE"""),244.92)</f>
        <v>244.92</v>
      </c>
      <c r="D84" s="2">
        <f ca="1">IFERROR(__xludf.DUMMYFUNCTION("""COMPUTED_VALUE"""),238.99)</f>
        <v>238.99</v>
      </c>
      <c r="E84" s="2">
        <f ca="1">IFERROR(__xludf.DUMMYFUNCTION("""COMPUTED_VALUE"""),239.24)</f>
        <v>239.24</v>
      </c>
      <c r="F84" s="2">
        <f ca="1">IFERROR(__xludf.DUMMYFUNCTION("""COMPUTED_VALUE"""),24350149)</f>
        <v>24350149</v>
      </c>
    </row>
    <row r="85" spans="1:6" ht="12.5" x14ac:dyDescent="0.25">
      <c r="A85" s="3">
        <f ca="1">IFERROR(__xludf.DUMMYFUNCTION("""COMPUTED_VALUE"""),45049.6666666666)</f>
        <v>45049.666666666599</v>
      </c>
      <c r="B85" s="2">
        <f ca="1">IFERROR(__xludf.DUMMYFUNCTION("""COMPUTED_VALUE"""),239.47)</f>
        <v>239.47</v>
      </c>
      <c r="C85" s="2">
        <f ca="1">IFERROR(__xludf.DUMMYFUNCTION("""COMPUTED_VALUE"""),241.75)</f>
        <v>241.75</v>
      </c>
      <c r="D85" s="2">
        <f ca="1">IFERROR(__xludf.DUMMYFUNCTION("""COMPUTED_VALUE"""),232.75)</f>
        <v>232.75</v>
      </c>
      <c r="E85" s="2">
        <f ca="1">IFERROR(__xludf.DUMMYFUNCTION("""COMPUTED_VALUE"""),237.03)</f>
        <v>237.03</v>
      </c>
      <c r="F85" s="2">
        <f ca="1">IFERROR(__xludf.DUMMYFUNCTION("""COMPUTED_VALUE"""),34463859)</f>
        <v>34463859</v>
      </c>
    </row>
    <row r="86" spans="1:6" ht="12.5" x14ac:dyDescent="0.25">
      <c r="A86" s="3">
        <f ca="1">IFERROR(__xludf.DUMMYFUNCTION("""COMPUTED_VALUE"""),45050.6666666666)</f>
        <v>45050.666666666599</v>
      </c>
      <c r="B86" s="2">
        <f ca="1">IFERROR(__xludf.DUMMYFUNCTION("""COMPUTED_VALUE"""),236.06)</f>
        <v>236.06</v>
      </c>
      <c r="C86" s="2">
        <f ca="1">IFERROR(__xludf.DUMMYFUNCTION("""COMPUTED_VALUE"""),238.2)</f>
        <v>238.2</v>
      </c>
      <c r="D86" s="2">
        <f ca="1">IFERROR(__xludf.DUMMYFUNCTION("""COMPUTED_VALUE"""),232.93)</f>
        <v>232.93</v>
      </c>
      <c r="E86" s="2">
        <f ca="1">IFERROR(__xludf.DUMMYFUNCTION("""COMPUTED_VALUE"""),233.52)</f>
        <v>233.52</v>
      </c>
      <c r="F86" s="2">
        <f ca="1">IFERROR(__xludf.DUMMYFUNCTION("""COMPUTED_VALUE"""),17889391)</f>
        <v>17889391</v>
      </c>
    </row>
    <row r="87" spans="1:6" ht="12.5" x14ac:dyDescent="0.25">
      <c r="A87" s="3">
        <f ca="1">IFERROR(__xludf.DUMMYFUNCTION("""COMPUTED_VALUE"""),45051.6666666666)</f>
        <v>45051.666666666599</v>
      </c>
      <c r="B87" s="2">
        <f ca="1">IFERROR(__xludf.DUMMYFUNCTION("""COMPUTED_VALUE"""),232.24)</f>
        <v>232.24</v>
      </c>
      <c r="C87" s="2">
        <f ca="1">IFERROR(__xludf.DUMMYFUNCTION("""COMPUTED_VALUE"""),234.68)</f>
        <v>234.68</v>
      </c>
      <c r="D87" s="2">
        <f ca="1">IFERROR(__xludf.DUMMYFUNCTION("""COMPUTED_VALUE"""),229.85)</f>
        <v>229.85</v>
      </c>
      <c r="E87" s="2">
        <f ca="1">IFERROR(__xludf.DUMMYFUNCTION("""COMPUTED_VALUE"""),232.78)</f>
        <v>232.78</v>
      </c>
      <c r="F87" s="2">
        <f ca="1">IFERROR(__xludf.DUMMYFUNCTION("""COMPUTED_VALUE"""),27000480)</f>
        <v>27000480</v>
      </c>
    </row>
    <row r="88" spans="1:6" ht="12.5" x14ac:dyDescent="0.25">
      <c r="A88" s="3">
        <f ca="1">IFERROR(__xludf.DUMMYFUNCTION("""COMPUTED_VALUE"""),45054.6666666666)</f>
        <v>45054.666666666599</v>
      </c>
      <c r="B88" s="2">
        <f ca="1">IFERROR(__xludf.DUMMYFUNCTION("""COMPUTED_VALUE"""),231.42)</f>
        <v>231.42</v>
      </c>
      <c r="C88" s="2">
        <f ca="1">IFERROR(__xludf.DUMMYFUNCTION("""COMPUTED_VALUE"""),235.62)</f>
        <v>235.62</v>
      </c>
      <c r="D88" s="2">
        <f ca="1">IFERROR(__xludf.DUMMYFUNCTION("""COMPUTED_VALUE"""),230.27)</f>
        <v>230.27</v>
      </c>
      <c r="E88" s="2">
        <f ca="1">IFERROR(__xludf.DUMMYFUNCTION("""COMPUTED_VALUE"""),233.27)</f>
        <v>233.27</v>
      </c>
      <c r="F88" s="2">
        <f ca="1">IFERROR(__xludf.DUMMYFUNCTION("""COMPUTED_VALUE"""),16400526)</f>
        <v>16400526</v>
      </c>
    </row>
    <row r="89" spans="1:6" ht="12.5" x14ac:dyDescent="0.25">
      <c r="A89" s="3">
        <f ca="1">IFERROR(__xludf.DUMMYFUNCTION("""COMPUTED_VALUE"""),45055.6666666666)</f>
        <v>45055.666666666599</v>
      </c>
      <c r="B89" s="2">
        <f ca="1">IFERROR(__xludf.DUMMYFUNCTION("""COMPUTED_VALUE"""),231.46)</f>
        <v>231.46</v>
      </c>
      <c r="C89" s="2">
        <f ca="1">IFERROR(__xludf.DUMMYFUNCTION("""COMPUTED_VALUE"""),235.88)</f>
        <v>235.88</v>
      </c>
      <c r="D89" s="2">
        <f ca="1">IFERROR(__xludf.DUMMYFUNCTION("""COMPUTED_VALUE"""),231.08)</f>
        <v>231.08</v>
      </c>
      <c r="E89" s="2">
        <f ca="1">IFERROR(__xludf.DUMMYFUNCTION("""COMPUTED_VALUE"""),233.37)</f>
        <v>233.37</v>
      </c>
      <c r="F89" s="2">
        <f ca="1">IFERROR(__xludf.DUMMYFUNCTION("""COMPUTED_VALUE"""),16865587)</f>
        <v>16865587</v>
      </c>
    </row>
    <row r="90" spans="1:6" ht="12.5" x14ac:dyDescent="0.25">
      <c r="A90" s="3">
        <f ca="1">IFERROR(__xludf.DUMMYFUNCTION("""COMPUTED_VALUE"""),45056.6666666666)</f>
        <v>45056.666666666599</v>
      </c>
      <c r="B90" s="2">
        <f ca="1">IFERROR(__xludf.DUMMYFUNCTION("""COMPUTED_VALUE"""),236.17)</f>
        <v>236.17</v>
      </c>
      <c r="C90" s="2">
        <f ca="1">IFERROR(__xludf.DUMMYFUNCTION("""COMPUTED_VALUE"""),236.75)</f>
        <v>236.75</v>
      </c>
      <c r="D90" s="2">
        <f ca="1">IFERROR(__xludf.DUMMYFUNCTION("""COMPUTED_VALUE"""),230.72)</f>
        <v>230.72</v>
      </c>
      <c r="E90" s="2">
        <f ca="1">IFERROR(__xludf.DUMMYFUNCTION("""COMPUTED_VALUE"""),233.08)</f>
        <v>233.08</v>
      </c>
      <c r="F90" s="2">
        <f ca="1">IFERROR(__xludf.DUMMYFUNCTION("""COMPUTED_VALUE"""),19119007)</f>
        <v>19119007</v>
      </c>
    </row>
    <row r="91" spans="1:6" ht="12.5" x14ac:dyDescent="0.25">
      <c r="A91" s="3">
        <f ca="1">IFERROR(__xludf.DUMMYFUNCTION("""COMPUTED_VALUE"""),45057.6666666666)</f>
        <v>45057.666666666599</v>
      </c>
      <c r="B91" s="2">
        <f ca="1">IFERROR(__xludf.DUMMYFUNCTION("""COMPUTED_VALUE"""),233.05)</f>
        <v>233.05</v>
      </c>
      <c r="C91" s="2">
        <f ca="1">IFERROR(__xludf.DUMMYFUNCTION("""COMPUTED_VALUE"""),238.21)</f>
        <v>238.21</v>
      </c>
      <c r="D91" s="2">
        <f ca="1">IFERROR(__xludf.DUMMYFUNCTION("""COMPUTED_VALUE"""),232.3)</f>
        <v>232.3</v>
      </c>
      <c r="E91" s="2">
        <f ca="1">IFERROR(__xludf.DUMMYFUNCTION("""COMPUTED_VALUE"""),235.79)</f>
        <v>235.79</v>
      </c>
      <c r="F91" s="2">
        <f ca="1">IFERROR(__xludf.DUMMYFUNCTION("""COMPUTED_VALUE"""),20448991)</f>
        <v>20448991</v>
      </c>
    </row>
    <row r="92" spans="1:6" ht="12.5" x14ac:dyDescent="0.25">
      <c r="A92" s="3">
        <f ca="1">IFERROR(__xludf.DUMMYFUNCTION("""COMPUTED_VALUE"""),45058.6666666666)</f>
        <v>45058.666666666599</v>
      </c>
      <c r="B92" s="2">
        <f ca="1">IFERROR(__xludf.DUMMYFUNCTION("""COMPUTED_VALUE"""),236.74)</f>
        <v>236.74</v>
      </c>
      <c r="C92" s="2">
        <f ca="1">IFERROR(__xludf.DUMMYFUNCTION("""COMPUTED_VALUE"""),236.96)</f>
        <v>236.96</v>
      </c>
      <c r="D92" s="2">
        <f ca="1">IFERROR(__xludf.DUMMYFUNCTION("""COMPUTED_VALUE"""),231.45)</f>
        <v>231.45</v>
      </c>
      <c r="E92" s="2">
        <f ca="1">IFERROR(__xludf.DUMMYFUNCTION("""COMPUTED_VALUE"""),233.81)</f>
        <v>233.81</v>
      </c>
      <c r="F92" s="2">
        <f ca="1">IFERROR(__xludf.DUMMYFUNCTION("""COMPUTED_VALUE"""),16161447)</f>
        <v>16161447</v>
      </c>
    </row>
    <row r="93" spans="1:6" ht="12.5" x14ac:dyDescent="0.25">
      <c r="A93" s="3">
        <f ca="1">IFERROR(__xludf.DUMMYFUNCTION("""COMPUTED_VALUE"""),45061.6666666666)</f>
        <v>45061.666666666599</v>
      </c>
      <c r="B93" s="2">
        <f ca="1">IFERROR(__xludf.DUMMYFUNCTION("""COMPUTED_VALUE"""),236.92)</f>
        <v>236.92</v>
      </c>
      <c r="C93" s="2">
        <f ca="1">IFERROR(__xludf.DUMMYFUNCTION("""COMPUTED_VALUE"""),240.26)</f>
        <v>240.26</v>
      </c>
      <c r="D93" s="2">
        <f ca="1">IFERROR(__xludf.DUMMYFUNCTION("""COMPUTED_VALUE"""),235.33)</f>
        <v>235.33</v>
      </c>
      <c r="E93" s="2">
        <f ca="1">IFERROR(__xludf.DUMMYFUNCTION("""COMPUTED_VALUE"""),238.86)</f>
        <v>238.86</v>
      </c>
      <c r="F93" s="2">
        <f ca="1">IFERROR(__xludf.DUMMYFUNCTION("""COMPUTED_VALUE"""),20653229)</f>
        <v>20653229</v>
      </c>
    </row>
    <row r="94" spans="1:6" ht="12.5" x14ac:dyDescent="0.25">
      <c r="A94" s="3">
        <f ca="1">IFERROR(__xludf.DUMMYFUNCTION("""COMPUTED_VALUE"""),45062.6666666666)</f>
        <v>45062.666666666599</v>
      </c>
      <c r="B94" s="2">
        <f ca="1">IFERROR(__xludf.DUMMYFUNCTION("""COMPUTED_VALUE"""),235.79)</f>
        <v>235.79</v>
      </c>
      <c r="C94" s="2">
        <f ca="1">IFERROR(__xludf.DUMMYFUNCTION("""COMPUTED_VALUE"""),239.64)</f>
        <v>239.64</v>
      </c>
      <c r="D94" s="2">
        <f ca="1">IFERROR(__xludf.DUMMYFUNCTION("""COMPUTED_VALUE"""),235.52)</f>
        <v>235.52</v>
      </c>
      <c r="E94" s="2">
        <f ca="1">IFERROR(__xludf.DUMMYFUNCTION("""COMPUTED_VALUE"""),238.82)</f>
        <v>238.82</v>
      </c>
      <c r="F94" s="2">
        <f ca="1">IFERROR(__xludf.DUMMYFUNCTION("""COMPUTED_VALUE"""),18163772)</f>
        <v>18163772</v>
      </c>
    </row>
    <row r="95" spans="1:6" ht="12.5" x14ac:dyDescent="0.25">
      <c r="A95" s="3">
        <f ca="1">IFERROR(__xludf.DUMMYFUNCTION("""COMPUTED_VALUE"""),45063.6666666666)</f>
        <v>45063.666666666599</v>
      </c>
      <c r="B95" s="2">
        <f ca="1">IFERROR(__xludf.DUMMYFUNCTION("""COMPUTED_VALUE"""),238.45)</f>
        <v>238.45</v>
      </c>
      <c r="C95" s="2">
        <f ca="1">IFERROR(__xludf.DUMMYFUNCTION("""COMPUTED_VALUE"""),243.84)</f>
        <v>243.84</v>
      </c>
      <c r="D95" s="2">
        <f ca="1">IFERROR(__xludf.DUMMYFUNCTION("""COMPUTED_VALUE"""),238.14)</f>
        <v>238.14</v>
      </c>
      <c r="E95" s="2">
        <f ca="1">IFERROR(__xludf.DUMMYFUNCTION("""COMPUTED_VALUE"""),242.49)</f>
        <v>242.49</v>
      </c>
      <c r="F95" s="2">
        <f ca="1">IFERROR(__xludf.DUMMYFUNCTION("""COMPUTED_VALUE"""),21193080)</f>
        <v>21193080</v>
      </c>
    </row>
    <row r="96" spans="1:6" ht="12.5" x14ac:dyDescent="0.25">
      <c r="A96" s="3">
        <f ca="1">IFERROR(__xludf.DUMMYFUNCTION("""COMPUTED_VALUE"""),45064.6666666666)</f>
        <v>45064.666666666599</v>
      </c>
      <c r="B96" s="2">
        <f ca="1">IFERROR(__xludf.DUMMYFUNCTION("""COMPUTED_VALUE"""),241.3)</f>
        <v>241.3</v>
      </c>
      <c r="C96" s="2">
        <f ca="1">IFERROR(__xludf.DUMMYFUNCTION("""COMPUTED_VALUE"""),247.09)</f>
        <v>247.09</v>
      </c>
      <c r="D96" s="2">
        <f ca="1">IFERROR(__xludf.DUMMYFUNCTION("""COMPUTED_VALUE"""),241.19)</f>
        <v>241.19</v>
      </c>
      <c r="E96" s="2">
        <f ca="1">IFERROR(__xludf.DUMMYFUNCTION("""COMPUTED_VALUE"""),246.85)</f>
        <v>246.85</v>
      </c>
      <c r="F96" s="2">
        <f ca="1">IFERROR(__xludf.DUMMYFUNCTION("""COMPUTED_VALUE"""),22943297)</f>
        <v>22943297</v>
      </c>
    </row>
    <row r="97" spans="1:6" ht="12.5" x14ac:dyDescent="0.25">
      <c r="A97" s="3">
        <f ca="1">IFERROR(__xludf.DUMMYFUNCTION("""COMPUTED_VALUE"""),45065.6666666666)</f>
        <v>45065.666666666599</v>
      </c>
      <c r="B97" s="2">
        <f ca="1">IFERROR(__xludf.DUMMYFUNCTION("""COMPUTED_VALUE"""),247.47)</f>
        <v>247.47</v>
      </c>
      <c r="C97" s="2">
        <f ca="1">IFERROR(__xludf.DUMMYFUNCTION("""COMPUTED_VALUE"""),248.69)</f>
        <v>248.69</v>
      </c>
      <c r="D97" s="2">
        <f ca="1">IFERROR(__xludf.DUMMYFUNCTION("""COMPUTED_VALUE"""),243.41)</f>
        <v>243.41</v>
      </c>
      <c r="E97" s="2">
        <f ca="1">IFERROR(__xludf.DUMMYFUNCTION("""COMPUTED_VALUE"""),245.64)</f>
        <v>245.64</v>
      </c>
      <c r="F97" s="2">
        <f ca="1">IFERROR(__xludf.DUMMYFUNCTION("""COMPUTED_VALUE"""),21733581)</f>
        <v>21733581</v>
      </c>
    </row>
    <row r="98" spans="1:6" ht="12.5" x14ac:dyDescent="0.25">
      <c r="A98" s="3">
        <f ca="1">IFERROR(__xludf.DUMMYFUNCTION("""COMPUTED_VALUE"""),45068.6666666666)</f>
        <v>45068.666666666599</v>
      </c>
      <c r="B98" s="2">
        <f ca="1">IFERROR(__xludf.DUMMYFUNCTION("""COMPUTED_VALUE"""),245.41)</f>
        <v>245.41</v>
      </c>
      <c r="C98" s="2">
        <f ca="1">IFERROR(__xludf.DUMMYFUNCTION("""COMPUTED_VALUE"""),253.57)</f>
        <v>253.57</v>
      </c>
      <c r="D98" s="2">
        <f ca="1">IFERROR(__xludf.DUMMYFUNCTION("""COMPUTED_VALUE"""),245.12)</f>
        <v>245.12</v>
      </c>
      <c r="E98" s="2">
        <f ca="1">IFERROR(__xludf.DUMMYFUNCTION("""COMPUTED_VALUE"""),248.32)</f>
        <v>248.32</v>
      </c>
      <c r="F98" s="2">
        <f ca="1">IFERROR(__xludf.DUMMYFUNCTION("""COMPUTED_VALUE"""),27738479)</f>
        <v>27738479</v>
      </c>
    </row>
    <row r="99" spans="1:6" ht="12.5" x14ac:dyDescent="0.25">
      <c r="A99" s="3">
        <f ca="1">IFERROR(__xludf.DUMMYFUNCTION("""COMPUTED_VALUE"""),45069.6666666666)</f>
        <v>45069.666666666599</v>
      </c>
      <c r="B99" s="2">
        <f ca="1">IFERROR(__xludf.DUMMYFUNCTION("""COMPUTED_VALUE"""),246.81)</f>
        <v>246.81</v>
      </c>
      <c r="C99" s="2">
        <f ca="1">IFERROR(__xludf.DUMMYFUNCTION("""COMPUTED_VALUE"""),251.61)</f>
        <v>251.61</v>
      </c>
      <c r="D99" s="2">
        <f ca="1">IFERROR(__xludf.DUMMYFUNCTION("""COMPUTED_VALUE"""),246.65)</f>
        <v>246.65</v>
      </c>
      <c r="E99" s="2">
        <f ca="1">IFERROR(__xludf.DUMMYFUNCTION("""COMPUTED_VALUE"""),246.74)</f>
        <v>246.74</v>
      </c>
      <c r="F99" s="2">
        <f ca="1">IFERROR(__xludf.DUMMYFUNCTION("""COMPUTED_VALUE"""),17748115)</f>
        <v>17748115</v>
      </c>
    </row>
    <row r="100" spans="1:6" ht="12.5" x14ac:dyDescent="0.25">
      <c r="A100" s="3">
        <f ca="1">IFERROR(__xludf.DUMMYFUNCTION("""COMPUTED_VALUE"""),45070.6666666666)</f>
        <v>45070.666666666599</v>
      </c>
      <c r="B100" s="2">
        <f ca="1">IFERROR(__xludf.DUMMYFUNCTION("""COMPUTED_VALUE"""),245.28)</f>
        <v>245.28</v>
      </c>
      <c r="C100" s="2">
        <f ca="1">IFERROR(__xludf.DUMMYFUNCTION("""COMPUTED_VALUE"""),249.59)</f>
        <v>249.59</v>
      </c>
      <c r="D100" s="2">
        <f ca="1">IFERROR(__xludf.DUMMYFUNCTION("""COMPUTED_VALUE"""),244.95)</f>
        <v>244.95</v>
      </c>
      <c r="E100" s="2">
        <f ca="1">IFERROR(__xludf.DUMMYFUNCTION("""COMPUTED_VALUE"""),249.21)</f>
        <v>249.21</v>
      </c>
      <c r="F100" s="2">
        <f ca="1">IFERROR(__xludf.DUMMYFUNCTION("""COMPUTED_VALUE"""),17724338)</f>
        <v>17724338</v>
      </c>
    </row>
    <row r="101" spans="1:6" ht="12.5" x14ac:dyDescent="0.25">
      <c r="A101" s="3">
        <f ca="1">IFERROR(__xludf.DUMMYFUNCTION("""COMPUTED_VALUE"""),45071.6666666666)</f>
        <v>45071.666666666599</v>
      </c>
      <c r="B101" s="2">
        <f ca="1">IFERROR(__xludf.DUMMYFUNCTION("""COMPUTED_VALUE"""),253.4)</f>
        <v>253.4</v>
      </c>
      <c r="C101" s="2">
        <f ca="1">IFERROR(__xludf.DUMMYFUNCTION("""COMPUTED_VALUE"""),255.62)</f>
        <v>255.62</v>
      </c>
      <c r="D101" s="2">
        <f ca="1">IFERROR(__xludf.DUMMYFUNCTION("""COMPUTED_VALUE"""),249.17)</f>
        <v>249.17</v>
      </c>
      <c r="E101" s="2">
        <f ca="1">IFERROR(__xludf.DUMMYFUNCTION("""COMPUTED_VALUE"""),252.69)</f>
        <v>252.69</v>
      </c>
      <c r="F101" s="2">
        <f ca="1">IFERROR(__xludf.DUMMYFUNCTION("""COMPUTED_VALUE"""),22371435)</f>
        <v>22371435</v>
      </c>
    </row>
    <row r="102" spans="1:6" ht="12.5" x14ac:dyDescent="0.25">
      <c r="A102" s="3">
        <f ca="1">IFERROR(__xludf.DUMMYFUNCTION("""COMPUTED_VALUE"""),45072.6666666666)</f>
        <v>45072.666666666599</v>
      </c>
      <c r="B102" s="2">
        <f ca="1">IFERROR(__xludf.DUMMYFUNCTION("""COMPUTED_VALUE"""),252.93)</f>
        <v>252.93</v>
      </c>
      <c r="C102" s="2">
        <f ca="1">IFERROR(__xludf.DUMMYFUNCTION("""COMPUTED_VALUE"""),262.31)</f>
        <v>262.31</v>
      </c>
      <c r="D102" s="2">
        <f ca="1">IFERROR(__xludf.DUMMYFUNCTION("""COMPUTED_VALUE"""),252.71)</f>
        <v>252.71</v>
      </c>
      <c r="E102" s="2">
        <f ca="1">IFERROR(__xludf.DUMMYFUNCTION("""COMPUTED_VALUE"""),262.04)</f>
        <v>262.04000000000002</v>
      </c>
      <c r="F102" s="2">
        <f ca="1">IFERROR(__xludf.DUMMYFUNCTION("""COMPUTED_VALUE"""),25768663)</f>
        <v>25768663</v>
      </c>
    </row>
    <row r="103" spans="1:6" ht="12.5" x14ac:dyDescent="0.25">
      <c r="A103" s="3">
        <f ca="1">IFERROR(__xludf.DUMMYFUNCTION("""COMPUTED_VALUE"""),45076.6666666666)</f>
        <v>45076.666666666599</v>
      </c>
      <c r="B103" s="2">
        <f ca="1">IFERROR(__xludf.DUMMYFUNCTION("""COMPUTED_VALUE"""),265.25)</f>
        <v>265.25</v>
      </c>
      <c r="C103" s="2">
        <f ca="1">IFERROR(__xludf.DUMMYFUNCTION("""COMPUTED_VALUE"""),268.65)</f>
        <v>268.64999999999998</v>
      </c>
      <c r="D103" s="2">
        <f ca="1">IFERROR(__xludf.DUMMYFUNCTION("""COMPUTED_VALUE"""),261.29)</f>
        <v>261.29000000000002</v>
      </c>
      <c r="E103" s="2">
        <f ca="1">IFERROR(__xludf.DUMMYFUNCTION("""COMPUTED_VALUE"""),262.52)</f>
        <v>262.52</v>
      </c>
      <c r="F103" s="2">
        <f ca="1">IFERROR(__xludf.DUMMYFUNCTION("""COMPUTED_VALUE"""),23816483)</f>
        <v>23816483</v>
      </c>
    </row>
    <row r="104" spans="1:6" ht="12.5" x14ac:dyDescent="0.25">
      <c r="A104" s="3">
        <f ca="1">IFERROR(__xludf.DUMMYFUNCTION("""COMPUTED_VALUE"""),45077.6666666666)</f>
        <v>45077.666666666599</v>
      </c>
      <c r="B104" s="2">
        <f ca="1">IFERROR(__xludf.DUMMYFUNCTION("""COMPUTED_VALUE"""),260)</f>
        <v>260</v>
      </c>
      <c r="C104" s="2">
        <f ca="1">IFERROR(__xludf.DUMMYFUNCTION("""COMPUTED_VALUE"""),265)</f>
        <v>265</v>
      </c>
      <c r="D104" s="2">
        <f ca="1">IFERROR(__xludf.DUMMYFUNCTION("""COMPUTED_VALUE"""),258.45)</f>
        <v>258.45</v>
      </c>
      <c r="E104" s="2">
        <f ca="1">IFERROR(__xludf.DUMMYFUNCTION("""COMPUTED_VALUE"""),264.72)</f>
        <v>264.72000000000003</v>
      </c>
      <c r="F104" s="2">
        <f ca="1">IFERROR(__xludf.DUMMYFUNCTION("""COMPUTED_VALUE"""),25473690)</f>
        <v>25473690</v>
      </c>
    </row>
    <row r="105" spans="1:6" ht="12.5" x14ac:dyDescent="0.25">
      <c r="A105" s="3">
        <f ca="1">IFERROR(__xludf.DUMMYFUNCTION("""COMPUTED_VALUE"""),45078.6666666666)</f>
        <v>45078.666666666599</v>
      </c>
      <c r="B105" s="2">
        <f ca="1">IFERROR(__xludf.DUMMYFUNCTION("""COMPUTED_VALUE"""),265.9)</f>
        <v>265.89999999999998</v>
      </c>
      <c r="C105" s="2">
        <f ca="1">IFERROR(__xludf.DUMMYFUNCTION("""COMPUTED_VALUE"""),274)</f>
        <v>274</v>
      </c>
      <c r="D105" s="2">
        <f ca="1">IFERROR(__xludf.DUMMYFUNCTION("""COMPUTED_VALUE"""),265.89)</f>
        <v>265.89</v>
      </c>
      <c r="E105" s="2">
        <f ca="1">IFERROR(__xludf.DUMMYFUNCTION("""COMPUTED_VALUE"""),272.61)</f>
        <v>272.61</v>
      </c>
      <c r="F105" s="2">
        <f ca="1">IFERROR(__xludf.DUMMYFUNCTION("""COMPUTED_VALUE"""),25609508)</f>
        <v>25609508</v>
      </c>
    </row>
    <row r="106" spans="1:6" ht="12.5" x14ac:dyDescent="0.25">
      <c r="A106" s="3">
        <f ca="1">IFERROR(__xludf.DUMMYFUNCTION("""COMPUTED_VALUE"""),45079.6666666666)</f>
        <v>45079.666666666599</v>
      </c>
      <c r="B106" s="2">
        <f ca="1">IFERROR(__xludf.DUMMYFUNCTION("""COMPUTED_VALUE"""),272.66)</f>
        <v>272.66000000000003</v>
      </c>
      <c r="C106" s="2">
        <f ca="1">IFERROR(__xludf.DUMMYFUNCTION("""COMPUTED_VALUE"""),275.35)</f>
        <v>275.35000000000002</v>
      </c>
      <c r="D106" s="2">
        <f ca="1">IFERROR(__xludf.DUMMYFUNCTION("""COMPUTED_VALUE"""),271.12)</f>
        <v>271.12</v>
      </c>
      <c r="E106" s="2">
        <f ca="1">IFERROR(__xludf.DUMMYFUNCTION("""COMPUTED_VALUE"""),272.61)</f>
        <v>272.61</v>
      </c>
      <c r="F106" s="2">
        <f ca="1">IFERROR(__xludf.DUMMYFUNCTION("""COMPUTED_VALUE"""),19416930)</f>
        <v>19416930</v>
      </c>
    </row>
    <row r="107" spans="1:6" ht="12.5" x14ac:dyDescent="0.25">
      <c r="A107" s="3">
        <f ca="1">IFERROR(__xludf.DUMMYFUNCTION("""COMPUTED_VALUE"""),45082.6666666666)</f>
        <v>45082.666666666599</v>
      </c>
      <c r="B107" s="2">
        <f ca="1">IFERROR(__xludf.DUMMYFUNCTION("""COMPUTED_VALUE"""),270.3)</f>
        <v>270.3</v>
      </c>
      <c r="C107" s="2">
        <f ca="1">IFERROR(__xludf.DUMMYFUNCTION("""COMPUTED_VALUE"""),275.57)</f>
        <v>275.57</v>
      </c>
      <c r="D107" s="2">
        <f ca="1">IFERROR(__xludf.DUMMYFUNCTION("""COMPUTED_VALUE"""),269.56)</f>
        <v>269.56</v>
      </c>
      <c r="E107" s="2">
        <f ca="1">IFERROR(__xludf.DUMMYFUNCTION("""COMPUTED_VALUE"""),271.39)</f>
        <v>271.39</v>
      </c>
      <c r="F107" s="2">
        <f ca="1">IFERROR(__xludf.DUMMYFUNCTION("""COMPUTED_VALUE"""),20742946)</f>
        <v>20742946</v>
      </c>
    </row>
    <row r="108" spans="1:6" ht="12.5" x14ac:dyDescent="0.25">
      <c r="A108" s="3">
        <f ca="1">IFERROR(__xludf.DUMMYFUNCTION("""COMPUTED_VALUE"""),45083.6666666666)</f>
        <v>45083.666666666599</v>
      </c>
      <c r="B108" s="2">
        <f ca="1">IFERROR(__xludf.DUMMYFUNCTION("""COMPUTED_VALUE"""),270.14)</f>
        <v>270.14</v>
      </c>
      <c r="C108" s="2">
        <f ca="1">IFERROR(__xludf.DUMMYFUNCTION("""COMPUTED_VALUE"""),276.57)</f>
        <v>276.57</v>
      </c>
      <c r="D108" s="2">
        <f ca="1">IFERROR(__xludf.DUMMYFUNCTION("""COMPUTED_VALUE"""),269.69)</f>
        <v>269.69</v>
      </c>
      <c r="E108" s="2">
        <f ca="1">IFERROR(__xludf.DUMMYFUNCTION("""COMPUTED_VALUE"""),271.12)</f>
        <v>271.12</v>
      </c>
      <c r="F108" s="2">
        <f ca="1">IFERROR(__xludf.DUMMYFUNCTION("""COMPUTED_VALUE"""),19419010)</f>
        <v>19419010</v>
      </c>
    </row>
    <row r="109" spans="1:6" ht="12.5" x14ac:dyDescent="0.25">
      <c r="A109" s="3">
        <f ca="1">IFERROR(__xludf.DUMMYFUNCTION("""COMPUTED_VALUE"""),45084.6666666666)</f>
        <v>45084.666666666599</v>
      </c>
      <c r="B109" s="2">
        <f ca="1">IFERROR(__xludf.DUMMYFUNCTION("""COMPUTED_VALUE"""),271.67)</f>
        <v>271.67</v>
      </c>
      <c r="C109" s="2">
        <f ca="1">IFERROR(__xludf.DUMMYFUNCTION("""COMPUTED_VALUE"""),274.25)</f>
        <v>274.25</v>
      </c>
      <c r="D109" s="2">
        <f ca="1">IFERROR(__xludf.DUMMYFUNCTION("""COMPUTED_VALUE"""),262.8)</f>
        <v>262.8</v>
      </c>
      <c r="E109" s="2">
        <f ca="1">IFERROR(__xludf.DUMMYFUNCTION("""COMPUTED_VALUE"""),263.6)</f>
        <v>263.60000000000002</v>
      </c>
      <c r="F109" s="2">
        <f ca="1">IFERROR(__xludf.DUMMYFUNCTION("""COMPUTED_VALUE"""),26163627)</f>
        <v>26163627</v>
      </c>
    </row>
    <row r="110" spans="1:6" ht="12.5" x14ac:dyDescent="0.25">
      <c r="A110" s="3">
        <f ca="1">IFERROR(__xludf.DUMMYFUNCTION("""COMPUTED_VALUE"""),45085.6666666666)</f>
        <v>45085.666666666599</v>
      </c>
      <c r="B110" s="2">
        <f ca="1">IFERROR(__xludf.DUMMYFUNCTION("""COMPUTED_VALUE"""),260.62)</f>
        <v>260.62</v>
      </c>
      <c r="C110" s="2">
        <f ca="1">IFERROR(__xludf.DUMMYFUNCTION("""COMPUTED_VALUE"""),267.65)</f>
        <v>267.64999999999998</v>
      </c>
      <c r="D110" s="2">
        <f ca="1">IFERROR(__xludf.DUMMYFUNCTION("""COMPUTED_VALUE"""),258.88)</f>
        <v>258.88</v>
      </c>
      <c r="E110" s="2">
        <f ca="1">IFERROR(__xludf.DUMMYFUNCTION("""COMPUTED_VALUE"""),264.58)</f>
        <v>264.58</v>
      </c>
      <c r="F110" s="2">
        <f ca="1">IFERROR(__xludf.DUMMYFUNCTION("""COMPUTED_VALUE"""),20899359)</f>
        <v>20899359</v>
      </c>
    </row>
    <row r="111" spans="1:6" ht="12.5" x14ac:dyDescent="0.25">
      <c r="A111" s="3">
        <f ca="1">IFERROR(__xludf.DUMMYFUNCTION("""COMPUTED_VALUE"""),45086.6666666666)</f>
        <v>45086.666666666599</v>
      </c>
      <c r="B111" s="2">
        <f ca="1">IFERROR(__xludf.DUMMYFUNCTION("""COMPUTED_VALUE"""),262.48)</f>
        <v>262.48</v>
      </c>
      <c r="C111" s="2">
        <f ca="1">IFERROR(__xludf.DUMMYFUNCTION("""COMPUTED_VALUE"""),267.95)</f>
        <v>267.95</v>
      </c>
      <c r="D111" s="2">
        <f ca="1">IFERROR(__xludf.DUMMYFUNCTION("""COMPUTED_VALUE"""),261.7)</f>
        <v>261.7</v>
      </c>
      <c r="E111" s="2">
        <f ca="1">IFERROR(__xludf.DUMMYFUNCTION("""COMPUTED_VALUE"""),264.95)</f>
        <v>264.95</v>
      </c>
      <c r="F111" s="2">
        <f ca="1">IFERROR(__xludf.DUMMYFUNCTION("""COMPUTED_VALUE"""),16949794)</f>
        <v>16949794</v>
      </c>
    </row>
    <row r="112" spans="1:6" ht="12.5" x14ac:dyDescent="0.25">
      <c r="A112" s="3">
        <f ca="1">IFERROR(__xludf.DUMMYFUNCTION("""COMPUTED_VALUE"""),45089.6666666666)</f>
        <v>45089.666666666599</v>
      </c>
      <c r="B112" s="2">
        <f ca="1">IFERROR(__xludf.DUMMYFUNCTION("""COMPUTED_VALUE"""),267.17)</f>
        <v>267.17</v>
      </c>
      <c r="C112" s="2">
        <f ca="1">IFERROR(__xludf.DUMMYFUNCTION("""COMPUTED_VALUE"""),271.75)</f>
        <v>271.75</v>
      </c>
      <c r="D112" s="2">
        <f ca="1">IFERROR(__xludf.DUMMYFUNCTION("""COMPUTED_VALUE"""),265.33)</f>
        <v>265.33</v>
      </c>
      <c r="E112" s="2">
        <f ca="1">IFERROR(__xludf.DUMMYFUNCTION("""COMPUTED_VALUE"""),271.05)</f>
        <v>271.05</v>
      </c>
      <c r="F112" s="2">
        <f ca="1">IFERROR(__xludf.DUMMYFUNCTION("""COMPUTED_VALUE"""),15471702)</f>
        <v>15471702</v>
      </c>
    </row>
    <row r="113" spans="1:6" ht="12.5" x14ac:dyDescent="0.25">
      <c r="A113" s="3">
        <f ca="1">IFERROR(__xludf.DUMMYFUNCTION("""COMPUTED_VALUE"""),45090.6666666666)</f>
        <v>45090.666666666599</v>
      </c>
      <c r="B113" s="2">
        <f ca="1">IFERROR(__xludf.DUMMYFUNCTION("""COMPUTED_VALUE"""),274.88)</f>
        <v>274.88</v>
      </c>
      <c r="C113" s="2">
        <f ca="1">IFERROR(__xludf.DUMMYFUNCTION("""COMPUTED_VALUE"""),275.72)</f>
        <v>275.72000000000003</v>
      </c>
      <c r="D113" s="2">
        <f ca="1">IFERROR(__xludf.DUMMYFUNCTION("""COMPUTED_VALUE"""),269.09)</f>
        <v>269.08999999999997</v>
      </c>
      <c r="E113" s="2">
        <f ca="1">IFERROR(__xludf.DUMMYFUNCTION("""COMPUTED_VALUE"""),271.32)</f>
        <v>271.32</v>
      </c>
      <c r="F113" s="2">
        <f ca="1">IFERROR(__xludf.DUMMYFUNCTION("""COMPUTED_VALUE"""),16164024)</f>
        <v>16164024</v>
      </c>
    </row>
    <row r="114" spans="1:6" ht="12.5" x14ac:dyDescent="0.25">
      <c r="A114" s="3">
        <f ca="1">IFERROR(__xludf.DUMMYFUNCTION("""COMPUTED_VALUE"""),45091.6666666666)</f>
        <v>45091.666666666599</v>
      </c>
      <c r="B114" s="2">
        <f ca="1">IFERROR(__xludf.DUMMYFUNCTION("""COMPUTED_VALUE"""),271.89)</f>
        <v>271.89</v>
      </c>
      <c r="C114" s="2">
        <f ca="1">IFERROR(__xludf.DUMMYFUNCTION("""COMPUTED_VALUE"""),274.99)</f>
        <v>274.99</v>
      </c>
      <c r="D114" s="2">
        <f ca="1">IFERROR(__xludf.DUMMYFUNCTION("""COMPUTED_VALUE"""),268.32)</f>
        <v>268.32</v>
      </c>
      <c r="E114" s="2">
        <f ca="1">IFERROR(__xludf.DUMMYFUNCTION("""COMPUTED_VALUE"""),273.35)</f>
        <v>273.35000000000002</v>
      </c>
      <c r="F114" s="2">
        <f ca="1">IFERROR(__xludf.DUMMYFUNCTION("""COMPUTED_VALUE"""),19175066)</f>
        <v>19175066</v>
      </c>
    </row>
    <row r="115" spans="1:6" ht="12.5" x14ac:dyDescent="0.25">
      <c r="A115" s="3">
        <f ca="1">IFERROR(__xludf.DUMMYFUNCTION("""COMPUTED_VALUE"""),45092.6666666666)</f>
        <v>45092.666666666599</v>
      </c>
      <c r="B115" s="2">
        <f ca="1">IFERROR(__xludf.DUMMYFUNCTION("""COMPUTED_VALUE"""),272.3)</f>
        <v>272.3</v>
      </c>
      <c r="C115" s="2">
        <f ca="1">IFERROR(__xludf.DUMMYFUNCTION("""COMPUTED_VALUE"""),283.99)</f>
        <v>283.99</v>
      </c>
      <c r="D115" s="2">
        <f ca="1">IFERROR(__xludf.DUMMYFUNCTION("""COMPUTED_VALUE"""),271.42)</f>
        <v>271.42</v>
      </c>
      <c r="E115" s="2">
        <f ca="1">IFERROR(__xludf.DUMMYFUNCTION("""COMPUTED_VALUE"""),281.83)</f>
        <v>281.83</v>
      </c>
      <c r="F115" s="2">
        <f ca="1">IFERROR(__xludf.DUMMYFUNCTION("""COMPUTED_VALUE"""),25973455)</f>
        <v>25973455</v>
      </c>
    </row>
    <row r="116" spans="1:6" ht="12.5" x14ac:dyDescent="0.25">
      <c r="A116" s="3">
        <f ca="1">IFERROR(__xludf.DUMMYFUNCTION("""COMPUTED_VALUE"""),45093.6666666666)</f>
        <v>45093.666666666599</v>
      </c>
      <c r="B116" s="2">
        <f ca="1">IFERROR(__xludf.DUMMYFUNCTION("""COMPUTED_VALUE"""),284.75)</f>
        <v>284.75</v>
      </c>
      <c r="C116" s="2">
        <f ca="1">IFERROR(__xludf.DUMMYFUNCTION("""COMPUTED_VALUE"""),287.85)</f>
        <v>287.85000000000002</v>
      </c>
      <c r="D116" s="2">
        <f ca="1">IFERROR(__xludf.DUMMYFUNCTION("""COMPUTED_VALUE"""),280.13)</f>
        <v>280.13</v>
      </c>
      <c r="E116" s="2">
        <f ca="1">IFERROR(__xludf.DUMMYFUNCTION("""COMPUTED_VALUE"""),281)</f>
        <v>281</v>
      </c>
      <c r="F116" s="2">
        <f ca="1">IFERROR(__xludf.DUMMYFUNCTION("""COMPUTED_VALUE"""),43127731)</f>
        <v>43127731</v>
      </c>
    </row>
    <row r="117" spans="1:6" ht="12.5" x14ac:dyDescent="0.25">
      <c r="A117" s="3">
        <f ca="1">IFERROR(__xludf.DUMMYFUNCTION("""COMPUTED_VALUE"""),45097.6666666666)</f>
        <v>45097.666666666599</v>
      </c>
      <c r="B117" s="2">
        <f ca="1">IFERROR(__xludf.DUMMYFUNCTION("""COMPUTED_VALUE"""),278.73)</f>
        <v>278.73</v>
      </c>
      <c r="C117" s="2">
        <f ca="1">IFERROR(__xludf.DUMMYFUNCTION("""COMPUTED_VALUE"""),284.8)</f>
        <v>284.8</v>
      </c>
      <c r="D117" s="2">
        <f ca="1">IFERROR(__xludf.DUMMYFUNCTION("""COMPUTED_VALUE"""),276.22)</f>
        <v>276.22000000000003</v>
      </c>
      <c r="E117" s="2">
        <f ca="1">IFERROR(__xludf.DUMMYFUNCTION("""COMPUTED_VALUE"""),284.33)</f>
        <v>284.33</v>
      </c>
      <c r="F117" s="2">
        <f ca="1">IFERROR(__xludf.DUMMYFUNCTION("""COMPUTED_VALUE"""),20701589)</f>
        <v>20701589</v>
      </c>
    </row>
    <row r="118" spans="1:6" ht="12.5" x14ac:dyDescent="0.25">
      <c r="A118" s="3">
        <f ca="1">IFERROR(__xludf.DUMMYFUNCTION("""COMPUTED_VALUE"""),45098.6666666666)</f>
        <v>45098.666666666599</v>
      </c>
      <c r="B118" s="2">
        <f ca="1">IFERROR(__xludf.DUMMYFUNCTION("""COMPUTED_VALUE"""),283.53)</f>
        <v>283.52999999999997</v>
      </c>
      <c r="C118" s="2">
        <f ca="1">IFERROR(__xludf.DUMMYFUNCTION("""COMPUTED_VALUE"""),284)</f>
        <v>284</v>
      </c>
      <c r="D118" s="2">
        <f ca="1">IFERROR(__xludf.DUMMYFUNCTION("""COMPUTED_VALUE"""),278.36)</f>
        <v>278.36</v>
      </c>
      <c r="E118" s="2">
        <f ca="1">IFERROR(__xludf.DUMMYFUNCTION("""COMPUTED_VALUE"""),281.64)</f>
        <v>281.64</v>
      </c>
      <c r="F118" s="2">
        <f ca="1">IFERROR(__xludf.DUMMYFUNCTION("""COMPUTED_VALUE"""),20556170)</f>
        <v>20556170</v>
      </c>
    </row>
    <row r="119" spans="1:6" ht="12.5" x14ac:dyDescent="0.25">
      <c r="A119" s="3">
        <f ca="1">IFERROR(__xludf.DUMMYFUNCTION("""COMPUTED_VALUE"""),45099.6666666666)</f>
        <v>45099.666666666599</v>
      </c>
      <c r="B119" s="2">
        <f ca="1">IFERROR(__xludf.DUMMYFUNCTION("""COMPUTED_VALUE"""),279.08)</f>
        <v>279.08</v>
      </c>
      <c r="C119" s="2">
        <f ca="1">IFERROR(__xludf.DUMMYFUNCTION("""COMPUTED_VALUE"""),285.26)</f>
        <v>285.26</v>
      </c>
      <c r="D119" s="2">
        <f ca="1">IFERROR(__xludf.DUMMYFUNCTION("""COMPUTED_VALUE"""),277.79)</f>
        <v>277.79000000000002</v>
      </c>
      <c r="E119" s="2">
        <f ca="1">IFERROR(__xludf.DUMMYFUNCTION("""COMPUTED_VALUE"""),284.88)</f>
        <v>284.88</v>
      </c>
      <c r="F119" s="2">
        <f ca="1">IFERROR(__xludf.DUMMYFUNCTION("""COMPUTED_VALUE"""),17563061)</f>
        <v>17563061</v>
      </c>
    </row>
    <row r="120" spans="1:6" ht="12.5" x14ac:dyDescent="0.25">
      <c r="A120" s="3">
        <f ca="1">IFERROR(__xludf.DUMMYFUNCTION("""COMPUTED_VALUE"""),45100.6666666666)</f>
        <v>45100.666666666599</v>
      </c>
      <c r="B120" s="2">
        <f ca="1">IFERROR(__xludf.DUMMYFUNCTION("""COMPUTED_VALUE"""),281.51)</f>
        <v>281.51</v>
      </c>
      <c r="C120" s="2">
        <f ca="1">IFERROR(__xludf.DUMMYFUNCTION("""COMPUTED_VALUE"""),289.67)</f>
        <v>289.67</v>
      </c>
      <c r="D120" s="2">
        <f ca="1">IFERROR(__xludf.DUMMYFUNCTION("""COMPUTED_VALUE"""),278.95)</f>
        <v>278.95</v>
      </c>
      <c r="E120" s="2">
        <f ca="1">IFERROR(__xludf.DUMMYFUNCTION("""COMPUTED_VALUE"""),288.73)</f>
        <v>288.73</v>
      </c>
      <c r="F120" s="2">
        <f ca="1">IFERROR(__xludf.DUMMYFUNCTION("""COMPUTED_VALUE"""),51092038)</f>
        <v>51092038</v>
      </c>
    </row>
    <row r="121" spans="1:6" ht="12.5" x14ac:dyDescent="0.25">
      <c r="A121" s="3">
        <f ca="1">IFERROR(__xludf.DUMMYFUNCTION("""COMPUTED_VALUE"""),45103.6666666666)</f>
        <v>45103.666666666599</v>
      </c>
      <c r="B121" s="2">
        <f ca="1">IFERROR(__xludf.DUMMYFUNCTION("""COMPUTED_VALUE"""),288.7)</f>
        <v>288.7</v>
      </c>
      <c r="C121" s="2">
        <f ca="1">IFERROR(__xludf.DUMMYFUNCTION("""COMPUTED_VALUE"""),289.79)</f>
        <v>289.79000000000002</v>
      </c>
      <c r="D121" s="2">
        <f ca="1">IFERROR(__xludf.DUMMYFUNCTION("""COMPUTED_VALUE"""),277.6)</f>
        <v>277.60000000000002</v>
      </c>
      <c r="E121" s="2">
        <f ca="1">IFERROR(__xludf.DUMMYFUNCTION("""COMPUTED_VALUE"""),278.47)</f>
        <v>278.47000000000003</v>
      </c>
      <c r="F121" s="2">
        <f ca="1">IFERROR(__xludf.DUMMYFUNCTION("""COMPUTED_VALUE"""),24232651)</f>
        <v>24232651</v>
      </c>
    </row>
    <row r="122" spans="1:6" ht="12.5" x14ac:dyDescent="0.25">
      <c r="A122" s="3">
        <f ca="1">IFERROR(__xludf.DUMMYFUNCTION("""COMPUTED_VALUE"""),45104.6666666666)</f>
        <v>45104.666666666599</v>
      </c>
      <c r="B122" s="2">
        <f ca="1">IFERROR(__xludf.DUMMYFUNCTION("""COMPUTED_VALUE"""),282.01)</f>
        <v>282.01</v>
      </c>
      <c r="C122" s="2">
        <f ca="1">IFERROR(__xludf.DUMMYFUNCTION("""COMPUTED_VALUE"""),289.35)</f>
        <v>289.35000000000002</v>
      </c>
      <c r="D122" s="2">
        <f ca="1">IFERROR(__xludf.DUMMYFUNCTION("""COMPUTED_VALUE"""),280.65)</f>
        <v>280.64999999999998</v>
      </c>
      <c r="E122" s="2">
        <f ca="1">IFERROR(__xludf.DUMMYFUNCTION("""COMPUTED_VALUE"""),287.05)</f>
        <v>287.05</v>
      </c>
      <c r="F122" s="2">
        <f ca="1">IFERROR(__xludf.DUMMYFUNCTION("""COMPUTED_VALUE"""),26108260)</f>
        <v>26108260</v>
      </c>
    </row>
    <row r="123" spans="1:6" ht="12.5" x14ac:dyDescent="0.25">
      <c r="A123" s="3">
        <f ca="1">IFERROR(__xludf.DUMMYFUNCTION("""COMPUTED_VALUE"""),45105.6666666666)</f>
        <v>45105.666666666599</v>
      </c>
      <c r="B123" s="2">
        <f ca="1">IFERROR(__xludf.DUMMYFUNCTION("""COMPUTED_VALUE"""),284.82)</f>
        <v>284.82</v>
      </c>
      <c r="C123" s="2">
        <f ca="1">IFERROR(__xludf.DUMMYFUNCTION("""COMPUTED_VALUE"""),289.55)</f>
        <v>289.55</v>
      </c>
      <c r="D123" s="2">
        <f ca="1">IFERROR(__xludf.DUMMYFUNCTION("""COMPUTED_VALUE"""),284.06)</f>
        <v>284.06</v>
      </c>
      <c r="E123" s="2">
        <f ca="1">IFERROR(__xludf.DUMMYFUNCTION("""COMPUTED_VALUE"""),285.29)</f>
        <v>285.29000000000002</v>
      </c>
      <c r="F123" s="2">
        <f ca="1">IFERROR(__xludf.DUMMYFUNCTION("""COMPUTED_VALUE"""),16722117)</f>
        <v>16722117</v>
      </c>
    </row>
    <row r="124" spans="1:6" ht="12.5" x14ac:dyDescent="0.25">
      <c r="A124" s="3">
        <f ca="1">IFERROR(__xludf.DUMMYFUNCTION("""COMPUTED_VALUE"""),45106.6666666666)</f>
        <v>45106.666666666599</v>
      </c>
      <c r="B124" s="2">
        <f ca="1">IFERROR(__xludf.DUMMYFUNCTION("""COMPUTED_VALUE"""),284.5)</f>
        <v>284.5</v>
      </c>
      <c r="C124" s="2">
        <f ca="1">IFERROR(__xludf.DUMMYFUNCTION("""COMPUTED_VALUE"""),286.57)</f>
        <v>286.57</v>
      </c>
      <c r="D124" s="2">
        <f ca="1">IFERROR(__xludf.DUMMYFUNCTION("""COMPUTED_VALUE"""),280.69)</f>
        <v>280.69</v>
      </c>
      <c r="E124" s="2">
        <f ca="1">IFERROR(__xludf.DUMMYFUNCTION("""COMPUTED_VALUE"""),281.53)</f>
        <v>281.52999999999997</v>
      </c>
      <c r="F124" s="2">
        <f ca="1">IFERROR(__xludf.DUMMYFUNCTION("""COMPUTED_VALUE"""),15395690)</f>
        <v>15395690</v>
      </c>
    </row>
    <row r="125" spans="1:6" ht="12.5" x14ac:dyDescent="0.25">
      <c r="A125" s="3">
        <f ca="1">IFERROR(__xludf.DUMMYFUNCTION("""COMPUTED_VALUE"""),45107.6666666666)</f>
        <v>45107.666666666599</v>
      </c>
      <c r="B125" s="2">
        <f ca="1">IFERROR(__xludf.DUMMYFUNCTION("""COMPUTED_VALUE"""),284.76)</f>
        <v>284.76</v>
      </c>
      <c r="C125" s="2">
        <f ca="1">IFERROR(__xludf.DUMMYFUNCTION("""COMPUTED_VALUE"""),289.05)</f>
        <v>289.05</v>
      </c>
      <c r="D125" s="2">
        <f ca="1">IFERROR(__xludf.DUMMYFUNCTION("""COMPUTED_VALUE"""),284.42)</f>
        <v>284.42</v>
      </c>
      <c r="E125" s="2">
        <f ca="1">IFERROR(__xludf.DUMMYFUNCTION("""COMPUTED_VALUE"""),286.98)</f>
        <v>286.98</v>
      </c>
      <c r="F125" s="2">
        <f ca="1">IFERROR(__xludf.DUMMYFUNCTION("""COMPUTED_VALUE"""),19694872)</f>
        <v>19694872</v>
      </c>
    </row>
    <row r="126" spans="1:6" ht="12.5" x14ac:dyDescent="0.25">
      <c r="A126" s="3">
        <f ca="1">IFERROR(__xludf.DUMMYFUNCTION("""COMPUTED_VALUE"""),45110.5451388888)</f>
        <v>45110.545138888803</v>
      </c>
      <c r="B126" s="2">
        <f ca="1">IFERROR(__xludf.DUMMYFUNCTION("""COMPUTED_VALUE"""),286.7)</f>
        <v>286.7</v>
      </c>
      <c r="C126" s="2">
        <f ca="1">IFERROR(__xludf.DUMMYFUNCTION("""COMPUTED_VALUE"""),289.4)</f>
        <v>289.39999999999998</v>
      </c>
      <c r="D126" s="2">
        <f ca="1">IFERROR(__xludf.DUMMYFUNCTION("""COMPUTED_VALUE"""),284.85)</f>
        <v>284.85000000000002</v>
      </c>
      <c r="E126" s="2">
        <f ca="1">IFERROR(__xludf.DUMMYFUNCTION("""COMPUTED_VALUE"""),286.02)</f>
        <v>286.02</v>
      </c>
      <c r="F126" s="2">
        <f ca="1">IFERROR(__xludf.DUMMYFUNCTION("""COMPUTED_VALUE"""),8629269)</f>
        <v>8629269</v>
      </c>
    </row>
    <row r="127" spans="1:6" ht="12.5" x14ac:dyDescent="0.25">
      <c r="A127" s="3">
        <f ca="1">IFERROR(__xludf.DUMMYFUNCTION("""COMPUTED_VALUE"""),45112.6666666666)</f>
        <v>45112.666666666599</v>
      </c>
      <c r="B127" s="2">
        <f ca="1">IFERROR(__xludf.DUMMYFUNCTION("""COMPUTED_VALUE"""),287.65)</f>
        <v>287.64999999999998</v>
      </c>
      <c r="C127" s="2">
        <f ca="1">IFERROR(__xludf.DUMMYFUNCTION("""COMPUTED_VALUE"""),298.12)</f>
        <v>298.12</v>
      </c>
      <c r="D127" s="2">
        <f ca="1">IFERROR(__xludf.DUMMYFUNCTION("""COMPUTED_VALUE"""),286.36)</f>
        <v>286.36</v>
      </c>
      <c r="E127" s="2">
        <f ca="1">IFERROR(__xludf.DUMMYFUNCTION("""COMPUTED_VALUE"""),294.37)</f>
        <v>294.37</v>
      </c>
      <c r="F127" s="2">
        <f ca="1">IFERROR(__xludf.DUMMYFUNCTION("""COMPUTED_VALUE"""),33865457)</f>
        <v>33865457</v>
      </c>
    </row>
    <row r="128" spans="1:6" ht="12.5" x14ac:dyDescent="0.25">
      <c r="A128" s="3">
        <f ca="1">IFERROR(__xludf.DUMMYFUNCTION("""COMPUTED_VALUE"""),45113.6666666666)</f>
        <v>45113.666666666599</v>
      </c>
      <c r="B128" s="2">
        <f ca="1">IFERROR(__xludf.DUMMYFUNCTION("""COMPUTED_VALUE"""),295.89)</f>
        <v>295.89</v>
      </c>
      <c r="C128" s="2">
        <f ca="1">IFERROR(__xludf.DUMMYFUNCTION("""COMPUTED_VALUE"""),298.12)</f>
        <v>298.12</v>
      </c>
      <c r="D128" s="2">
        <f ca="1">IFERROR(__xludf.DUMMYFUNCTION("""COMPUTED_VALUE"""),291.31)</f>
        <v>291.31</v>
      </c>
      <c r="E128" s="2">
        <f ca="1">IFERROR(__xludf.DUMMYFUNCTION("""COMPUTED_VALUE"""),291.99)</f>
        <v>291.99</v>
      </c>
      <c r="F128" s="2">
        <f ca="1">IFERROR(__xludf.DUMMYFUNCTION("""COMPUTED_VALUE"""),47733829)</f>
        <v>47733829</v>
      </c>
    </row>
    <row r="129" spans="1:6" ht="12.5" x14ac:dyDescent="0.25">
      <c r="A129" s="3">
        <f ca="1">IFERROR(__xludf.DUMMYFUNCTION("""COMPUTED_VALUE"""),45114.6666666666)</f>
        <v>45114.666666666599</v>
      </c>
      <c r="B129" s="2">
        <f ca="1">IFERROR(__xludf.DUMMYFUNCTION("""COMPUTED_VALUE"""),292.18)</f>
        <v>292.18</v>
      </c>
      <c r="C129" s="2">
        <f ca="1">IFERROR(__xludf.DUMMYFUNCTION("""COMPUTED_VALUE"""),296.2)</f>
        <v>296.2</v>
      </c>
      <c r="D129" s="2">
        <f ca="1">IFERROR(__xludf.DUMMYFUNCTION("""COMPUTED_VALUE"""),288.66)</f>
        <v>288.66000000000003</v>
      </c>
      <c r="E129" s="2">
        <f ca="1">IFERROR(__xludf.DUMMYFUNCTION("""COMPUTED_VALUE"""),290.53)</f>
        <v>290.52999999999997</v>
      </c>
      <c r="F129" s="2">
        <f ca="1">IFERROR(__xludf.DUMMYFUNCTION("""COMPUTED_VALUE"""),25585975)</f>
        <v>25585975</v>
      </c>
    </row>
    <row r="130" spans="1:6" ht="12.5" x14ac:dyDescent="0.25">
      <c r="A130" s="3">
        <f ca="1">IFERROR(__xludf.DUMMYFUNCTION("""COMPUTED_VALUE"""),45117.6666666666)</f>
        <v>45117.666666666599</v>
      </c>
      <c r="B130" s="2">
        <f ca="1">IFERROR(__xludf.DUMMYFUNCTION("""COMPUTED_VALUE"""),295.55)</f>
        <v>295.55</v>
      </c>
      <c r="C130" s="2">
        <f ca="1">IFERROR(__xludf.DUMMYFUNCTION("""COMPUTED_VALUE"""),298.13)</f>
        <v>298.13</v>
      </c>
      <c r="D130" s="2">
        <f ca="1">IFERROR(__xludf.DUMMYFUNCTION("""COMPUTED_VALUE"""),287.05)</f>
        <v>287.05</v>
      </c>
      <c r="E130" s="2">
        <f ca="1">IFERROR(__xludf.DUMMYFUNCTION("""COMPUTED_VALUE"""),294.1)</f>
        <v>294.10000000000002</v>
      </c>
      <c r="F130" s="2">
        <f ca="1">IFERROR(__xludf.DUMMYFUNCTION("""COMPUTED_VALUE"""),37058306)</f>
        <v>37058306</v>
      </c>
    </row>
    <row r="131" spans="1:6" ht="12.5" x14ac:dyDescent="0.25">
      <c r="A131" s="3">
        <f ca="1">IFERROR(__xludf.DUMMYFUNCTION("""COMPUTED_VALUE"""),45118.6666666666)</f>
        <v>45118.666666666599</v>
      </c>
      <c r="B131" s="2">
        <f ca="1">IFERROR(__xludf.DUMMYFUNCTION("""COMPUTED_VALUE"""),293.9)</f>
        <v>293.89999999999998</v>
      </c>
      <c r="C131" s="2">
        <f ca="1">IFERROR(__xludf.DUMMYFUNCTION("""COMPUTED_VALUE"""),300.18)</f>
        <v>300.18</v>
      </c>
      <c r="D131" s="2">
        <f ca="1">IFERROR(__xludf.DUMMYFUNCTION("""COMPUTED_VALUE"""),291.9)</f>
        <v>291.89999999999998</v>
      </c>
      <c r="E131" s="2">
        <f ca="1">IFERROR(__xludf.DUMMYFUNCTION("""COMPUTED_VALUE"""),298.29)</f>
        <v>298.29000000000002</v>
      </c>
      <c r="F131" s="2">
        <f ca="1">IFERROR(__xludf.DUMMYFUNCTION("""COMPUTED_VALUE"""),27585918)</f>
        <v>27585918</v>
      </c>
    </row>
    <row r="132" spans="1:6" ht="12.5" x14ac:dyDescent="0.25">
      <c r="A132" s="3">
        <f ca="1">IFERROR(__xludf.DUMMYFUNCTION("""COMPUTED_VALUE"""),45119.6666666666)</f>
        <v>45119.666666666599</v>
      </c>
      <c r="B132" s="2">
        <f ca="1">IFERROR(__xludf.DUMMYFUNCTION("""COMPUTED_VALUE"""),301.75)</f>
        <v>301.75</v>
      </c>
      <c r="C132" s="2">
        <f ca="1">IFERROR(__xludf.DUMMYFUNCTION("""COMPUTED_VALUE"""),309.45)</f>
        <v>309.45</v>
      </c>
      <c r="D132" s="2">
        <f ca="1">IFERROR(__xludf.DUMMYFUNCTION("""COMPUTED_VALUE"""),300.1)</f>
        <v>300.10000000000002</v>
      </c>
      <c r="E132" s="2">
        <f ca="1">IFERROR(__xludf.DUMMYFUNCTION("""COMPUTED_VALUE"""),309.34)</f>
        <v>309.33999999999997</v>
      </c>
      <c r="F132" s="2">
        <f ca="1">IFERROR(__xludf.DUMMYFUNCTION("""COMPUTED_VALUE"""),36677127)</f>
        <v>36677127</v>
      </c>
    </row>
    <row r="133" spans="1:6" ht="12.5" x14ac:dyDescent="0.25">
      <c r="A133" s="3">
        <f ca="1">IFERROR(__xludf.DUMMYFUNCTION("""COMPUTED_VALUE"""),45120.6666666666)</f>
        <v>45120.666666666599</v>
      </c>
      <c r="B133" s="2">
        <f ca="1">IFERROR(__xludf.DUMMYFUNCTION("""COMPUTED_VALUE"""),313.62)</f>
        <v>313.62</v>
      </c>
      <c r="C133" s="2">
        <f ca="1">IFERROR(__xludf.DUMMYFUNCTION("""COMPUTED_VALUE"""),316.24)</f>
        <v>316.24</v>
      </c>
      <c r="D133" s="2">
        <f ca="1">IFERROR(__xludf.DUMMYFUNCTION("""COMPUTED_VALUE"""),310.29)</f>
        <v>310.29000000000002</v>
      </c>
      <c r="E133" s="2">
        <f ca="1">IFERROR(__xludf.DUMMYFUNCTION("""COMPUTED_VALUE"""),313.41)</f>
        <v>313.41000000000003</v>
      </c>
      <c r="F133" s="2">
        <f ca="1">IFERROR(__xludf.DUMMYFUNCTION("""COMPUTED_VALUE"""),30280972)</f>
        <v>30280972</v>
      </c>
    </row>
    <row r="134" spans="1:6" ht="12.5" x14ac:dyDescent="0.25">
      <c r="A134" s="3">
        <f ca="1">IFERROR(__xludf.DUMMYFUNCTION("""COMPUTED_VALUE"""),45121.6666666666)</f>
        <v>45121.666666666599</v>
      </c>
      <c r="B134" s="2">
        <f ca="1">IFERROR(__xludf.DUMMYFUNCTION("""COMPUTED_VALUE"""),311.79)</f>
        <v>311.79000000000002</v>
      </c>
      <c r="C134" s="2">
        <f ca="1">IFERROR(__xludf.DUMMYFUNCTION("""COMPUTED_VALUE"""),314.88)</f>
        <v>314.88</v>
      </c>
      <c r="D134" s="2">
        <f ca="1">IFERROR(__xludf.DUMMYFUNCTION("""COMPUTED_VALUE"""),307.36)</f>
        <v>307.36</v>
      </c>
      <c r="E134" s="2">
        <f ca="1">IFERROR(__xludf.DUMMYFUNCTION("""COMPUTED_VALUE"""),308.87)</f>
        <v>308.87</v>
      </c>
      <c r="F134" s="2">
        <f ca="1">IFERROR(__xludf.DUMMYFUNCTION("""COMPUTED_VALUE"""),23054108)</f>
        <v>23054108</v>
      </c>
    </row>
    <row r="135" spans="1:6" ht="12.5" x14ac:dyDescent="0.25">
      <c r="A135" s="3">
        <f ca="1">IFERROR(__xludf.DUMMYFUNCTION("""COMPUTED_VALUE"""),45124.6666666666)</f>
        <v>45124.666666666599</v>
      </c>
      <c r="B135" s="2">
        <f ca="1">IFERROR(__xludf.DUMMYFUNCTION("""COMPUTED_VALUE"""),307.54)</f>
        <v>307.54000000000002</v>
      </c>
      <c r="C135" s="2">
        <f ca="1">IFERROR(__xludf.DUMMYFUNCTION("""COMPUTED_VALUE"""),311.71)</f>
        <v>311.70999999999998</v>
      </c>
      <c r="D135" s="2">
        <f ca="1">IFERROR(__xludf.DUMMYFUNCTION("""COMPUTED_VALUE"""),304.71)</f>
        <v>304.70999999999998</v>
      </c>
      <c r="E135" s="2">
        <f ca="1">IFERROR(__xludf.DUMMYFUNCTION("""COMPUTED_VALUE"""),310.62)</f>
        <v>310.62</v>
      </c>
      <c r="F135" s="2">
        <f ca="1">IFERROR(__xludf.DUMMYFUNCTION("""COMPUTED_VALUE"""),25323126)</f>
        <v>25323126</v>
      </c>
    </row>
    <row r="136" spans="1:6" ht="12.5" x14ac:dyDescent="0.25">
      <c r="A136" s="3">
        <f ca="1">IFERROR(__xludf.DUMMYFUNCTION("""COMPUTED_VALUE"""),45125.6666666666)</f>
        <v>45125.666666666599</v>
      </c>
      <c r="B136" s="2">
        <f ca="1">IFERROR(__xludf.DUMMYFUNCTION("""COMPUTED_VALUE"""),310.88)</f>
        <v>310.88</v>
      </c>
      <c r="C136" s="2">
        <f ca="1">IFERROR(__xludf.DUMMYFUNCTION("""COMPUTED_VALUE"""),314.2)</f>
        <v>314.2</v>
      </c>
      <c r="D136" s="2">
        <f ca="1">IFERROR(__xludf.DUMMYFUNCTION("""COMPUTED_VALUE"""),307.62)</f>
        <v>307.62</v>
      </c>
      <c r="E136" s="2">
        <f ca="1">IFERROR(__xludf.DUMMYFUNCTION("""COMPUTED_VALUE"""),312.05)</f>
        <v>312.05</v>
      </c>
      <c r="F136" s="2">
        <f ca="1">IFERROR(__xludf.DUMMYFUNCTION("""COMPUTED_VALUE"""),20764580)</f>
        <v>20764580</v>
      </c>
    </row>
    <row r="137" spans="1:6" ht="12.5" x14ac:dyDescent="0.25">
      <c r="A137" s="3">
        <f ca="1">IFERROR(__xludf.DUMMYFUNCTION("""COMPUTED_VALUE"""),45126.6666666666)</f>
        <v>45126.666666666599</v>
      </c>
      <c r="B137" s="2">
        <f ca="1">IFERROR(__xludf.DUMMYFUNCTION("""COMPUTED_VALUE"""),313.03)</f>
        <v>313.02999999999997</v>
      </c>
      <c r="C137" s="2">
        <f ca="1">IFERROR(__xludf.DUMMYFUNCTION("""COMPUTED_VALUE"""),318.68)</f>
        <v>318.68</v>
      </c>
      <c r="D137" s="2">
        <f ca="1">IFERROR(__xludf.DUMMYFUNCTION("""COMPUTED_VALUE"""),310.52)</f>
        <v>310.52</v>
      </c>
      <c r="E137" s="2">
        <f ca="1">IFERROR(__xludf.DUMMYFUNCTION("""COMPUTED_VALUE"""),316.01)</f>
        <v>316.01</v>
      </c>
      <c r="F137" s="2">
        <f ca="1">IFERROR(__xludf.DUMMYFUNCTION("""COMPUTED_VALUE"""),21763688)</f>
        <v>21763688</v>
      </c>
    </row>
    <row r="138" spans="1:6" ht="12.5" x14ac:dyDescent="0.25">
      <c r="A138" s="3">
        <f ca="1">IFERROR(__xludf.DUMMYFUNCTION("""COMPUTED_VALUE"""),45127.6666666666)</f>
        <v>45127.666666666599</v>
      </c>
      <c r="B138" s="2">
        <f ca="1">IFERROR(__xludf.DUMMYFUNCTION("""COMPUTED_VALUE"""),313.5)</f>
        <v>313.5</v>
      </c>
      <c r="C138" s="2">
        <f ca="1">IFERROR(__xludf.DUMMYFUNCTION("""COMPUTED_VALUE"""),315.54)</f>
        <v>315.54000000000002</v>
      </c>
      <c r="D138" s="2">
        <f ca="1">IFERROR(__xludf.DUMMYFUNCTION("""COMPUTED_VALUE"""),302.22)</f>
        <v>302.22000000000003</v>
      </c>
      <c r="E138" s="2">
        <f ca="1">IFERROR(__xludf.DUMMYFUNCTION("""COMPUTED_VALUE"""),302.52)</f>
        <v>302.52</v>
      </c>
      <c r="F138" s="2">
        <f ca="1">IFERROR(__xludf.DUMMYFUNCTION("""COMPUTED_VALUE"""),23836876)</f>
        <v>23836876</v>
      </c>
    </row>
    <row r="139" spans="1:6" ht="12.5" x14ac:dyDescent="0.25">
      <c r="A139" s="3">
        <f ca="1">IFERROR(__xludf.DUMMYFUNCTION("""COMPUTED_VALUE"""),45128.6666666666)</f>
        <v>45128.666666666599</v>
      </c>
      <c r="B139" s="2">
        <f ca="1">IFERROR(__xludf.DUMMYFUNCTION("""COMPUTED_VALUE"""),304.57)</f>
        <v>304.57</v>
      </c>
      <c r="C139" s="2">
        <f ca="1">IFERROR(__xludf.DUMMYFUNCTION("""COMPUTED_VALUE"""),305.46)</f>
        <v>305.45999999999998</v>
      </c>
      <c r="D139" s="2">
        <f ca="1">IFERROR(__xludf.DUMMYFUNCTION("""COMPUTED_VALUE"""),291.2)</f>
        <v>291.2</v>
      </c>
      <c r="E139" s="2">
        <f ca="1">IFERROR(__xludf.DUMMYFUNCTION("""COMPUTED_VALUE"""),294.26)</f>
        <v>294.26</v>
      </c>
      <c r="F139" s="2">
        <f ca="1">IFERROR(__xludf.DUMMYFUNCTION("""COMPUTED_VALUE"""),42139259)</f>
        <v>42139259</v>
      </c>
    </row>
    <row r="140" spans="1:6" ht="12.5" x14ac:dyDescent="0.25">
      <c r="A140" s="3">
        <f ca="1">IFERROR(__xludf.DUMMYFUNCTION("""COMPUTED_VALUE"""),45131.6666666666)</f>
        <v>45131.666666666599</v>
      </c>
      <c r="B140" s="2">
        <f ca="1">IFERROR(__xludf.DUMMYFUNCTION("""COMPUTED_VALUE"""),295.79)</f>
        <v>295.79000000000002</v>
      </c>
      <c r="C140" s="2">
        <f ca="1">IFERROR(__xludf.DUMMYFUNCTION("""COMPUTED_VALUE"""),297.52)</f>
        <v>297.52</v>
      </c>
      <c r="D140" s="2">
        <f ca="1">IFERROR(__xludf.DUMMYFUNCTION("""COMPUTED_VALUE"""),288.3)</f>
        <v>288.3</v>
      </c>
      <c r="E140" s="2">
        <f ca="1">IFERROR(__xludf.DUMMYFUNCTION("""COMPUTED_VALUE"""),291.61)</f>
        <v>291.61</v>
      </c>
      <c r="F140" s="2">
        <f ca="1">IFERROR(__xludf.DUMMYFUNCTION("""COMPUTED_VALUE"""),24949405)</f>
        <v>24949405</v>
      </c>
    </row>
    <row r="141" spans="1:6" ht="12.5" x14ac:dyDescent="0.25">
      <c r="A141" s="3">
        <f ca="1">IFERROR(__xludf.DUMMYFUNCTION("""COMPUTED_VALUE"""),45132.6666666666)</f>
        <v>45132.666666666599</v>
      </c>
      <c r="B141" s="2">
        <f ca="1">IFERROR(__xludf.DUMMYFUNCTION("""COMPUTED_VALUE"""),295.19)</f>
        <v>295.19</v>
      </c>
      <c r="C141" s="2">
        <f ca="1">IFERROR(__xludf.DUMMYFUNCTION("""COMPUTED_VALUE"""),298.3)</f>
        <v>298.3</v>
      </c>
      <c r="D141" s="2">
        <f ca="1">IFERROR(__xludf.DUMMYFUNCTION("""COMPUTED_VALUE"""),291.86)</f>
        <v>291.86</v>
      </c>
      <c r="E141" s="2">
        <f ca="1">IFERROR(__xludf.DUMMYFUNCTION("""COMPUTED_VALUE"""),294.47)</f>
        <v>294.47000000000003</v>
      </c>
      <c r="F141" s="2">
        <f ca="1">IFERROR(__xludf.DUMMYFUNCTION("""COMPUTED_VALUE"""),19585584)</f>
        <v>19585584</v>
      </c>
    </row>
    <row r="142" spans="1:6" ht="12.5" x14ac:dyDescent="0.25">
      <c r="A142" s="3">
        <f ca="1">IFERROR(__xludf.DUMMYFUNCTION("""COMPUTED_VALUE"""),45133.6666666666)</f>
        <v>45133.666666666599</v>
      </c>
      <c r="B142" s="2">
        <f ca="1">IFERROR(__xludf.DUMMYFUNCTION("""COMPUTED_VALUE"""),301.19)</f>
        <v>301.19</v>
      </c>
      <c r="C142" s="2">
        <f ca="1">IFERROR(__xludf.DUMMYFUNCTION("""COMPUTED_VALUE"""),301.77)</f>
        <v>301.77</v>
      </c>
      <c r="D142" s="2">
        <f ca="1">IFERROR(__xludf.DUMMYFUNCTION("""COMPUTED_VALUE"""),291.9)</f>
        <v>291.89999999999998</v>
      </c>
      <c r="E142" s="2">
        <f ca="1">IFERROR(__xludf.DUMMYFUNCTION("""COMPUTED_VALUE"""),298.57)</f>
        <v>298.57</v>
      </c>
      <c r="F142" s="2">
        <f ca="1">IFERROR(__xludf.DUMMYFUNCTION("""COMPUTED_VALUE"""),47256930)</f>
        <v>47256930</v>
      </c>
    </row>
    <row r="143" spans="1:6" ht="12.5" x14ac:dyDescent="0.25">
      <c r="A143" s="3">
        <f ca="1">IFERROR(__xludf.DUMMYFUNCTION("""COMPUTED_VALUE"""),45134.6666666666)</f>
        <v>45134.666666666599</v>
      </c>
      <c r="B143" s="2">
        <f ca="1">IFERROR(__xludf.DUMMYFUNCTION("""COMPUTED_VALUE"""),325.12)</f>
        <v>325.12</v>
      </c>
      <c r="C143" s="2">
        <f ca="1">IFERROR(__xludf.DUMMYFUNCTION("""COMPUTED_VALUE"""),325.35)</f>
        <v>325.35000000000002</v>
      </c>
      <c r="D143" s="2">
        <f ca="1">IFERROR(__xludf.DUMMYFUNCTION("""COMPUTED_VALUE"""),309.84)</f>
        <v>309.83999999999997</v>
      </c>
      <c r="E143" s="2">
        <f ca="1">IFERROR(__xludf.DUMMYFUNCTION("""COMPUTED_VALUE"""),311.71)</f>
        <v>311.70999999999998</v>
      </c>
      <c r="F143" s="2">
        <f ca="1">IFERROR(__xludf.DUMMYFUNCTION("""COMPUTED_VALUE"""),64229173)</f>
        <v>64229173</v>
      </c>
    </row>
    <row r="144" spans="1:6" ht="12.5" x14ac:dyDescent="0.25">
      <c r="A144" s="3">
        <f ca="1">IFERROR(__xludf.DUMMYFUNCTION("""COMPUTED_VALUE"""),45135.6666666666)</f>
        <v>45135.666666666599</v>
      </c>
      <c r="B144" s="2">
        <f ca="1">IFERROR(__xludf.DUMMYFUNCTION("""COMPUTED_VALUE"""),316.88)</f>
        <v>316.88</v>
      </c>
      <c r="C144" s="2">
        <f ca="1">IFERROR(__xludf.DUMMYFUNCTION("""COMPUTED_VALUE"""),326.2)</f>
        <v>326.2</v>
      </c>
      <c r="D144" s="2">
        <f ca="1">IFERROR(__xludf.DUMMYFUNCTION("""COMPUTED_VALUE"""),314.25)</f>
        <v>314.25</v>
      </c>
      <c r="E144" s="2">
        <f ca="1">IFERROR(__xludf.DUMMYFUNCTION("""COMPUTED_VALUE"""),325.48)</f>
        <v>325.48</v>
      </c>
      <c r="F144" s="2">
        <f ca="1">IFERROR(__xludf.DUMMYFUNCTION("""COMPUTED_VALUE"""),39220270)</f>
        <v>39220270</v>
      </c>
    </row>
    <row r="145" spans="1:6" ht="12.5" x14ac:dyDescent="0.25">
      <c r="A145" s="3">
        <f ca="1">IFERROR(__xludf.DUMMYFUNCTION("""COMPUTED_VALUE"""),45138.6666666666)</f>
        <v>45138.666666666599</v>
      </c>
      <c r="B145" s="2">
        <f ca="1">IFERROR(__xludf.DUMMYFUNCTION("""COMPUTED_VALUE"""),323.69)</f>
        <v>323.69</v>
      </c>
      <c r="C145" s="2">
        <f ca="1">IFERROR(__xludf.DUMMYFUNCTION("""COMPUTED_VALUE"""),325.66)</f>
        <v>325.66000000000003</v>
      </c>
      <c r="D145" s="2">
        <f ca="1">IFERROR(__xludf.DUMMYFUNCTION("""COMPUTED_VALUE"""),317.59)</f>
        <v>317.58999999999997</v>
      </c>
      <c r="E145" s="2">
        <f ca="1">IFERROR(__xludf.DUMMYFUNCTION("""COMPUTED_VALUE"""),318.6)</f>
        <v>318.60000000000002</v>
      </c>
      <c r="F145" s="2">
        <f ca="1">IFERROR(__xludf.DUMMYFUNCTION("""COMPUTED_VALUE"""),25799603)</f>
        <v>25799603</v>
      </c>
    </row>
    <row r="146" spans="1:6" ht="12.5" x14ac:dyDescent="0.25">
      <c r="A146" s="3">
        <f ca="1">IFERROR(__xludf.DUMMYFUNCTION("""COMPUTED_VALUE"""),45139.6666666666)</f>
        <v>45139.666666666599</v>
      </c>
      <c r="B146" s="2">
        <f ca="1">IFERROR(__xludf.DUMMYFUNCTION("""COMPUTED_VALUE"""),317.54)</f>
        <v>317.54000000000002</v>
      </c>
      <c r="C146" s="2">
        <f ca="1">IFERROR(__xludf.DUMMYFUNCTION("""COMPUTED_VALUE"""),324.14)</f>
        <v>324.14</v>
      </c>
      <c r="D146" s="2">
        <f ca="1">IFERROR(__xludf.DUMMYFUNCTION("""COMPUTED_VALUE"""),314.66)</f>
        <v>314.66000000000003</v>
      </c>
      <c r="E146" s="2">
        <f ca="1">IFERROR(__xludf.DUMMYFUNCTION("""COMPUTED_VALUE"""),322.71)</f>
        <v>322.70999999999998</v>
      </c>
      <c r="F146" s="2">
        <f ca="1">IFERROR(__xludf.DUMMYFUNCTION("""COMPUTED_VALUE"""),22889870)</f>
        <v>22889870</v>
      </c>
    </row>
    <row r="147" spans="1:6" ht="12.5" x14ac:dyDescent="0.25">
      <c r="A147" s="3">
        <f ca="1">IFERROR(__xludf.DUMMYFUNCTION("""COMPUTED_VALUE"""),45140.6666666666)</f>
        <v>45140.666666666599</v>
      </c>
      <c r="B147" s="2">
        <f ca="1">IFERROR(__xludf.DUMMYFUNCTION("""COMPUTED_VALUE"""),318)</f>
        <v>318</v>
      </c>
      <c r="C147" s="2">
        <f ca="1">IFERROR(__xludf.DUMMYFUNCTION("""COMPUTED_VALUE"""),318.39)</f>
        <v>318.39</v>
      </c>
      <c r="D147" s="2">
        <f ca="1">IFERROR(__xludf.DUMMYFUNCTION("""COMPUTED_VALUE"""),310.65)</f>
        <v>310.64999999999998</v>
      </c>
      <c r="E147" s="2">
        <f ca="1">IFERROR(__xludf.DUMMYFUNCTION("""COMPUTED_VALUE"""),314.31)</f>
        <v>314.31</v>
      </c>
      <c r="F147" s="2">
        <f ca="1">IFERROR(__xludf.DUMMYFUNCTION("""COMPUTED_VALUE"""),20461094)</f>
        <v>20461094</v>
      </c>
    </row>
    <row r="148" spans="1:6" ht="12.5" x14ac:dyDescent="0.25">
      <c r="A148" s="3">
        <f ca="1">IFERROR(__xludf.DUMMYFUNCTION("""COMPUTED_VALUE"""),45141.6666666666)</f>
        <v>45141.666666666599</v>
      </c>
      <c r="B148" s="2">
        <f ca="1">IFERROR(__xludf.DUMMYFUNCTION("""COMPUTED_VALUE"""),309.93)</f>
        <v>309.93</v>
      </c>
      <c r="C148" s="2">
        <f ca="1">IFERROR(__xludf.DUMMYFUNCTION("""COMPUTED_VALUE"""),315.95)</f>
        <v>315.95</v>
      </c>
      <c r="D148" s="2">
        <f ca="1">IFERROR(__xludf.DUMMYFUNCTION("""COMPUTED_VALUE"""),309.93)</f>
        <v>309.93</v>
      </c>
      <c r="E148" s="2">
        <f ca="1">IFERROR(__xludf.DUMMYFUNCTION("""COMPUTED_VALUE"""),313.19)</f>
        <v>313.19</v>
      </c>
      <c r="F148" s="2">
        <f ca="1">IFERROR(__xludf.DUMMYFUNCTION("""COMPUTED_VALUE"""),15215422)</f>
        <v>15215422</v>
      </c>
    </row>
    <row r="149" spans="1:6" ht="12.5" x14ac:dyDescent="0.25">
      <c r="A149" s="3">
        <f ca="1">IFERROR(__xludf.DUMMYFUNCTION("""COMPUTED_VALUE"""),45142.6666666666)</f>
        <v>45142.666666666599</v>
      </c>
      <c r="B149" s="2">
        <f ca="1">IFERROR(__xludf.DUMMYFUNCTION("""COMPUTED_VALUE"""),314.96)</f>
        <v>314.95999999999998</v>
      </c>
      <c r="C149" s="2">
        <f ca="1">IFERROR(__xludf.DUMMYFUNCTION("""COMPUTED_VALUE"""),318.41)</f>
        <v>318.41000000000003</v>
      </c>
      <c r="D149" s="2">
        <f ca="1">IFERROR(__xludf.DUMMYFUNCTION("""COMPUTED_VALUE"""),310.2)</f>
        <v>310.2</v>
      </c>
      <c r="E149" s="2">
        <f ca="1">IFERROR(__xludf.DUMMYFUNCTION("""COMPUTED_VALUE"""),310.73)</f>
        <v>310.73</v>
      </c>
      <c r="F149" s="2">
        <f ca="1">IFERROR(__xludf.DUMMYFUNCTION("""COMPUTED_VALUE"""),17612762)</f>
        <v>17612762</v>
      </c>
    </row>
    <row r="150" spans="1:6" ht="12.5" x14ac:dyDescent="0.25">
      <c r="A150" s="3">
        <f ca="1">IFERROR(__xludf.DUMMYFUNCTION("""COMPUTED_VALUE"""),45145.6666666666)</f>
        <v>45145.666666666599</v>
      </c>
      <c r="B150" s="2">
        <f ca="1">IFERROR(__xludf.DUMMYFUNCTION("""COMPUTED_VALUE"""),313.23)</f>
        <v>313.23</v>
      </c>
      <c r="C150" s="2">
        <f ca="1">IFERROR(__xludf.DUMMYFUNCTION("""COMPUTED_VALUE"""),317.07)</f>
        <v>317.07</v>
      </c>
      <c r="D150" s="2">
        <f ca="1">IFERROR(__xludf.DUMMYFUNCTION("""COMPUTED_VALUE"""),310.46)</f>
        <v>310.45999999999998</v>
      </c>
      <c r="E150" s="2">
        <f ca="1">IFERROR(__xludf.DUMMYFUNCTION("""COMPUTED_VALUE"""),316.56)</f>
        <v>316.56</v>
      </c>
      <c r="F150" s="2">
        <f ca="1">IFERROR(__xludf.DUMMYFUNCTION("""COMPUTED_VALUE"""),16236504)</f>
        <v>16236504</v>
      </c>
    </row>
    <row r="151" spans="1:6" ht="12.5" x14ac:dyDescent="0.25">
      <c r="A151" s="3">
        <f ca="1">IFERROR(__xludf.DUMMYFUNCTION("""COMPUTED_VALUE"""),45146.6666666666)</f>
        <v>45146.666666666599</v>
      </c>
      <c r="B151" s="2">
        <f ca="1">IFERROR(__xludf.DUMMYFUNCTION("""COMPUTED_VALUE"""),314.4)</f>
        <v>314.39999999999998</v>
      </c>
      <c r="C151" s="2">
        <f ca="1">IFERROR(__xludf.DUMMYFUNCTION("""COMPUTED_VALUE"""),317.89)</f>
        <v>317.89</v>
      </c>
      <c r="D151" s="2">
        <f ca="1">IFERROR(__xludf.DUMMYFUNCTION("""COMPUTED_VALUE"""),310.11)</f>
        <v>310.11</v>
      </c>
      <c r="E151" s="2">
        <f ca="1">IFERROR(__xludf.DUMMYFUNCTION("""COMPUTED_VALUE"""),312.64)</f>
        <v>312.64</v>
      </c>
      <c r="F151" s="2">
        <f ca="1">IFERROR(__xludf.DUMMYFUNCTION("""COMPUTED_VALUE"""),15183532)</f>
        <v>15183532</v>
      </c>
    </row>
    <row r="152" spans="1:6" ht="12.5" x14ac:dyDescent="0.25">
      <c r="A152" s="3">
        <f ca="1">IFERROR(__xludf.DUMMYFUNCTION("""COMPUTED_VALUE"""),45147.6666666666)</f>
        <v>45147.666666666599</v>
      </c>
      <c r="B152" s="2">
        <f ca="1">IFERROR(__xludf.DUMMYFUNCTION("""COMPUTED_VALUE"""),312.88)</f>
        <v>312.88</v>
      </c>
      <c r="C152" s="2">
        <f ca="1">IFERROR(__xludf.DUMMYFUNCTION("""COMPUTED_VALUE"""),313.63)</f>
        <v>313.63</v>
      </c>
      <c r="D152" s="2">
        <f ca="1">IFERROR(__xludf.DUMMYFUNCTION("""COMPUTED_VALUE"""),302.85)</f>
        <v>302.85000000000002</v>
      </c>
      <c r="E152" s="2">
        <f ca="1">IFERROR(__xludf.DUMMYFUNCTION("""COMPUTED_VALUE"""),305.21)</f>
        <v>305.20999999999998</v>
      </c>
      <c r="F152" s="2">
        <f ca="1">IFERROR(__xludf.DUMMYFUNCTION("""COMPUTED_VALUE"""),19955783)</f>
        <v>19955783</v>
      </c>
    </row>
    <row r="153" spans="1:6" ht="12.5" x14ac:dyDescent="0.25">
      <c r="A153" s="3">
        <f ca="1">IFERROR(__xludf.DUMMYFUNCTION("""COMPUTED_VALUE"""),45148.6666666666)</f>
        <v>45148.666666666599</v>
      </c>
      <c r="B153" s="2">
        <f ca="1">IFERROR(__xludf.DUMMYFUNCTION("""COMPUTED_VALUE"""),307.94)</f>
        <v>307.94</v>
      </c>
      <c r="C153" s="2">
        <f ca="1">IFERROR(__xludf.DUMMYFUNCTION("""COMPUTED_VALUE"""),312.34)</f>
        <v>312.33999999999997</v>
      </c>
      <c r="D153" s="2">
        <f ca="1">IFERROR(__xludf.DUMMYFUNCTION("""COMPUTED_VALUE"""),303.87)</f>
        <v>303.87</v>
      </c>
      <c r="E153" s="2">
        <f ca="1">IFERROR(__xludf.DUMMYFUNCTION("""COMPUTED_VALUE"""),305.74)</f>
        <v>305.74</v>
      </c>
      <c r="F153" s="2">
        <f ca="1">IFERROR(__xludf.DUMMYFUNCTION("""COMPUTED_VALUE"""),14358897)</f>
        <v>14358897</v>
      </c>
    </row>
    <row r="154" spans="1:6" ht="12.5" x14ac:dyDescent="0.25">
      <c r="A154" s="3">
        <f ca="1">IFERROR(__xludf.DUMMYFUNCTION("""COMPUTED_VALUE"""),45149.6666666666)</f>
        <v>45149.666666666599</v>
      </c>
      <c r="B154" s="2">
        <f ca="1">IFERROR(__xludf.DUMMYFUNCTION("""COMPUTED_VALUE"""),302.57)</f>
        <v>302.57</v>
      </c>
      <c r="C154" s="2">
        <f ca="1">IFERROR(__xludf.DUMMYFUNCTION("""COMPUTED_VALUE"""),304.72)</f>
        <v>304.72000000000003</v>
      </c>
      <c r="D154" s="2">
        <f ca="1">IFERROR(__xludf.DUMMYFUNCTION("""COMPUTED_VALUE"""),300.36)</f>
        <v>300.36</v>
      </c>
      <c r="E154" s="2">
        <f ca="1">IFERROR(__xludf.DUMMYFUNCTION("""COMPUTED_VALUE"""),301.64)</f>
        <v>301.64</v>
      </c>
      <c r="F154" s="2">
        <f ca="1">IFERROR(__xludf.DUMMYFUNCTION("""COMPUTED_VALUE"""),14046250)</f>
        <v>14046250</v>
      </c>
    </row>
    <row r="155" spans="1:6" ht="12.5" x14ac:dyDescent="0.25">
      <c r="A155" s="3">
        <f ca="1">IFERROR(__xludf.DUMMYFUNCTION("""COMPUTED_VALUE"""),45152.6666666666)</f>
        <v>45152.666666666599</v>
      </c>
      <c r="B155" s="2">
        <f ca="1">IFERROR(__xludf.DUMMYFUNCTION("""COMPUTED_VALUE"""),300.98)</f>
        <v>300.98</v>
      </c>
      <c r="C155" s="2">
        <f ca="1">IFERROR(__xludf.DUMMYFUNCTION("""COMPUTED_VALUE"""),306.21)</f>
        <v>306.20999999999998</v>
      </c>
      <c r="D155" s="2">
        <f ca="1">IFERROR(__xludf.DUMMYFUNCTION("""COMPUTED_VALUE"""),298.25)</f>
        <v>298.25</v>
      </c>
      <c r="E155" s="2">
        <f ca="1">IFERROR(__xludf.DUMMYFUNCTION("""COMPUTED_VALUE"""),306.19)</f>
        <v>306.19</v>
      </c>
      <c r="F155" s="2">
        <f ca="1">IFERROR(__xludf.DUMMYFUNCTION("""COMPUTED_VALUE"""),15641921)</f>
        <v>15641921</v>
      </c>
    </row>
    <row r="156" spans="1:6" ht="12.5" x14ac:dyDescent="0.25">
      <c r="A156" s="3">
        <f ca="1">IFERROR(__xludf.DUMMYFUNCTION("""COMPUTED_VALUE"""),45153.6666666666)</f>
        <v>45153.666666666599</v>
      </c>
      <c r="B156" s="2">
        <f ca="1">IFERROR(__xludf.DUMMYFUNCTION("""COMPUTED_VALUE"""),306.14)</f>
        <v>306.14</v>
      </c>
      <c r="C156" s="2">
        <f ca="1">IFERROR(__xludf.DUMMYFUNCTION("""COMPUTED_VALUE"""),307.23)</f>
        <v>307.23</v>
      </c>
      <c r="D156" s="2">
        <f ca="1">IFERROR(__xludf.DUMMYFUNCTION("""COMPUTED_VALUE"""),300.03)</f>
        <v>300.02999999999997</v>
      </c>
      <c r="E156" s="2">
        <f ca="1">IFERROR(__xludf.DUMMYFUNCTION("""COMPUTED_VALUE"""),301.95)</f>
        <v>301.95</v>
      </c>
      <c r="F156" s="2">
        <f ca="1">IFERROR(__xludf.DUMMYFUNCTION("""COMPUTED_VALUE"""),11623613)</f>
        <v>11623613</v>
      </c>
    </row>
    <row r="157" spans="1:6" ht="12.5" x14ac:dyDescent="0.25">
      <c r="A157" s="3">
        <f ca="1">IFERROR(__xludf.DUMMYFUNCTION("""COMPUTED_VALUE"""),45154.6666666666)</f>
        <v>45154.666666666599</v>
      </c>
      <c r="B157" s="2">
        <f ca="1">IFERROR(__xludf.DUMMYFUNCTION("""COMPUTED_VALUE"""),300.2)</f>
        <v>300.2</v>
      </c>
      <c r="C157" s="2">
        <f ca="1">IFERROR(__xludf.DUMMYFUNCTION("""COMPUTED_VALUE"""),301.08)</f>
        <v>301.08</v>
      </c>
      <c r="D157" s="2">
        <f ca="1">IFERROR(__xludf.DUMMYFUNCTION("""COMPUTED_VALUE"""),294.28)</f>
        <v>294.27999999999997</v>
      </c>
      <c r="E157" s="2">
        <f ca="1">IFERROR(__xludf.DUMMYFUNCTION("""COMPUTED_VALUE"""),294.29)</f>
        <v>294.29000000000002</v>
      </c>
      <c r="F157" s="2">
        <f ca="1">IFERROR(__xludf.DUMMYFUNCTION("""COMPUTED_VALUE"""),18547741)</f>
        <v>18547741</v>
      </c>
    </row>
    <row r="158" spans="1:6" ht="12.5" x14ac:dyDescent="0.25">
      <c r="A158" s="3">
        <f ca="1">IFERROR(__xludf.DUMMYFUNCTION("""COMPUTED_VALUE"""),45155.6666666666)</f>
        <v>45155.666666666599</v>
      </c>
      <c r="B158" s="2">
        <f ca="1">IFERROR(__xludf.DUMMYFUNCTION("""COMPUTED_VALUE"""),293.05)</f>
        <v>293.05</v>
      </c>
      <c r="C158" s="2">
        <f ca="1">IFERROR(__xludf.DUMMYFUNCTION("""COMPUTED_VALUE"""),296.05)</f>
        <v>296.05</v>
      </c>
      <c r="D158" s="2">
        <f ca="1">IFERROR(__xludf.DUMMYFUNCTION("""COMPUTED_VALUE"""),284.95)</f>
        <v>284.95</v>
      </c>
      <c r="E158" s="2">
        <f ca="1">IFERROR(__xludf.DUMMYFUNCTION("""COMPUTED_VALUE"""),285.09)</f>
        <v>285.08999999999997</v>
      </c>
      <c r="F158" s="2">
        <f ca="1">IFERROR(__xludf.DUMMYFUNCTION("""COMPUTED_VALUE"""),23950089)</f>
        <v>23950089</v>
      </c>
    </row>
    <row r="159" spans="1:6" ht="12.5" x14ac:dyDescent="0.25">
      <c r="A159" s="3">
        <f ca="1">IFERROR(__xludf.DUMMYFUNCTION("""COMPUTED_VALUE"""),45156.6666666666)</f>
        <v>45156.666666666599</v>
      </c>
      <c r="B159" s="2">
        <f ca="1">IFERROR(__xludf.DUMMYFUNCTION("""COMPUTED_VALUE"""),279.03)</f>
        <v>279.02999999999997</v>
      </c>
      <c r="C159" s="2">
        <f ca="1">IFERROR(__xludf.DUMMYFUNCTION("""COMPUTED_VALUE"""),285.69)</f>
        <v>285.69</v>
      </c>
      <c r="D159" s="2">
        <f ca="1">IFERROR(__xludf.DUMMYFUNCTION("""COMPUTED_VALUE"""),274.38)</f>
        <v>274.38</v>
      </c>
      <c r="E159" s="2">
        <f ca="1">IFERROR(__xludf.DUMMYFUNCTION("""COMPUTED_VALUE"""),283.25)</f>
        <v>283.25</v>
      </c>
      <c r="F159" s="2">
        <f ca="1">IFERROR(__xludf.DUMMYFUNCTION("""COMPUTED_VALUE"""),35347925)</f>
        <v>35347925</v>
      </c>
    </row>
    <row r="160" spans="1:6" ht="12.5" x14ac:dyDescent="0.25">
      <c r="A160" s="3">
        <f ca="1">IFERROR(__xludf.DUMMYFUNCTION("""COMPUTED_VALUE"""),45159.6666666666)</f>
        <v>45159.666666666599</v>
      </c>
      <c r="B160" s="2">
        <f ca="1">IFERROR(__xludf.DUMMYFUNCTION("""COMPUTED_VALUE"""),283.45)</f>
        <v>283.45</v>
      </c>
      <c r="C160" s="2">
        <f ca="1">IFERROR(__xludf.DUMMYFUNCTION("""COMPUTED_VALUE"""),290.5)</f>
        <v>290.5</v>
      </c>
      <c r="D160" s="2">
        <f ca="1">IFERROR(__xludf.DUMMYFUNCTION("""COMPUTED_VALUE"""),281.85)</f>
        <v>281.85000000000002</v>
      </c>
      <c r="E160" s="2">
        <f ca="1">IFERROR(__xludf.DUMMYFUNCTION("""COMPUTED_VALUE"""),289.9)</f>
        <v>289.89999999999998</v>
      </c>
      <c r="F160" s="2">
        <f ca="1">IFERROR(__xludf.DUMMYFUNCTION("""COMPUTED_VALUE"""),20181475)</f>
        <v>20181475</v>
      </c>
    </row>
    <row r="161" spans="1:6" ht="12.5" x14ac:dyDescent="0.25">
      <c r="A161" s="3">
        <f ca="1">IFERROR(__xludf.DUMMYFUNCTION("""COMPUTED_VALUE"""),45160.6666666666)</f>
        <v>45160.666666666599</v>
      </c>
      <c r="B161" s="2">
        <f ca="1">IFERROR(__xludf.DUMMYFUNCTION("""COMPUTED_VALUE"""),292.55)</f>
        <v>292.55</v>
      </c>
      <c r="C161" s="2">
        <f ca="1">IFERROR(__xludf.DUMMYFUNCTION("""COMPUTED_VALUE"""),292.9)</f>
        <v>292.89999999999998</v>
      </c>
      <c r="D161" s="2">
        <f ca="1">IFERROR(__xludf.DUMMYFUNCTION("""COMPUTED_VALUE"""),286.75)</f>
        <v>286.75</v>
      </c>
      <c r="E161" s="2">
        <f ca="1">IFERROR(__xludf.DUMMYFUNCTION("""COMPUTED_VALUE"""),287.6)</f>
        <v>287.60000000000002</v>
      </c>
      <c r="F161" s="2">
        <f ca="1">IFERROR(__xludf.DUMMYFUNCTION("""COMPUTED_VALUE"""),12999913)</f>
        <v>12999913</v>
      </c>
    </row>
    <row r="162" spans="1:6" ht="12.5" x14ac:dyDescent="0.25">
      <c r="A162" s="3">
        <f ca="1">IFERROR(__xludf.DUMMYFUNCTION("""COMPUTED_VALUE"""),45161.6666666666)</f>
        <v>45161.666666666599</v>
      </c>
      <c r="B162" s="2">
        <f ca="1">IFERROR(__xludf.DUMMYFUNCTION("""COMPUTED_VALUE"""),288.5)</f>
        <v>288.5</v>
      </c>
      <c r="C162" s="2">
        <f ca="1">IFERROR(__xludf.DUMMYFUNCTION("""COMPUTED_VALUE"""),297.4)</f>
        <v>297.39999999999998</v>
      </c>
      <c r="D162" s="2">
        <f ca="1">IFERROR(__xludf.DUMMYFUNCTION("""COMPUTED_VALUE"""),287.67)</f>
        <v>287.67</v>
      </c>
      <c r="E162" s="2">
        <f ca="1">IFERROR(__xludf.DUMMYFUNCTION("""COMPUTED_VALUE"""),294.24)</f>
        <v>294.24</v>
      </c>
      <c r="F162" s="2">
        <f ca="1">IFERROR(__xludf.DUMMYFUNCTION("""COMPUTED_VALUE"""),18287001)</f>
        <v>18287001</v>
      </c>
    </row>
    <row r="163" spans="1:6" ht="12.5" x14ac:dyDescent="0.25">
      <c r="A163" s="3">
        <f ca="1">IFERROR(__xludf.DUMMYFUNCTION("""COMPUTED_VALUE"""),45162.6666666666)</f>
        <v>45162.666666666599</v>
      </c>
      <c r="B163" s="2">
        <f ca="1">IFERROR(__xludf.DUMMYFUNCTION("""COMPUTED_VALUE"""),298.5)</f>
        <v>298.5</v>
      </c>
      <c r="C163" s="2">
        <f ca="1">IFERROR(__xludf.DUMMYFUNCTION("""COMPUTED_VALUE"""),299.46)</f>
        <v>299.45999999999998</v>
      </c>
      <c r="D163" s="2">
        <f ca="1">IFERROR(__xludf.DUMMYFUNCTION("""COMPUTED_VALUE"""),286.64)</f>
        <v>286.64</v>
      </c>
      <c r="E163" s="2">
        <f ca="1">IFERROR(__xludf.DUMMYFUNCTION("""COMPUTED_VALUE"""),286.75)</f>
        <v>286.75</v>
      </c>
      <c r="F163" s="2">
        <f ca="1">IFERROR(__xludf.DUMMYFUNCTION("""COMPUTED_VALUE"""),18360882)</f>
        <v>18360882</v>
      </c>
    </row>
    <row r="164" spans="1:6" ht="12.5" x14ac:dyDescent="0.25">
      <c r="A164" s="3">
        <f ca="1">IFERROR(__xludf.DUMMYFUNCTION("""COMPUTED_VALUE"""),45163.6666666666)</f>
        <v>45163.666666666599</v>
      </c>
      <c r="B164" s="2">
        <f ca="1">IFERROR(__xludf.DUMMYFUNCTION("""COMPUTED_VALUE"""),286.13)</f>
        <v>286.13</v>
      </c>
      <c r="C164" s="2">
        <f ca="1">IFERROR(__xludf.DUMMYFUNCTION("""COMPUTED_VALUE"""),288.39)</f>
        <v>288.39</v>
      </c>
      <c r="D164" s="2">
        <f ca="1">IFERROR(__xludf.DUMMYFUNCTION("""COMPUTED_VALUE"""),276.03)</f>
        <v>276.02999999999997</v>
      </c>
      <c r="E164" s="2">
        <f ca="1">IFERROR(__xludf.DUMMYFUNCTION("""COMPUTED_VALUE"""),285.5)</f>
        <v>285.5</v>
      </c>
      <c r="F164" s="2">
        <f ca="1">IFERROR(__xludf.DUMMYFUNCTION("""COMPUTED_VALUE"""),23701443)</f>
        <v>23701443</v>
      </c>
    </row>
    <row r="165" spans="1:6" ht="12.5" x14ac:dyDescent="0.25">
      <c r="A165" s="3">
        <f ca="1">IFERROR(__xludf.DUMMYFUNCTION("""COMPUTED_VALUE"""),45166.6666666666)</f>
        <v>45166.666666666599</v>
      </c>
      <c r="B165" s="2">
        <f ca="1">IFERROR(__xludf.DUMMYFUNCTION("""COMPUTED_VALUE"""),288)</f>
        <v>288</v>
      </c>
      <c r="C165" s="2">
        <f ca="1">IFERROR(__xludf.DUMMYFUNCTION("""COMPUTED_VALUE"""),291.45)</f>
        <v>291.45</v>
      </c>
      <c r="D165" s="2">
        <f ca="1">IFERROR(__xludf.DUMMYFUNCTION("""COMPUTED_VALUE"""),285.8)</f>
        <v>285.8</v>
      </c>
      <c r="E165" s="2">
        <f ca="1">IFERROR(__xludf.DUMMYFUNCTION("""COMPUTED_VALUE"""),290.26)</f>
        <v>290.26</v>
      </c>
      <c r="F165" s="2">
        <f ca="1">IFERROR(__xludf.DUMMYFUNCTION("""COMPUTED_VALUE"""),14239285)</f>
        <v>14239285</v>
      </c>
    </row>
    <row r="166" spans="1:6" ht="12.5" x14ac:dyDescent="0.25">
      <c r="A166" s="3">
        <f ca="1">IFERROR(__xludf.DUMMYFUNCTION("""COMPUTED_VALUE"""),45167.6666666666)</f>
        <v>45167.666666666599</v>
      </c>
      <c r="B166" s="2">
        <f ca="1">IFERROR(__xludf.DUMMYFUNCTION("""COMPUTED_VALUE"""),288.58)</f>
        <v>288.58</v>
      </c>
      <c r="C166" s="2">
        <f ca="1">IFERROR(__xludf.DUMMYFUNCTION("""COMPUTED_VALUE"""),299.15)</f>
        <v>299.14999999999998</v>
      </c>
      <c r="D166" s="2">
        <f ca="1">IFERROR(__xludf.DUMMYFUNCTION("""COMPUTED_VALUE"""),288.18)</f>
        <v>288.18</v>
      </c>
      <c r="E166" s="2">
        <f ca="1">IFERROR(__xludf.DUMMYFUNCTION("""COMPUTED_VALUE"""),297.99)</f>
        <v>297.99</v>
      </c>
      <c r="F166" s="2">
        <f ca="1">IFERROR(__xludf.DUMMYFUNCTION("""COMPUTED_VALUE"""),20844522)</f>
        <v>20844522</v>
      </c>
    </row>
    <row r="167" spans="1:6" ht="12.5" x14ac:dyDescent="0.25">
      <c r="A167" s="3">
        <f ca="1">IFERROR(__xludf.DUMMYFUNCTION("""COMPUTED_VALUE"""),45168.6666666666)</f>
        <v>45168.666666666599</v>
      </c>
      <c r="B167" s="2">
        <f ca="1">IFERROR(__xludf.DUMMYFUNCTION("""COMPUTED_VALUE"""),297.17)</f>
        <v>297.17</v>
      </c>
      <c r="C167" s="2">
        <f ca="1">IFERROR(__xludf.DUMMYFUNCTION("""COMPUTED_VALUE"""),298.29)</f>
        <v>298.29000000000002</v>
      </c>
      <c r="D167" s="2">
        <f ca="1">IFERROR(__xludf.DUMMYFUNCTION("""COMPUTED_VALUE"""),293.43)</f>
        <v>293.43</v>
      </c>
      <c r="E167" s="2">
        <f ca="1">IFERROR(__xludf.DUMMYFUNCTION("""COMPUTED_VALUE"""),295.1)</f>
        <v>295.10000000000002</v>
      </c>
      <c r="F167" s="2">
        <f ca="1">IFERROR(__xludf.DUMMYFUNCTION("""COMPUTED_VALUE"""),17717024)</f>
        <v>17717024</v>
      </c>
    </row>
    <row r="168" spans="1:6" ht="12.5" x14ac:dyDescent="0.25">
      <c r="A168" s="3">
        <f ca="1">IFERROR(__xludf.DUMMYFUNCTION("""COMPUTED_VALUE"""),45169.6666666666)</f>
        <v>45169.666666666599</v>
      </c>
      <c r="B168" s="2">
        <f ca="1">IFERROR(__xludf.DUMMYFUNCTION("""COMPUTED_VALUE"""),295.8)</f>
        <v>295.8</v>
      </c>
      <c r="C168" s="2">
        <f ca="1">IFERROR(__xludf.DUMMYFUNCTION("""COMPUTED_VALUE"""),301.1)</f>
        <v>301.10000000000002</v>
      </c>
      <c r="D168" s="2">
        <f ca="1">IFERROR(__xludf.DUMMYFUNCTION("""COMPUTED_VALUE"""),295.66)</f>
        <v>295.66000000000003</v>
      </c>
      <c r="E168" s="2">
        <f ca="1">IFERROR(__xludf.DUMMYFUNCTION("""COMPUTED_VALUE"""),295.89)</f>
        <v>295.89</v>
      </c>
      <c r="F168" s="2">
        <f ca="1">IFERROR(__xludf.DUMMYFUNCTION("""COMPUTED_VALUE"""),17229865)</f>
        <v>17229865</v>
      </c>
    </row>
    <row r="169" spans="1:6" ht="12.5" x14ac:dyDescent="0.25">
      <c r="A169" s="3">
        <f ca="1">IFERROR(__xludf.DUMMYFUNCTION("""COMPUTED_VALUE"""),45170.6666666666)</f>
        <v>45170.666666666599</v>
      </c>
      <c r="B169" s="2">
        <f ca="1">IFERROR(__xludf.DUMMYFUNCTION("""COMPUTED_VALUE"""),299.37)</f>
        <v>299.37</v>
      </c>
      <c r="C169" s="2">
        <f ca="1">IFERROR(__xludf.DUMMYFUNCTION("""COMPUTED_VALUE"""),301.74)</f>
        <v>301.74</v>
      </c>
      <c r="D169" s="2">
        <f ca="1">IFERROR(__xludf.DUMMYFUNCTION("""COMPUTED_VALUE"""),294.47)</f>
        <v>294.47000000000003</v>
      </c>
      <c r="E169" s="2">
        <f ca="1">IFERROR(__xludf.DUMMYFUNCTION("""COMPUTED_VALUE"""),296.38)</f>
        <v>296.38</v>
      </c>
      <c r="F169" s="2">
        <f ca="1">IFERROR(__xludf.DUMMYFUNCTION("""COMPUTED_VALUE"""),12842257)</f>
        <v>12842257</v>
      </c>
    </row>
    <row r="170" spans="1:6" ht="12.5" x14ac:dyDescent="0.25">
      <c r="A170" s="3">
        <f ca="1">IFERROR(__xludf.DUMMYFUNCTION("""COMPUTED_VALUE"""),45174.6666666666)</f>
        <v>45174.666666666599</v>
      </c>
      <c r="B170" s="2">
        <f ca="1">IFERROR(__xludf.DUMMYFUNCTION("""COMPUTED_VALUE"""),297.02)</f>
        <v>297.02</v>
      </c>
      <c r="C170" s="2">
        <f ca="1">IFERROR(__xludf.DUMMYFUNCTION("""COMPUTED_VALUE"""),301.39)</f>
        <v>301.39</v>
      </c>
      <c r="D170" s="2">
        <f ca="1">IFERROR(__xludf.DUMMYFUNCTION("""COMPUTED_VALUE"""),295.51)</f>
        <v>295.51</v>
      </c>
      <c r="E170" s="2">
        <f ca="1">IFERROR(__xludf.DUMMYFUNCTION("""COMPUTED_VALUE"""),300.15)</f>
        <v>300.14999999999998</v>
      </c>
      <c r="F170" s="2">
        <f ca="1">IFERROR(__xludf.DUMMYFUNCTION("""COMPUTED_VALUE"""),14955989)</f>
        <v>14955989</v>
      </c>
    </row>
    <row r="171" spans="1:6" ht="12.5" x14ac:dyDescent="0.25">
      <c r="A171" s="3">
        <f ca="1">IFERROR(__xludf.DUMMYFUNCTION("""COMPUTED_VALUE"""),45175.6666666666)</f>
        <v>45175.666666666599</v>
      </c>
      <c r="B171" s="2">
        <f ca="1">IFERROR(__xludf.DUMMYFUNCTION("""COMPUTED_VALUE"""),301.71)</f>
        <v>301.70999999999998</v>
      </c>
      <c r="C171" s="2">
        <f ca="1">IFERROR(__xludf.DUMMYFUNCTION("""COMPUTED_VALUE"""),303.3)</f>
        <v>303.3</v>
      </c>
      <c r="D171" s="2">
        <f ca="1">IFERROR(__xludf.DUMMYFUNCTION("""COMPUTED_VALUE"""),295.66)</f>
        <v>295.66000000000003</v>
      </c>
      <c r="E171" s="2">
        <f ca="1">IFERROR(__xludf.DUMMYFUNCTION("""COMPUTED_VALUE"""),299.17)</f>
        <v>299.17</v>
      </c>
      <c r="F171" s="2">
        <f ca="1">IFERROR(__xludf.DUMMYFUNCTION("""COMPUTED_VALUE"""),15418092)</f>
        <v>15418092</v>
      </c>
    </row>
    <row r="172" spans="1:6" ht="12.5" x14ac:dyDescent="0.25">
      <c r="A172" s="3">
        <f ca="1">IFERROR(__xludf.DUMMYFUNCTION("""COMPUTED_VALUE"""),45176.6666666666)</f>
        <v>45176.666666666599</v>
      </c>
      <c r="B172" s="2">
        <f ca="1">IFERROR(__xludf.DUMMYFUNCTION("""COMPUTED_VALUE"""),298)</f>
        <v>298</v>
      </c>
      <c r="C172" s="2">
        <f ca="1">IFERROR(__xludf.DUMMYFUNCTION("""COMPUTED_VALUE"""),307.05)</f>
        <v>307.05</v>
      </c>
      <c r="D172" s="2">
        <f ca="1">IFERROR(__xludf.DUMMYFUNCTION("""COMPUTED_VALUE"""),292.22)</f>
        <v>292.22000000000003</v>
      </c>
      <c r="E172" s="2">
        <f ca="1">IFERROR(__xludf.DUMMYFUNCTION("""COMPUTED_VALUE"""),298.67)</f>
        <v>298.67</v>
      </c>
      <c r="F172" s="2">
        <f ca="1">IFERROR(__xludf.DUMMYFUNCTION("""COMPUTED_VALUE"""),33748737)</f>
        <v>33748737</v>
      </c>
    </row>
    <row r="173" spans="1:6" ht="12.5" x14ac:dyDescent="0.25">
      <c r="A173" s="3">
        <f ca="1">IFERROR(__xludf.DUMMYFUNCTION("""COMPUTED_VALUE"""),45177.6666666666)</f>
        <v>45177.666666666599</v>
      </c>
      <c r="B173" s="2">
        <f ca="1">IFERROR(__xludf.DUMMYFUNCTION("""COMPUTED_VALUE"""),299.22)</f>
        <v>299.22000000000003</v>
      </c>
      <c r="C173" s="2">
        <f ca="1">IFERROR(__xludf.DUMMYFUNCTION("""COMPUTED_VALUE"""),305.25)</f>
        <v>305.25</v>
      </c>
      <c r="D173" s="2">
        <f ca="1">IFERROR(__xludf.DUMMYFUNCTION("""COMPUTED_VALUE"""),296.78)</f>
        <v>296.77999999999997</v>
      </c>
      <c r="E173" s="2">
        <f ca="1">IFERROR(__xludf.DUMMYFUNCTION("""COMPUTED_VALUE"""),297.89)</f>
        <v>297.89</v>
      </c>
      <c r="F173" s="2">
        <f ca="1">IFERROR(__xludf.DUMMYFUNCTION("""COMPUTED_VALUE"""),17572203)</f>
        <v>17572203</v>
      </c>
    </row>
    <row r="174" spans="1:6" ht="12.5" x14ac:dyDescent="0.25">
      <c r="A174" s="3">
        <f ca="1">IFERROR(__xludf.DUMMYFUNCTION("""COMPUTED_VALUE"""),45180.6666666666)</f>
        <v>45180.666666666599</v>
      </c>
      <c r="B174" s="2">
        <f ca="1">IFERROR(__xludf.DUMMYFUNCTION("""COMPUTED_VALUE"""),301.41)</f>
        <v>301.41000000000003</v>
      </c>
      <c r="C174" s="2">
        <f ca="1">IFERROR(__xludf.DUMMYFUNCTION("""COMPUTED_VALUE"""),309.04)</f>
        <v>309.04000000000002</v>
      </c>
      <c r="D174" s="2">
        <f ca="1">IFERROR(__xludf.DUMMYFUNCTION("""COMPUTED_VALUE"""),301.28)</f>
        <v>301.27999999999997</v>
      </c>
      <c r="E174" s="2">
        <f ca="1">IFERROR(__xludf.DUMMYFUNCTION("""COMPUTED_VALUE"""),307.56)</f>
        <v>307.56</v>
      </c>
      <c r="F174" s="2">
        <f ca="1">IFERROR(__xludf.DUMMYFUNCTION("""COMPUTED_VALUE"""),19489330)</f>
        <v>19489330</v>
      </c>
    </row>
    <row r="175" spans="1:6" ht="12.5" x14ac:dyDescent="0.25">
      <c r="A175" s="3">
        <f ca="1">IFERROR(__xludf.DUMMYFUNCTION("""COMPUTED_VALUE"""),45181.6666666666)</f>
        <v>45181.666666666599</v>
      </c>
      <c r="B175" s="2">
        <f ca="1">IFERROR(__xludf.DUMMYFUNCTION("""COMPUTED_VALUE"""),306.33)</f>
        <v>306.33</v>
      </c>
      <c r="C175" s="2">
        <f ca="1">IFERROR(__xludf.DUMMYFUNCTION("""COMPUTED_VALUE"""),308.66)</f>
        <v>308.66000000000003</v>
      </c>
      <c r="D175" s="2">
        <f ca="1">IFERROR(__xludf.DUMMYFUNCTION("""COMPUTED_VALUE"""),300.23)</f>
        <v>300.23</v>
      </c>
      <c r="E175" s="2">
        <f ca="1">IFERROR(__xludf.DUMMYFUNCTION("""COMPUTED_VALUE"""),301.66)</f>
        <v>301.66000000000003</v>
      </c>
      <c r="F175" s="2">
        <f ca="1">IFERROR(__xludf.DUMMYFUNCTION("""COMPUTED_VALUE"""),13480400)</f>
        <v>13480400</v>
      </c>
    </row>
    <row r="176" spans="1:6" ht="12.5" x14ac:dyDescent="0.25">
      <c r="A176" s="3">
        <f ca="1">IFERROR(__xludf.DUMMYFUNCTION("""COMPUTED_VALUE"""),45182.6666666666)</f>
        <v>45182.666666666599</v>
      </c>
      <c r="B176" s="2">
        <f ca="1">IFERROR(__xludf.DUMMYFUNCTION("""COMPUTED_VALUE"""),302.36)</f>
        <v>302.36</v>
      </c>
      <c r="C176" s="2">
        <f ca="1">IFERROR(__xludf.DUMMYFUNCTION("""COMPUTED_VALUE"""),307.18)</f>
        <v>307.18</v>
      </c>
      <c r="D176" s="2">
        <f ca="1">IFERROR(__xludf.DUMMYFUNCTION("""COMPUTED_VALUE"""),301.32)</f>
        <v>301.32</v>
      </c>
      <c r="E176" s="2">
        <f ca="1">IFERROR(__xludf.DUMMYFUNCTION("""COMPUTED_VALUE"""),305.06)</f>
        <v>305.06</v>
      </c>
      <c r="F176" s="2">
        <f ca="1">IFERROR(__xludf.DUMMYFUNCTION("""COMPUTED_VALUE"""),13210915)</f>
        <v>13210915</v>
      </c>
    </row>
    <row r="177" spans="1:6" ht="12.5" x14ac:dyDescent="0.25">
      <c r="A177" s="3">
        <f ca="1">IFERROR(__xludf.DUMMYFUNCTION("""COMPUTED_VALUE"""),45183.6666666666)</f>
        <v>45183.666666666599</v>
      </c>
      <c r="B177" s="2">
        <f ca="1">IFERROR(__xludf.DUMMYFUNCTION("""COMPUTED_VALUE"""),306.74)</f>
        <v>306.74</v>
      </c>
      <c r="C177" s="2">
        <f ca="1">IFERROR(__xludf.DUMMYFUNCTION("""COMPUTED_VALUE"""),312.87)</f>
        <v>312.87</v>
      </c>
      <c r="D177" s="2">
        <f ca="1">IFERROR(__xludf.DUMMYFUNCTION("""COMPUTED_VALUE"""),305.03)</f>
        <v>305.02999999999997</v>
      </c>
      <c r="E177" s="2">
        <f ca="1">IFERROR(__xludf.DUMMYFUNCTION("""COMPUTED_VALUE"""),311.72)</f>
        <v>311.72000000000003</v>
      </c>
      <c r="F177" s="2">
        <f ca="1">IFERROR(__xludf.DUMMYFUNCTION("""COMPUTED_VALUE"""),19343102)</f>
        <v>19343102</v>
      </c>
    </row>
    <row r="178" spans="1:6" ht="12.5" x14ac:dyDescent="0.25">
      <c r="A178" s="3">
        <f ca="1">IFERROR(__xludf.DUMMYFUNCTION("""COMPUTED_VALUE"""),45184.6666666666)</f>
        <v>45184.666666666599</v>
      </c>
      <c r="B178" s="2">
        <f ca="1">IFERROR(__xludf.DUMMYFUNCTION("""COMPUTED_VALUE"""),311.61)</f>
        <v>311.61</v>
      </c>
      <c r="C178" s="2">
        <f ca="1">IFERROR(__xludf.DUMMYFUNCTION("""COMPUTED_VALUE"""),312)</f>
        <v>312</v>
      </c>
      <c r="D178" s="2">
        <f ca="1">IFERROR(__xludf.DUMMYFUNCTION("""COMPUTED_VALUE"""),298.75)</f>
        <v>298.75</v>
      </c>
      <c r="E178" s="2">
        <f ca="1">IFERROR(__xludf.DUMMYFUNCTION("""COMPUTED_VALUE"""),300.31)</f>
        <v>300.31</v>
      </c>
      <c r="F178" s="2">
        <f ca="1">IFERROR(__xludf.DUMMYFUNCTION("""COMPUTED_VALUE"""),28131140)</f>
        <v>28131140</v>
      </c>
    </row>
    <row r="179" spans="1:6" ht="12.5" x14ac:dyDescent="0.25">
      <c r="A179" s="3">
        <f ca="1">IFERROR(__xludf.DUMMYFUNCTION("""COMPUTED_VALUE"""),45187.6666666666)</f>
        <v>45187.666666666599</v>
      </c>
      <c r="B179" s="2">
        <f ca="1">IFERROR(__xludf.DUMMYFUNCTION("""COMPUTED_VALUE"""),298.19)</f>
        <v>298.19</v>
      </c>
      <c r="C179" s="2">
        <f ca="1">IFERROR(__xludf.DUMMYFUNCTION("""COMPUTED_VALUE"""),303.6)</f>
        <v>303.60000000000002</v>
      </c>
      <c r="D179" s="2">
        <f ca="1">IFERROR(__xludf.DUMMYFUNCTION("""COMPUTED_VALUE"""),297.8)</f>
        <v>297.8</v>
      </c>
      <c r="E179" s="2">
        <f ca="1">IFERROR(__xludf.DUMMYFUNCTION("""COMPUTED_VALUE"""),302.55)</f>
        <v>302.55</v>
      </c>
      <c r="F179" s="2">
        <f ca="1">IFERROR(__xludf.DUMMYFUNCTION("""COMPUTED_VALUE"""),14234158)</f>
        <v>14234158</v>
      </c>
    </row>
    <row r="180" spans="1:6" ht="12.5" x14ac:dyDescent="0.25">
      <c r="A180" s="3">
        <f ca="1">IFERROR(__xludf.DUMMYFUNCTION("""COMPUTED_VALUE"""),45188.6666666666)</f>
        <v>45188.666666666599</v>
      </c>
      <c r="B180" s="2">
        <f ca="1">IFERROR(__xludf.DUMMYFUNCTION("""COMPUTED_VALUE"""),302.48)</f>
        <v>302.48</v>
      </c>
      <c r="C180" s="2">
        <f ca="1">IFERROR(__xludf.DUMMYFUNCTION("""COMPUTED_VALUE"""),306.17)</f>
        <v>306.17</v>
      </c>
      <c r="D180" s="2">
        <f ca="1">IFERROR(__xludf.DUMMYFUNCTION("""COMPUTED_VALUE"""),299.81)</f>
        <v>299.81</v>
      </c>
      <c r="E180" s="2">
        <f ca="1">IFERROR(__xludf.DUMMYFUNCTION("""COMPUTED_VALUE"""),305.07)</f>
        <v>305.07</v>
      </c>
      <c r="F180" s="2">
        <f ca="1">IFERROR(__xludf.DUMMYFUNCTION("""COMPUTED_VALUE"""),15931618)</f>
        <v>15931618</v>
      </c>
    </row>
    <row r="181" spans="1:6" ht="12.5" x14ac:dyDescent="0.25">
      <c r="A181" s="3">
        <f ca="1">IFERROR(__xludf.DUMMYFUNCTION("""COMPUTED_VALUE"""),45189.6666666666)</f>
        <v>45189.666666666599</v>
      </c>
      <c r="B181" s="2">
        <f ca="1">IFERROR(__xludf.DUMMYFUNCTION("""COMPUTED_VALUE"""),305.05)</f>
        <v>305.05</v>
      </c>
      <c r="C181" s="2">
        <f ca="1">IFERROR(__xludf.DUMMYFUNCTION("""COMPUTED_VALUE"""),308.06)</f>
        <v>308.06</v>
      </c>
      <c r="D181" s="2">
        <f ca="1">IFERROR(__xludf.DUMMYFUNCTION("""COMPUTED_VALUE"""),299.43)</f>
        <v>299.43</v>
      </c>
      <c r="E181" s="2">
        <f ca="1">IFERROR(__xludf.DUMMYFUNCTION("""COMPUTED_VALUE"""),299.67)</f>
        <v>299.67</v>
      </c>
      <c r="F181" s="2">
        <f ca="1">IFERROR(__xludf.DUMMYFUNCTION("""COMPUTED_VALUE"""),19379515)</f>
        <v>19379515</v>
      </c>
    </row>
    <row r="182" spans="1:6" ht="12.5" x14ac:dyDescent="0.25">
      <c r="A182" s="3">
        <f ca="1">IFERROR(__xludf.DUMMYFUNCTION("""COMPUTED_VALUE"""),45190.6666666666)</f>
        <v>45190.666666666599</v>
      </c>
      <c r="B182" s="2">
        <f ca="1">IFERROR(__xludf.DUMMYFUNCTION("""COMPUTED_VALUE"""),295.7)</f>
        <v>295.7</v>
      </c>
      <c r="C182" s="2">
        <f ca="1">IFERROR(__xludf.DUMMYFUNCTION("""COMPUTED_VALUE"""),300.26)</f>
        <v>300.26</v>
      </c>
      <c r="D182" s="2">
        <f ca="1">IFERROR(__xludf.DUMMYFUNCTION("""COMPUTED_VALUE"""),293.27)</f>
        <v>293.27</v>
      </c>
      <c r="E182" s="2">
        <f ca="1">IFERROR(__xludf.DUMMYFUNCTION("""COMPUTED_VALUE"""),295.73)</f>
        <v>295.73</v>
      </c>
      <c r="F182" s="2">
        <f ca="1">IFERROR(__xludf.DUMMYFUNCTION("""COMPUTED_VALUE"""),21319582)</f>
        <v>21319582</v>
      </c>
    </row>
    <row r="183" spans="1:6" ht="12.5" x14ac:dyDescent="0.25">
      <c r="A183" s="3">
        <f ca="1">IFERROR(__xludf.DUMMYFUNCTION("""COMPUTED_VALUE"""),45191.6666666666)</f>
        <v>45191.666666666599</v>
      </c>
      <c r="B183" s="2">
        <f ca="1">IFERROR(__xludf.DUMMYFUNCTION("""COMPUTED_VALUE"""),299.3)</f>
        <v>299.3</v>
      </c>
      <c r="C183" s="2">
        <f ca="1">IFERROR(__xludf.DUMMYFUNCTION("""COMPUTED_VALUE"""),305.38)</f>
        <v>305.38</v>
      </c>
      <c r="D183" s="2">
        <f ca="1">IFERROR(__xludf.DUMMYFUNCTION("""COMPUTED_VALUE"""),298.27)</f>
        <v>298.27</v>
      </c>
      <c r="E183" s="2">
        <f ca="1">IFERROR(__xludf.DUMMYFUNCTION("""COMPUTED_VALUE"""),299.08)</f>
        <v>299.08</v>
      </c>
      <c r="F183" s="2">
        <f ca="1">IFERROR(__xludf.DUMMYFUNCTION("""COMPUTED_VALUE"""),25369592)</f>
        <v>25369592</v>
      </c>
    </row>
    <row r="184" spans="1:6" ht="12.5" x14ac:dyDescent="0.25">
      <c r="A184" s="3">
        <f ca="1">IFERROR(__xludf.DUMMYFUNCTION("""COMPUTED_VALUE"""),45194.6666666666)</f>
        <v>45194.666666666599</v>
      </c>
      <c r="B184" s="2">
        <f ca="1">IFERROR(__xludf.DUMMYFUNCTION("""COMPUTED_VALUE"""),295.64)</f>
        <v>295.64</v>
      </c>
      <c r="C184" s="2">
        <f ca="1">IFERROR(__xludf.DUMMYFUNCTION("""COMPUTED_VALUE"""),300.95)</f>
        <v>300.95</v>
      </c>
      <c r="D184" s="2">
        <f ca="1">IFERROR(__xludf.DUMMYFUNCTION("""COMPUTED_VALUE"""),293.7)</f>
        <v>293.7</v>
      </c>
      <c r="E184" s="2">
        <f ca="1">IFERROR(__xludf.DUMMYFUNCTION("""COMPUTED_VALUE"""),300.83)</f>
        <v>300.83</v>
      </c>
      <c r="F184" s="2">
        <f ca="1">IFERROR(__xludf.DUMMYFUNCTION("""COMPUTED_VALUE"""),18987014)</f>
        <v>18987014</v>
      </c>
    </row>
    <row r="185" spans="1:6" ht="12.5" x14ac:dyDescent="0.25">
      <c r="A185" s="3">
        <f ca="1">IFERROR(__xludf.DUMMYFUNCTION("""COMPUTED_VALUE"""),45195.6666666666)</f>
        <v>45195.666666666599</v>
      </c>
      <c r="B185" s="2">
        <f ca="1">IFERROR(__xludf.DUMMYFUNCTION("""COMPUTED_VALUE"""),297.66)</f>
        <v>297.66000000000003</v>
      </c>
      <c r="C185" s="2">
        <f ca="1">IFERROR(__xludf.DUMMYFUNCTION("""COMPUTED_VALUE"""),300.3)</f>
        <v>300.3</v>
      </c>
      <c r="D185" s="2">
        <f ca="1">IFERROR(__xludf.DUMMYFUNCTION("""COMPUTED_VALUE"""),296.01)</f>
        <v>296.01</v>
      </c>
      <c r="E185" s="2">
        <f ca="1">IFERROR(__xludf.DUMMYFUNCTION("""COMPUTED_VALUE"""),298.96)</f>
        <v>298.95999999999998</v>
      </c>
      <c r="F185" s="2">
        <f ca="1">IFERROR(__xludf.DUMMYFUNCTION("""COMPUTED_VALUE"""),19417161)</f>
        <v>19417161</v>
      </c>
    </row>
    <row r="186" spans="1:6" ht="12.5" x14ac:dyDescent="0.25">
      <c r="A186" s="3">
        <f ca="1">IFERROR(__xludf.DUMMYFUNCTION("""COMPUTED_VALUE"""),45196.6666666666)</f>
        <v>45196.666666666599</v>
      </c>
      <c r="B186" s="2">
        <f ca="1">IFERROR(__xludf.DUMMYFUNCTION("""COMPUTED_VALUE"""),300.45)</f>
        <v>300.45</v>
      </c>
      <c r="C186" s="2">
        <f ca="1">IFERROR(__xludf.DUMMYFUNCTION("""COMPUTED_VALUE"""),301.3)</f>
        <v>301.3</v>
      </c>
      <c r="D186" s="2">
        <f ca="1">IFERROR(__xludf.DUMMYFUNCTION("""COMPUTED_VALUE"""),286.79)</f>
        <v>286.79000000000002</v>
      </c>
      <c r="E186" s="2">
        <f ca="1">IFERROR(__xludf.DUMMYFUNCTION("""COMPUTED_VALUE"""),297.74)</f>
        <v>297.74</v>
      </c>
      <c r="F186" s="2">
        <f ca="1">IFERROR(__xludf.DUMMYFUNCTION("""COMPUTED_VALUE"""),36429835)</f>
        <v>36429835</v>
      </c>
    </row>
    <row r="187" spans="1:6" ht="12.5" x14ac:dyDescent="0.25">
      <c r="A187" s="3">
        <f ca="1">IFERROR(__xludf.DUMMYFUNCTION("""COMPUTED_VALUE"""),45197.6666666666)</f>
        <v>45197.666666666599</v>
      </c>
      <c r="B187" s="2">
        <f ca="1">IFERROR(__xludf.DUMMYFUNCTION("""COMPUTED_VALUE"""),298.94)</f>
        <v>298.94</v>
      </c>
      <c r="C187" s="2">
        <f ca="1">IFERROR(__xludf.DUMMYFUNCTION("""COMPUTED_VALUE"""),306.33)</f>
        <v>306.33</v>
      </c>
      <c r="D187" s="2">
        <f ca="1">IFERROR(__xludf.DUMMYFUNCTION("""COMPUTED_VALUE"""),296.7)</f>
        <v>296.7</v>
      </c>
      <c r="E187" s="2">
        <f ca="1">IFERROR(__xludf.DUMMYFUNCTION("""COMPUTED_VALUE"""),303.96)</f>
        <v>303.95999999999998</v>
      </c>
      <c r="F187" s="2">
        <f ca="1">IFERROR(__xludf.DUMMYFUNCTION("""COMPUTED_VALUE"""),22167075)</f>
        <v>22167075</v>
      </c>
    </row>
    <row r="188" spans="1:6" ht="12.5" x14ac:dyDescent="0.25">
      <c r="A188" s="3">
        <f ca="1">IFERROR(__xludf.DUMMYFUNCTION("""COMPUTED_VALUE"""),45198.6666666666)</f>
        <v>45198.666666666599</v>
      </c>
      <c r="B188" s="2">
        <f ca="1">IFERROR(__xludf.DUMMYFUNCTION("""COMPUTED_VALUE"""),307.38)</f>
        <v>307.38</v>
      </c>
      <c r="C188" s="2">
        <f ca="1">IFERROR(__xludf.DUMMYFUNCTION("""COMPUTED_VALUE"""),310.64)</f>
        <v>310.64</v>
      </c>
      <c r="D188" s="2">
        <f ca="1">IFERROR(__xludf.DUMMYFUNCTION("""COMPUTED_VALUE"""),299.36)</f>
        <v>299.36</v>
      </c>
      <c r="E188" s="2">
        <f ca="1">IFERROR(__xludf.DUMMYFUNCTION("""COMPUTED_VALUE"""),300.21)</f>
        <v>300.20999999999998</v>
      </c>
      <c r="F188" s="2">
        <f ca="1">IFERROR(__xludf.DUMMYFUNCTION("""COMPUTED_VALUE"""),25373695)</f>
        <v>25373695</v>
      </c>
    </row>
    <row r="189" spans="1:6" ht="12.5" x14ac:dyDescent="0.25">
      <c r="A189" s="3">
        <f ca="1">IFERROR(__xludf.DUMMYFUNCTION("""COMPUTED_VALUE"""),45201.6666666666)</f>
        <v>45201.666666666599</v>
      </c>
      <c r="B189" s="2">
        <f ca="1">IFERROR(__xludf.DUMMYFUNCTION("""COMPUTED_VALUE"""),302.74)</f>
        <v>302.74</v>
      </c>
      <c r="C189" s="2">
        <f ca="1">IFERROR(__xludf.DUMMYFUNCTION("""COMPUTED_VALUE"""),307.18)</f>
        <v>307.18</v>
      </c>
      <c r="D189" s="2">
        <f ca="1">IFERROR(__xludf.DUMMYFUNCTION("""COMPUTED_VALUE"""),301.63)</f>
        <v>301.63</v>
      </c>
      <c r="E189" s="2">
        <f ca="1">IFERROR(__xludf.DUMMYFUNCTION("""COMPUTED_VALUE"""),306.82)</f>
        <v>306.82</v>
      </c>
      <c r="F189" s="2">
        <f ca="1">IFERROR(__xludf.DUMMYFUNCTION("""COMPUTED_VALUE"""),16265571)</f>
        <v>16265571</v>
      </c>
    </row>
    <row r="190" spans="1:6" ht="12.5" x14ac:dyDescent="0.25">
      <c r="A190" s="3">
        <f ca="1">IFERROR(__xludf.DUMMYFUNCTION("""COMPUTED_VALUE"""),45202.6666666666)</f>
        <v>45202.666666666599</v>
      </c>
      <c r="B190" s="2">
        <f ca="1">IFERROR(__xludf.DUMMYFUNCTION("""COMPUTED_VALUE"""),304.26)</f>
        <v>304.26</v>
      </c>
      <c r="C190" s="2">
        <f ca="1">IFERROR(__xludf.DUMMYFUNCTION("""COMPUTED_VALUE"""),306.77)</f>
        <v>306.77</v>
      </c>
      <c r="D190" s="2">
        <f ca="1">IFERROR(__xludf.DUMMYFUNCTION("""COMPUTED_VALUE"""),299.64)</f>
        <v>299.64</v>
      </c>
      <c r="E190" s="2">
        <f ca="1">IFERROR(__xludf.DUMMYFUNCTION("""COMPUTED_VALUE"""),300.94)</f>
        <v>300.94</v>
      </c>
      <c r="F190" s="2">
        <f ca="1">IFERROR(__xludf.DUMMYFUNCTION("""COMPUTED_VALUE"""),17362250)</f>
        <v>17362250</v>
      </c>
    </row>
    <row r="191" spans="1:6" ht="12.5" x14ac:dyDescent="0.25">
      <c r="A191" s="3">
        <f ca="1">IFERROR(__xludf.DUMMYFUNCTION("""COMPUTED_VALUE"""),45203.6666666666)</f>
        <v>45203.666666666599</v>
      </c>
      <c r="B191" s="2">
        <f ca="1">IFERROR(__xludf.DUMMYFUNCTION("""COMPUTED_VALUE"""),298.73)</f>
        <v>298.73</v>
      </c>
      <c r="C191" s="2">
        <f ca="1">IFERROR(__xludf.DUMMYFUNCTION("""COMPUTED_VALUE"""),306.9)</f>
        <v>306.89999999999998</v>
      </c>
      <c r="D191" s="2">
        <f ca="1">IFERROR(__xludf.DUMMYFUNCTION("""COMPUTED_VALUE"""),298.5)</f>
        <v>298.5</v>
      </c>
      <c r="E191" s="2">
        <f ca="1">IFERROR(__xludf.DUMMYFUNCTION("""COMPUTED_VALUE"""),305.58)</f>
        <v>305.58</v>
      </c>
      <c r="F191" s="2">
        <f ca="1">IFERROR(__xludf.DUMMYFUNCTION("""COMPUTED_VALUE"""),16880484)</f>
        <v>16880484</v>
      </c>
    </row>
    <row r="192" spans="1:6" ht="12.5" x14ac:dyDescent="0.25">
      <c r="A192" s="3">
        <f ca="1">IFERROR(__xludf.DUMMYFUNCTION("""COMPUTED_VALUE"""),45204.6666666666)</f>
        <v>45204.666666666599</v>
      </c>
      <c r="B192" s="2">
        <f ca="1">IFERROR(__xludf.DUMMYFUNCTION("""COMPUTED_VALUE"""),304.63)</f>
        <v>304.63</v>
      </c>
      <c r="C192" s="2">
        <f ca="1">IFERROR(__xludf.DUMMYFUNCTION("""COMPUTED_VALUE"""),306.21)</f>
        <v>306.20999999999998</v>
      </c>
      <c r="D192" s="2">
        <f ca="1">IFERROR(__xludf.DUMMYFUNCTION("""COMPUTED_VALUE"""),299.5)</f>
        <v>299.5</v>
      </c>
      <c r="E192" s="2">
        <f ca="1">IFERROR(__xludf.DUMMYFUNCTION("""COMPUTED_VALUE"""),304.79)</f>
        <v>304.79000000000002</v>
      </c>
      <c r="F192" s="2">
        <f ca="1">IFERROR(__xludf.DUMMYFUNCTION("""COMPUTED_VALUE"""),19129957)</f>
        <v>19129957</v>
      </c>
    </row>
    <row r="193" spans="1:6" ht="12.5" x14ac:dyDescent="0.25">
      <c r="A193" s="3">
        <f ca="1">IFERROR(__xludf.DUMMYFUNCTION("""COMPUTED_VALUE"""),45205.6666666666)</f>
        <v>45205.666666666599</v>
      </c>
      <c r="B193" s="2">
        <f ca="1">IFERROR(__xludf.DUMMYFUNCTION("""COMPUTED_VALUE"""),301.44)</f>
        <v>301.44</v>
      </c>
      <c r="C193" s="2">
        <f ca="1">IFERROR(__xludf.DUMMYFUNCTION("""COMPUTED_VALUE"""),316.31)</f>
        <v>316.31</v>
      </c>
      <c r="D193" s="2">
        <f ca="1">IFERROR(__xludf.DUMMYFUNCTION("""COMPUTED_VALUE"""),300.91)</f>
        <v>300.91000000000003</v>
      </c>
      <c r="E193" s="2">
        <f ca="1">IFERROR(__xludf.DUMMYFUNCTION("""COMPUTED_VALUE"""),315.43)</f>
        <v>315.43</v>
      </c>
      <c r="F193" s="2">
        <f ca="1">IFERROR(__xludf.DUMMYFUNCTION("""COMPUTED_VALUE"""),21803856)</f>
        <v>21803856</v>
      </c>
    </row>
    <row r="194" spans="1:6" ht="12.5" x14ac:dyDescent="0.25">
      <c r="A194" s="3">
        <f ca="1">IFERROR(__xludf.DUMMYFUNCTION("""COMPUTED_VALUE"""),45208.6666666666)</f>
        <v>45208.666666666599</v>
      </c>
      <c r="B194" s="2">
        <f ca="1">IFERROR(__xludf.DUMMYFUNCTION("""COMPUTED_VALUE"""),312.5)</f>
        <v>312.5</v>
      </c>
      <c r="C194" s="2">
        <f ca="1">IFERROR(__xludf.DUMMYFUNCTION("""COMPUTED_VALUE"""),320.33)</f>
        <v>320.33</v>
      </c>
      <c r="D194" s="2">
        <f ca="1">IFERROR(__xludf.DUMMYFUNCTION("""COMPUTED_VALUE"""),311.82)</f>
        <v>311.82</v>
      </c>
      <c r="E194" s="2">
        <f ca="1">IFERROR(__xludf.DUMMYFUNCTION("""COMPUTED_VALUE"""),318.36)</f>
        <v>318.36</v>
      </c>
      <c r="F194" s="2">
        <f ca="1">IFERROR(__xludf.DUMMYFUNCTION("""COMPUTED_VALUE"""),22503662)</f>
        <v>22503662</v>
      </c>
    </row>
    <row r="195" spans="1:6" ht="12.5" x14ac:dyDescent="0.25">
      <c r="A195" s="3">
        <f ca="1">IFERROR(__xludf.DUMMYFUNCTION("""COMPUTED_VALUE"""),45209.6666666666)</f>
        <v>45209.666666666599</v>
      </c>
      <c r="B195" s="2">
        <f ca="1">IFERROR(__xludf.DUMMYFUNCTION("""COMPUTED_VALUE"""),319.12)</f>
        <v>319.12</v>
      </c>
      <c r="C195" s="2">
        <f ca="1">IFERROR(__xludf.DUMMYFUNCTION("""COMPUTED_VALUE"""),324.66)</f>
        <v>324.66000000000003</v>
      </c>
      <c r="D195" s="2">
        <f ca="1">IFERROR(__xludf.DUMMYFUNCTION("""COMPUTED_VALUE"""),318.16)</f>
        <v>318.16000000000003</v>
      </c>
      <c r="E195" s="2">
        <f ca="1">IFERROR(__xludf.DUMMYFUNCTION("""COMPUTED_VALUE"""),321.84)</f>
        <v>321.83999999999997</v>
      </c>
      <c r="F195" s="2">
        <f ca="1">IFERROR(__xludf.DUMMYFUNCTION("""COMPUTED_VALUE"""),19037973)</f>
        <v>19037973</v>
      </c>
    </row>
    <row r="196" spans="1:6" ht="12.5" x14ac:dyDescent="0.25">
      <c r="A196" s="3">
        <f ca="1">IFERROR(__xludf.DUMMYFUNCTION("""COMPUTED_VALUE"""),45210.6666666666)</f>
        <v>45210.666666666599</v>
      </c>
      <c r="B196" s="2">
        <f ca="1">IFERROR(__xludf.DUMMYFUNCTION("""COMPUTED_VALUE"""),323.01)</f>
        <v>323.01</v>
      </c>
      <c r="C196" s="2">
        <f ca="1">IFERROR(__xludf.DUMMYFUNCTION("""COMPUTED_VALUE"""),328.84)</f>
        <v>328.84</v>
      </c>
      <c r="D196" s="2">
        <f ca="1">IFERROR(__xludf.DUMMYFUNCTION("""COMPUTED_VALUE"""),322.95)</f>
        <v>322.95</v>
      </c>
      <c r="E196" s="2">
        <f ca="1">IFERROR(__xludf.DUMMYFUNCTION("""COMPUTED_VALUE"""),327.82)</f>
        <v>327.82</v>
      </c>
      <c r="F196" s="2">
        <f ca="1">IFERROR(__xludf.DUMMYFUNCTION("""COMPUTED_VALUE"""),22036297)</f>
        <v>22036297</v>
      </c>
    </row>
    <row r="197" spans="1:6" ht="12.5" x14ac:dyDescent="0.25">
      <c r="A197" s="3">
        <f ca="1">IFERROR(__xludf.DUMMYFUNCTION("""COMPUTED_VALUE"""),45211.6666666666)</f>
        <v>45211.666666666599</v>
      </c>
      <c r="B197" s="2">
        <f ca="1">IFERROR(__xludf.DUMMYFUNCTION("""COMPUTED_VALUE"""),328)</f>
        <v>328</v>
      </c>
      <c r="C197" s="2">
        <f ca="1">IFERROR(__xludf.DUMMYFUNCTION("""COMPUTED_VALUE"""),330.54)</f>
        <v>330.54</v>
      </c>
      <c r="D197" s="2">
        <f ca="1">IFERROR(__xludf.DUMMYFUNCTION("""COMPUTED_VALUE"""),322.69)</f>
        <v>322.69</v>
      </c>
      <c r="E197" s="2">
        <f ca="1">IFERROR(__xludf.DUMMYFUNCTION("""COMPUTED_VALUE"""),324.16)</f>
        <v>324.16000000000003</v>
      </c>
      <c r="F197" s="2">
        <f ca="1">IFERROR(__xludf.DUMMYFUNCTION("""COMPUTED_VALUE"""),20530518)</f>
        <v>20530518</v>
      </c>
    </row>
    <row r="198" spans="1:6" ht="12.5" x14ac:dyDescent="0.25">
      <c r="A198" s="3">
        <f ca="1">IFERROR(__xludf.DUMMYFUNCTION("""COMPUTED_VALUE"""),45212.6666666666)</f>
        <v>45212.666666666599</v>
      </c>
      <c r="B198" s="2">
        <f ca="1">IFERROR(__xludf.DUMMYFUNCTION("""COMPUTED_VALUE"""),323.53)</f>
        <v>323.52999999999997</v>
      </c>
      <c r="C198" s="2">
        <f ca="1">IFERROR(__xludf.DUMMYFUNCTION("""COMPUTED_VALUE"""),325.05)</f>
        <v>325.05</v>
      </c>
      <c r="D198" s="2">
        <f ca="1">IFERROR(__xludf.DUMMYFUNCTION("""COMPUTED_VALUE"""),312.37)</f>
        <v>312.37</v>
      </c>
      <c r="E198" s="2">
        <f ca="1">IFERROR(__xludf.DUMMYFUNCTION("""COMPUTED_VALUE"""),314.69)</f>
        <v>314.69</v>
      </c>
      <c r="F198" s="2">
        <f ca="1">IFERROR(__xludf.DUMMYFUNCTION("""COMPUTED_VALUE"""),21360790)</f>
        <v>21360790</v>
      </c>
    </row>
    <row r="199" spans="1:6" ht="12.5" x14ac:dyDescent="0.25">
      <c r="A199" s="3">
        <f ca="1">IFERROR(__xludf.DUMMYFUNCTION("""COMPUTED_VALUE"""),45215.6666666666)</f>
        <v>45215.666666666599</v>
      </c>
      <c r="B199" s="2">
        <f ca="1">IFERROR(__xludf.DUMMYFUNCTION("""COMPUTED_VALUE"""),318.64)</f>
        <v>318.64</v>
      </c>
      <c r="C199" s="2">
        <f ca="1">IFERROR(__xludf.DUMMYFUNCTION("""COMPUTED_VALUE"""),321.82)</f>
        <v>321.82</v>
      </c>
      <c r="D199" s="2">
        <f ca="1">IFERROR(__xludf.DUMMYFUNCTION("""COMPUTED_VALUE"""),315.52)</f>
        <v>315.52</v>
      </c>
      <c r="E199" s="2">
        <f ca="1">IFERROR(__xludf.DUMMYFUNCTION("""COMPUTED_VALUE"""),321.15)</f>
        <v>321.14999999999998</v>
      </c>
      <c r="F199" s="2">
        <f ca="1">IFERROR(__xludf.DUMMYFUNCTION("""COMPUTED_VALUE"""),16536114)</f>
        <v>16536114</v>
      </c>
    </row>
    <row r="200" spans="1:6" ht="12.5" x14ac:dyDescent="0.25">
      <c r="A200" s="3">
        <f ca="1">IFERROR(__xludf.DUMMYFUNCTION("""COMPUTED_VALUE"""),45216.6666666666)</f>
        <v>45216.666666666599</v>
      </c>
      <c r="B200" s="2">
        <f ca="1">IFERROR(__xludf.DUMMYFUNCTION("""COMPUTED_VALUE"""),318.18)</f>
        <v>318.18</v>
      </c>
      <c r="C200" s="2">
        <f ca="1">IFERROR(__xludf.DUMMYFUNCTION("""COMPUTED_VALUE"""),324.4)</f>
        <v>324.39999999999998</v>
      </c>
      <c r="D200" s="2">
        <f ca="1">IFERROR(__xludf.DUMMYFUNCTION("""COMPUTED_VALUE"""),317.3)</f>
        <v>317.3</v>
      </c>
      <c r="E200" s="2">
        <f ca="1">IFERROR(__xludf.DUMMYFUNCTION("""COMPUTED_VALUE"""),324)</f>
        <v>324</v>
      </c>
      <c r="F200" s="2">
        <f ca="1">IFERROR(__xludf.DUMMYFUNCTION("""COMPUTED_VALUE"""),16387799)</f>
        <v>16387799</v>
      </c>
    </row>
    <row r="201" spans="1:6" ht="12.5" x14ac:dyDescent="0.25">
      <c r="A201" s="3">
        <f ca="1">IFERROR(__xludf.DUMMYFUNCTION("""COMPUTED_VALUE"""),45217.6666666666)</f>
        <v>45217.666666666599</v>
      </c>
      <c r="B201" s="2">
        <f ca="1">IFERROR(__xludf.DUMMYFUNCTION("""COMPUTED_VALUE"""),321.39)</f>
        <v>321.39</v>
      </c>
      <c r="C201" s="2">
        <f ca="1">IFERROR(__xludf.DUMMYFUNCTION("""COMPUTED_VALUE"""),325.94)</f>
        <v>325.94</v>
      </c>
      <c r="D201" s="2">
        <f ca="1">IFERROR(__xludf.DUMMYFUNCTION("""COMPUTED_VALUE"""),315.56)</f>
        <v>315.56</v>
      </c>
      <c r="E201" s="2">
        <f ca="1">IFERROR(__xludf.DUMMYFUNCTION("""COMPUTED_VALUE"""),316.97)</f>
        <v>316.97000000000003</v>
      </c>
      <c r="F201" s="2">
        <f ca="1">IFERROR(__xludf.DUMMYFUNCTION("""COMPUTED_VALUE"""),16851003)</f>
        <v>16851003</v>
      </c>
    </row>
    <row r="202" spans="1:6" ht="12.5" x14ac:dyDescent="0.25">
      <c r="A202" s="3">
        <f ca="1">IFERROR(__xludf.DUMMYFUNCTION("""COMPUTED_VALUE"""),45218.6666666666)</f>
        <v>45218.666666666599</v>
      </c>
      <c r="B202" s="2">
        <f ca="1">IFERROR(__xludf.DUMMYFUNCTION("""COMPUTED_VALUE"""),319.88)</f>
        <v>319.88</v>
      </c>
      <c r="C202" s="2">
        <f ca="1">IFERROR(__xludf.DUMMYFUNCTION("""COMPUTED_VALUE"""),321.89)</f>
        <v>321.89</v>
      </c>
      <c r="D202" s="2">
        <f ca="1">IFERROR(__xludf.DUMMYFUNCTION("""COMPUTED_VALUE"""),311.75)</f>
        <v>311.75</v>
      </c>
      <c r="E202" s="2">
        <f ca="1">IFERROR(__xludf.DUMMYFUNCTION("""COMPUTED_VALUE"""),312.81)</f>
        <v>312.81</v>
      </c>
      <c r="F202" s="2">
        <f ca="1">IFERROR(__xludf.DUMMYFUNCTION("""COMPUTED_VALUE"""),18709160)</f>
        <v>18709160</v>
      </c>
    </row>
    <row r="203" spans="1:6" ht="12.5" x14ac:dyDescent="0.25">
      <c r="A203" s="3">
        <f ca="1">IFERROR(__xludf.DUMMYFUNCTION("""COMPUTED_VALUE"""),45219.6666666666)</f>
        <v>45219.666666666599</v>
      </c>
      <c r="B203" s="2">
        <f ca="1">IFERROR(__xludf.DUMMYFUNCTION("""COMPUTED_VALUE"""),314.14)</f>
        <v>314.14</v>
      </c>
      <c r="C203" s="2">
        <f ca="1">IFERROR(__xludf.DUMMYFUNCTION("""COMPUTED_VALUE"""),315.3)</f>
        <v>315.3</v>
      </c>
      <c r="D203" s="2">
        <f ca="1">IFERROR(__xludf.DUMMYFUNCTION("""COMPUTED_VALUE"""),306.47)</f>
        <v>306.47000000000003</v>
      </c>
      <c r="E203" s="2">
        <f ca="1">IFERROR(__xludf.DUMMYFUNCTION("""COMPUTED_VALUE"""),308.65)</f>
        <v>308.64999999999998</v>
      </c>
      <c r="F203" s="2">
        <f ca="1">IFERROR(__xludf.DUMMYFUNCTION("""COMPUTED_VALUE"""),22312275)</f>
        <v>22312275</v>
      </c>
    </row>
    <row r="204" spans="1:6" ht="12.5" x14ac:dyDescent="0.25">
      <c r="A204" s="3">
        <f ca="1">IFERROR(__xludf.DUMMYFUNCTION("""COMPUTED_VALUE"""),45222.6666666666)</f>
        <v>45222.666666666599</v>
      </c>
      <c r="B204" s="2">
        <f ca="1">IFERROR(__xludf.DUMMYFUNCTION("""COMPUTED_VALUE"""),309.5)</f>
        <v>309.5</v>
      </c>
      <c r="C204" s="2">
        <f ca="1">IFERROR(__xludf.DUMMYFUNCTION("""COMPUTED_VALUE"""),317.36)</f>
        <v>317.36</v>
      </c>
      <c r="D204" s="2">
        <f ca="1">IFERROR(__xludf.DUMMYFUNCTION("""COMPUTED_VALUE"""),307.26)</f>
        <v>307.26</v>
      </c>
      <c r="E204" s="2">
        <f ca="1">IFERROR(__xludf.DUMMYFUNCTION("""COMPUTED_VALUE"""),314.01)</f>
        <v>314.01</v>
      </c>
      <c r="F204" s="2">
        <f ca="1">IFERROR(__xludf.DUMMYFUNCTION("""COMPUTED_VALUE"""),17796785)</f>
        <v>17796785</v>
      </c>
    </row>
    <row r="205" spans="1:6" ht="12.5" x14ac:dyDescent="0.25">
      <c r="A205" s="3">
        <f ca="1">IFERROR(__xludf.DUMMYFUNCTION("""COMPUTED_VALUE"""),45223.6666666666)</f>
        <v>45223.666666666599</v>
      </c>
      <c r="B205" s="2">
        <f ca="1">IFERROR(__xludf.DUMMYFUNCTION("""COMPUTED_VALUE"""),316.78)</f>
        <v>316.77999999999997</v>
      </c>
      <c r="C205" s="2">
        <f ca="1">IFERROR(__xludf.DUMMYFUNCTION("""COMPUTED_VALUE"""),318.35)</f>
        <v>318.35000000000002</v>
      </c>
      <c r="D205" s="2">
        <f ca="1">IFERROR(__xludf.DUMMYFUNCTION("""COMPUTED_VALUE"""),310.63)</f>
        <v>310.63</v>
      </c>
      <c r="E205" s="2">
        <f ca="1">IFERROR(__xludf.DUMMYFUNCTION("""COMPUTED_VALUE"""),312.55)</f>
        <v>312.55</v>
      </c>
      <c r="F205" s="2">
        <f ca="1">IFERROR(__xludf.DUMMYFUNCTION("""COMPUTED_VALUE"""),19525488)</f>
        <v>19525488</v>
      </c>
    </row>
    <row r="206" spans="1:6" ht="12.5" x14ac:dyDescent="0.25">
      <c r="A206" s="3">
        <f ca="1">IFERROR(__xludf.DUMMYFUNCTION("""COMPUTED_VALUE"""),45224.6666666666)</f>
        <v>45224.666666666599</v>
      </c>
      <c r="B206" s="2">
        <f ca="1">IFERROR(__xludf.DUMMYFUNCTION("""COMPUTED_VALUE"""),310)</f>
        <v>310</v>
      </c>
      <c r="C206" s="2">
        <f ca="1">IFERROR(__xludf.DUMMYFUNCTION("""COMPUTED_VALUE"""),310.88)</f>
        <v>310.88</v>
      </c>
      <c r="D206" s="2">
        <f ca="1">IFERROR(__xludf.DUMMYFUNCTION("""COMPUTED_VALUE"""),298.84)</f>
        <v>298.83999999999997</v>
      </c>
      <c r="E206" s="2">
        <f ca="1">IFERROR(__xludf.DUMMYFUNCTION("""COMPUTED_VALUE"""),299.53)</f>
        <v>299.52999999999997</v>
      </c>
      <c r="F206" s="2">
        <f ca="1">IFERROR(__xludf.DUMMYFUNCTION("""COMPUTED_VALUE"""),42192474)</f>
        <v>42192474</v>
      </c>
    </row>
    <row r="207" spans="1:6" ht="12.5" x14ac:dyDescent="0.25">
      <c r="A207" s="3">
        <f ca="1">IFERROR(__xludf.DUMMYFUNCTION("""COMPUTED_VALUE"""),45225.6666666666)</f>
        <v>45225.666666666599</v>
      </c>
      <c r="B207" s="2">
        <f ca="1">IFERROR(__xludf.DUMMYFUNCTION("""COMPUTED_VALUE"""),295)</f>
        <v>295</v>
      </c>
      <c r="C207" s="2">
        <f ca="1">IFERROR(__xludf.DUMMYFUNCTION("""COMPUTED_VALUE"""),295)</f>
        <v>295</v>
      </c>
      <c r="D207" s="2">
        <f ca="1">IFERROR(__xludf.DUMMYFUNCTION("""COMPUTED_VALUE"""),279.4)</f>
        <v>279.39999999999998</v>
      </c>
      <c r="E207" s="2">
        <f ca="1">IFERROR(__xludf.DUMMYFUNCTION("""COMPUTED_VALUE"""),288.35)</f>
        <v>288.35000000000002</v>
      </c>
      <c r="F207" s="2">
        <f ca="1">IFERROR(__xludf.DUMMYFUNCTION("""COMPUTED_VALUE"""),66684141)</f>
        <v>66684141</v>
      </c>
    </row>
    <row r="208" spans="1:6" ht="12.5" x14ac:dyDescent="0.25">
      <c r="A208" s="3">
        <f ca="1">IFERROR(__xludf.DUMMYFUNCTION("""COMPUTED_VALUE"""),45226.6666666666)</f>
        <v>45226.666666666599</v>
      </c>
      <c r="B208" s="2">
        <f ca="1">IFERROR(__xludf.DUMMYFUNCTION("""COMPUTED_VALUE"""),294.48)</f>
        <v>294.48</v>
      </c>
      <c r="C208" s="2">
        <f ca="1">IFERROR(__xludf.DUMMYFUNCTION("""COMPUTED_VALUE"""),299.31)</f>
        <v>299.31</v>
      </c>
      <c r="D208" s="2">
        <f ca="1">IFERROR(__xludf.DUMMYFUNCTION("""COMPUTED_VALUE"""),292.97)</f>
        <v>292.97000000000003</v>
      </c>
      <c r="E208" s="2">
        <f ca="1">IFERROR(__xludf.DUMMYFUNCTION("""COMPUTED_VALUE"""),296.73)</f>
        <v>296.73</v>
      </c>
      <c r="F208" s="2">
        <f ca="1">IFERROR(__xludf.DUMMYFUNCTION("""COMPUTED_VALUE"""),29596256)</f>
        <v>29596256</v>
      </c>
    </row>
    <row r="209" spans="1:6" ht="12.5" x14ac:dyDescent="0.25">
      <c r="A209" s="3">
        <f ca="1">IFERROR(__xludf.DUMMYFUNCTION("""COMPUTED_VALUE"""),45229.6666666666)</f>
        <v>45229.666666666599</v>
      </c>
      <c r="B209" s="2">
        <f ca="1">IFERROR(__xludf.DUMMYFUNCTION("""COMPUTED_VALUE"""),299.09)</f>
        <v>299.08999999999997</v>
      </c>
      <c r="C209" s="2">
        <f ca="1">IFERROR(__xludf.DUMMYFUNCTION("""COMPUTED_VALUE"""),309.4)</f>
        <v>309.39999999999998</v>
      </c>
      <c r="D209" s="2">
        <f ca="1">IFERROR(__xludf.DUMMYFUNCTION("""COMPUTED_VALUE"""),299.05)</f>
        <v>299.05</v>
      </c>
      <c r="E209" s="2">
        <f ca="1">IFERROR(__xludf.DUMMYFUNCTION("""COMPUTED_VALUE"""),302.66)</f>
        <v>302.66000000000003</v>
      </c>
      <c r="F209" s="2">
        <f ca="1">IFERROR(__xludf.DUMMYFUNCTION("""COMPUTED_VALUE"""),28435053)</f>
        <v>28435053</v>
      </c>
    </row>
    <row r="210" spans="1:6" ht="12.5" x14ac:dyDescent="0.25">
      <c r="A210" s="3">
        <f ca="1">IFERROR(__xludf.DUMMYFUNCTION("""COMPUTED_VALUE"""),45230.6666666666)</f>
        <v>45230.666666666599</v>
      </c>
      <c r="B210" s="2">
        <f ca="1">IFERROR(__xludf.DUMMYFUNCTION("""COMPUTED_VALUE"""),303.31)</f>
        <v>303.31</v>
      </c>
      <c r="C210" s="2">
        <f ca="1">IFERROR(__xludf.DUMMYFUNCTION("""COMPUTED_VALUE"""),303.68)</f>
        <v>303.68</v>
      </c>
      <c r="D210" s="2">
        <f ca="1">IFERROR(__xludf.DUMMYFUNCTION("""COMPUTED_VALUE"""),296.86)</f>
        <v>296.86</v>
      </c>
      <c r="E210" s="2">
        <f ca="1">IFERROR(__xludf.DUMMYFUNCTION("""COMPUTED_VALUE"""),301.27)</f>
        <v>301.27</v>
      </c>
      <c r="F210" s="2">
        <f ca="1">IFERROR(__xludf.DUMMYFUNCTION("""COMPUTED_VALUE"""),19434168)</f>
        <v>19434168</v>
      </c>
    </row>
    <row r="211" spans="1:6" ht="12.5" x14ac:dyDescent="0.25">
      <c r="A211" s="3">
        <f ca="1">IFERROR(__xludf.DUMMYFUNCTION("""COMPUTED_VALUE"""),45231.6666666666)</f>
        <v>45231.666666666599</v>
      </c>
      <c r="B211" s="2">
        <f ca="1">IFERROR(__xludf.DUMMYFUNCTION("""COMPUTED_VALUE"""),301.85)</f>
        <v>301.85000000000002</v>
      </c>
      <c r="C211" s="2">
        <f ca="1">IFERROR(__xludf.DUMMYFUNCTION("""COMPUTED_VALUE"""),312.74)</f>
        <v>312.74</v>
      </c>
      <c r="D211" s="2">
        <f ca="1">IFERROR(__xludf.DUMMYFUNCTION("""COMPUTED_VALUE"""),301.85)</f>
        <v>301.85000000000002</v>
      </c>
      <c r="E211" s="2">
        <f ca="1">IFERROR(__xludf.DUMMYFUNCTION("""COMPUTED_VALUE"""),311.85)</f>
        <v>311.85000000000002</v>
      </c>
      <c r="F211" s="2">
        <f ca="1">IFERROR(__xludf.DUMMYFUNCTION("""COMPUTED_VALUE"""),20434580)</f>
        <v>20434580</v>
      </c>
    </row>
    <row r="212" spans="1:6" ht="12.5" x14ac:dyDescent="0.25">
      <c r="A212" s="3">
        <f ca="1">IFERROR(__xludf.DUMMYFUNCTION("""COMPUTED_VALUE"""),45232.6666666666)</f>
        <v>45232.666666666599</v>
      </c>
      <c r="B212" s="2">
        <f ca="1">IFERROR(__xludf.DUMMYFUNCTION("""COMPUTED_VALUE"""),317.3)</f>
        <v>317.3</v>
      </c>
      <c r="C212" s="2">
        <f ca="1">IFERROR(__xludf.DUMMYFUNCTION("""COMPUTED_VALUE"""),318.82)</f>
        <v>318.82</v>
      </c>
      <c r="D212" s="2">
        <f ca="1">IFERROR(__xludf.DUMMYFUNCTION("""COMPUTED_VALUE"""),308.33)</f>
        <v>308.33</v>
      </c>
      <c r="E212" s="2">
        <f ca="1">IFERROR(__xludf.DUMMYFUNCTION("""COMPUTED_VALUE"""),310.87)</f>
        <v>310.87</v>
      </c>
      <c r="F212" s="2">
        <f ca="1">IFERROR(__xludf.DUMMYFUNCTION("""COMPUTED_VALUE"""),21631820)</f>
        <v>21631820</v>
      </c>
    </row>
    <row r="213" spans="1:6" ht="12.5" x14ac:dyDescent="0.25">
      <c r="A213" s="3">
        <f ca="1">IFERROR(__xludf.DUMMYFUNCTION("""COMPUTED_VALUE"""),45233.6666666666)</f>
        <v>45233.666666666599</v>
      </c>
      <c r="B213" s="2">
        <f ca="1">IFERROR(__xludf.DUMMYFUNCTION("""COMPUTED_VALUE"""),312.55)</f>
        <v>312.55</v>
      </c>
      <c r="C213" s="2">
        <f ca="1">IFERROR(__xludf.DUMMYFUNCTION("""COMPUTED_VALUE"""),315.55)</f>
        <v>315.55</v>
      </c>
      <c r="D213" s="2">
        <f ca="1">IFERROR(__xludf.DUMMYFUNCTION("""COMPUTED_VALUE"""),311.02)</f>
        <v>311.02</v>
      </c>
      <c r="E213" s="2">
        <f ca="1">IFERROR(__xludf.DUMMYFUNCTION("""COMPUTED_VALUE"""),314.6)</f>
        <v>314.60000000000002</v>
      </c>
      <c r="F213" s="2">
        <f ca="1">IFERROR(__xludf.DUMMYFUNCTION("""COMPUTED_VALUE"""),16764315)</f>
        <v>16764315</v>
      </c>
    </row>
    <row r="214" spans="1:6" ht="12.5" x14ac:dyDescent="0.25">
      <c r="A214" s="3">
        <f ca="1">IFERROR(__xludf.DUMMYFUNCTION("""COMPUTED_VALUE"""),45236.6666666666)</f>
        <v>45236.666666666599</v>
      </c>
      <c r="B214" s="2">
        <f ca="1">IFERROR(__xludf.DUMMYFUNCTION("""COMPUTED_VALUE"""),315.98)</f>
        <v>315.98</v>
      </c>
      <c r="C214" s="2">
        <f ca="1">IFERROR(__xludf.DUMMYFUNCTION("""COMPUTED_VALUE"""),318.33)</f>
        <v>318.33</v>
      </c>
      <c r="D214" s="2">
        <f ca="1">IFERROR(__xludf.DUMMYFUNCTION("""COMPUTED_VALUE"""),314.45)</f>
        <v>314.45</v>
      </c>
      <c r="E214" s="2">
        <f ca="1">IFERROR(__xludf.DUMMYFUNCTION("""COMPUTED_VALUE"""),315.8)</f>
        <v>315.8</v>
      </c>
      <c r="F214" s="2">
        <f ca="1">IFERROR(__xludf.DUMMYFUNCTION("""COMPUTED_VALUE"""),12887699)</f>
        <v>12887699</v>
      </c>
    </row>
    <row r="215" spans="1:6" ht="12.5" x14ac:dyDescent="0.25">
      <c r="A215" s="3">
        <f ca="1">IFERROR(__xludf.DUMMYFUNCTION("""COMPUTED_VALUE"""),45237.6666666666)</f>
        <v>45237.666666666599</v>
      </c>
      <c r="B215" s="2">
        <f ca="1">IFERROR(__xludf.DUMMYFUNCTION("""COMPUTED_VALUE"""),317.06)</f>
        <v>317.06</v>
      </c>
      <c r="C215" s="2">
        <f ca="1">IFERROR(__xludf.DUMMYFUNCTION("""COMPUTED_VALUE"""),321)</f>
        <v>321</v>
      </c>
      <c r="D215" s="2">
        <f ca="1">IFERROR(__xludf.DUMMYFUNCTION("""COMPUTED_VALUE"""),315.12)</f>
        <v>315.12</v>
      </c>
      <c r="E215" s="2">
        <f ca="1">IFERROR(__xludf.DUMMYFUNCTION("""COMPUTED_VALUE"""),318.82)</f>
        <v>318.82</v>
      </c>
      <c r="F215" s="2">
        <f ca="1">IFERROR(__xludf.DUMMYFUNCTION("""COMPUTED_VALUE"""),14055614)</f>
        <v>14055614</v>
      </c>
    </row>
    <row r="216" spans="1:6" ht="12.5" x14ac:dyDescent="0.25">
      <c r="A216" s="3">
        <f ca="1">IFERROR(__xludf.DUMMYFUNCTION("""COMPUTED_VALUE"""),45238.6666666666)</f>
        <v>45238.666666666599</v>
      </c>
      <c r="B216" s="2">
        <f ca="1">IFERROR(__xludf.DUMMYFUNCTION("""COMPUTED_VALUE"""),318.14)</f>
        <v>318.14</v>
      </c>
      <c r="C216" s="2">
        <f ca="1">IFERROR(__xludf.DUMMYFUNCTION("""COMPUTED_VALUE"""),321.33)</f>
        <v>321.33</v>
      </c>
      <c r="D216" s="2">
        <f ca="1">IFERROR(__xludf.DUMMYFUNCTION("""COMPUTED_VALUE"""),314.88)</f>
        <v>314.88</v>
      </c>
      <c r="E216" s="2">
        <f ca="1">IFERROR(__xludf.DUMMYFUNCTION("""COMPUTED_VALUE"""),319.78)</f>
        <v>319.77999999999997</v>
      </c>
      <c r="F216" s="2">
        <f ca="1">IFERROR(__xludf.DUMMYFUNCTION("""COMPUTED_VALUE"""),13609704)</f>
        <v>13609704</v>
      </c>
    </row>
    <row r="217" spans="1:6" ht="12.5" x14ac:dyDescent="0.25">
      <c r="A217" s="3">
        <f ca="1">IFERROR(__xludf.DUMMYFUNCTION("""COMPUTED_VALUE"""),45239.6666666666)</f>
        <v>45239.666666666599</v>
      </c>
      <c r="B217" s="2">
        <f ca="1">IFERROR(__xludf.DUMMYFUNCTION("""COMPUTED_VALUE"""),319.42)</f>
        <v>319.42</v>
      </c>
      <c r="C217" s="2">
        <f ca="1">IFERROR(__xludf.DUMMYFUNCTION("""COMPUTED_VALUE"""),324.18)</f>
        <v>324.18</v>
      </c>
      <c r="D217" s="2">
        <f ca="1">IFERROR(__xludf.DUMMYFUNCTION("""COMPUTED_VALUE"""),318.8)</f>
        <v>318.8</v>
      </c>
      <c r="E217" s="2">
        <f ca="1">IFERROR(__xludf.DUMMYFUNCTION("""COMPUTED_VALUE"""),320.55)</f>
        <v>320.55</v>
      </c>
      <c r="F217" s="2">
        <f ca="1">IFERROR(__xludf.DUMMYFUNCTION("""COMPUTED_VALUE"""),16103071)</f>
        <v>16103071</v>
      </c>
    </row>
    <row r="218" spans="1:6" ht="12.5" x14ac:dyDescent="0.25">
      <c r="A218" s="3">
        <f ca="1">IFERROR(__xludf.DUMMYFUNCTION("""COMPUTED_VALUE"""),45240.6666666666)</f>
        <v>45240.666666666599</v>
      </c>
      <c r="B218" s="2">
        <f ca="1">IFERROR(__xludf.DUMMYFUNCTION("""COMPUTED_VALUE"""),319.94)</f>
        <v>319.94</v>
      </c>
      <c r="C218" s="2">
        <f ca="1">IFERROR(__xludf.DUMMYFUNCTION("""COMPUTED_VALUE"""),329.1)</f>
        <v>329.1</v>
      </c>
      <c r="D218" s="2">
        <f ca="1">IFERROR(__xludf.DUMMYFUNCTION("""COMPUTED_VALUE"""),319.46)</f>
        <v>319.45999999999998</v>
      </c>
      <c r="E218" s="2">
        <f ca="1">IFERROR(__xludf.DUMMYFUNCTION("""COMPUTED_VALUE"""),328.77)</f>
        <v>328.77</v>
      </c>
      <c r="F218" s="2">
        <f ca="1">IFERROR(__xludf.DUMMYFUNCTION("""COMPUTED_VALUE"""),19116921)</f>
        <v>19116921</v>
      </c>
    </row>
    <row r="219" spans="1:6" ht="12.5" x14ac:dyDescent="0.25">
      <c r="A219" s="3">
        <f ca="1">IFERROR(__xludf.DUMMYFUNCTION("""COMPUTED_VALUE"""),45243.6666666666)</f>
        <v>45243.666666666599</v>
      </c>
      <c r="B219" s="2">
        <f ca="1">IFERROR(__xludf.DUMMYFUNCTION("""COMPUTED_VALUE"""),326.2)</f>
        <v>326.2</v>
      </c>
      <c r="C219" s="2">
        <f ca="1">IFERROR(__xludf.DUMMYFUNCTION("""COMPUTED_VALUE"""),332.33)</f>
        <v>332.33</v>
      </c>
      <c r="D219" s="2">
        <f ca="1">IFERROR(__xludf.DUMMYFUNCTION("""COMPUTED_VALUE"""),325.7)</f>
        <v>325.7</v>
      </c>
      <c r="E219" s="2">
        <f ca="1">IFERROR(__xludf.DUMMYFUNCTION("""COMPUTED_VALUE"""),329.19)</f>
        <v>329.19</v>
      </c>
      <c r="F219" s="2">
        <f ca="1">IFERROR(__xludf.DUMMYFUNCTION("""COMPUTED_VALUE"""),16908948)</f>
        <v>16908948</v>
      </c>
    </row>
    <row r="220" spans="1:6" ht="12.5" x14ac:dyDescent="0.25">
      <c r="A220" s="3">
        <f ca="1">IFERROR(__xludf.DUMMYFUNCTION("""COMPUTED_VALUE"""),45244.6666666666)</f>
        <v>45244.666666666599</v>
      </c>
      <c r="B220" s="2">
        <f ca="1">IFERROR(__xludf.DUMMYFUNCTION("""COMPUTED_VALUE"""),334.54)</f>
        <v>334.54</v>
      </c>
      <c r="C220" s="2">
        <f ca="1">IFERROR(__xludf.DUMMYFUNCTION("""COMPUTED_VALUE"""),338.1)</f>
        <v>338.1</v>
      </c>
      <c r="D220" s="2">
        <f ca="1">IFERROR(__xludf.DUMMYFUNCTION("""COMPUTED_VALUE"""),333.33)</f>
        <v>333.33</v>
      </c>
      <c r="E220" s="2">
        <f ca="1">IFERROR(__xludf.DUMMYFUNCTION("""COMPUTED_VALUE"""),336.31)</f>
        <v>336.31</v>
      </c>
      <c r="F220" s="2">
        <f ca="1">IFERROR(__xludf.DUMMYFUNCTION("""COMPUTED_VALUE"""),17179403)</f>
        <v>17179403</v>
      </c>
    </row>
    <row r="221" spans="1:6" ht="12.5" x14ac:dyDescent="0.25">
      <c r="A221" s="3">
        <f ca="1">IFERROR(__xludf.DUMMYFUNCTION("""COMPUTED_VALUE"""),45245.6666666666)</f>
        <v>45245.666666666599</v>
      </c>
      <c r="B221" s="2">
        <f ca="1">IFERROR(__xludf.DUMMYFUNCTION("""COMPUTED_VALUE"""),337.93)</f>
        <v>337.93</v>
      </c>
      <c r="C221" s="2">
        <f ca="1">IFERROR(__xludf.DUMMYFUNCTION("""COMPUTED_VALUE"""),338.4)</f>
        <v>338.4</v>
      </c>
      <c r="D221" s="2">
        <f ca="1">IFERROR(__xludf.DUMMYFUNCTION("""COMPUTED_VALUE"""),330.02)</f>
        <v>330.02</v>
      </c>
      <c r="E221" s="2">
        <f ca="1">IFERROR(__xludf.DUMMYFUNCTION("""COMPUTED_VALUE"""),332.71)</f>
        <v>332.71</v>
      </c>
      <c r="F221" s="2">
        <f ca="1">IFERROR(__xludf.DUMMYFUNCTION("""COMPUTED_VALUE"""),14531180)</f>
        <v>14531180</v>
      </c>
    </row>
    <row r="222" spans="1:6" ht="12.5" x14ac:dyDescent="0.25">
      <c r="A222" s="3">
        <f ca="1">IFERROR(__xludf.DUMMYFUNCTION("""COMPUTED_VALUE"""),45246.6666666666)</f>
        <v>45246.666666666599</v>
      </c>
      <c r="B222" s="2">
        <f ca="1">IFERROR(__xludf.DUMMYFUNCTION("""COMPUTED_VALUE"""),329.37)</f>
        <v>329.37</v>
      </c>
      <c r="C222" s="2">
        <f ca="1">IFERROR(__xludf.DUMMYFUNCTION("""COMPUTED_VALUE"""),334.58)</f>
        <v>334.58</v>
      </c>
      <c r="D222" s="2">
        <f ca="1">IFERROR(__xludf.DUMMYFUNCTION("""COMPUTED_VALUE"""),326.38)</f>
        <v>326.38</v>
      </c>
      <c r="E222" s="2">
        <f ca="1">IFERROR(__xludf.DUMMYFUNCTION("""COMPUTED_VALUE"""),334.19)</f>
        <v>334.19</v>
      </c>
      <c r="F222" s="2">
        <f ca="1">IFERROR(__xludf.DUMMYFUNCTION("""COMPUTED_VALUE"""),18932572)</f>
        <v>18932572</v>
      </c>
    </row>
    <row r="223" spans="1:6" ht="12.5" x14ac:dyDescent="0.25">
      <c r="A223" s="3">
        <f ca="1">IFERROR(__xludf.DUMMYFUNCTION("""COMPUTED_VALUE"""),45247.6666666666)</f>
        <v>45247.666666666599</v>
      </c>
      <c r="B223" s="2">
        <f ca="1">IFERROR(__xludf.DUMMYFUNCTION("""COMPUTED_VALUE"""),330.26)</f>
        <v>330.26</v>
      </c>
      <c r="C223" s="2">
        <f ca="1">IFERROR(__xludf.DUMMYFUNCTION("""COMPUTED_VALUE"""),335.5)</f>
        <v>335.5</v>
      </c>
      <c r="D223" s="2">
        <f ca="1">IFERROR(__xludf.DUMMYFUNCTION("""COMPUTED_VALUE"""),329.35)</f>
        <v>329.35</v>
      </c>
      <c r="E223" s="2">
        <f ca="1">IFERROR(__xludf.DUMMYFUNCTION("""COMPUTED_VALUE"""),335.04)</f>
        <v>335.04</v>
      </c>
      <c r="F223" s="2">
        <f ca="1">IFERROR(__xludf.DUMMYFUNCTION("""COMPUTED_VALUE"""),14519213)</f>
        <v>14519213</v>
      </c>
    </row>
    <row r="224" spans="1:6" ht="12.5" x14ac:dyDescent="0.25">
      <c r="A224" s="3">
        <f ca="1">IFERROR(__xludf.DUMMYFUNCTION("""COMPUTED_VALUE"""),45250.6666666666)</f>
        <v>45250.666666666599</v>
      </c>
      <c r="B224" s="2">
        <f ca="1">IFERROR(__xludf.DUMMYFUNCTION("""COMPUTED_VALUE"""),334.89)</f>
        <v>334.89</v>
      </c>
      <c r="C224" s="2">
        <f ca="1">IFERROR(__xludf.DUMMYFUNCTION("""COMPUTED_VALUE"""),341.87)</f>
        <v>341.87</v>
      </c>
      <c r="D224" s="2">
        <f ca="1">IFERROR(__xludf.DUMMYFUNCTION("""COMPUTED_VALUE"""),334.19)</f>
        <v>334.19</v>
      </c>
      <c r="E224" s="2">
        <f ca="1">IFERROR(__xludf.DUMMYFUNCTION("""COMPUTED_VALUE"""),339.97)</f>
        <v>339.97</v>
      </c>
      <c r="F224" s="2">
        <f ca="1">IFERROR(__xludf.DUMMYFUNCTION("""COMPUTED_VALUE"""),16976129)</f>
        <v>16976129</v>
      </c>
    </row>
    <row r="225" spans="1:6" ht="12.5" x14ac:dyDescent="0.25">
      <c r="A225" s="3">
        <f ca="1">IFERROR(__xludf.DUMMYFUNCTION("""COMPUTED_VALUE"""),45251.6666666666)</f>
        <v>45251.666666666599</v>
      </c>
      <c r="B225" s="2">
        <f ca="1">IFERROR(__xludf.DUMMYFUNCTION("""COMPUTED_VALUE"""),338.33)</f>
        <v>338.33</v>
      </c>
      <c r="C225" s="2">
        <f ca="1">IFERROR(__xludf.DUMMYFUNCTION("""COMPUTED_VALUE"""),339.9)</f>
        <v>339.9</v>
      </c>
      <c r="D225" s="2">
        <f ca="1">IFERROR(__xludf.DUMMYFUNCTION("""COMPUTED_VALUE"""),335.9)</f>
        <v>335.9</v>
      </c>
      <c r="E225" s="2">
        <f ca="1">IFERROR(__xludf.DUMMYFUNCTION("""COMPUTED_VALUE"""),336.98)</f>
        <v>336.98</v>
      </c>
      <c r="F225" s="2">
        <f ca="1">IFERROR(__xludf.DUMMYFUNCTION("""COMPUTED_VALUE"""),12027863)</f>
        <v>12027863</v>
      </c>
    </row>
    <row r="226" spans="1:6" ht="12.5" x14ac:dyDescent="0.25">
      <c r="A226" s="3">
        <f ca="1">IFERROR(__xludf.DUMMYFUNCTION("""COMPUTED_VALUE"""),45252.6666666666)</f>
        <v>45252.666666666599</v>
      </c>
      <c r="B226" s="2">
        <f ca="1">IFERROR(__xludf.DUMMYFUNCTION("""COMPUTED_VALUE"""),339.21)</f>
        <v>339.21</v>
      </c>
      <c r="C226" s="2">
        <f ca="1">IFERROR(__xludf.DUMMYFUNCTION("""COMPUTED_VALUE"""),342.92)</f>
        <v>342.92</v>
      </c>
      <c r="D226" s="2">
        <f ca="1">IFERROR(__xludf.DUMMYFUNCTION("""COMPUTED_VALUE"""),338.58)</f>
        <v>338.58</v>
      </c>
      <c r="E226" s="2">
        <f ca="1">IFERROR(__xludf.DUMMYFUNCTION("""COMPUTED_VALUE"""),341.49)</f>
        <v>341.49</v>
      </c>
      <c r="F226" s="2">
        <f ca="1">IFERROR(__xludf.DUMMYFUNCTION("""COMPUTED_VALUE"""),10715177)</f>
        <v>10715177</v>
      </c>
    </row>
    <row r="227" spans="1:6" ht="12.5" x14ac:dyDescent="0.25">
      <c r="A227" s="3">
        <f ca="1">IFERROR(__xludf.DUMMYFUNCTION("""COMPUTED_VALUE"""),45254.5451388888)</f>
        <v>45254.545138888803</v>
      </c>
      <c r="B227" s="2">
        <f ca="1">IFERROR(__xludf.DUMMYFUNCTION("""COMPUTED_VALUE"""),340.13)</f>
        <v>340.13</v>
      </c>
      <c r="C227" s="2">
        <f ca="1">IFERROR(__xludf.DUMMYFUNCTION("""COMPUTED_VALUE"""),341.86)</f>
        <v>341.86</v>
      </c>
      <c r="D227" s="2">
        <f ca="1">IFERROR(__xludf.DUMMYFUNCTION("""COMPUTED_VALUE"""),336.77)</f>
        <v>336.77</v>
      </c>
      <c r="E227" s="2">
        <f ca="1">IFERROR(__xludf.DUMMYFUNCTION("""COMPUTED_VALUE"""),338.23)</f>
        <v>338.23</v>
      </c>
      <c r="F227" s="2">
        <f ca="1">IFERROR(__xludf.DUMMYFUNCTION("""COMPUTED_VALUE"""),5467488)</f>
        <v>5467488</v>
      </c>
    </row>
    <row r="228" spans="1:6" ht="12.5" x14ac:dyDescent="0.25">
      <c r="A228" s="3">
        <f ca="1">IFERROR(__xludf.DUMMYFUNCTION("""COMPUTED_VALUE"""),45257.6666666666)</f>
        <v>45257.666666666599</v>
      </c>
      <c r="B228" s="2">
        <f ca="1">IFERROR(__xludf.DUMMYFUNCTION("""COMPUTED_VALUE"""),336.18)</f>
        <v>336.18</v>
      </c>
      <c r="C228" s="2">
        <f ca="1">IFERROR(__xludf.DUMMYFUNCTION("""COMPUTED_VALUE"""),339.9)</f>
        <v>339.9</v>
      </c>
      <c r="D228" s="2">
        <f ca="1">IFERROR(__xludf.DUMMYFUNCTION("""COMPUTED_VALUE"""),334.2)</f>
        <v>334.2</v>
      </c>
      <c r="E228" s="2">
        <f ca="1">IFERROR(__xludf.DUMMYFUNCTION("""COMPUTED_VALUE"""),334.7)</f>
        <v>334.7</v>
      </c>
      <c r="F228" s="2">
        <f ca="1">IFERROR(__xludf.DUMMYFUNCTION("""COMPUTED_VALUE"""),15684454)</f>
        <v>15684454</v>
      </c>
    </row>
    <row r="229" spans="1:6" ht="12.5" x14ac:dyDescent="0.25">
      <c r="A229" s="3">
        <f ca="1">IFERROR(__xludf.DUMMYFUNCTION("""COMPUTED_VALUE"""),45258.6666666666)</f>
        <v>45258.666666666599</v>
      </c>
      <c r="B229" s="2">
        <f ca="1">IFERROR(__xludf.DUMMYFUNCTION("""COMPUTED_VALUE"""),333.4)</f>
        <v>333.4</v>
      </c>
      <c r="C229" s="2">
        <f ca="1">IFERROR(__xludf.DUMMYFUNCTION("""COMPUTED_VALUE"""),339.38)</f>
        <v>339.38</v>
      </c>
      <c r="D229" s="2">
        <f ca="1">IFERROR(__xludf.DUMMYFUNCTION("""COMPUTED_VALUE"""),333.4)</f>
        <v>333.4</v>
      </c>
      <c r="E229" s="2">
        <f ca="1">IFERROR(__xludf.DUMMYFUNCTION("""COMPUTED_VALUE"""),338.99)</f>
        <v>338.99</v>
      </c>
      <c r="F229" s="2">
        <f ca="1">IFERROR(__xludf.DUMMYFUNCTION("""COMPUTED_VALUE"""),12637245)</f>
        <v>12637245</v>
      </c>
    </row>
    <row r="230" spans="1:6" ht="12.5" x14ac:dyDescent="0.25">
      <c r="A230" s="3">
        <f ca="1">IFERROR(__xludf.DUMMYFUNCTION("""COMPUTED_VALUE"""),45259.6666666666)</f>
        <v>45259.666666666599</v>
      </c>
      <c r="B230" s="2">
        <f ca="1">IFERROR(__xludf.DUMMYFUNCTION("""COMPUTED_VALUE"""),339.69)</f>
        <v>339.69</v>
      </c>
      <c r="C230" s="2">
        <f ca="1">IFERROR(__xludf.DUMMYFUNCTION("""COMPUTED_VALUE"""),339.9)</f>
        <v>339.9</v>
      </c>
      <c r="D230" s="2">
        <f ca="1">IFERROR(__xludf.DUMMYFUNCTION("""COMPUTED_VALUE"""),330.78)</f>
        <v>330.78</v>
      </c>
      <c r="E230" s="2">
        <f ca="1">IFERROR(__xludf.DUMMYFUNCTION("""COMPUTED_VALUE"""),332.2)</f>
        <v>332.2</v>
      </c>
      <c r="F230" s="2">
        <f ca="1">IFERROR(__xludf.DUMMYFUNCTION("""COMPUTED_VALUE"""),16024497)</f>
        <v>16024497</v>
      </c>
    </row>
    <row r="231" spans="1:6" ht="12.5" x14ac:dyDescent="0.25">
      <c r="A231" s="3">
        <f ca="1">IFERROR(__xludf.DUMMYFUNCTION("""COMPUTED_VALUE"""),45260.6666666666)</f>
        <v>45260.666666666599</v>
      </c>
      <c r="B231" s="2">
        <f ca="1">IFERROR(__xludf.DUMMYFUNCTION("""COMPUTED_VALUE"""),331.89)</f>
        <v>331.89</v>
      </c>
      <c r="C231" s="2">
        <f ca="1">IFERROR(__xludf.DUMMYFUNCTION("""COMPUTED_VALUE"""),333.5)</f>
        <v>333.5</v>
      </c>
      <c r="D231" s="2">
        <f ca="1">IFERROR(__xludf.DUMMYFUNCTION("""COMPUTED_VALUE"""),322.4)</f>
        <v>322.39999999999998</v>
      </c>
      <c r="E231" s="2">
        <f ca="1">IFERROR(__xludf.DUMMYFUNCTION("""COMPUTED_VALUE"""),327.15)</f>
        <v>327.14999999999998</v>
      </c>
      <c r="F231" s="2">
        <f ca="1">IFERROR(__xludf.DUMMYFUNCTION("""COMPUTED_VALUE"""),23146387)</f>
        <v>23146387</v>
      </c>
    </row>
    <row r="232" spans="1:6" ht="12.5" x14ac:dyDescent="0.25">
      <c r="A232" s="3">
        <f ca="1">IFERROR(__xludf.DUMMYFUNCTION("""COMPUTED_VALUE"""),45261.6666666666)</f>
        <v>45261.666666666599</v>
      </c>
      <c r="B232" s="2">
        <f ca="1">IFERROR(__xludf.DUMMYFUNCTION("""COMPUTED_VALUE"""),325.48)</f>
        <v>325.48</v>
      </c>
      <c r="C232" s="2">
        <f ca="1">IFERROR(__xludf.DUMMYFUNCTION("""COMPUTED_VALUE"""),326.86)</f>
        <v>326.86</v>
      </c>
      <c r="D232" s="2">
        <f ca="1">IFERROR(__xludf.DUMMYFUNCTION("""COMPUTED_VALUE"""),320.76)</f>
        <v>320.76</v>
      </c>
      <c r="E232" s="2">
        <f ca="1">IFERROR(__xludf.DUMMYFUNCTION("""COMPUTED_VALUE"""),324.82)</f>
        <v>324.82</v>
      </c>
      <c r="F232" s="2">
        <f ca="1">IFERROR(__xludf.DUMMYFUNCTION("""COMPUTED_VALUE"""),15276375)</f>
        <v>15276375</v>
      </c>
    </row>
    <row r="233" spans="1:6" ht="12.5" x14ac:dyDescent="0.25">
      <c r="A233" s="3">
        <f ca="1">IFERROR(__xludf.DUMMYFUNCTION("""COMPUTED_VALUE"""),45264.6666666666)</f>
        <v>45264.666666666599</v>
      </c>
      <c r="B233" s="2">
        <f ca="1">IFERROR(__xludf.DUMMYFUNCTION("""COMPUTED_VALUE"""),317.29)</f>
        <v>317.29000000000002</v>
      </c>
      <c r="C233" s="2">
        <f ca="1">IFERROR(__xludf.DUMMYFUNCTION("""COMPUTED_VALUE"""),320.86)</f>
        <v>320.86</v>
      </c>
      <c r="D233" s="2">
        <f ca="1">IFERROR(__xludf.DUMMYFUNCTION("""COMPUTED_VALUE"""),313.66)</f>
        <v>313.66000000000003</v>
      </c>
      <c r="E233" s="2">
        <f ca="1">IFERROR(__xludf.DUMMYFUNCTION("""COMPUTED_VALUE"""),320.02)</f>
        <v>320.02</v>
      </c>
      <c r="F233" s="2">
        <f ca="1">IFERROR(__xludf.DUMMYFUNCTION("""COMPUTED_VALUE"""),19037080)</f>
        <v>19037080</v>
      </c>
    </row>
    <row r="234" spans="1:6" ht="12.5" x14ac:dyDescent="0.25">
      <c r="A234" s="3">
        <f ca="1">IFERROR(__xludf.DUMMYFUNCTION("""COMPUTED_VALUE"""),45265.6666666666)</f>
        <v>45265.666666666599</v>
      </c>
      <c r="B234" s="2">
        <f ca="1">IFERROR(__xludf.DUMMYFUNCTION("""COMPUTED_VALUE"""),318.98)</f>
        <v>318.98</v>
      </c>
      <c r="C234" s="2">
        <f ca="1">IFERROR(__xludf.DUMMYFUNCTION("""COMPUTED_VALUE"""),321.88)</f>
        <v>321.88</v>
      </c>
      <c r="D234" s="2">
        <f ca="1">IFERROR(__xludf.DUMMYFUNCTION("""COMPUTED_VALUE"""),315.39)</f>
        <v>315.39</v>
      </c>
      <c r="E234" s="2">
        <f ca="1">IFERROR(__xludf.DUMMYFUNCTION("""COMPUTED_VALUE"""),318.29)</f>
        <v>318.29000000000002</v>
      </c>
      <c r="F234" s="2">
        <f ca="1">IFERROR(__xludf.DUMMYFUNCTION("""COMPUTED_VALUE"""),16952128)</f>
        <v>16952128</v>
      </c>
    </row>
    <row r="235" spans="1:6" ht="12.5" x14ac:dyDescent="0.25">
      <c r="A235" s="3">
        <f ca="1">IFERROR(__xludf.DUMMYFUNCTION("""COMPUTED_VALUE"""),45266.6666666666)</f>
        <v>45266.666666666599</v>
      </c>
      <c r="B235" s="2">
        <f ca="1">IFERROR(__xludf.DUMMYFUNCTION("""COMPUTED_VALUE"""),321.93)</f>
        <v>321.93</v>
      </c>
      <c r="C235" s="2">
        <f ca="1">IFERROR(__xludf.DUMMYFUNCTION("""COMPUTED_VALUE"""),322.25)</f>
        <v>322.25</v>
      </c>
      <c r="D235" s="2">
        <f ca="1">IFERROR(__xludf.DUMMYFUNCTION("""COMPUTED_VALUE"""),317.04)</f>
        <v>317.04000000000002</v>
      </c>
      <c r="E235" s="2">
        <f ca="1">IFERROR(__xludf.DUMMYFUNCTION("""COMPUTED_VALUE"""),317.45)</f>
        <v>317.45</v>
      </c>
      <c r="F235" s="2">
        <f ca="1">IFERROR(__xludf.DUMMYFUNCTION("""COMPUTED_VALUE"""),11294337)</f>
        <v>11294337</v>
      </c>
    </row>
    <row r="236" spans="1:6" ht="12.5" x14ac:dyDescent="0.25">
      <c r="A236" s="3">
        <f ca="1">IFERROR(__xludf.DUMMYFUNCTION("""COMPUTED_VALUE"""),45267.6666666666)</f>
        <v>45267.666666666599</v>
      </c>
      <c r="B236" s="2">
        <f ca="1">IFERROR(__xludf.DUMMYFUNCTION("""COMPUTED_VALUE"""),317.77)</f>
        <v>317.77</v>
      </c>
      <c r="C236" s="2">
        <f ca="1">IFERROR(__xludf.DUMMYFUNCTION("""COMPUTED_VALUE"""),328.24)</f>
        <v>328.24</v>
      </c>
      <c r="D236" s="2">
        <f ca="1">IFERROR(__xludf.DUMMYFUNCTION("""COMPUTED_VALUE"""),317.77)</f>
        <v>317.77</v>
      </c>
      <c r="E236" s="2">
        <f ca="1">IFERROR(__xludf.DUMMYFUNCTION("""COMPUTED_VALUE"""),326.59)</f>
        <v>326.58999999999997</v>
      </c>
      <c r="F236" s="2">
        <f ca="1">IFERROR(__xludf.DUMMYFUNCTION("""COMPUTED_VALUE"""),15905079)</f>
        <v>15905079</v>
      </c>
    </row>
    <row r="237" spans="1:6" ht="12.5" x14ac:dyDescent="0.25">
      <c r="A237" s="3">
        <f ca="1">IFERROR(__xludf.DUMMYFUNCTION("""COMPUTED_VALUE"""),45268.6666666666)</f>
        <v>45268.666666666599</v>
      </c>
      <c r="B237" s="2">
        <f ca="1">IFERROR(__xludf.DUMMYFUNCTION("""COMPUTED_VALUE"""),323.09)</f>
        <v>323.08999999999997</v>
      </c>
      <c r="C237" s="2">
        <f ca="1">IFERROR(__xludf.DUMMYFUNCTION("""COMPUTED_VALUE"""),333.17)</f>
        <v>333.17</v>
      </c>
      <c r="D237" s="2">
        <f ca="1">IFERROR(__xludf.DUMMYFUNCTION("""COMPUTED_VALUE"""),323)</f>
        <v>323</v>
      </c>
      <c r="E237" s="2">
        <f ca="1">IFERROR(__xludf.DUMMYFUNCTION("""COMPUTED_VALUE"""),332.75)</f>
        <v>332.75</v>
      </c>
      <c r="F237" s="2">
        <f ca="1">IFERROR(__xludf.DUMMYFUNCTION("""COMPUTED_VALUE"""),14087351)</f>
        <v>14087351</v>
      </c>
    </row>
    <row r="238" spans="1:6" ht="12.5" x14ac:dyDescent="0.25">
      <c r="A238" s="3">
        <f ca="1">IFERROR(__xludf.DUMMYFUNCTION("""COMPUTED_VALUE"""),45271.6666666666)</f>
        <v>45271.666666666599</v>
      </c>
      <c r="B238" s="2">
        <f ca="1">IFERROR(__xludf.DUMMYFUNCTION("""COMPUTED_VALUE"""),329.4)</f>
        <v>329.4</v>
      </c>
      <c r="C238" s="2">
        <f ca="1">IFERROR(__xludf.DUMMYFUNCTION("""COMPUTED_VALUE"""),329.89)</f>
        <v>329.89</v>
      </c>
      <c r="D238" s="2">
        <f ca="1">IFERROR(__xludf.DUMMYFUNCTION("""COMPUTED_VALUE"""),320)</f>
        <v>320</v>
      </c>
      <c r="E238" s="2">
        <f ca="1">IFERROR(__xludf.DUMMYFUNCTION("""COMPUTED_VALUE"""),325.28)</f>
        <v>325.27999999999997</v>
      </c>
      <c r="F238" s="2">
        <f ca="1">IFERROR(__xludf.DUMMYFUNCTION("""COMPUTED_VALUE"""),25802462)</f>
        <v>25802462</v>
      </c>
    </row>
    <row r="239" spans="1:6" ht="12.5" x14ac:dyDescent="0.25">
      <c r="A239" s="3">
        <f ca="1">IFERROR(__xludf.DUMMYFUNCTION("""COMPUTED_VALUE"""),45272.6666666666)</f>
        <v>45272.666666666599</v>
      </c>
      <c r="B239" s="2">
        <f ca="1">IFERROR(__xludf.DUMMYFUNCTION("""COMPUTED_VALUE"""),324.6)</f>
        <v>324.60000000000002</v>
      </c>
      <c r="C239" s="2">
        <f ca="1">IFERROR(__xludf.DUMMYFUNCTION("""COMPUTED_VALUE"""),334.47)</f>
        <v>334.47</v>
      </c>
      <c r="D239" s="2">
        <f ca="1">IFERROR(__xludf.DUMMYFUNCTION("""COMPUTED_VALUE"""),324.56)</f>
        <v>324.56</v>
      </c>
      <c r="E239" s="2">
        <f ca="1">IFERROR(__xludf.DUMMYFUNCTION("""COMPUTED_VALUE"""),334.22)</f>
        <v>334.22</v>
      </c>
      <c r="F239" s="2">
        <f ca="1">IFERROR(__xludf.DUMMYFUNCTION("""COMPUTED_VALUE"""),18485461)</f>
        <v>18485461</v>
      </c>
    </row>
    <row r="240" spans="1:6" ht="12.5" x14ac:dyDescent="0.25">
      <c r="A240" s="3">
        <f ca="1">IFERROR(__xludf.DUMMYFUNCTION("""COMPUTED_VALUE"""),45273.6666666666)</f>
        <v>45273.666666666599</v>
      </c>
      <c r="B240" s="2">
        <f ca="1">IFERROR(__xludf.DUMMYFUNCTION("""COMPUTED_VALUE"""),333.93)</f>
        <v>333.93</v>
      </c>
      <c r="C240" s="2">
        <f ca="1">IFERROR(__xludf.DUMMYFUNCTION("""COMPUTED_VALUE"""),338.37)</f>
        <v>338.37</v>
      </c>
      <c r="D240" s="2">
        <f ca="1">IFERROR(__xludf.DUMMYFUNCTION("""COMPUTED_VALUE"""),332.64)</f>
        <v>332.64</v>
      </c>
      <c r="E240" s="2">
        <f ca="1">IFERROR(__xludf.DUMMYFUNCTION("""COMPUTED_VALUE"""),334.74)</f>
        <v>334.74</v>
      </c>
      <c r="F240" s="2">
        <f ca="1">IFERROR(__xludf.DUMMYFUNCTION("""COMPUTED_VALUE"""),16353321)</f>
        <v>16353321</v>
      </c>
    </row>
    <row r="241" spans="1:6" ht="12.5" x14ac:dyDescent="0.25">
      <c r="A241" s="3">
        <f ca="1">IFERROR(__xludf.DUMMYFUNCTION("""COMPUTED_VALUE"""),45274.6666666666)</f>
        <v>45274.666666666599</v>
      </c>
      <c r="B241" s="2">
        <f ca="1">IFERROR(__xludf.DUMMYFUNCTION("""COMPUTED_VALUE"""),333.85)</f>
        <v>333.85</v>
      </c>
      <c r="C241" s="2">
        <f ca="1">IFERROR(__xludf.DUMMYFUNCTION("""COMPUTED_VALUE"""),334.7)</f>
        <v>334.7</v>
      </c>
      <c r="D241" s="2">
        <f ca="1">IFERROR(__xludf.DUMMYFUNCTION("""COMPUTED_VALUE"""),328.64)</f>
        <v>328.64</v>
      </c>
      <c r="E241" s="2">
        <f ca="1">IFERROR(__xludf.DUMMYFUNCTION("""COMPUTED_VALUE"""),333.17)</f>
        <v>333.17</v>
      </c>
      <c r="F241" s="2">
        <f ca="1">IFERROR(__xludf.DUMMYFUNCTION("""COMPUTED_VALUE"""),19607335)</f>
        <v>19607335</v>
      </c>
    </row>
    <row r="242" spans="1:6" ht="12.5" x14ac:dyDescent="0.25">
      <c r="A242" s="3">
        <f ca="1">IFERROR(__xludf.DUMMYFUNCTION("""COMPUTED_VALUE"""),45275.6666666666)</f>
        <v>45275.666666666599</v>
      </c>
      <c r="B242" s="2">
        <f ca="1">IFERROR(__xludf.DUMMYFUNCTION("""COMPUTED_VALUE"""),331.99)</f>
        <v>331.99</v>
      </c>
      <c r="C242" s="2">
        <f ca="1">IFERROR(__xludf.DUMMYFUNCTION("""COMPUTED_VALUE"""),338.66)</f>
        <v>338.66</v>
      </c>
      <c r="D242" s="2">
        <f ca="1">IFERROR(__xludf.DUMMYFUNCTION("""COMPUTED_VALUE"""),331.22)</f>
        <v>331.22</v>
      </c>
      <c r="E242" s="2">
        <f ca="1">IFERROR(__xludf.DUMMYFUNCTION("""COMPUTED_VALUE"""),334.92)</f>
        <v>334.92</v>
      </c>
      <c r="F242" s="2">
        <f ca="1">IFERROR(__xludf.DUMMYFUNCTION("""COMPUTED_VALUE"""),31776852)</f>
        <v>31776852</v>
      </c>
    </row>
    <row r="243" spans="1:6" ht="12.5" x14ac:dyDescent="0.25">
      <c r="A243" s="3">
        <f ca="1">IFERROR(__xludf.DUMMYFUNCTION("""COMPUTED_VALUE"""),45278.6666666666)</f>
        <v>45278.666666666599</v>
      </c>
      <c r="B243" s="2">
        <f ca="1">IFERROR(__xludf.DUMMYFUNCTION("""COMPUTED_VALUE"""),337.48)</f>
        <v>337.48</v>
      </c>
      <c r="C243" s="2">
        <f ca="1">IFERROR(__xludf.DUMMYFUNCTION("""COMPUTED_VALUE"""),347.56)</f>
        <v>347.56</v>
      </c>
      <c r="D243" s="2">
        <f ca="1">IFERROR(__xludf.DUMMYFUNCTION("""COMPUTED_VALUE"""),337.02)</f>
        <v>337.02</v>
      </c>
      <c r="E243" s="2">
        <f ca="1">IFERROR(__xludf.DUMMYFUNCTION("""COMPUTED_VALUE"""),344.62)</f>
        <v>344.62</v>
      </c>
      <c r="F243" s="2">
        <f ca="1">IFERROR(__xludf.DUMMYFUNCTION("""COMPUTED_VALUE"""),18993852)</f>
        <v>18993852</v>
      </c>
    </row>
    <row r="244" spans="1:6" ht="12.5" x14ac:dyDescent="0.25">
      <c r="A244" s="3">
        <f ca="1">IFERROR(__xludf.DUMMYFUNCTION("""COMPUTED_VALUE"""),45279.6666666666)</f>
        <v>45279.666666666599</v>
      </c>
      <c r="B244" s="2">
        <f ca="1">IFERROR(__xludf.DUMMYFUNCTION("""COMPUTED_VALUE"""),345.58)</f>
        <v>345.58</v>
      </c>
      <c r="C244" s="2">
        <f ca="1">IFERROR(__xludf.DUMMYFUNCTION("""COMPUTED_VALUE"""),353.6)</f>
        <v>353.6</v>
      </c>
      <c r="D244" s="2">
        <f ca="1">IFERROR(__xludf.DUMMYFUNCTION("""COMPUTED_VALUE"""),345.12)</f>
        <v>345.12</v>
      </c>
      <c r="E244" s="2">
        <f ca="1">IFERROR(__xludf.DUMMYFUNCTION("""COMPUTED_VALUE"""),350.36)</f>
        <v>350.36</v>
      </c>
      <c r="F244" s="2">
        <f ca="1">IFERROR(__xludf.DUMMYFUNCTION("""COMPUTED_VALUE"""),17729362)</f>
        <v>17729362</v>
      </c>
    </row>
    <row r="245" spans="1:6" ht="12.5" x14ac:dyDescent="0.25">
      <c r="A245" s="3">
        <f ca="1">IFERROR(__xludf.DUMMYFUNCTION("""COMPUTED_VALUE"""),45280.6666666666)</f>
        <v>45280.666666666599</v>
      </c>
      <c r="B245" s="2">
        <f ca="1">IFERROR(__xludf.DUMMYFUNCTION("""COMPUTED_VALUE"""),348.65)</f>
        <v>348.65</v>
      </c>
      <c r="C245" s="2">
        <f ca="1">IFERROR(__xludf.DUMMYFUNCTION("""COMPUTED_VALUE"""),354.96)</f>
        <v>354.96</v>
      </c>
      <c r="D245" s="2">
        <f ca="1">IFERROR(__xludf.DUMMYFUNCTION("""COMPUTED_VALUE"""),347.79)</f>
        <v>347.79</v>
      </c>
      <c r="E245" s="2">
        <f ca="1">IFERROR(__xludf.DUMMYFUNCTION("""COMPUTED_VALUE"""),349.28)</f>
        <v>349.28</v>
      </c>
      <c r="F245" s="2">
        <f ca="1">IFERROR(__xludf.DUMMYFUNCTION("""COMPUTED_VALUE"""),16369850)</f>
        <v>16369850</v>
      </c>
    </row>
    <row r="246" spans="1:6" ht="12.5" x14ac:dyDescent="0.25">
      <c r="A246" s="3">
        <f ca="1">IFERROR(__xludf.DUMMYFUNCTION("""COMPUTED_VALUE"""),45281.6666666666)</f>
        <v>45281.666666666599</v>
      </c>
      <c r="B246" s="2">
        <f ca="1">IFERROR(__xludf.DUMMYFUNCTION("""COMPUTED_VALUE"""),352.98)</f>
        <v>352.98</v>
      </c>
      <c r="C246" s="2">
        <f ca="1">IFERROR(__xludf.DUMMYFUNCTION("""COMPUTED_VALUE"""),356.41)</f>
        <v>356.41</v>
      </c>
      <c r="D246" s="2">
        <f ca="1">IFERROR(__xludf.DUMMYFUNCTION("""COMPUTED_VALUE"""),349.21)</f>
        <v>349.21</v>
      </c>
      <c r="E246" s="2">
        <f ca="1">IFERROR(__xludf.DUMMYFUNCTION("""COMPUTED_VALUE"""),354.09)</f>
        <v>354.09</v>
      </c>
      <c r="F246" s="2">
        <f ca="1">IFERROR(__xludf.DUMMYFUNCTION("""COMPUTED_VALUE"""),15289556)</f>
        <v>15289556</v>
      </c>
    </row>
    <row r="247" spans="1:6" ht="12.5" x14ac:dyDescent="0.25">
      <c r="A247" s="3">
        <f ca="1">IFERROR(__xludf.DUMMYFUNCTION("""COMPUTED_VALUE"""),45282.6666666666)</f>
        <v>45282.666666666599</v>
      </c>
      <c r="B247" s="2">
        <f ca="1">IFERROR(__xludf.DUMMYFUNCTION("""COMPUTED_VALUE"""),355.58)</f>
        <v>355.58</v>
      </c>
      <c r="C247" s="2">
        <f ca="1">IFERROR(__xludf.DUMMYFUNCTION("""COMPUTED_VALUE"""),357.2)</f>
        <v>357.2</v>
      </c>
      <c r="D247" s="2">
        <f ca="1">IFERROR(__xludf.DUMMYFUNCTION("""COMPUTED_VALUE"""),351.22)</f>
        <v>351.22</v>
      </c>
      <c r="E247" s="2">
        <f ca="1">IFERROR(__xludf.DUMMYFUNCTION("""COMPUTED_VALUE"""),353.39)</f>
        <v>353.39</v>
      </c>
      <c r="F247" s="2">
        <f ca="1">IFERROR(__xludf.DUMMYFUNCTION("""COMPUTED_VALUE"""),11772779)</f>
        <v>11772779</v>
      </c>
    </row>
    <row r="248" spans="1:6" ht="12.5" x14ac:dyDescent="0.25">
      <c r="A248" s="3">
        <f ca="1">IFERROR(__xludf.DUMMYFUNCTION("""COMPUTED_VALUE"""),45286.6666666666)</f>
        <v>45286.666666666599</v>
      </c>
      <c r="B248" s="2">
        <f ca="1">IFERROR(__xludf.DUMMYFUNCTION("""COMPUTED_VALUE"""),354.99)</f>
        <v>354.99</v>
      </c>
      <c r="C248" s="2">
        <f ca="1">IFERROR(__xludf.DUMMYFUNCTION("""COMPUTED_VALUE"""),356.98)</f>
        <v>356.98</v>
      </c>
      <c r="D248" s="2">
        <f ca="1">IFERROR(__xludf.DUMMYFUNCTION("""COMPUTED_VALUE"""),353.45)</f>
        <v>353.45</v>
      </c>
      <c r="E248" s="2">
        <f ca="1">IFERROR(__xludf.DUMMYFUNCTION("""COMPUTED_VALUE"""),354.83)</f>
        <v>354.83</v>
      </c>
      <c r="F248" s="2">
        <f ca="1">IFERROR(__xludf.DUMMYFUNCTION("""COMPUTED_VALUE"""),9898614)</f>
        <v>9898614</v>
      </c>
    </row>
    <row r="249" spans="1:6" ht="12.5" x14ac:dyDescent="0.25">
      <c r="A249" s="3">
        <f ca="1">IFERROR(__xludf.DUMMYFUNCTION("""COMPUTED_VALUE"""),45287.6666666666)</f>
        <v>45287.666666666599</v>
      </c>
      <c r="B249" s="2">
        <f ca="1">IFERROR(__xludf.DUMMYFUNCTION("""COMPUTED_VALUE"""),356.07)</f>
        <v>356.07</v>
      </c>
      <c r="C249" s="2">
        <f ca="1">IFERROR(__xludf.DUMMYFUNCTION("""COMPUTED_VALUE"""),359)</f>
        <v>359</v>
      </c>
      <c r="D249" s="2">
        <f ca="1">IFERROR(__xludf.DUMMYFUNCTION("""COMPUTED_VALUE"""),355.31)</f>
        <v>355.31</v>
      </c>
      <c r="E249" s="2">
        <f ca="1">IFERROR(__xludf.DUMMYFUNCTION("""COMPUTED_VALUE"""),357.83)</f>
        <v>357.83</v>
      </c>
      <c r="F249" s="2">
        <f ca="1">IFERROR(__xludf.DUMMYFUNCTION("""COMPUTED_VALUE"""),13207928)</f>
        <v>13207928</v>
      </c>
    </row>
    <row r="250" spans="1:6" ht="12.5" x14ac:dyDescent="0.25">
      <c r="A250" s="3">
        <f ca="1">IFERROR(__xludf.DUMMYFUNCTION("""COMPUTED_VALUE"""),45288.6666666666)</f>
        <v>45288.666666666599</v>
      </c>
      <c r="B250" s="2">
        <f ca="1">IFERROR(__xludf.DUMMYFUNCTION("""COMPUTED_VALUE"""),359.7)</f>
        <v>359.7</v>
      </c>
      <c r="C250" s="2">
        <f ca="1">IFERROR(__xludf.DUMMYFUNCTION("""COMPUTED_VALUE"""),361.9)</f>
        <v>361.9</v>
      </c>
      <c r="D250" s="2">
        <f ca="1">IFERROR(__xludf.DUMMYFUNCTION("""COMPUTED_VALUE"""),357.81)</f>
        <v>357.81</v>
      </c>
      <c r="E250" s="2">
        <f ca="1">IFERROR(__xludf.DUMMYFUNCTION("""COMPUTED_VALUE"""),358.32)</f>
        <v>358.32</v>
      </c>
      <c r="F250" s="2">
        <f ca="1">IFERROR(__xludf.DUMMYFUNCTION("""COMPUTED_VALUE"""),11798807)</f>
        <v>11798807</v>
      </c>
    </row>
    <row r="251" spans="1:6" ht="12.5" x14ac:dyDescent="0.25">
      <c r="A251" s="3">
        <f ca="1">IFERROR(__xludf.DUMMYFUNCTION("""COMPUTED_VALUE"""),45289.6666666666)</f>
        <v>45289.666666666599</v>
      </c>
      <c r="B251" s="2">
        <f ca="1">IFERROR(__xludf.DUMMYFUNCTION("""COMPUTED_VALUE"""),358.99)</f>
        <v>358.99</v>
      </c>
      <c r="C251" s="2">
        <f ca="1">IFERROR(__xludf.DUMMYFUNCTION("""COMPUTED_VALUE"""),360)</f>
        <v>360</v>
      </c>
      <c r="D251" s="2">
        <f ca="1">IFERROR(__xludf.DUMMYFUNCTION("""COMPUTED_VALUE"""),351.82)</f>
        <v>351.82</v>
      </c>
      <c r="E251" s="2">
        <f ca="1">IFERROR(__xludf.DUMMYFUNCTION("""COMPUTED_VALUE"""),353.96)</f>
        <v>353.96</v>
      </c>
      <c r="F251" s="2">
        <f ca="1">IFERROR(__xludf.DUMMYFUNCTION("""COMPUTED_VALUE"""),14987092)</f>
        <v>14987092</v>
      </c>
    </row>
    <row r="252" spans="1:6" ht="12.5" x14ac:dyDescent="0.25">
      <c r="A252" s="3">
        <f ca="1">IFERROR(__xludf.DUMMYFUNCTION("""COMPUTED_VALUE"""),45293.6666666666)</f>
        <v>45293.666666666599</v>
      </c>
      <c r="B252" s="2">
        <f ca="1">IFERROR(__xludf.DUMMYFUNCTION("""COMPUTED_VALUE"""),351.32)</f>
        <v>351.32</v>
      </c>
      <c r="C252" s="2">
        <f ca="1">IFERROR(__xludf.DUMMYFUNCTION("""COMPUTED_VALUE"""),353.16)</f>
        <v>353.16</v>
      </c>
      <c r="D252" s="2">
        <f ca="1">IFERROR(__xludf.DUMMYFUNCTION("""COMPUTED_VALUE"""),340.01)</f>
        <v>340.01</v>
      </c>
      <c r="E252" s="2">
        <f ca="1">IFERROR(__xludf.DUMMYFUNCTION("""COMPUTED_VALUE"""),346.29)</f>
        <v>346.29</v>
      </c>
      <c r="F252" s="2">
        <f ca="1">IFERROR(__xludf.DUMMYFUNCTION("""COMPUTED_VALUE"""),19042152)</f>
        <v>19042152</v>
      </c>
    </row>
    <row r="253" spans="1:6" ht="12.5" x14ac:dyDescent="0.25">
      <c r="A253" s="3">
        <f ca="1">IFERROR(__xludf.DUMMYFUNCTION("""COMPUTED_VALUE"""),45294.6666666666)</f>
        <v>45294.666666666599</v>
      </c>
      <c r="B253" s="2">
        <f ca="1">IFERROR(__xludf.DUMMYFUNCTION("""COMPUTED_VALUE"""),344.98)</f>
        <v>344.98</v>
      </c>
      <c r="C253" s="2">
        <f ca="1">IFERROR(__xludf.DUMMYFUNCTION("""COMPUTED_VALUE"""),347.95)</f>
        <v>347.95</v>
      </c>
      <c r="D253" s="2">
        <f ca="1">IFERROR(__xludf.DUMMYFUNCTION("""COMPUTED_VALUE"""),343.18)</f>
        <v>343.18</v>
      </c>
      <c r="E253" s="2">
        <f ca="1">IFERROR(__xludf.DUMMYFUNCTION("""COMPUTED_VALUE"""),344.47)</f>
        <v>344.47</v>
      </c>
      <c r="F253" s="2">
        <f ca="1">IFERROR(__xludf.DUMMYFUNCTION("""COMPUTED_VALUE"""),15451133)</f>
        <v>15451133</v>
      </c>
    </row>
    <row r="254" spans="1:6" ht="12.5" x14ac:dyDescent="0.25">
      <c r="A254" s="3">
        <f ca="1">IFERROR(__xludf.DUMMYFUNCTION("""COMPUTED_VALUE"""),45295.6666666666)</f>
        <v>45295.666666666599</v>
      </c>
      <c r="B254" s="2">
        <f ca="1">IFERROR(__xludf.DUMMYFUNCTION("""COMPUTED_VALUE"""),344.5)</f>
        <v>344.5</v>
      </c>
      <c r="C254" s="2">
        <f ca="1">IFERROR(__xludf.DUMMYFUNCTION("""COMPUTED_VALUE"""),348.15)</f>
        <v>348.15</v>
      </c>
      <c r="D254" s="2">
        <f ca="1">IFERROR(__xludf.DUMMYFUNCTION("""COMPUTED_VALUE"""),343.4)</f>
        <v>343.4</v>
      </c>
      <c r="E254" s="2">
        <f ca="1">IFERROR(__xludf.DUMMYFUNCTION("""COMPUTED_VALUE"""),347.12)</f>
        <v>347.12</v>
      </c>
      <c r="F254" s="2">
        <f ca="1">IFERROR(__xludf.DUMMYFUNCTION("""COMPUTED_VALUE"""),12099895)</f>
        <v>12099895</v>
      </c>
    </row>
    <row r="255" spans="1:6" ht="12.5" x14ac:dyDescent="0.25">
      <c r="A255" s="3">
        <f ca="1">IFERROR(__xludf.DUMMYFUNCTION("""COMPUTED_VALUE"""),45296.6666666666)</f>
        <v>45296.666666666599</v>
      </c>
      <c r="B255" s="2">
        <f ca="1">IFERROR(__xludf.DUMMYFUNCTION("""COMPUTED_VALUE"""),346.99)</f>
        <v>346.99</v>
      </c>
      <c r="C255" s="2">
        <f ca="1">IFERROR(__xludf.DUMMYFUNCTION("""COMPUTED_VALUE"""),353.5)</f>
        <v>353.5</v>
      </c>
      <c r="D255" s="2">
        <f ca="1">IFERROR(__xludf.DUMMYFUNCTION("""COMPUTED_VALUE"""),346.26)</f>
        <v>346.26</v>
      </c>
      <c r="E255" s="2">
        <f ca="1">IFERROR(__xludf.DUMMYFUNCTION("""COMPUTED_VALUE"""),351.95)</f>
        <v>351.95</v>
      </c>
      <c r="F255" s="2">
        <f ca="1">IFERROR(__xludf.DUMMYFUNCTION("""COMPUTED_VALUE"""),13750912)</f>
        <v>13750912</v>
      </c>
    </row>
    <row r="256" spans="1:6" ht="12.5" x14ac:dyDescent="0.25">
      <c r="A256" s="3">
        <f ca="1">IFERROR(__xludf.DUMMYFUNCTION("""COMPUTED_VALUE"""),45299.6666666666)</f>
        <v>45299.666666666599</v>
      </c>
      <c r="B256" s="2">
        <f ca="1">IFERROR(__xludf.DUMMYFUNCTION("""COMPUTED_VALUE"""),354.7)</f>
        <v>354.7</v>
      </c>
      <c r="C256" s="2">
        <f ca="1">IFERROR(__xludf.DUMMYFUNCTION("""COMPUTED_VALUE"""),358.98)</f>
        <v>358.98</v>
      </c>
      <c r="D256" s="2">
        <f ca="1">IFERROR(__xludf.DUMMYFUNCTION("""COMPUTED_VALUE"""),352.05)</f>
        <v>352.05</v>
      </c>
      <c r="E256" s="2">
        <f ca="1">IFERROR(__xludf.DUMMYFUNCTION("""COMPUTED_VALUE"""),358.66)</f>
        <v>358.66</v>
      </c>
      <c r="F256" s="2">
        <f ca="1">IFERROR(__xludf.DUMMYFUNCTION("""COMPUTED_VALUE"""),13890222)</f>
        <v>13890222</v>
      </c>
    </row>
    <row r="257" spans="1:6" ht="12.5" x14ac:dyDescent="0.25">
      <c r="A257" s="3">
        <f ca="1">IFERROR(__xludf.DUMMYFUNCTION("""COMPUTED_VALUE"""),45300.6666666666)</f>
        <v>45300.666666666599</v>
      </c>
      <c r="B257" s="2">
        <f ca="1">IFERROR(__xludf.DUMMYFUNCTION("""COMPUTED_VALUE"""),356.4)</f>
        <v>356.4</v>
      </c>
      <c r="C257" s="2">
        <f ca="1">IFERROR(__xludf.DUMMYFUNCTION("""COMPUTED_VALUE"""),360.64)</f>
        <v>360.64</v>
      </c>
      <c r="D257" s="2">
        <f ca="1">IFERROR(__xludf.DUMMYFUNCTION("""COMPUTED_VALUE"""),355.36)</f>
        <v>355.36</v>
      </c>
      <c r="E257" s="2">
        <f ca="1">IFERROR(__xludf.DUMMYFUNCTION("""COMPUTED_VALUE"""),357.43)</f>
        <v>357.43</v>
      </c>
      <c r="F257" s="2">
        <f ca="1">IFERROR(__xludf.DUMMYFUNCTION("""COMPUTED_VALUE"""),13463871)</f>
        <v>13463871</v>
      </c>
    </row>
    <row r="258" spans="1:6" ht="12.5" x14ac:dyDescent="0.25">
      <c r="A258" s="3">
        <f ca="1">IFERROR(__xludf.DUMMYFUNCTION("""COMPUTED_VALUE"""),45301.6666666666)</f>
        <v>45301.666666666599</v>
      </c>
      <c r="B258" s="2">
        <f ca="1">IFERROR(__xludf.DUMMYFUNCTION("""COMPUTED_VALUE"""),360.17)</f>
        <v>360.17</v>
      </c>
      <c r="C258" s="2">
        <f ca="1">IFERROR(__xludf.DUMMYFUNCTION("""COMPUTED_VALUE"""),372.94)</f>
        <v>372.94</v>
      </c>
      <c r="D258" s="2">
        <f ca="1">IFERROR(__xludf.DUMMYFUNCTION("""COMPUTED_VALUE"""),359.08)</f>
        <v>359.08</v>
      </c>
      <c r="E258" s="2">
        <f ca="1">IFERROR(__xludf.DUMMYFUNCTION("""COMPUTED_VALUE"""),370.47)</f>
        <v>370.47</v>
      </c>
      <c r="F258" s="2">
        <f ca="1">IFERROR(__xludf.DUMMYFUNCTION("""COMPUTED_VALUE"""),22117206)</f>
        <v>22117206</v>
      </c>
    </row>
    <row r="259" spans="1:6" ht="12.5" x14ac:dyDescent="0.25">
      <c r="A259" s="3">
        <f ca="1">IFERROR(__xludf.DUMMYFUNCTION("""COMPUTED_VALUE"""),45302.6666666666)</f>
        <v>45302.666666666599</v>
      </c>
      <c r="B259" s="2">
        <f ca="1">IFERROR(__xludf.DUMMYFUNCTION("""COMPUTED_VALUE"""),372.13)</f>
        <v>372.13</v>
      </c>
      <c r="C259" s="2">
        <f ca="1">IFERROR(__xludf.DUMMYFUNCTION("""COMPUTED_VALUE"""),372.78)</f>
        <v>372.78</v>
      </c>
      <c r="D259" s="2">
        <f ca="1">IFERROR(__xludf.DUMMYFUNCTION("""COMPUTED_VALUE"""),362.93)</f>
        <v>362.93</v>
      </c>
      <c r="E259" s="2">
        <f ca="1">IFERROR(__xludf.DUMMYFUNCTION("""COMPUTED_VALUE"""),369.67)</f>
        <v>369.67</v>
      </c>
      <c r="F259" s="2">
        <f ca="1">IFERROR(__xludf.DUMMYFUNCTION("""COMPUTED_VALUE"""),17205385)</f>
        <v>17205385</v>
      </c>
    </row>
    <row r="260" spans="1:6" ht="12.5" x14ac:dyDescent="0.25">
      <c r="A260" s="3">
        <f ca="1">IFERROR(__xludf.DUMMYFUNCTION("""COMPUTED_VALUE"""),45303.6666666666)</f>
        <v>45303.666666666599</v>
      </c>
      <c r="B260" s="2">
        <f ca="1">IFERROR(__xludf.DUMMYFUNCTION("""COMPUTED_VALUE"""),370.16)</f>
        <v>370.16</v>
      </c>
      <c r="C260" s="2">
        <f ca="1">IFERROR(__xludf.DUMMYFUNCTION("""COMPUTED_VALUE"""),377.06)</f>
        <v>377.06</v>
      </c>
      <c r="D260" s="2">
        <f ca="1">IFERROR(__xludf.DUMMYFUNCTION("""COMPUTED_VALUE"""),369.54)</f>
        <v>369.54</v>
      </c>
      <c r="E260" s="2">
        <f ca="1">IFERROR(__xludf.DUMMYFUNCTION("""COMPUTED_VALUE"""),374.49)</f>
        <v>374.49</v>
      </c>
      <c r="F260" s="2">
        <f ca="1">IFERROR(__xludf.DUMMYFUNCTION("""COMPUTED_VALUE"""),19310046)</f>
        <v>19310046</v>
      </c>
    </row>
    <row r="261" spans="1:6" ht="12.5" x14ac:dyDescent="0.25">
      <c r="A261" s="3">
        <f ca="1">IFERROR(__xludf.DUMMYFUNCTION("""COMPUTED_VALUE"""),45307.6666666666)</f>
        <v>45307.666666666599</v>
      </c>
      <c r="B261" s="2">
        <f ca="1">IFERROR(__xludf.DUMMYFUNCTION("""COMPUTED_VALUE"""),373.65)</f>
        <v>373.65</v>
      </c>
      <c r="C261" s="2">
        <f ca="1">IFERROR(__xludf.DUMMYFUNCTION("""COMPUTED_VALUE"""),375.61)</f>
        <v>375.61</v>
      </c>
      <c r="D261" s="2">
        <f ca="1">IFERROR(__xludf.DUMMYFUNCTION("""COMPUTED_VALUE"""),367.23)</f>
        <v>367.23</v>
      </c>
      <c r="E261" s="2">
        <f ca="1">IFERROR(__xludf.DUMMYFUNCTION("""COMPUTED_VALUE"""),367.46)</f>
        <v>367.46</v>
      </c>
      <c r="F261" s="2">
        <f ca="1">IFERROR(__xludf.DUMMYFUNCTION("""COMPUTED_VALUE"""),15306885)</f>
        <v>15306885</v>
      </c>
    </row>
    <row r="262" spans="1:6" ht="12.5" x14ac:dyDescent="0.25">
      <c r="A262" s="3">
        <f ca="1">IFERROR(__xludf.DUMMYFUNCTION("""COMPUTED_VALUE"""),45308.6666666666)</f>
        <v>45308.666666666599</v>
      </c>
      <c r="B262" s="2">
        <f ca="1">IFERROR(__xludf.DUMMYFUNCTION("""COMPUTED_VALUE"""),366.3)</f>
        <v>366.3</v>
      </c>
      <c r="C262" s="2">
        <f ca="1">IFERROR(__xludf.DUMMYFUNCTION("""COMPUTED_VALUE"""),368.54)</f>
        <v>368.54</v>
      </c>
      <c r="D262" s="2">
        <f ca="1">IFERROR(__xludf.DUMMYFUNCTION("""COMPUTED_VALUE"""),358.61)</f>
        <v>358.61</v>
      </c>
      <c r="E262" s="2">
        <f ca="1">IFERROR(__xludf.DUMMYFUNCTION("""COMPUTED_VALUE"""),368.37)</f>
        <v>368.37</v>
      </c>
      <c r="F262" s="2">
        <f ca="1">IFERROR(__xludf.DUMMYFUNCTION("""COMPUTED_VALUE"""),12724779)</f>
        <v>12724779</v>
      </c>
    </row>
    <row r="263" spans="1:6" ht="12.5" x14ac:dyDescent="0.25">
      <c r="A263" s="3">
        <f ca="1">IFERROR(__xludf.DUMMYFUNCTION("""COMPUTED_VALUE"""),45309.6666666666)</f>
        <v>45309.666666666599</v>
      </c>
      <c r="B263" s="2">
        <f ca="1">IFERROR(__xludf.DUMMYFUNCTION("""COMPUTED_VALUE"""),371.49)</f>
        <v>371.49</v>
      </c>
      <c r="C263" s="2">
        <f ca="1">IFERROR(__xludf.DUMMYFUNCTION("""COMPUTED_VALUE"""),376.85)</f>
        <v>376.85</v>
      </c>
      <c r="D263" s="2">
        <f ca="1">IFERROR(__xludf.DUMMYFUNCTION("""COMPUTED_VALUE"""),370.95)</f>
        <v>370.95</v>
      </c>
      <c r="E263" s="2">
        <f ca="1">IFERROR(__xludf.DUMMYFUNCTION("""COMPUTED_VALUE"""),376.13)</f>
        <v>376.13</v>
      </c>
      <c r="F263" s="2">
        <f ca="1">IFERROR(__xludf.DUMMYFUNCTION("""COMPUTED_VALUE"""),16354332)</f>
        <v>16354332</v>
      </c>
    </row>
    <row r="264" spans="1:6" ht="12.5" x14ac:dyDescent="0.25">
      <c r="A264" s="3">
        <f ca="1">IFERROR(__xludf.DUMMYFUNCTION("""COMPUTED_VALUE"""),45310.6666666666)</f>
        <v>45310.666666666599</v>
      </c>
      <c r="B264" s="2">
        <f ca="1">IFERROR(__xludf.DUMMYFUNCTION("""COMPUTED_VALUE"""),379)</f>
        <v>379</v>
      </c>
      <c r="C264" s="2">
        <f ca="1">IFERROR(__xludf.DUMMYFUNCTION("""COMPUTED_VALUE"""),384.36)</f>
        <v>384.36</v>
      </c>
      <c r="D264" s="2">
        <f ca="1">IFERROR(__xludf.DUMMYFUNCTION("""COMPUTED_VALUE"""),377.97)</f>
        <v>377.97</v>
      </c>
      <c r="E264" s="2">
        <f ca="1">IFERROR(__xludf.DUMMYFUNCTION("""COMPUTED_VALUE"""),383.45)</f>
        <v>383.45</v>
      </c>
      <c r="F264" s="2">
        <f ca="1">IFERROR(__xludf.DUMMYFUNCTION("""COMPUTED_VALUE"""),21670806)</f>
        <v>21670806</v>
      </c>
    </row>
    <row r="265" spans="1:6" ht="12.5" x14ac:dyDescent="0.25">
      <c r="A265" s="3">
        <f ca="1">IFERROR(__xludf.DUMMYFUNCTION("""COMPUTED_VALUE"""),45313.6666666666)</f>
        <v>45313.666666666599</v>
      </c>
      <c r="B265" s="2">
        <f ca="1">IFERROR(__xludf.DUMMYFUNCTION("""COMPUTED_VALUE"""),387.95)</f>
        <v>387.95</v>
      </c>
      <c r="C265" s="2">
        <f ca="1">IFERROR(__xludf.DUMMYFUNCTION("""COMPUTED_VALUE"""),390.35)</f>
        <v>390.35</v>
      </c>
      <c r="D265" s="2">
        <f ca="1">IFERROR(__xludf.DUMMYFUNCTION("""COMPUTED_VALUE"""),381.16)</f>
        <v>381.16</v>
      </c>
      <c r="E265" s="2">
        <f ca="1">IFERROR(__xludf.DUMMYFUNCTION("""COMPUTED_VALUE"""),381.78)</f>
        <v>381.78</v>
      </c>
      <c r="F265" s="2">
        <f ca="1">IFERROR(__xludf.DUMMYFUNCTION("""COMPUTED_VALUE"""),17680454)</f>
        <v>17680454</v>
      </c>
    </row>
    <row r="266" spans="1:6" ht="12.5" x14ac:dyDescent="0.25">
      <c r="A266" s="3">
        <f ca="1">IFERROR(__xludf.DUMMYFUNCTION("""COMPUTED_VALUE"""),45314.6666666666)</f>
        <v>45314.666666666599</v>
      </c>
      <c r="B266" s="2">
        <f ca="1">IFERROR(__xludf.DUMMYFUNCTION("""COMPUTED_VALUE"""),384.62)</f>
        <v>384.62</v>
      </c>
      <c r="C266" s="2">
        <f ca="1">IFERROR(__xludf.DUMMYFUNCTION("""COMPUTED_VALUE"""),388.38)</f>
        <v>388.38</v>
      </c>
      <c r="D266" s="2">
        <f ca="1">IFERROR(__xludf.DUMMYFUNCTION("""COMPUTED_VALUE"""),382.08)</f>
        <v>382.08</v>
      </c>
      <c r="E266" s="2">
        <f ca="1">IFERROR(__xludf.DUMMYFUNCTION("""COMPUTED_VALUE"""),385.2)</f>
        <v>385.2</v>
      </c>
      <c r="F266" s="2">
        <f ca="1">IFERROR(__xludf.DUMMYFUNCTION("""COMPUTED_VALUE"""),15506096)</f>
        <v>15506096</v>
      </c>
    </row>
    <row r="267" spans="1:6" ht="12.5" x14ac:dyDescent="0.25">
      <c r="A267" s="3">
        <f ca="1">IFERROR(__xludf.DUMMYFUNCTION("""COMPUTED_VALUE"""),45315.6666666666)</f>
        <v>45315.666666666599</v>
      </c>
      <c r="B267" s="2">
        <f ca="1">IFERROR(__xludf.DUMMYFUNCTION("""COMPUTED_VALUE"""),390)</f>
        <v>390</v>
      </c>
      <c r="C267" s="2">
        <f ca="1">IFERROR(__xludf.DUMMYFUNCTION("""COMPUTED_VALUE"""),396.15)</f>
        <v>396.15</v>
      </c>
      <c r="D267" s="2">
        <f ca="1">IFERROR(__xludf.DUMMYFUNCTION("""COMPUTED_VALUE"""),387.81)</f>
        <v>387.81</v>
      </c>
      <c r="E267" s="2">
        <f ca="1">IFERROR(__xludf.DUMMYFUNCTION("""COMPUTED_VALUE"""),390.7)</f>
        <v>390.7</v>
      </c>
      <c r="F267" s="2">
        <f ca="1">IFERROR(__xludf.DUMMYFUNCTION("""COMPUTED_VALUE"""),15604285)</f>
        <v>15604285</v>
      </c>
    </row>
    <row r="268" spans="1:6" ht="12.5" x14ac:dyDescent="0.25">
      <c r="A268" s="3">
        <f ca="1">IFERROR(__xludf.DUMMYFUNCTION("""COMPUTED_VALUE"""),45316.6666666666)</f>
        <v>45316.666666666599</v>
      </c>
      <c r="B268" s="2">
        <f ca="1">IFERROR(__xludf.DUMMYFUNCTION("""COMPUTED_VALUE"""),390.17)</f>
        <v>390.17</v>
      </c>
      <c r="C268" s="2">
        <f ca="1">IFERROR(__xludf.DUMMYFUNCTION("""COMPUTED_VALUE"""),395.49)</f>
        <v>395.49</v>
      </c>
      <c r="D268" s="2">
        <f ca="1">IFERROR(__xludf.DUMMYFUNCTION("""COMPUTED_VALUE"""),385.66)</f>
        <v>385.66</v>
      </c>
      <c r="E268" s="2">
        <f ca="1">IFERROR(__xludf.DUMMYFUNCTION("""COMPUTED_VALUE"""),393.18)</f>
        <v>393.18</v>
      </c>
      <c r="F268" s="2">
        <f ca="1">IFERROR(__xludf.DUMMYFUNCTION("""COMPUTED_VALUE"""),15091080)</f>
        <v>15091080</v>
      </c>
    </row>
    <row r="269" spans="1:6" ht="12.5" x14ac:dyDescent="0.25">
      <c r="A269" s="3">
        <f ca="1">IFERROR(__xludf.DUMMYFUNCTION("""COMPUTED_VALUE"""),45317.6666666666)</f>
        <v>45317.666666666599</v>
      </c>
      <c r="B269" s="2">
        <f ca="1">IFERROR(__xludf.DUMMYFUNCTION("""COMPUTED_VALUE"""),394.35)</f>
        <v>394.35</v>
      </c>
      <c r="C269" s="2">
        <f ca="1">IFERROR(__xludf.DUMMYFUNCTION("""COMPUTED_VALUE"""),396.79)</f>
        <v>396.79</v>
      </c>
      <c r="D269" s="2">
        <f ca="1">IFERROR(__xludf.DUMMYFUNCTION("""COMPUTED_VALUE"""),391.59)</f>
        <v>391.59</v>
      </c>
      <c r="E269" s="2">
        <f ca="1">IFERROR(__xludf.DUMMYFUNCTION("""COMPUTED_VALUE"""),394.14)</f>
        <v>394.14</v>
      </c>
      <c r="F269" s="2">
        <f ca="1">IFERROR(__xludf.DUMMYFUNCTION("""COMPUTED_VALUE"""),13159290)</f>
        <v>13159290</v>
      </c>
    </row>
    <row r="270" spans="1:6" ht="12.5" x14ac:dyDescent="0.25">
      <c r="A270" s="3">
        <f ca="1">IFERROR(__xludf.DUMMYFUNCTION("""COMPUTED_VALUE"""),45320.6666666666)</f>
        <v>45320.666666666599</v>
      </c>
      <c r="B270" s="2">
        <f ca="1">IFERROR(__xludf.DUMMYFUNCTION("""COMPUTED_VALUE"""),394.99)</f>
        <v>394.99</v>
      </c>
      <c r="C270" s="2">
        <f ca="1">IFERROR(__xludf.DUMMYFUNCTION("""COMPUTED_VALUE"""),402.93)</f>
        <v>402.93</v>
      </c>
      <c r="D270" s="2">
        <f ca="1">IFERROR(__xludf.DUMMYFUNCTION("""COMPUTED_VALUE"""),393.1)</f>
        <v>393.1</v>
      </c>
      <c r="E270" s="2">
        <f ca="1">IFERROR(__xludf.DUMMYFUNCTION("""COMPUTED_VALUE"""),401.02)</f>
        <v>401.02</v>
      </c>
      <c r="F270" s="2">
        <f ca="1">IFERROR(__xludf.DUMMYFUNCTION("""COMPUTED_VALUE"""),18742433)</f>
        <v>18742433</v>
      </c>
    </row>
    <row r="271" spans="1:6" ht="12.5" x14ac:dyDescent="0.25">
      <c r="A271" s="3">
        <f ca="1">IFERROR(__xludf.DUMMYFUNCTION("""COMPUTED_VALUE"""),45321.6666666666)</f>
        <v>45321.666666666599</v>
      </c>
      <c r="B271" s="2">
        <f ca="1">IFERROR(__xludf.DUMMYFUNCTION("""COMPUTED_VALUE"""),403.59)</f>
        <v>403.59</v>
      </c>
      <c r="C271" s="2">
        <f ca="1">IFERROR(__xludf.DUMMYFUNCTION("""COMPUTED_VALUE"""),406.36)</f>
        <v>406.36</v>
      </c>
      <c r="D271" s="2">
        <f ca="1">IFERROR(__xludf.DUMMYFUNCTION("""COMPUTED_VALUE"""),399.57)</f>
        <v>399.57</v>
      </c>
      <c r="E271" s="2">
        <f ca="1">IFERROR(__xludf.DUMMYFUNCTION("""COMPUTED_VALUE"""),400.06)</f>
        <v>400.06</v>
      </c>
      <c r="F271" s="2">
        <f ca="1">IFERROR(__xludf.DUMMYFUNCTION("""COMPUTED_VALUE"""),18614727)</f>
        <v>18614727</v>
      </c>
    </row>
    <row r="272" spans="1:6" ht="12.5" x14ac:dyDescent="0.25">
      <c r="A272" s="3">
        <f ca="1">IFERROR(__xludf.DUMMYFUNCTION("""COMPUTED_VALUE"""),45322.6666666666)</f>
        <v>45322.666666666599</v>
      </c>
      <c r="B272" s="2">
        <f ca="1">IFERROR(__xludf.DUMMYFUNCTION("""COMPUTED_VALUE"""),389)</f>
        <v>389</v>
      </c>
      <c r="C272" s="2">
        <f ca="1">IFERROR(__xludf.DUMMYFUNCTION("""COMPUTED_VALUE"""),398)</f>
        <v>398</v>
      </c>
      <c r="D272" s="2">
        <f ca="1">IFERROR(__xludf.DUMMYFUNCTION("""COMPUTED_VALUE"""),387.1)</f>
        <v>387.1</v>
      </c>
      <c r="E272" s="2">
        <f ca="1">IFERROR(__xludf.DUMMYFUNCTION("""COMPUTED_VALUE"""),390.14)</f>
        <v>390.14</v>
      </c>
      <c r="F272" s="2">
        <f ca="1">IFERROR(__xludf.DUMMYFUNCTION("""COMPUTED_VALUE"""),20180817)</f>
        <v>20180817</v>
      </c>
    </row>
    <row r="273" spans="1:6" ht="12.5" x14ac:dyDescent="0.25">
      <c r="A273" s="3">
        <f ca="1">IFERROR(__xludf.DUMMYFUNCTION("""COMPUTED_VALUE"""),45323.6666666666)</f>
        <v>45323.666666666599</v>
      </c>
      <c r="B273" s="2">
        <f ca="1">IFERROR(__xludf.DUMMYFUNCTION("""COMPUTED_VALUE"""),393.94)</f>
        <v>393.94</v>
      </c>
      <c r="C273" s="2">
        <f ca="1">IFERROR(__xludf.DUMMYFUNCTION("""COMPUTED_VALUE"""),400.5)</f>
        <v>400.5</v>
      </c>
      <c r="D273" s="2">
        <f ca="1">IFERROR(__xludf.DUMMYFUNCTION("""COMPUTED_VALUE"""),393.05)</f>
        <v>393.05</v>
      </c>
      <c r="E273" s="2">
        <f ca="1">IFERROR(__xludf.DUMMYFUNCTION("""COMPUTED_VALUE"""),394.78)</f>
        <v>394.78</v>
      </c>
      <c r="F273" s="2">
        <f ca="1">IFERROR(__xludf.DUMMYFUNCTION("""COMPUTED_VALUE"""),29727051)</f>
        <v>29727051</v>
      </c>
    </row>
    <row r="274" spans="1:6" ht="12.5" x14ac:dyDescent="0.25">
      <c r="A274" s="3">
        <f ca="1">IFERROR(__xludf.DUMMYFUNCTION("""COMPUTED_VALUE"""),45324.6666666666)</f>
        <v>45324.666666666599</v>
      </c>
      <c r="B274" s="2">
        <f ca="1">IFERROR(__xludf.DUMMYFUNCTION("""COMPUTED_VALUE"""),459.6)</f>
        <v>459.6</v>
      </c>
      <c r="C274" s="2">
        <f ca="1">IFERROR(__xludf.DUMMYFUNCTION("""COMPUTED_VALUE"""),485.96)</f>
        <v>485.96</v>
      </c>
      <c r="D274" s="2">
        <f ca="1">IFERROR(__xludf.DUMMYFUNCTION("""COMPUTED_VALUE"""),453.01)</f>
        <v>453.01</v>
      </c>
      <c r="E274" s="2">
        <f ca="1">IFERROR(__xludf.DUMMYFUNCTION("""COMPUTED_VALUE"""),474.99)</f>
        <v>474.99</v>
      </c>
      <c r="F274" s="2">
        <f ca="1">IFERROR(__xludf.DUMMYFUNCTION("""COMPUTED_VALUE"""),84707646)</f>
        <v>84707646</v>
      </c>
    </row>
    <row r="275" spans="1:6" ht="12.5" x14ac:dyDescent="0.25">
      <c r="A275" s="3">
        <f ca="1">IFERROR(__xludf.DUMMYFUNCTION("""COMPUTED_VALUE"""),45327.6666666666)</f>
        <v>45327.666666666599</v>
      </c>
      <c r="B275" s="2">
        <f ca="1">IFERROR(__xludf.DUMMYFUNCTION("""COMPUTED_VALUE"""),469.88)</f>
        <v>469.88</v>
      </c>
      <c r="C275" s="2">
        <f ca="1">IFERROR(__xludf.DUMMYFUNCTION("""COMPUTED_VALUE"""),471.9)</f>
        <v>471.9</v>
      </c>
      <c r="D275" s="2">
        <f ca="1">IFERROR(__xludf.DUMMYFUNCTION("""COMPUTED_VALUE"""),459.22)</f>
        <v>459.22</v>
      </c>
      <c r="E275" s="2">
        <f ca="1">IFERROR(__xludf.DUMMYFUNCTION("""COMPUTED_VALUE"""),459.41)</f>
        <v>459.41</v>
      </c>
      <c r="F275" s="2">
        <f ca="1">IFERROR(__xludf.DUMMYFUNCTION("""COMPUTED_VALUE"""),40832376)</f>
        <v>40832376</v>
      </c>
    </row>
    <row r="276" spans="1:6" ht="12.5" x14ac:dyDescent="0.25">
      <c r="A276" s="3">
        <f ca="1">IFERROR(__xludf.DUMMYFUNCTION("""COMPUTED_VALUE"""),45328.6666666666)</f>
        <v>45328.666666666599</v>
      </c>
      <c r="B276" s="2">
        <f ca="1">IFERROR(__xludf.DUMMYFUNCTION("""COMPUTED_VALUE"""),464)</f>
        <v>464</v>
      </c>
      <c r="C276" s="2">
        <f ca="1">IFERROR(__xludf.DUMMYFUNCTION("""COMPUTED_VALUE"""),467.12)</f>
        <v>467.12</v>
      </c>
      <c r="D276" s="2">
        <f ca="1">IFERROR(__xludf.DUMMYFUNCTION("""COMPUTED_VALUE"""),453)</f>
        <v>453</v>
      </c>
      <c r="E276" s="2">
        <f ca="1">IFERROR(__xludf.DUMMYFUNCTION("""COMPUTED_VALUE"""),454.72)</f>
        <v>454.72</v>
      </c>
      <c r="F276" s="2">
        <f ca="1">IFERROR(__xludf.DUMMYFUNCTION("""COMPUTED_VALUE"""),21655214)</f>
        <v>21655214</v>
      </c>
    </row>
    <row r="277" spans="1:6" ht="12.5" x14ac:dyDescent="0.25">
      <c r="A277" s="3">
        <f ca="1">IFERROR(__xludf.DUMMYFUNCTION("""COMPUTED_VALUE"""),45329.6666666666)</f>
        <v>45329.666666666599</v>
      </c>
      <c r="B277" s="2">
        <f ca="1">IFERROR(__xludf.DUMMYFUNCTION("""COMPUTED_VALUE"""),458)</f>
        <v>458</v>
      </c>
      <c r="C277" s="2">
        <f ca="1">IFERROR(__xludf.DUMMYFUNCTION("""COMPUTED_VALUE"""),471.52)</f>
        <v>471.52</v>
      </c>
      <c r="D277" s="2">
        <f ca="1">IFERROR(__xludf.DUMMYFUNCTION("""COMPUTED_VALUE"""),456.18)</f>
        <v>456.18</v>
      </c>
      <c r="E277" s="2">
        <f ca="1">IFERROR(__xludf.DUMMYFUNCTION("""COMPUTED_VALUE"""),469.59)</f>
        <v>469.59</v>
      </c>
      <c r="F277" s="2">
        <f ca="1">IFERROR(__xludf.DUMMYFUNCTION("""COMPUTED_VALUE"""),23065994)</f>
        <v>23065994</v>
      </c>
    </row>
    <row r="278" spans="1:6" ht="12.5" x14ac:dyDescent="0.25">
      <c r="A278" s="3">
        <f ca="1">IFERROR(__xludf.DUMMYFUNCTION("""COMPUTED_VALUE"""),45330.6666666666)</f>
        <v>45330.666666666599</v>
      </c>
      <c r="B278" s="2">
        <f ca="1">IFERROR(__xludf.DUMMYFUNCTION("""COMPUTED_VALUE"""),468.32)</f>
        <v>468.32</v>
      </c>
      <c r="C278" s="2">
        <f ca="1">IFERROR(__xludf.DUMMYFUNCTION("""COMPUTED_VALUE"""),470.59)</f>
        <v>470.59</v>
      </c>
      <c r="D278" s="2">
        <f ca="1">IFERROR(__xludf.DUMMYFUNCTION("""COMPUTED_VALUE"""),465.03)</f>
        <v>465.03</v>
      </c>
      <c r="E278" s="2">
        <f ca="1">IFERROR(__xludf.DUMMYFUNCTION("""COMPUTED_VALUE"""),470)</f>
        <v>470</v>
      </c>
      <c r="F278" s="2">
        <f ca="1">IFERROR(__xludf.DUMMYFUNCTION("""COMPUTED_VALUE"""),18815097)</f>
        <v>18815097</v>
      </c>
    </row>
    <row r="279" spans="1:6" ht="12.5" x14ac:dyDescent="0.25">
      <c r="A279" s="3">
        <f ca="1">IFERROR(__xludf.DUMMYFUNCTION("""COMPUTED_VALUE"""),45331.6666666666)</f>
        <v>45331.666666666599</v>
      </c>
      <c r="B279" s="2">
        <f ca="1">IFERROR(__xludf.DUMMYFUNCTION("""COMPUTED_VALUE"""),472.95)</f>
        <v>472.95</v>
      </c>
      <c r="C279" s="2">
        <f ca="1">IFERROR(__xludf.DUMMYFUNCTION("""COMPUTED_VALUE"""),473.59)</f>
        <v>473.59</v>
      </c>
      <c r="D279" s="2">
        <f ca="1">IFERROR(__xludf.DUMMYFUNCTION("""COMPUTED_VALUE"""),467.47)</f>
        <v>467.47</v>
      </c>
      <c r="E279" s="2">
        <f ca="1">IFERROR(__xludf.DUMMYFUNCTION("""COMPUTED_VALUE"""),468.11)</f>
        <v>468.11</v>
      </c>
      <c r="F279" s="2">
        <f ca="1">IFERROR(__xludf.DUMMYFUNCTION("""COMPUTED_VALUE"""),18413137)</f>
        <v>18413137</v>
      </c>
    </row>
    <row r="280" spans="1:6" ht="12.5" x14ac:dyDescent="0.25">
      <c r="A280" s="3">
        <f ca="1">IFERROR(__xludf.DUMMYFUNCTION("""COMPUTED_VALUE"""),45334.6666666666)</f>
        <v>45334.666666666599</v>
      </c>
      <c r="B280" s="2">
        <f ca="1">IFERROR(__xludf.DUMMYFUNCTION("""COMPUTED_VALUE"""),468.19)</f>
        <v>468.19</v>
      </c>
      <c r="C280" s="2">
        <f ca="1">IFERROR(__xludf.DUMMYFUNCTION("""COMPUTED_VALUE"""),479.15)</f>
        <v>479.15</v>
      </c>
      <c r="D280" s="2">
        <f ca="1">IFERROR(__xludf.DUMMYFUNCTION("""COMPUTED_VALUE"""),466.58)</f>
        <v>466.58</v>
      </c>
      <c r="E280" s="2">
        <f ca="1">IFERROR(__xludf.DUMMYFUNCTION("""COMPUTED_VALUE"""),468.9)</f>
        <v>468.9</v>
      </c>
      <c r="F280" s="2">
        <f ca="1">IFERROR(__xludf.DUMMYFUNCTION("""COMPUTED_VALUE"""),19381963)</f>
        <v>19381963</v>
      </c>
    </row>
    <row r="281" spans="1:6" ht="12.5" x14ac:dyDescent="0.25">
      <c r="A281" s="3">
        <f ca="1">IFERROR(__xludf.DUMMYFUNCTION("""COMPUTED_VALUE"""),45335.6666666666)</f>
        <v>45335.666666666599</v>
      </c>
      <c r="B281" s="2">
        <f ca="1">IFERROR(__xludf.DUMMYFUNCTION("""COMPUTED_VALUE"""),456.87)</f>
        <v>456.87</v>
      </c>
      <c r="C281" s="2">
        <f ca="1">IFERROR(__xludf.DUMMYFUNCTION("""COMPUTED_VALUE"""),467.89)</f>
        <v>467.89</v>
      </c>
      <c r="D281" s="2">
        <f ca="1">IFERROR(__xludf.DUMMYFUNCTION("""COMPUTED_VALUE"""),455.09)</f>
        <v>455.09</v>
      </c>
      <c r="E281" s="2">
        <f ca="1">IFERROR(__xludf.DUMMYFUNCTION("""COMPUTED_VALUE"""),460.12)</f>
        <v>460.12</v>
      </c>
      <c r="F281" s="2">
        <f ca="1">IFERROR(__xludf.DUMMYFUNCTION("""COMPUTED_VALUE"""),20916602)</f>
        <v>20916602</v>
      </c>
    </row>
    <row r="282" spans="1:6" ht="12.5" x14ac:dyDescent="0.25">
      <c r="A282" s="3">
        <f ca="1">IFERROR(__xludf.DUMMYFUNCTION("""COMPUTED_VALUE"""),45336.6666666666)</f>
        <v>45336.666666666599</v>
      </c>
      <c r="B282" s="2">
        <f ca="1">IFERROR(__xludf.DUMMYFUNCTION("""COMPUTED_VALUE"""),467.93)</f>
        <v>467.93</v>
      </c>
      <c r="C282" s="2">
        <f ca="1">IFERROR(__xludf.DUMMYFUNCTION("""COMPUTED_VALUE"""),474.11)</f>
        <v>474.11</v>
      </c>
      <c r="D282" s="2">
        <f ca="1">IFERROR(__xludf.DUMMYFUNCTION("""COMPUTED_VALUE"""),466.09)</f>
        <v>466.09</v>
      </c>
      <c r="E282" s="2">
        <f ca="1">IFERROR(__xludf.DUMMYFUNCTION("""COMPUTED_VALUE"""),473.28)</f>
        <v>473.28</v>
      </c>
      <c r="F282" s="2">
        <f ca="1">IFERROR(__xludf.DUMMYFUNCTION("""COMPUTED_VALUE"""),16858401)</f>
        <v>16858401</v>
      </c>
    </row>
    <row r="283" spans="1:6" ht="12.5" x14ac:dyDescent="0.25">
      <c r="A283" s="3">
        <f ca="1">IFERROR(__xludf.DUMMYFUNCTION("""COMPUTED_VALUE"""),45337.6666666666)</f>
        <v>45337.666666666599</v>
      </c>
      <c r="B283" s="2">
        <f ca="1">IFERROR(__xludf.DUMMYFUNCTION("""COMPUTED_VALUE"""),475.28)</f>
        <v>475.28</v>
      </c>
      <c r="C283" s="2">
        <f ca="1">IFERROR(__xludf.DUMMYFUNCTION("""COMPUTED_VALUE"""),488.62)</f>
        <v>488.62</v>
      </c>
      <c r="D283" s="2">
        <f ca="1">IFERROR(__xludf.DUMMYFUNCTION("""COMPUTED_VALUE"""),472.22)</f>
        <v>472.22</v>
      </c>
      <c r="E283" s="2">
        <f ca="1">IFERROR(__xludf.DUMMYFUNCTION("""COMPUTED_VALUE"""),484.03)</f>
        <v>484.03</v>
      </c>
      <c r="F283" s="2">
        <f ca="1">IFERROR(__xludf.DUMMYFUNCTION("""COMPUTED_VALUE"""),24212326)</f>
        <v>24212326</v>
      </c>
    </row>
    <row r="284" spans="1:6" ht="12.5" x14ac:dyDescent="0.25">
      <c r="A284" s="3">
        <f ca="1">IFERROR(__xludf.DUMMYFUNCTION("""COMPUTED_VALUE"""),45338.6666666666)</f>
        <v>45338.666666666599</v>
      </c>
      <c r="B284" s="2">
        <f ca="1">IFERROR(__xludf.DUMMYFUNCTION("""COMPUTED_VALUE"""),478.11)</f>
        <v>478.11</v>
      </c>
      <c r="C284" s="2">
        <f ca="1">IFERROR(__xludf.DUMMYFUNCTION("""COMPUTED_VALUE"""),478.96)</f>
        <v>478.96</v>
      </c>
      <c r="D284" s="2">
        <f ca="1">IFERROR(__xludf.DUMMYFUNCTION("""COMPUTED_VALUE"""),469.21)</f>
        <v>469.21</v>
      </c>
      <c r="E284" s="2">
        <f ca="1">IFERROR(__xludf.DUMMYFUNCTION("""COMPUTED_VALUE"""),473.32)</f>
        <v>473.32</v>
      </c>
      <c r="F284" s="2">
        <f ca="1">IFERROR(__xludf.DUMMYFUNCTION("""COMPUTED_VALUE"""),23324620)</f>
        <v>23324620</v>
      </c>
    </row>
    <row r="285" spans="1:6" ht="12.5" x14ac:dyDescent="0.25">
      <c r="A285" s="3">
        <f ca="1">IFERROR(__xludf.DUMMYFUNCTION("""COMPUTED_VALUE"""),45342.6666666666)</f>
        <v>45342.666666666599</v>
      </c>
      <c r="B285" s="2">
        <f ca="1">IFERROR(__xludf.DUMMYFUNCTION("""COMPUTED_VALUE"""),469.72)</f>
        <v>469.72</v>
      </c>
      <c r="C285" s="2">
        <f ca="1">IFERROR(__xludf.DUMMYFUNCTION("""COMPUTED_VALUE"""),476.18)</f>
        <v>476.18</v>
      </c>
      <c r="D285" s="2">
        <f ca="1">IFERROR(__xludf.DUMMYFUNCTION("""COMPUTED_VALUE"""),466.56)</f>
        <v>466.56</v>
      </c>
      <c r="E285" s="2">
        <f ca="1">IFERROR(__xludf.DUMMYFUNCTION("""COMPUTED_VALUE"""),471.75)</f>
        <v>471.75</v>
      </c>
      <c r="F285" s="2">
        <f ca="1">IFERROR(__xludf.DUMMYFUNCTION("""COMPUTED_VALUE"""),18015523)</f>
        <v>18015523</v>
      </c>
    </row>
    <row r="286" spans="1:6" ht="12.5" x14ac:dyDescent="0.25">
      <c r="A286" s="3">
        <f ca="1">IFERROR(__xludf.DUMMYFUNCTION("""COMPUTED_VALUE"""),45343.6666666666)</f>
        <v>45343.666666666599</v>
      </c>
      <c r="B286" s="2">
        <f ca="1">IFERROR(__xludf.DUMMYFUNCTION("""COMPUTED_VALUE"""),466.5)</f>
        <v>466.5</v>
      </c>
      <c r="C286" s="2">
        <f ca="1">IFERROR(__xludf.DUMMYFUNCTION("""COMPUTED_VALUE"""),469)</f>
        <v>469</v>
      </c>
      <c r="D286" s="2">
        <f ca="1">IFERROR(__xludf.DUMMYFUNCTION("""COMPUTED_VALUE"""),461.79)</f>
        <v>461.79</v>
      </c>
      <c r="E286" s="2">
        <f ca="1">IFERROR(__xludf.DUMMYFUNCTION("""COMPUTED_VALUE"""),468.03)</f>
        <v>468.03</v>
      </c>
      <c r="F286" s="2">
        <f ca="1">IFERROR(__xludf.DUMMYFUNCTION("""COMPUTED_VALUE"""),12977050)</f>
        <v>12977050</v>
      </c>
    </row>
    <row r="287" spans="1:6" ht="12.5" x14ac:dyDescent="0.25">
      <c r="A287" s="3">
        <f ca="1">IFERROR(__xludf.DUMMYFUNCTION("""COMPUTED_VALUE"""),45344.6666666666)</f>
        <v>45344.666666666599</v>
      </c>
      <c r="B287" s="2">
        <f ca="1">IFERROR(__xludf.DUMMYFUNCTION("""COMPUTED_VALUE"""),480.24)</f>
        <v>480.24</v>
      </c>
      <c r="C287" s="2">
        <f ca="1">IFERROR(__xludf.DUMMYFUNCTION("""COMPUTED_VALUE"""),489.99)</f>
        <v>489.99</v>
      </c>
      <c r="D287" s="2">
        <f ca="1">IFERROR(__xludf.DUMMYFUNCTION("""COMPUTED_VALUE"""),476.06)</f>
        <v>476.06</v>
      </c>
      <c r="E287" s="2">
        <f ca="1">IFERROR(__xludf.DUMMYFUNCTION("""COMPUTED_VALUE"""),486.13)</f>
        <v>486.13</v>
      </c>
      <c r="F287" s="2">
        <f ca="1">IFERROR(__xludf.DUMMYFUNCTION("""COMPUTED_VALUE"""),21625805)</f>
        <v>21625805</v>
      </c>
    </row>
    <row r="288" spans="1:6" ht="12.5" x14ac:dyDescent="0.25">
      <c r="A288" s="3">
        <f ca="1">IFERROR(__xludf.DUMMYFUNCTION("""COMPUTED_VALUE"""),45345.6666666666)</f>
        <v>45345.666666666599</v>
      </c>
      <c r="B288" s="2">
        <f ca="1">IFERROR(__xludf.DUMMYFUNCTION("""COMPUTED_VALUE"""),488.05)</f>
        <v>488.05</v>
      </c>
      <c r="C288" s="2">
        <f ca="1">IFERROR(__xludf.DUMMYFUNCTION("""COMPUTED_VALUE"""),494.36)</f>
        <v>494.36</v>
      </c>
      <c r="D288" s="2">
        <f ca="1">IFERROR(__xludf.DUMMYFUNCTION("""COMPUTED_VALUE"""),482.35)</f>
        <v>482.35</v>
      </c>
      <c r="E288" s="2">
        <f ca="1">IFERROR(__xludf.DUMMYFUNCTION("""COMPUTED_VALUE"""),484.03)</f>
        <v>484.03</v>
      </c>
      <c r="F288" s="2">
        <f ca="1">IFERROR(__xludf.DUMMYFUNCTION("""COMPUTED_VALUE"""),18374286)</f>
        <v>18374286</v>
      </c>
    </row>
    <row r="289" spans="1:6" ht="12.5" x14ac:dyDescent="0.25">
      <c r="A289" s="3">
        <f ca="1">IFERROR(__xludf.DUMMYFUNCTION("""COMPUTED_VALUE"""),45348.6666666666)</f>
        <v>45348.666666666599</v>
      </c>
      <c r="B289" s="2">
        <f ca="1">IFERROR(__xludf.DUMMYFUNCTION("""COMPUTED_VALUE"""),483.47)</f>
        <v>483.47</v>
      </c>
      <c r="C289" s="2">
        <f ca="1">IFERROR(__xludf.DUMMYFUNCTION("""COMPUTED_VALUE"""),486.14)</f>
        <v>486.14</v>
      </c>
      <c r="D289" s="2">
        <f ca="1">IFERROR(__xludf.DUMMYFUNCTION("""COMPUTED_VALUE"""),480.6)</f>
        <v>480.6</v>
      </c>
      <c r="E289" s="2">
        <f ca="1">IFERROR(__xludf.DUMMYFUNCTION("""COMPUTED_VALUE"""),481.74)</f>
        <v>481.74</v>
      </c>
      <c r="F289" s="2">
        <f ca="1">IFERROR(__xludf.DUMMYFUNCTION("""COMPUTED_VALUE"""),12101415)</f>
        <v>12101415</v>
      </c>
    </row>
    <row r="290" spans="1:6" ht="12.5" x14ac:dyDescent="0.25">
      <c r="A290" s="3">
        <f ca="1">IFERROR(__xludf.DUMMYFUNCTION("""COMPUTED_VALUE"""),45349.6666666666)</f>
        <v>45349.666666666599</v>
      </c>
      <c r="B290" s="2">
        <f ca="1">IFERROR(__xludf.DUMMYFUNCTION("""COMPUTED_VALUE"""),479.98)</f>
        <v>479.98</v>
      </c>
      <c r="C290" s="2">
        <f ca="1">IFERROR(__xludf.DUMMYFUNCTION("""COMPUTED_VALUE"""),487.27)</f>
        <v>487.27</v>
      </c>
      <c r="D290" s="2">
        <f ca="1">IFERROR(__xludf.DUMMYFUNCTION("""COMPUTED_VALUE"""),479.92)</f>
        <v>479.92</v>
      </c>
      <c r="E290" s="2">
        <f ca="1">IFERROR(__xludf.DUMMYFUNCTION("""COMPUTED_VALUE"""),487.05)</f>
        <v>487.05</v>
      </c>
      <c r="F290" s="2">
        <f ca="1">IFERROR(__xludf.DUMMYFUNCTION("""COMPUTED_VALUE"""),10809595)</f>
        <v>10809595</v>
      </c>
    </row>
    <row r="291" spans="1:6" ht="12.5" x14ac:dyDescent="0.25">
      <c r="A291" s="3">
        <f ca="1">IFERROR(__xludf.DUMMYFUNCTION("""COMPUTED_VALUE"""),45350.6666666666)</f>
        <v>45350.666666666599</v>
      </c>
      <c r="B291" s="2">
        <f ca="1">IFERROR(__xludf.DUMMYFUNCTION("""COMPUTED_VALUE"""),485)</f>
        <v>485</v>
      </c>
      <c r="C291" s="2">
        <f ca="1">IFERROR(__xludf.DUMMYFUNCTION("""COMPUTED_VALUE"""),491.05)</f>
        <v>491.05</v>
      </c>
      <c r="D291" s="2">
        <f ca="1">IFERROR(__xludf.DUMMYFUNCTION("""COMPUTED_VALUE"""),482.75)</f>
        <v>482.75</v>
      </c>
      <c r="E291" s="2">
        <f ca="1">IFERROR(__xludf.DUMMYFUNCTION("""COMPUTED_VALUE"""),484.02)</f>
        <v>484.02</v>
      </c>
      <c r="F291" s="2">
        <f ca="1">IFERROR(__xludf.DUMMYFUNCTION("""COMPUTED_VALUE"""),12715486)</f>
        <v>12715486</v>
      </c>
    </row>
    <row r="292" spans="1:6" ht="12.5" x14ac:dyDescent="0.25">
      <c r="A292" s="3">
        <f ca="1">IFERROR(__xludf.DUMMYFUNCTION("""COMPUTED_VALUE"""),45351.6666666666)</f>
        <v>45351.666666666599</v>
      </c>
      <c r="B292" s="2">
        <f ca="1">IFERROR(__xludf.DUMMYFUNCTION("""COMPUTED_VALUE"""),488.44)</f>
        <v>488.44</v>
      </c>
      <c r="C292" s="2">
        <f ca="1">IFERROR(__xludf.DUMMYFUNCTION("""COMPUTED_VALUE"""),491.7)</f>
        <v>491.7</v>
      </c>
      <c r="D292" s="2">
        <f ca="1">IFERROR(__xludf.DUMMYFUNCTION("""COMPUTED_VALUE"""),482.61)</f>
        <v>482.61</v>
      </c>
      <c r="E292" s="2">
        <f ca="1">IFERROR(__xludf.DUMMYFUNCTION("""COMPUTED_VALUE"""),490.13)</f>
        <v>490.13</v>
      </c>
      <c r="F292" s="2">
        <f ca="1">IFERROR(__xludf.DUMMYFUNCTION("""COMPUTED_VALUE"""),17732045)</f>
        <v>17732045</v>
      </c>
    </row>
    <row r="293" spans="1:6" ht="12.5" x14ac:dyDescent="0.25">
      <c r="A293" s="3">
        <f ca="1">IFERROR(__xludf.DUMMYFUNCTION("""COMPUTED_VALUE"""),45352.6666666666)</f>
        <v>45352.666666666599</v>
      </c>
      <c r="B293" s="2">
        <f ca="1">IFERROR(__xludf.DUMMYFUNCTION("""COMPUTED_VALUE"""),492.11)</f>
        <v>492.11</v>
      </c>
      <c r="C293" s="2">
        <f ca="1">IFERROR(__xludf.DUMMYFUNCTION("""COMPUTED_VALUE"""),504.25)</f>
        <v>504.25</v>
      </c>
      <c r="D293" s="2">
        <f ca="1">IFERROR(__xludf.DUMMYFUNCTION("""COMPUTED_VALUE"""),491.85)</f>
        <v>491.85</v>
      </c>
      <c r="E293" s="2">
        <f ca="1">IFERROR(__xludf.DUMMYFUNCTION("""COMPUTED_VALUE"""),502.3)</f>
        <v>502.3</v>
      </c>
      <c r="F293" s="2">
        <f ca="1">IFERROR(__xludf.DUMMYFUNCTION("""COMPUTED_VALUE"""),15884882)</f>
        <v>15884882</v>
      </c>
    </row>
    <row r="294" spans="1:6" ht="12.5" x14ac:dyDescent="0.25">
      <c r="A294" s="3">
        <f ca="1">IFERROR(__xludf.DUMMYFUNCTION("""COMPUTED_VALUE"""),45355.6666666666)</f>
        <v>45355.666666666599</v>
      </c>
      <c r="B294" s="2">
        <f ca="1">IFERROR(__xludf.DUMMYFUNCTION("""COMPUTED_VALUE"""),503)</f>
        <v>503</v>
      </c>
      <c r="C294" s="2">
        <f ca="1">IFERROR(__xludf.DUMMYFUNCTION("""COMPUTED_VALUE"""),504.42)</f>
        <v>504.42</v>
      </c>
      <c r="D294" s="2">
        <f ca="1">IFERROR(__xludf.DUMMYFUNCTION("""COMPUTED_VALUE"""),496.42)</f>
        <v>496.42</v>
      </c>
      <c r="E294" s="2">
        <f ca="1">IFERROR(__xludf.DUMMYFUNCTION("""COMPUTED_VALUE"""),498.19)</f>
        <v>498.19</v>
      </c>
      <c r="F294" s="2">
        <f ca="1">IFERROR(__xludf.DUMMYFUNCTION("""COMPUTED_VALUE"""),12324141)</f>
        <v>12324141</v>
      </c>
    </row>
    <row r="295" spans="1:6" ht="12.5" x14ac:dyDescent="0.25">
      <c r="A295" s="3">
        <f ca="1">IFERROR(__xludf.DUMMYFUNCTION("""COMPUTED_VALUE"""),45356.6666666666)</f>
        <v>45356.666666666599</v>
      </c>
      <c r="B295" s="2">
        <f ca="1">IFERROR(__xludf.DUMMYFUNCTION("""COMPUTED_VALUE"""),495)</f>
        <v>495</v>
      </c>
      <c r="C295" s="2">
        <f ca="1">IFERROR(__xludf.DUMMYFUNCTION("""COMPUTED_VALUE"""),495.58)</f>
        <v>495.58</v>
      </c>
      <c r="D295" s="2">
        <f ca="1">IFERROR(__xludf.DUMMYFUNCTION("""COMPUTED_VALUE"""),487.89)</f>
        <v>487.89</v>
      </c>
      <c r="E295" s="2">
        <f ca="1">IFERROR(__xludf.DUMMYFUNCTION("""COMPUTED_VALUE"""),490.22)</f>
        <v>490.22</v>
      </c>
      <c r="F295" s="2">
        <f ca="1">IFERROR(__xludf.DUMMYFUNCTION("""COMPUTED_VALUE"""),15325299)</f>
        <v>15325299</v>
      </c>
    </row>
    <row r="296" spans="1:6" ht="12.5" x14ac:dyDescent="0.25">
      <c r="A296" s="3">
        <f ca="1">IFERROR(__xludf.DUMMYFUNCTION("""COMPUTED_VALUE"""),45357.6666666666)</f>
        <v>45357.666666666599</v>
      </c>
      <c r="B296" s="2">
        <f ca="1">IFERROR(__xludf.DUMMYFUNCTION("""COMPUTED_VALUE"""),497.63)</f>
        <v>497.63</v>
      </c>
      <c r="C296" s="2">
        <f ca="1">IFERROR(__xludf.DUMMYFUNCTION("""COMPUTED_VALUE"""),502.97)</f>
        <v>502.97</v>
      </c>
      <c r="D296" s="2">
        <f ca="1">IFERROR(__xludf.DUMMYFUNCTION("""COMPUTED_VALUE"""),494.29)</f>
        <v>494.29</v>
      </c>
      <c r="E296" s="2">
        <f ca="1">IFERROR(__xludf.DUMMYFUNCTION("""COMPUTED_VALUE"""),496.09)</f>
        <v>496.09</v>
      </c>
      <c r="F296" s="2">
        <f ca="1">IFERROR(__xludf.DUMMYFUNCTION("""COMPUTED_VALUE"""),11757925)</f>
        <v>11757925</v>
      </c>
    </row>
    <row r="297" spans="1:6" ht="12.5" x14ac:dyDescent="0.25">
      <c r="A297" s="3">
        <f ca="1">IFERROR(__xludf.DUMMYFUNCTION("""COMPUTED_VALUE"""),45358.6666666666)</f>
        <v>45358.666666666599</v>
      </c>
      <c r="B297" s="2">
        <f ca="1">IFERROR(__xludf.DUMMYFUNCTION("""COMPUTED_VALUE"""),503.28)</f>
        <v>503.28</v>
      </c>
      <c r="C297" s="2">
        <f ca="1">IFERROR(__xludf.DUMMYFUNCTION("""COMPUTED_VALUE"""),519.85)</f>
        <v>519.85</v>
      </c>
      <c r="D297" s="2">
        <f ca="1">IFERROR(__xludf.DUMMYFUNCTION("""COMPUTED_VALUE"""),501.38)</f>
        <v>501.38</v>
      </c>
      <c r="E297" s="2">
        <f ca="1">IFERROR(__xludf.DUMMYFUNCTION("""COMPUTED_VALUE"""),512.19)</f>
        <v>512.19000000000005</v>
      </c>
      <c r="F297" s="2">
        <f ca="1">IFERROR(__xludf.DUMMYFUNCTION("""COMPUTED_VALUE"""),18586437)</f>
        <v>18586437</v>
      </c>
    </row>
    <row r="298" spans="1:6" ht="12.5" x14ac:dyDescent="0.25">
      <c r="A298" s="3">
        <f ca="1">IFERROR(__xludf.DUMMYFUNCTION("""COMPUTED_VALUE"""),45359.6666666666)</f>
        <v>45359.666666666599</v>
      </c>
      <c r="B298" s="2">
        <f ca="1">IFERROR(__xludf.DUMMYFUNCTION("""COMPUTED_VALUE"""),514.19)</f>
        <v>514.19000000000005</v>
      </c>
      <c r="C298" s="2">
        <f ca="1">IFERROR(__xludf.DUMMYFUNCTION("""COMPUTED_VALUE"""),523.57)</f>
        <v>523.57000000000005</v>
      </c>
      <c r="D298" s="2">
        <f ca="1">IFERROR(__xludf.DUMMYFUNCTION("""COMPUTED_VALUE"""),499.35)</f>
        <v>499.35</v>
      </c>
      <c r="E298" s="2">
        <f ca="1">IFERROR(__xludf.DUMMYFUNCTION("""COMPUTED_VALUE"""),505.95)</f>
        <v>505.95</v>
      </c>
      <c r="F298" s="2">
        <f ca="1">IFERROR(__xludf.DUMMYFUNCTION("""COMPUTED_VALUE"""),18597059)</f>
        <v>18597059</v>
      </c>
    </row>
    <row r="299" spans="1:6" ht="12.5" x14ac:dyDescent="0.25">
      <c r="A299" s="3">
        <f ca="1">IFERROR(__xludf.DUMMYFUNCTION("""COMPUTED_VALUE"""),45362.6666666666)</f>
        <v>45362.666666666599</v>
      </c>
      <c r="B299" s="2">
        <f ca="1">IFERROR(__xludf.DUMMYFUNCTION("""COMPUTED_VALUE"""),497.01)</f>
        <v>497.01</v>
      </c>
      <c r="C299" s="2">
        <f ca="1">IFERROR(__xludf.DUMMYFUNCTION("""COMPUTED_VALUE"""),497.32)</f>
        <v>497.32</v>
      </c>
      <c r="D299" s="2">
        <f ca="1">IFERROR(__xludf.DUMMYFUNCTION("""COMPUTED_VALUE"""),476)</f>
        <v>476</v>
      </c>
      <c r="E299" s="2">
        <f ca="1">IFERROR(__xludf.DUMMYFUNCTION("""COMPUTED_VALUE"""),483.59)</f>
        <v>483.59</v>
      </c>
      <c r="F299" s="2">
        <f ca="1">IFERROR(__xludf.DUMMYFUNCTION("""COMPUTED_VALUE"""),20428274)</f>
        <v>20428274</v>
      </c>
    </row>
    <row r="300" spans="1:6" ht="12.5" x14ac:dyDescent="0.25">
      <c r="A300" s="3">
        <f ca="1">IFERROR(__xludf.DUMMYFUNCTION("""COMPUTED_VALUE"""),45363.6666666666)</f>
        <v>45363.666666666599</v>
      </c>
      <c r="B300" s="2">
        <f ca="1">IFERROR(__xludf.DUMMYFUNCTION("""COMPUTED_VALUE"""),493.26)</f>
        <v>493.26</v>
      </c>
      <c r="C300" s="2">
        <f ca="1">IFERROR(__xludf.DUMMYFUNCTION("""COMPUTED_VALUE"""),502.31)</f>
        <v>502.31</v>
      </c>
      <c r="D300" s="2">
        <f ca="1">IFERROR(__xludf.DUMMYFUNCTION("""COMPUTED_VALUE"""),484.73)</f>
        <v>484.73</v>
      </c>
      <c r="E300" s="2">
        <f ca="1">IFERROR(__xludf.DUMMYFUNCTION("""COMPUTED_VALUE"""),499.75)</f>
        <v>499.75</v>
      </c>
      <c r="F300" s="2">
        <f ca="1">IFERROR(__xludf.DUMMYFUNCTION("""COMPUTED_VALUE"""),15448232)</f>
        <v>15448232</v>
      </c>
    </row>
    <row r="301" spans="1:6" ht="12.5" x14ac:dyDescent="0.25">
      <c r="A301" s="3">
        <f ca="1">IFERROR(__xludf.DUMMYFUNCTION("""COMPUTED_VALUE"""),45364.6666666666)</f>
        <v>45364.666666666599</v>
      </c>
      <c r="B301" s="2">
        <f ca="1">IFERROR(__xludf.DUMMYFUNCTION("""COMPUTED_VALUE"""),495.39)</f>
        <v>495.39</v>
      </c>
      <c r="C301" s="2">
        <f ca="1">IFERROR(__xludf.DUMMYFUNCTION("""COMPUTED_VALUE"""),500.98)</f>
        <v>500.98</v>
      </c>
      <c r="D301" s="2">
        <f ca="1">IFERROR(__xludf.DUMMYFUNCTION("""COMPUTED_VALUE"""),491.03)</f>
        <v>491.03</v>
      </c>
      <c r="E301" s="2">
        <f ca="1">IFERROR(__xludf.DUMMYFUNCTION("""COMPUTED_VALUE"""),495.57)</f>
        <v>495.57</v>
      </c>
      <c r="F301" s="2">
        <f ca="1">IFERROR(__xludf.DUMMYFUNCTION("""COMPUTED_VALUE"""),12090656)</f>
        <v>12090656</v>
      </c>
    </row>
    <row r="302" spans="1:6" ht="12.5" x14ac:dyDescent="0.25">
      <c r="A302" s="3">
        <f ca="1">IFERROR(__xludf.DUMMYFUNCTION("""COMPUTED_VALUE"""),45365.6666666666)</f>
        <v>45365.666666666599</v>
      </c>
      <c r="B302" s="2">
        <f ca="1">IFERROR(__xludf.DUMMYFUNCTION("""COMPUTED_VALUE"""),500.26)</f>
        <v>500.26</v>
      </c>
      <c r="C302" s="2">
        <f ca="1">IFERROR(__xludf.DUMMYFUNCTION("""COMPUTED_VALUE"""),501.35)</f>
        <v>501.35</v>
      </c>
      <c r="D302" s="2">
        <f ca="1">IFERROR(__xludf.DUMMYFUNCTION("""COMPUTED_VALUE"""),488.16)</f>
        <v>488.16</v>
      </c>
      <c r="E302" s="2">
        <f ca="1">IFERROR(__xludf.DUMMYFUNCTION("""COMPUTED_VALUE"""),491.83)</f>
        <v>491.83</v>
      </c>
      <c r="F302" s="2">
        <f ca="1">IFERROR(__xludf.DUMMYFUNCTION("""COMPUTED_VALUE"""),12620014)</f>
        <v>12620014</v>
      </c>
    </row>
    <row r="303" spans="1:6" ht="12.5" x14ac:dyDescent="0.25">
      <c r="A303" s="3">
        <f ca="1">IFERROR(__xludf.DUMMYFUNCTION("""COMPUTED_VALUE"""),45366.6666666666)</f>
        <v>45366.666666666599</v>
      </c>
      <c r="B303" s="2">
        <f ca="1">IFERROR(__xludf.DUMMYFUNCTION("""COMPUTED_VALUE"""),489.01)</f>
        <v>489.01</v>
      </c>
      <c r="C303" s="2">
        <f ca="1">IFERROR(__xludf.DUMMYFUNCTION("""COMPUTED_VALUE"""),491.83)</f>
        <v>491.83</v>
      </c>
      <c r="D303" s="2">
        <f ca="1">IFERROR(__xludf.DUMMYFUNCTION("""COMPUTED_VALUE"""),481.3)</f>
        <v>481.3</v>
      </c>
      <c r="E303" s="2">
        <f ca="1">IFERROR(__xludf.DUMMYFUNCTION("""COMPUTED_VALUE"""),484.1)</f>
        <v>484.1</v>
      </c>
      <c r="F303" s="2">
        <f ca="1">IFERROR(__xludf.DUMMYFUNCTION("""COMPUTED_VALUE"""),29153576)</f>
        <v>29153576</v>
      </c>
    </row>
    <row r="304" spans="1:6" ht="12.5" x14ac:dyDescent="0.25">
      <c r="A304" s="3">
        <f ca="1">IFERROR(__xludf.DUMMYFUNCTION("""COMPUTED_VALUE"""),45369.6666666666)</f>
        <v>45369.666666666599</v>
      </c>
      <c r="B304" s="2">
        <f ca="1">IFERROR(__xludf.DUMMYFUNCTION("""COMPUTED_VALUE"""),491.91)</f>
        <v>491.91</v>
      </c>
      <c r="C304" s="2">
        <f ca="1">IFERROR(__xludf.DUMMYFUNCTION("""COMPUTED_VALUE"""),497.42)</f>
        <v>497.42</v>
      </c>
      <c r="D304" s="2">
        <f ca="1">IFERROR(__xludf.DUMMYFUNCTION("""COMPUTED_VALUE"""),486.81)</f>
        <v>486.81</v>
      </c>
      <c r="E304" s="2">
        <f ca="1">IFERROR(__xludf.DUMMYFUNCTION("""COMPUTED_VALUE"""),496.98)</f>
        <v>496.98</v>
      </c>
      <c r="F304" s="2">
        <f ca="1">IFERROR(__xludf.DUMMYFUNCTION("""COMPUTED_VALUE"""),11755251)</f>
        <v>11755251</v>
      </c>
    </row>
    <row r="305" spans="1:6" ht="12.5" x14ac:dyDescent="0.25">
      <c r="A305" s="3">
        <f ca="1">IFERROR(__xludf.DUMMYFUNCTION("""COMPUTED_VALUE"""),45370.6666666666)</f>
        <v>45370.666666666599</v>
      </c>
      <c r="B305" s="2">
        <f ca="1">IFERROR(__xludf.DUMMYFUNCTION("""COMPUTED_VALUE"""),488.17)</f>
        <v>488.17</v>
      </c>
      <c r="C305" s="2">
        <f ca="1">IFERROR(__xludf.DUMMYFUNCTION("""COMPUTED_VALUE"""),496.63)</f>
        <v>496.63</v>
      </c>
      <c r="D305" s="2">
        <f ca="1">IFERROR(__xludf.DUMMYFUNCTION("""COMPUTED_VALUE"""),481.28)</f>
        <v>481.28</v>
      </c>
      <c r="E305" s="2">
        <f ca="1">IFERROR(__xludf.DUMMYFUNCTION("""COMPUTED_VALUE"""),496.24)</f>
        <v>496.24</v>
      </c>
      <c r="F305" s="2">
        <f ca="1">IFERROR(__xludf.DUMMYFUNCTION("""COMPUTED_VALUE"""),10903092)</f>
        <v>10903092</v>
      </c>
    </row>
    <row r="306" spans="1:6" ht="12.5" x14ac:dyDescent="0.25">
      <c r="A306" s="3">
        <f ca="1">IFERROR(__xludf.DUMMYFUNCTION("""COMPUTED_VALUE"""),45371.6666666666)</f>
        <v>45371.666666666599</v>
      </c>
      <c r="B306" s="2">
        <f ca="1">IFERROR(__xludf.DUMMYFUNCTION("""COMPUTED_VALUE"""),499.5)</f>
        <v>499.5</v>
      </c>
      <c r="C306" s="2">
        <f ca="1">IFERROR(__xludf.DUMMYFUNCTION("""COMPUTED_VALUE"""),508.2)</f>
        <v>508.2</v>
      </c>
      <c r="D306" s="2">
        <f ca="1">IFERROR(__xludf.DUMMYFUNCTION("""COMPUTED_VALUE"""),495.17)</f>
        <v>495.17</v>
      </c>
      <c r="E306" s="2">
        <f ca="1">IFERROR(__xludf.DUMMYFUNCTION("""COMPUTED_VALUE"""),505.52)</f>
        <v>505.52</v>
      </c>
      <c r="F306" s="2">
        <f ca="1">IFERROR(__xludf.DUMMYFUNCTION("""COMPUTED_VALUE"""),11711100)</f>
        <v>11711100</v>
      </c>
    </row>
    <row r="307" spans="1:6" ht="12.5" x14ac:dyDescent="0.25">
      <c r="A307" s="3">
        <f ca="1">IFERROR(__xludf.DUMMYFUNCTION("""COMPUTED_VALUE"""),45372.6666666666)</f>
        <v>45372.666666666599</v>
      </c>
      <c r="B307" s="2">
        <f ca="1">IFERROR(__xludf.DUMMYFUNCTION("""COMPUTED_VALUE"""),514.71)</f>
        <v>514.71</v>
      </c>
      <c r="C307" s="2">
        <f ca="1">IFERROR(__xludf.DUMMYFUNCTION("""COMPUTED_VALUE"""),515.04)</f>
        <v>515.04</v>
      </c>
      <c r="D307" s="2">
        <f ca="1">IFERROR(__xludf.DUMMYFUNCTION("""COMPUTED_VALUE"""),506.01)</f>
        <v>506.01</v>
      </c>
      <c r="E307" s="2">
        <f ca="1">IFERROR(__xludf.DUMMYFUNCTION("""COMPUTED_VALUE"""),507.76)</f>
        <v>507.76</v>
      </c>
      <c r="F307" s="2">
        <f ca="1">IFERROR(__xludf.DUMMYFUNCTION("""COMPUTED_VALUE"""),9712549)</f>
        <v>9712549</v>
      </c>
    </row>
    <row r="308" spans="1:6" ht="12.5" x14ac:dyDescent="0.25">
      <c r="A308" s="3">
        <f ca="1">IFERROR(__xludf.DUMMYFUNCTION("""COMPUTED_VALUE"""),45373.6666666666)</f>
        <v>45373.666666666599</v>
      </c>
      <c r="B308" s="2">
        <f ca="1">IFERROR(__xludf.DUMMYFUNCTION("""COMPUTED_VALUE"""),507)</f>
        <v>507</v>
      </c>
      <c r="C308" s="2">
        <f ca="1">IFERROR(__xludf.DUMMYFUNCTION("""COMPUTED_VALUE"""),509.97)</f>
        <v>509.97</v>
      </c>
      <c r="D308" s="2">
        <f ca="1">IFERROR(__xludf.DUMMYFUNCTION("""COMPUTED_VALUE"""),504.34)</f>
        <v>504.34</v>
      </c>
      <c r="E308" s="2">
        <f ca="1">IFERROR(__xludf.DUMMYFUNCTION("""COMPUTED_VALUE"""),509.58)</f>
        <v>509.58</v>
      </c>
      <c r="F308" s="2">
        <f ca="1">IFERROR(__xludf.DUMMYFUNCTION("""COMPUTED_VALUE"""),8120593)</f>
        <v>8120593</v>
      </c>
    </row>
    <row r="309" spans="1:6" ht="12.5" x14ac:dyDescent="0.25">
      <c r="A309" s="3">
        <f ca="1">IFERROR(__xludf.DUMMYFUNCTION("""COMPUTED_VALUE"""),45376.6666666666)</f>
        <v>45376.666666666599</v>
      </c>
      <c r="B309" s="2">
        <f ca="1">IFERROR(__xludf.DUMMYFUNCTION("""COMPUTED_VALUE"""),505.79)</f>
        <v>505.79</v>
      </c>
      <c r="C309" s="2">
        <f ca="1">IFERROR(__xludf.DUMMYFUNCTION("""COMPUTED_VALUE"""),507.22)</f>
        <v>507.22</v>
      </c>
      <c r="D309" s="2">
        <f ca="1">IFERROR(__xludf.DUMMYFUNCTION("""COMPUTED_VALUE"""),500.24)</f>
        <v>500.24</v>
      </c>
      <c r="E309" s="2">
        <f ca="1">IFERROR(__xludf.DUMMYFUNCTION("""COMPUTED_VALUE"""),503.02)</f>
        <v>503.02</v>
      </c>
      <c r="F309" s="2">
        <f ca="1">IFERROR(__xludf.DUMMYFUNCTION("""COMPUTED_VALUE"""),8380617)</f>
        <v>8380617</v>
      </c>
    </row>
    <row r="310" spans="1:6" ht="12.5" x14ac:dyDescent="0.25">
      <c r="A310" s="3">
        <f ca="1">IFERROR(__xludf.DUMMYFUNCTION("""COMPUTED_VALUE"""),45377.6666666666)</f>
        <v>45377.666666666599</v>
      </c>
      <c r="B310" s="2">
        <f ca="1">IFERROR(__xludf.DUMMYFUNCTION("""COMPUTED_VALUE"""),505.13)</f>
        <v>505.13</v>
      </c>
      <c r="C310" s="2">
        <f ca="1">IFERROR(__xludf.DUMMYFUNCTION("""COMPUTED_VALUE"""),510)</f>
        <v>510</v>
      </c>
      <c r="D310" s="2">
        <f ca="1">IFERROR(__xludf.DUMMYFUNCTION("""COMPUTED_VALUE"""),495.21)</f>
        <v>495.21</v>
      </c>
      <c r="E310" s="2">
        <f ca="1">IFERROR(__xludf.DUMMYFUNCTION("""COMPUTED_VALUE"""),495.89)</f>
        <v>495.89</v>
      </c>
      <c r="F310" s="2">
        <f ca="1">IFERROR(__xludf.DUMMYFUNCTION("""COMPUTED_VALUE"""),11205382)</f>
        <v>11205382</v>
      </c>
    </row>
    <row r="311" spans="1:6" ht="12.5" x14ac:dyDescent="0.25">
      <c r="A311" s="3">
        <f ca="1">IFERROR(__xludf.DUMMYFUNCTION("""COMPUTED_VALUE"""),45378.6666666666)</f>
        <v>45378.666666666599</v>
      </c>
      <c r="B311" s="2">
        <f ca="1">IFERROR(__xludf.DUMMYFUNCTION("""COMPUTED_VALUE"""),499.3)</f>
        <v>499.3</v>
      </c>
      <c r="C311" s="2">
        <f ca="1">IFERROR(__xludf.DUMMYFUNCTION("""COMPUTED_VALUE"""),499.89)</f>
        <v>499.89</v>
      </c>
      <c r="D311" s="2">
        <f ca="1">IFERROR(__xludf.DUMMYFUNCTION("""COMPUTED_VALUE"""),488.07)</f>
        <v>488.07</v>
      </c>
      <c r="E311" s="2">
        <f ca="1">IFERROR(__xludf.DUMMYFUNCTION("""COMPUTED_VALUE"""),493.86)</f>
        <v>493.86</v>
      </c>
      <c r="F311" s="2">
        <f ca="1">IFERROR(__xludf.DUMMYFUNCTION("""COMPUTED_VALUE"""),9989676)</f>
        <v>9989676</v>
      </c>
    </row>
    <row r="312" spans="1:6" ht="12.5" x14ac:dyDescent="0.25">
      <c r="A312" s="3">
        <f ca="1">IFERROR(__xludf.DUMMYFUNCTION("""COMPUTED_VALUE"""),45379.6666666666)</f>
        <v>45379.666666666599</v>
      </c>
      <c r="B312" s="2">
        <f ca="1">IFERROR(__xludf.DUMMYFUNCTION("""COMPUTED_VALUE"""),492.84)</f>
        <v>492.84</v>
      </c>
      <c r="C312" s="2">
        <f ca="1">IFERROR(__xludf.DUMMYFUNCTION("""COMPUTED_VALUE"""),492.89)</f>
        <v>492.89</v>
      </c>
      <c r="D312" s="2">
        <f ca="1">IFERROR(__xludf.DUMMYFUNCTION("""COMPUTED_VALUE"""),485.15)</f>
        <v>485.15</v>
      </c>
      <c r="E312" s="2">
        <f ca="1">IFERROR(__xludf.DUMMYFUNCTION("""COMPUTED_VALUE"""),485.58)</f>
        <v>485.58</v>
      </c>
      <c r="F312" s="2">
        <f ca="1">IFERROR(__xludf.DUMMYFUNCTION("""COMPUTED_VALUE"""),15212764)</f>
        <v>15212764</v>
      </c>
    </row>
    <row r="313" spans="1:6" ht="12.5" x14ac:dyDescent="0.25">
      <c r="A313" s="3">
        <f ca="1">IFERROR(__xludf.DUMMYFUNCTION("""COMPUTED_VALUE"""),45383.6666666666)</f>
        <v>45383.666666666599</v>
      </c>
      <c r="B313" s="2">
        <f ca="1">IFERROR(__xludf.DUMMYFUNCTION("""COMPUTED_VALUE"""),487.2)</f>
        <v>487.2</v>
      </c>
      <c r="C313" s="2">
        <f ca="1">IFERROR(__xludf.DUMMYFUNCTION("""COMPUTED_VALUE"""),497.43)</f>
        <v>497.43</v>
      </c>
      <c r="D313" s="2">
        <f ca="1">IFERROR(__xludf.DUMMYFUNCTION("""COMPUTED_VALUE"""),481.78)</f>
        <v>481.78</v>
      </c>
      <c r="E313" s="2">
        <f ca="1">IFERROR(__xludf.DUMMYFUNCTION("""COMPUTED_VALUE"""),491.35)</f>
        <v>491.35</v>
      </c>
      <c r="F313" s="2">
        <f ca="1">IFERROR(__xludf.DUMMYFUNCTION("""COMPUTED_VALUE"""),9247007)</f>
        <v>9247007</v>
      </c>
    </row>
    <row r="314" spans="1:6" ht="12.5" x14ac:dyDescent="0.25">
      <c r="A314" s="3">
        <f ca="1">IFERROR(__xludf.DUMMYFUNCTION("""COMPUTED_VALUE"""),45384.6666666666)</f>
        <v>45384.666666666599</v>
      </c>
      <c r="B314" s="2">
        <f ca="1">IFERROR(__xludf.DUMMYFUNCTION("""COMPUTED_VALUE"""),485.1)</f>
        <v>485.1</v>
      </c>
      <c r="C314" s="2">
        <f ca="1">IFERROR(__xludf.DUMMYFUNCTION("""COMPUTED_VALUE"""),497.53)</f>
        <v>497.53</v>
      </c>
      <c r="D314" s="2">
        <f ca="1">IFERROR(__xludf.DUMMYFUNCTION("""COMPUTED_VALUE"""),484.65)</f>
        <v>484.65</v>
      </c>
      <c r="E314" s="2">
        <f ca="1">IFERROR(__xludf.DUMMYFUNCTION("""COMPUTED_VALUE"""),497.37)</f>
        <v>497.37</v>
      </c>
      <c r="F314" s="2">
        <f ca="1">IFERROR(__xludf.DUMMYFUNCTION("""COMPUTED_VALUE"""),11081026)</f>
        <v>11081026</v>
      </c>
    </row>
    <row r="315" spans="1:6" ht="12.5" x14ac:dyDescent="0.25">
      <c r="A315" s="3">
        <f ca="1">IFERROR(__xludf.DUMMYFUNCTION("""COMPUTED_VALUE"""),45385.6666666666)</f>
        <v>45385.666666666599</v>
      </c>
      <c r="B315" s="2">
        <f ca="1">IFERROR(__xludf.DUMMYFUNCTION("""COMPUTED_VALUE"""),498.93)</f>
        <v>498.93</v>
      </c>
      <c r="C315" s="2">
        <f ca="1">IFERROR(__xludf.DUMMYFUNCTION("""COMPUTED_VALUE"""),507.24)</f>
        <v>507.24</v>
      </c>
      <c r="D315" s="2">
        <f ca="1">IFERROR(__xludf.DUMMYFUNCTION("""COMPUTED_VALUE"""),498.75)</f>
        <v>498.75</v>
      </c>
      <c r="E315" s="2">
        <f ca="1">IFERROR(__xludf.DUMMYFUNCTION("""COMPUTED_VALUE"""),506.74)</f>
        <v>506.74</v>
      </c>
      <c r="F315" s="2">
        <f ca="1">IFERROR(__xludf.DUMMYFUNCTION("""COMPUTED_VALUE"""),12099171)</f>
        <v>12099171</v>
      </c>
    </row>
    <row r="316" spans="1:6" ht="12.5" x14ac:dyDescent="0.25">
      <c r="A316" s="3">
        <f ca="1">IFERROR(__xludf.DUMMYFUNCTION("""COMPUTED_VALUE"""),45386.6666666666)</f>
        <v>45386.666666666599</v>
      </c>
      <c r="B316" s="2">
        <f ca="1">IFERROR(__xludf.DUMMYFUNCTION("""COMPUTED_VALUE"""),516.42)</f>
        <v>516.41999999999996</v>
      </c>
      <c r="C316" s="2">
        <f ca="1">IFERROR(__xludf.DUMMYFUNCTION("""COMPUTED_VALUE"""),530)</f>
        <v>530</v>
      </c>
      <c r="D316" s="2">
        <f ca="1">IFERROR(__xludf.DUMMYFUNCTION("""COMPUTED_VALUE"""),510.58)</f>
        <v>510.58</v>
      </c>
      <c r="E316" s="2">
        <f ca="1">IFERROR(__xludf.DUMMYFUNCTION("""COMPUTED_VALUE"""),510.92)</f>
        <v>510.92</v>
      </c>
      <c r="F316" s="2">
        <f ca="1">IFERROR(__xludf.DUMMYFUNCTION("""COMPUTED_VALUE"""),26476253)</f>
        <v>26476253</v>
      </c>
    </row>
    <row r="317" spans="1:6" ht="12.5" x14ac:dyDescent="0.25">
      <c r="A317" s="3">
        <f ca="1">IFERROR(__xludf.DUMMYFUNCTION("""COMPUTED_VALUE"""),45387.6666666666)</f>
        <v>45387.666666666599</v>
      </c>
      <c r="B317" s="2">
        <f ca="1">IFERROR(__xludf.DUMMYFUNCTION("""COMPUTED_VALUE"""),516.86)</f>
        <v>516.86</v>
      </c>
      <c r="C317" s="2">
        <f ca="1">IFERROR(__xludf.DUMMYFUNCTION("""COMPUTED_VALUE"""),530.7)</f>
        <v>530.70000000000005</v>
      </c>
      <c r="D317" s="2">
        <f ca="1">IFERROR(__xludf.DUMMYFUNCTION("""COMPUTED_VALUE"""),514.41)</f>
        <v>514.41</v>
      </c>
      <c r="E317" s="2">
        <f ca="1">IFERROR(__xludf.DUMMYFUNCTION("""COMPUTED_VALUE"""),527.34)</f>
        <v>527.34</v>
      </c>
      <c r="F317" s="2">
        <f ca="1">IFERROR(__xludf.DUMMYFUNCTION("""COMPUTED_VALUE"""),19263265)</f>
        <v>19263265</v>
      </c>
    </row>
    <row r="318" spans="1:6" ht="12.5" x14ac:dyDescent="0.25">
      <c r="A318" s="3">
        <f ca="1">IFERROR(__xludf.DUMMYFUNCTION("""COMPUTED_VALUE"""),45390.6666666666)</f>
        <v>45390.666666666599</v>
      </c>
      <c r="B318" s="2">
        <f ca="1">IFERROR(__xludf.DUMMYFUNCTION("""COMPUTED_VALUE"""),529.28)</f>
        <v>529.28</v>
      </c>
      <c r="C318" s="2">
        <f ca="1">IFERROR(__xludf.DUMMYFUNCTION("""COMPUTED_VALUE"""),531.49)</f>
        <v>531.49</v>
      </c>
      <c r="D318" s="2">
        <f ca="1">IFERROR(__xludf.DUMMYFUNCTION("""COMPUTED_VALUE"""),518.89)</f>
        <v>518.89</v>
      </c>
      <c r="E318" s="2">
        <f ca="1">IFERROR(__xludf.DUMMYFUNCTION("""COMPUTED_VALUE"""),519.25)</f>
        <v>519.25</v>
      </c>
      <c r="F318" s="2">
        <f ca="1">IFERROR(__xludf.DUMMYFUNCTION("""COMPUTED_VALUE"""),13260579)</f>
        <v>13260579</v>
      </c>
    </row>
    <row r="319" spans="1:6" ht="12.5" x14ac:dyDescent="0.25">
      <c r="A319" s="3">
        <f ca="1">IFERROR(__xludf.DUMMYFUNCTION("""COMPUTED_VALUE"""),45391.6666666666)</f>
        <v>45391.666666666599</v>
      </c>
      <c r="B319" s="2">
        <f ca="1">IFERROR(__xludf.DUMMYFUNCTION("""COMPUTED_VALUE"""),522.23)</f>
        <v>522.23</v>
      </c>
      <c r="C319" s="2">
        <f ca="1">IFERROR(__xludf.DUMMYFUNCTION("""COMPUTED_VALUE"""),525.87)</f>
        <v>525.87</v>
      </c>
      <c r="D319" s="2">
        <f ca="1">IFERROR(__xludf.DUMMYFUNCTION("""COMPUTED_VALUE"""),506.74)</f>
        <v>506.74</v>
      </c>
      <c r="E319" s="2">
        <f ca="1">IFERROR(__xludf.DUMMYFUNCTION("""COMPUTED_VALUE"""),516.9)</f>
        <v>516.9</v>
      </c>
      <c r="F319" s="2">
        <f ca="1">IFERROR(__xludf.DUMMYFUNCTION("""COMPUTED_VALUE"""),10881445)</f>
        <v>10881445</v>
      </c>
    </row>
    <row r="320" spans="1:6" ht="12.5" x14ac:dyDescent="0.25">
      <c r="A320" s="3">
        <f ca="1">IFERROR(__xludf.DUMMYFUNCTION("""COMPUTED_VALUE"""),45392.6666666666)</f>
        <v>45392.666666666599</v>
      </c>
      <c r="B320" s="2">
        <f ca="1">IFERROR(__xludf.DUMMYFUNCTION("""COMPUTED_VALUE"""),509.29)</f>
        <v>509.29</v>
      </c>
      <c r="C320" s="2">
        <f ca="1">IFERROR(__xludf.DUMMYFUNCTION("""COMPUTED_VALUE"""),522.56)</f>
        <v>522.55999999999995</v>
      </c>
      <c r="D320" s="2">
        <f ca="1">IFERROR(__xludf.DUMMYFUNCTION("""COMPUTED_VALUE"""),505.8)</f>
        <v>505.8</v>
      </c>
      <c r="E320" s="2">
        <f ca="1">IFERROR(__xludf.DUMMYFUNCTION("""COMPUTED_VALUE"""),519.83)</f>
        <v>519.83000000000004</v>
      </c>
      <c r="F320" s="2">
        <f ca="1">IFERROR(__xludf.DUMMYFUNCTION("""COMPUTED_VALUE"""),11418491)</f>
        <v>11418491</v>
      </c>
    </row>
    <row r="321" spans="1:6" ht="12.5" x14ac:dyDescent="0.25">
      <c r="A321" s="3">
        <f ca="1">IFERROR(__xludf.DUMMYFUNCTION("""COMPUTED_VALUE"""),45393.6666666666)</f>
        <v>45393.666666666599</v>
      </c>
      <c r="B321" s="2">
        <f ca="1">IFERROR(__xludf.DUMMYFUNCTION("""COMPUTED_VALUE"""),521.11)</f>
        <v>521.11</v>
      </c>
      <c r="C321" s="2">
        <f ca="1">IFERROR(__xludf.DUMMYFUNCTION("""COMPUTED_VALUE"""),523.86)</f>
        <v>523.86</v>
      </c>
      <c r="D321" s="2">
        <f ca="1">IFERROR(__xludf.DUMMYFUNCTION("""COMPUTED_VALUE"""),517.29)</f>
        <v>517.29</v>
      </c>
      <c r="E321" s="2">
        <f ca="1">IFERROR(__xludf.DUMMYFUNCTION("""COMPUTED_VALUE"""),523.16)</f>
        <v>523.16</v>
      </c>
      <c r="F321" s="2">
        <f ca="1">IFERROR(__xludf.DUMMYFUNCTION("""COMPUTED_VALUE"""),10369469)</f>
        <v>10369469</v>
      </c>
    </row>
    <row r="322" spans="1:6" ht="12.5" x14ac:dyDescent="0.25">
      <c r="A322" s="3">
        <f ca="1">IFERROR(__xludf.DUMMYFUNCTION("""COMPUTED_VALUE"""),45394.6666666666)</f>
        <v>45394.666666666599</v>
      </c>
      <c r="B322" s="2">
        <f ca="1">IFERROR(__xludf.DUMMYFUNCTION("""COMPUTED_VALUE"""),517.75)</f>
        <v>517.75</v>
      </c>
      <c r="C322" s="2">
        <f ca="1">IFERROR(__xludf.DUMMYFUNCTION("""COMPUTED_VALUE"""),520.19)</f>
        <v>520.19000000000005</v>
      </c>
      <c r="D322" s="2">
        <f ca="1">IFERROR(__xludf.DUMMYFUNCTION("""COMPUTED_VALUE"""),509.33)</f>
        <v>509.33</v>
      </c>
      <c r="E322" s="2">
        <f ca="1">IFERROR(__xludf.DUMMYFUNCTION("""COMPUTED_VALUE"""),511.9)</f>
        <v>511.9</v>
      </c>
      <c r="F322" s="2">
        <f ca="1">IFERROR(__xludf.DUMMYFUNCTION("""COMPUTED_VALUE"""),11984535)</f>
        <v>11984535</v>
      </c>
    </row>
    <row r="323" spans="1:6" ht="12.5" x14ac:dyDescent="0.25">
      <c r="A323" s="3">
        <f ca="1">IFERROR(__xludf.DUMMYFUNCTION("""COMPUTED_VALUE"""),45397.6666666666)</f>
        <v>45397.666666666599</v>
      </c>
      <c r="B323" s="2">
        <f ca="1">IFERROR(__xludf.DUMMYFUNCTION("""COMPUTED_VALUE"""),516.72)</f>
        <v>516.72</v>
      </c>
      <c r="C323" s="2">
        <f ca="1">IFERROR(__xludf.DUMMYFUNCTION("""COMPUTED_VALUE"""),518.53)</f>
        <v>518.53</v>
      </c>
      <c r="D323" s="2">
        <f ca="1">IFERROR(__xludf.DUMMYFUNCTION("""COMPUTED_VALUE"""),497.28)</f>
        <v>497.28</v>
      </c>
      <c r="E323" s="2">
        <f ca="1">IFERROR(__xludf.DUMMYFUNCTION("""COMPUTED_VALUE"""),500.23)</f>
        <v>500.23</v>
      </c>
      <c r="F323" s="2">
        <f ca="1">IFERROR(__xludf.DUMMYFUNCTION("""COMPUTED_VALUE"""),13512893)</f>
        <v>13512893</v>
      </c>
    </row>
    <row r="324" spans="1:6" ht="12.5" x14ac:dyDescent="0.25">
      <c r="A324" s="3">
        <f ca="1">IFERROR(__xludf.DUMMYFUNCTION("""COMPUTED_VALUE"""),45398.6666666666)</f>
        <v>45398.666666666599</v>
      </c>
      <c r="B324" s="2">
        <f ca="1">IFERROR(__xludf.DUMMYFUNCTION("""COMPUTED_VALUE"""),498.11)</f>
        <v>498.11</v>
      </c>
      <c r="C324" s="2">
        <f ca="1">IFERROR(__xludf.DUMMYFUNCTION("""COMPUTED_VALUE"""),504.77)</f>
        <v>504.77</v>
      </c>
      <c r="D324" s="2">
        <f ca="1">IFERROR(__xludf.DUMMYFUNCTION("""COMPUTED_VALUE"""),497.11)</f>
        <v>497.11</v>
      </c>
      <c r="E324" s="2">
        <f ca="1">IFERROR(__xludf.DUMMYFUNCTION("""COMPUTED_VALUE"""),499.76)</f>
        <v>499.76</v>
      </c>
      <c r="F324" s="2">
        <f ca="1">IFERROR(__xludf.DUMMYFUNCTION("""COMPUTED_VALUE"""),9847925)</f>
        <v>9847925</v>
      </c>
    </row>
    <row r="325" spans="1:6" ht="12.5" x14ac:dyDescent="0.25">
      <c r="A325" s="3">
        <f ca="1">IFERROR(__xludf.DUMMYFUNCTION("""COMPUTED_VALUE"""),45399.6666666666)</f>
        <v>45399.666666666599</v>
      </c>
      <c r="B325" s="2">
        <f ca="1">IFERROR(__xludf.DUMMYFUNCTION("""COMPUTED_VALUE"""),503.1)</f>
        <v>503.1</v>
      </c>
      <c r="C325" s="2">
        <f ca="1">IFERROR(__xludf.DUMMYFUNCTION("""COMPUTED_VALUE"""),503.16)</f>
        <v>503.16</v>
      </c>
      <c r="D325" s="2">
        <f ca="1">IFERROR(__xludf.DUMMYFUNCTION("""COMPUTED_VALUE"""),487.14)</f>
        <v>487.14</v>
      </c>
      <c r="E325" s="2">
        <f ca="1">IFERROR(__xludf.DUMMYFUNCTION("""COMPUTED_VALUE"""),494.17)</f>
        <v>494.17</v>
      </c>
      <c r="F325" s="2">
        <f ca="1">IFERROR(__xludf.DUMMYFUNCTION("""COMPUTED_VALUE"""),12193743)</f>
        <v>12193743</v>
      </c>
    </row>
    <row r="326" spans="1:6" ht="12.5" x14ac:dyDescent="0.25">
      <c r="A326" s="3">
        <f ca="1">IFERROR(__xludf.DUMMYFUNCTION("""COMPUTED_VALUE"""),45400.6666666666)</f>
        <v>45400.666666666599</v>
      </c>
      <c r="B326" s="2">
        <f ca="1">IFERROR(__xludf.DUMMYFUNCTION("""COMPUTED_VALUE"""),499.82)</f>
        <v>499.82</v>
      </c>
      <c r="C326" s="2">
        <f ca="1">IFERROR(__xludf.DUMMYFUNCTION("""COMPUTED_VALUE"""),512.21)</f>
        <v>512.21</v>
      </c>
      <c r="D326" s="2">
        <f ca="1">IFERROR(__xludf.DUMMYFUNCTION("""COMPUTED_VALUE"""),499.04)</f>
        <v>499.04</v>
      </c>
      <c r="E326" s="2">
        <f ca="1">IFERROR(__xludf.DUMMYFUNCTION("""COMPUTED_VALUE"""),501.8)</f>
        <v>501.8</v>
      </c>
      <c r="F326" s="2">
        <f ca="1">IFERROR(__xludf.DUMMYFUNCTION("""COMPUTED_VALUE"""),14808670)</f>
        <v>14808670</v>
      </c>
    </row>
    <row r="327" spans="1:6" ht="12.5" x14ac:dyDescent="0.25">
      <c r="A327" s="3">
        <f ca="1">IFERROR(__xludf.DUMMYFUNCTION("""COMPUTED_VALUE"""),45401.6666666666)</f>
        <v>45401.666666666599</v>
      </c>
      <c r="B327" s="2">
        <f ca="1">IFERROR(__xludf.DUMMYFUNCTION("""COMPUTED_VALUE"""),502.8)</f>
        <v>502.8</v>
      </c>
      <c r="C327" s="2">
        <f ca="1">IFERROR(__xludf.DUMMYFUNCTION("""COMPUTED_VALUE"""),502.8)</f>
        <v>502.8</v>
      </c>
      <c r="D327" s="2">
        <f ca="1">IFERROR(__xludf.DUMMYFUNCTION("""COMPUTED_VALUE"""),475.73)</f>
        <v>475.73</v>
      </c>
      <c r="E327" s="2">
        <f ca="1">IFERROR(__xludf.DUMMYFUNCTION("""COMPUTED_VALUE"""),481.07)</f>
        <v>481.07</v>
      </c>
      <c r="F327" s="2">
        <f ca="1">IFERROR(__xludf.DUMMYFUNCTION("""COMPUTED_VALUE"""),25215364)</f>
        <v>25215364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327"/>
  <sheetViews>
    <sheetView workbookViewId="0"/>
  </sheetViews>
  <sheetFormatPr defaultColWidth="12.6328125" defaultRowHeight="15.75" customHeight="1" x14ac:dyDescent="0.25"/>
  <sheetData>
    <row r="1" spans="1:6" ht="15.75" customHeight="1" x14ac:dyDescent="0.25">
      <c r="A1" s="3" t="str">
        <f ca="1">IFERROR(__xludf.DUMMYFUNCTION("GOOGLEFINANCE(""MSFT"",""all"",DATE(2023,1,1), today())"),"Date")</f>
        <v>Date</v>
      </c>
      <c r="B1" s="2" t="str">
        <f ca="1">IFERROR(__xludf.DUMMYFUNCTION("""COMPUTED_VALUE"""),"Open")</f>
        <v>Open</v>
      </c>
      <c r="C1" s="2" t="str">
        <f ca="1">IFERROR(__xludf.DUMMYFUNCTION("""COMPUTED_VALUE"""),"High")</f>
        <v>High</v>
      </c>
      <c r="D1" s="2" t="str">
        <f ca="1">IFERROR(__xludf.DUMMYFUNCTION("""COMPUTED_VALUE"""),"Low")</f>
        <v>Low</v>
      </c>
      <c r="E1" s="2" t="str">
        <f ca="1">IFERROR(__xludf.DUMMYFUNCTION("""COMPUTED_VALUE"""),"Close")</f>
        <v>Close</v>
      </c>
      <c r="F1" s="2" t="str">
        <f ca="1">IFERROR(__xludf.DUMMYFUNCTION("""COMPUTED_VALUE"""),"Volume")</f>
        <v>Volume</v>
      </c>
    </row>
    <row r="2" spans="1:6" ht="15.75" customHeight="1" x14ac:dyDescent="0.25">
      <c r="A2" s="3">
        <f ca="1">IFERROR(__xludf.DUMMYFUNCTION("""COMPUTED_VALUE"""),44929.6666666666)</f>
        <v>44929.666666666599</v>
      </c>
      <c r="B2" s="2">
        <f ca="1">IFERROR(__xludf.DUMMYFUNCTION("""COMPUTED_VALUE"""),243.08)</f>
        <v>243.08</v>
      </c>
      <c r="C2" s="2">
        <f ca="1">IFERROR(__xludf.DUMMYFUNCTION("""COMPUTED_VALUE"""),245.75)</f>
        <v>245.75</v>
      </c>
      <c r="D2" s="2">
        <f ca="1">IFERROR(__xludf.DUMMYFUNCTION("""COMPUTED_VALUE"""),237.4)</f>
        <v>237.4</v>
      </c>
      <c r="E2" s="2">
        <f ca="1">IFERROR(__xludf.DUMMYFUNCTION("""COMPUTED_VALUE"""),239.58)</f>
        <v>239.58</v>
      </c>
      <c r="F2" s="2">
        <f ca="1">IFERROR(__xludf.DUMMYFUNCTION("""COMPUTED_VALUE"""),25740036)</f>
        <v>25740036</v>
      </c>
    </row>
    <row r="3" spans="1:6" ht="15.75" customHeight="1" x14ac:dyDescent="0.25">
      <c r="A3" s="3">
        <f ca="1">IFERROR(__xludf.DUMMYFUNCTION("""COMPUTED_VALUE"""),44930.6666666666)</f>
        <v>44930.666666666599</v>
      </c>
      <c r="B3" s="2">
        <f ca="1">IFERROR(__xludf.DUMMYFUNCTION("""COMPUTED_VALUE"""),232.28)</f>
        <v>232.28</v>
      </c>
      <c r="C3" s="2">
        <f ca="1">IFERROR(__xludf.DUMMYFUNCTION("""COMPUTED_VALUE"""),232.87)</f>
        <v>232.87</v>
      </c>
      <c r="D3" s="2">
        <f ca="1">IFERROR(__xludf.DUMMYFUNCTION("""COMPUTED_VALUE"""),225.96)</f>
        <v>225.96</v>
      </c>
      <c r="E3" s="2">
        <f ca="1">IFERROR(__xludf.DUMMYFUNCTION("""COMPUTED_VALUE"""),229.1)</f>
        <v>229.1</v>
      </c>
      <c r="F3" s="2">
        <f ca="1">IFERROR(__xludf.DUMMYFUNCTION("""COMPUTED_VALUE"""),50623394)</f>
        <v>50623394</v>
      </c>
    </row>
    <row r="4" spans="1:6" ht="15.75" customHeight="1" x14ac:dyDescent="0.25">
      <c r="A4" s="3">
        <f ca="1">IFERROR(__xludf.DUMMYFUNCTION("""COMPUTED_VALUE"""),44931.6666666666)</f>
        <v>44931.666666666599</v>
      </c>
      <c r="B4" s="2">
        <f ca="1">IFERROR(__xludf.DUMMYFUNCTION("""COMPUTED_VALUE"""),227.2)</f>
        <v>227.2</v>
      </c>
      <c r="C4" s="2">
        <f ca="1">IFERROR(__xludf.DUMMYFUNCTION("""COMPUTED_VALUE"""),227.55)</f>
        <v>227.55</v>
      </c>
      <c r="D4" s="2">
        <f ca="1">IFERROR(__xludf.DUMMYFUNCTION("""COMPUTED_VALUE"""),221.76)</f>
        <v>221.76</v>
      </c>
      <c r="E4" s="2">
        <f ca="1">IFERROR(__xludf.DUMMYFUNCTION("""COMPUTED_VALUE"""),222.31)</f>
        <v>222.31</v>
      </c>
      <c r="F4" s="2">
        <f ca="1">IFERROR(__xludf.DUMMYFUNCTION("""COMPUTED_VALUE"""),39585623)</f>
        <v>39585623</v>
      </c>
    </row>
    <row r="5" spans="1:6" ht="15.75" customHeight="1" x14ac:dyDescent="0.25">
      <c r="A5" s="3">
        <f ca="1">IFERROR(__xludf.DUMMYFUNCTION("""COMPUTED_VALUE"""),44932.6666666666)</f>
        <v>44932.666666666599</v>
      </c>
      <c r="B5" s="2">
        <f ca="1">IFERROR(__xludf.DUMMYFUNCTION("""COMPUTED_VALUE"""),223)</f>
        <v>223</v>
      </c>
      <c r="C5" s="2">
        <f ca="1">IFERROR(__xludf.DUMMYFUNCTION("""COMPUTED_VALUE"""),225.76)</f>
        <v>225.76</v>
      </c>
      <c r="D5" s="2">
        <f ca="1">IFERROR(__xludf.DUMMYFUNCTION("""COMPUTED_VALUE"""),219.35)</f>
        <v>219.35</v>
      </c>
      <c r="E5" s="2">
        <f ca="1">IFERROR(__xludf.DUMMYFUNCTION("""COMPUTED_VALUE"""),224.93)</f>
        <v>224.93</v>
      </c>
      <c r="F5" s="2">
        <f ca="1">IFERROR(__xludf.DUMMYFUNCTION("""COMPUTED_VALUE"""),43613574)</f>
        <v>43613574</v>
      </c>
    </row>
    <row r="6" spans="1:6" ht="15.75" customHeight="1" x14ac:dyDescent="0.25">
      <c r="A6" s="3">
        <f ca="1">IFERROR(__xludf.DUMMYFUNCTION("""COMPUTED_VALUE"""),44935.6666666666)</f>
        <v>44935.666666666599</v>
      </c>
      <c r="B6" s="2">
        <f ca="1">IFERROR(__xludf.DUMMYFUNCTION("""COMPUTED_VALUE"""),226.45)</f>
        <v>226.45</v>
      </c>
      <c r="C6" s="2">
        <f ca="1">IFERROR(__xludf.DUMMYFUNCTION("""COMPUTED_VALUE"""),231.24)</f>
        <v>231.24</v>
      </c>
      <c r="D6" s="2">
        <f ca="1">IFERROR(__xludf.DUMMYFUNCTION("""COMPUTED_VALUE"""),226.41)</f>
        <v>226.41</v>
      </c>
      <c r="E6" s="2">
        <f ca="1">IFERROR(__xludf.DUMMYFUNCTION("""COMPUTED_VALUE"""),227.12)</f>
        <v>227.12</v>
      </c>
      <c r="F6" s="2">
        <f ca="1">IFERROR(__xludf.DUMMYFUNCTION("""COMPUTED_VALUE"""),27369784)</f>
        <v>27369784</v>
      </c>
    </row>
    <row r="7" spans="1:6" ht="15.75" customHeight="1" x14ac:dyDescent="0.25">
      <c r="A7" s="3">
        <f ca="1">IFERROR(__xludf.DUMMYFUNCTION("""COMPUTED_VALUE"""),44936.6666666666)</f>
        <v>44936.666666666599</v>
      </c>
      <c r="B7" s="2">
        <f ca="1">IFERROR(__xludf.DUMMYFUNCTION("""COMPUTED_VALUE"""),227.76)</f>
        <v>227.76</v>
      </c>
      <c r="C7" s="2">
        <f ca="1">IFERROR(__xludf.DUMMYFUNCTION("""COMPUTED_VALUE"""),231.31)</f>
        <v>231.31</v>
      </c>
      <c r="D7" s="2">
        <f ca="1">IFERROR(__xludf.DUMMYFUNCTION("""COMPUTED_VALUE"""),227.33)</f>
        <v>227.33</v>
      </c>
      <c r="E7" s="2">
        <f ca="1">IFERROR(__xludf.DUMMYFUNCTION("""COMPUTED_VALUE"""),228.85)</f>
        <v>228.85</v>
      </c>
      <c r="F7" s="2">
        <f ca="1">IFERROR(__xludf.DUMMYFUNCTION("""COMPUTED_VALUE"""),27033881)</f>
        <v>27033881</v>
      </c>
    </row>
    <row r="8" spans="1:6" ht="15.75" customHeight="1" x14ac:dyDescent="0.25">
      <c r="A8" s="3">
        <f ca="1">IFERROR(__xludf.DUMMYFUNCTION("""COMPUTED_VALUE"""),44937.6666666666)</f>
        <v>44937.666666666599</v>
      </c>
      <c r="B8" s="2">
        <f ca="1">IFERROR(__xludf.DUMMYFUNCTION("""COMPUTED_VALUE"""),231.29)</f>
        <v>231.29</v>
      </c>
      <c r="C8" s="2">
        <f ca="1">IFERROR(__xludf.DUMMYFUNCTION("""COMPUTED_VALUE"""),235.95)</f>
        <v>235.95</v>
      </c>
      <c r="D8" s="2">
        <f ca="1">IFERROR(__xludf.DUMMYFUNCTION("""COMPUTED_VALUE"""),231.11)</f>
        <v>231.11</v>
      </c>
      <c r="E8" s="2">
        <f ca="1">IFERROR(__xludf.DUMMYFUNCTION("""COMPUTED_VALUE"""),235.77)</f>
        <v>235.77</v>
      </c>
      <c r="F8" s="2">
        <f ca="1">IFERROR(__xludf.DUMMYFUNCTION("""COMPUTED_VALUE"""),28669331)</f>
        <v>28669331</v>
      </c>
    </row>
    <row r="9" spans="1:6" ht="15.75" customHeight="1" x14ac:dyDescent="0.25">
      <c r="A9" s="3">
        <f ca="1">IFERROR(__xludf.DUMMYFUNCTION("""COMPUTED_VALUE"""),44938.6666666666)</f>
        <v>44938.666666666599</v>
      </c>
      <c r="B9" s="2">
        <f ca="1">IFERROR(__xludf.DUMMYFUNCTION("""COMPUTED_VALUE"""),235.26)</f>
        <v>235.26</v>
      </c>
      <c r="C9" s="2">
        <f ca="1">IFERROR(__xludf.DUMMYFUNCTION("""COMPUTED_VALUE"""),239.9)</f>
        <v>239.9</v>
      </c>
      <c r="D9" s="2">
        <f ca="1">IFERROR(__xludf.DUMMYFUNCTION("""COMPUTED_VALUE"""),233.56)</f>
        <v>233.56</v>
      </c>
      <c r="E9" s="2">
        <f ca="1">IFERROR(__xludf.DUMMYFUNCTION("""COMPUTED_VALUE"""),238.51)</f>
        <v>238.51</v>
      </c>
      <c r="F9" s="2">
        <f ca="1">IFERROR(__xludf.DUMMYFUNCTION("""COMPUTED_VALUE"""),27269486)</f>
        <v>27269486</v>
      </c>
    </row>
    <row r="10" spans="1:6" ht="15.75" customHeight="1" x14ac:dyDescent="0.25">
      <c r="A10" s="3">
        <f ca="1">IFERROR(__xludf.DUMMYFUNCTION("""COMPUTED_VALUE"""),44939.6666666666)</f>
        <v>44939.666666666599</v>
      </c>
      <c r="B10" s="2">
        <f ca="1">IFERROR(__xludf.DUMMYFUNCTION("""COMPUTED_VALUE"""),237)</f>
        <v>237</v>
      </c>
      <c r="C10" s="2">
        <f ca="1">IFERROR(__xludf.DUMMYFUNCTION("""COMPUTED_VALUE"""),239.37)</f>
        <v>239.37</v>
      </c>
      <c r="D10" s="2">
        <f ca="1">IFERROR(__xludf.DUMMYFUNCTION("""COMPUTED_VALUE"""),234.92)</f>
        <v>234.92</v>
      </c>
      <c r="E10" s="2">
        <f ca="1">IFERROR(__xludf.DUMMYFUNCTION("""COMPUTED_VALUE"""),239.23)</f>
        <v>239.23</v>
      </c>
      <c r="F10" s="2">
        <f ca="1">IFERROR(__xludf.DUMMYFUNCTION("""COMPUTED_VALUE"""),21333265)</f>
        <v>21333265</v>
      </c>
    </row>
    <row r="11" spans="1:6" ht="15.75" customHeight="1" x14ac:dyDescent="0.25">
      <c r="A11" s="3">
        <f ca="1">IFERROR(__xludf.DUMMYFUNCTION("""COMPUTED_VALUE"""),44943.6666666666)</f>
        <v>44943.666666666599</v>
      </c>
      <c r="B11" s="2">
        <f ca="1">IFERROR(__xludf.DUMMYFUNCTION("""COMPUTED_VALUE"""),237.97)</f>
        <v>237.97</v>
      </c>
      <c r="C11" s="2">
        <f ca="1">IFERROR(__xludf.DUMMYFUNCTION("""COMPUTED_VALUE"""),240.91)</f>
        <v>240.91</v>
      </c>
      <c r="D11" s="2">
        <f ca="1">IFERROR(__xludf.DUMMYFUNCTION("""COMPUTED_VALUE"""),237.09)</f>
        <v>237.09</v>
      </c>
      <c r="E11" s="2">
        <f ca="1">IFERROR(__xludf.DUMMYFUNCTION("""COMPUTED_VALUE"""),240.35)</f>
        <v>240.35</v>
      </c>
      <c r="F11" s="2">
        <f ca="1">IFERROR(__xludf.DUMMYFUNCTION("""COMPUTED_VALUE"""),29831257)</f>
        <v>29831257</v>
      </c>
    </row>
    <row r="12" spans="1:6" ht="15.75" customHeight="1" x14ac:dyDescent="0.25">
      <c r="A12" s="3">
        <f ca="1">IFERROR(__xludf.DUMMYFUNCTION("""COMPUTED_VALUE"""),44944.6666666666)</f>
        <v>44944.666666666599</v>
      </c>
      <c r="B12" s="2">
        <f ca="1">IFERROR(__xludf.DUMMYFUNCTION("""COMPUTED_VALUE"""),241.57)</f>
        <v>241.57</v>
      </c>
      <c r="C12" s="2">
        <f ca="1">IFERROR(__xludf.DUMMYFUNCTION("""COMPUTED_VALUE"""),242.38)</f>
        <v>242.38</v>
      </c>
      <c r="D12" s="2">
        <f ca="1">IFERROR(__xludf.DUMMYFUNCTION("""COMPUTED_VALUE"""),235.52)</f>
        <v>235.52</v>
      </c>
      <c r="E12" s="2">
        <f ca="1">IFERROR(__xludf.DUMMYFUNCTION("""COMPUTED_VALUE"""),235.81)</f>
        <v>235.81</v>
      </c>
      <c r="F12" s="2">
        <f ca="1">IFERROR(__xludf.DUMMYFUNCTION("""COMPUTED_VALUE"""),30028692)</f>
        <v>30028692</v>
      </c>
    </row>
    <row r="13" spans="1:6" ht="15.75" customHeight="1" x14ac:dyDescent="0.25">
      <c r="A13" s="3">
        <f ca="1">IFERROR(__xludf.DUMMYFUNCTION("""COMPUTED_VALUE"""),44945.6666666666)</f>
        <v>44945.666666666599</v>
      </c>
      <c r="B13" s="2">
        <f ca="1">IFERROR(__xludf.DUMMYFUNCTION("""COMPUTED_VALUE"""),233.78)</f>
        <v>233.78</v>
      </c>
      <c r="C13" s="2">
        <f ca="1">IFERROR(__xludf.DUMMYFUNCTION("""COMPUTED_VALUE"""),235.52)</f>
        <v>235.52</v>
      </c>
      <c r="D13" s="2">
        <f ca="1">IFERROR(__xludf.DUMMYFUNCTION("""COMPUTED_VALUE"""),230.68)</f>
        <v>230.68</v>
      </c>
      <c r="E13" s="2">
        <f ca="1">IFERROR(__xludf.DUMMYFUNCTION("""COMPUTED_VALUE"""),231.93)</f>
        <v>231.93</v>
      </c>
      <c r="F13" s="2">
        <f ca="1">IFERROR(__xludf.DUMMYFUNCTION("""COMPUTED_VALUE"""),28623033)</f>
        <v>28623033</v>
      </c>
    </row>
    <row r="14" spans="1:6" ht="15.75" customHeight="1" x14ac:dyDescent="0.25">
      <c r="A14" s="3">
        <f ca="1">IFERROR(__xludf.DUMMYFUNCTION("""COMPUTED_VALUE"""),44946.6666666666)</f>
        <v>44946.666666666599</v>
      </c>
      <c r="B14" s="2">
        <f ca="1">IFERROR(__xludf.DUMMYFUNCTION("""COMPUTED_VALUE"""),234.86)</f>
        <v>234.86</v>
      </c>
      <c r="C14" s="2">
        <f ca="1">IFERROR(__xludf.DUMMYFUNCTION("""COMPUTED_VALUE"""),240.74)</f>
        <v>240.74</v>
      </c>
      <c r="D14" s="2">
        <f ca="1">IFERROR(__xludf.DUMMYFUNCTION("""COMPUTED_VALUE"""),234.51)</f>
        <v>234.51</v>
      </c>
      <c r="E14" s="2">
        <f ca="1">IFERROR(__xludf.DUMMYFUNCTION("""COMPUTED_VALUE"""),240.22)</f>
        <v>240.22</v>
      </c>
      <c r="F14" s="2">
        <f ca="1">IFERROR(__xludf.DUMMYFUNCTION("""COMPUTED_VALUE"""),35389809)</f>
        <v>35389809</v>
      </c>
    </row>
    <row r="15" spans="1:6" ht="15.75" customHeight="1" x14ac:dyDescent="0.25">
      <c r="A15" s="3">
        <f ca="1">IFERROR(__xludf.DUMMYFUNCTION("""COMPUTED_VALUE"""),44949.6666666666)</f>
        <v>44949.666666666599</v>
      </c>
      <c r="B15" s="2">
        <f ca="1">IFERROR(__xludf.DUMMYFUNCTION("""COMPUTED_VALUE"""),241.1)</f>
        <v>241.1</v>
      </c>
      <c r="C15" s="2">
        <f ca="1">IFERROR(__xludf.DUMMYFUNCTION("""COMPUTED_VALUE"""),245.17)</f>
        <v>245.17</v>
      </c>
      <c r="D15" s="2">
        <f ca="1">IFERROR(__xludf.DUMMYFUNCTION("""COMPUTED_VALUE"""),239.65)</f>
        <v>239.65</v>
      </c>
      <c r="E15" s="2">
        <f ca="1">IFERROR(__xludf.DUMMYFUNCTION("""COMPUTED_VALUE"""),242.58)</f>
        <v>242.58</v>
      </c>
      <c r="F15" s="2">
        <f ca="1">IFERROR(__xludf.DUMMYFUNCTION("""COMPUTED_VALUE"""),31933951)</f>
        <v>31933951</v>
      </c>
    </row>
    <row r="16" spans="1:6" ht="15.75" customHeight="1" x14ac:dyDescent="0.25">
      <c r="A16" s="3">
        <f ca="1">IFERROR(__xludf.DUMMYFUNCTION("""COMPUTED_VALUE"""),44950.6666666666)</f>
        <v>44950.666666666599</v>
      </c>
      <c r="B16" s="2">
        <f ca="1">IFERROR(__xludf.DUMMYFUNCTION("""COMPUTED_VALUE"""),242.5)</f>
        <v>242.5</v>
      </c>
      <c r="C16" s="2">
        <f ca="1">IFERROR(__xludf.DUMMYFUNCTION("""COMPUTED_VALUE"""),243.95)</f>
        <v>243.95</v>
      </c>
      <c r="D16" s="2">
        <f ca="1">IFERROR(__xludf.DUMMYFUNCTION("""COMPUTED_VALUE"""),240.44)</f>
        <v>240.44</v>
      </c>
      <c r="E16" s="2">
        <f ca="1">IFERROR(__xludf.DUMMYFUNCTION("""COMPUTED_VALUE"""),242.04)</f>
        <v>242.04</v>
      </c>
      <c r="F16" s="2">
        <f ca="1">IFERROR(__xludf.DUMMYFUNCTION("""COMPUTED_VALUE"""),40234444)</f>
        <v>40234444</v>
      </c>
    </row>
    <row r="17" spans="1:6" ht="15.75" customHeight="1" x14ac:dyDescent="0.25">
      <c r="A17" s="3">
        <f ca="1">IFERROR(__xludf.DUMMYFUNCTION("""COMPUTED_VALUE"""),44951.6666666666)</f>
        <v>44951.666666666599</v>
      </c>
      <c r="B17" s="2">
        <f ca="1">IFERROR(__xludf.DUMMYFUNCTION("""COMPUTED_VALUE"""),234.48)</f>
        <v>234.48</v>
      </c>
      <c r="C17" s="2">
        <f ca="1">IFERROR(__xludf.DUMMYFUNCTION("""COMPUTED_VALUE"""),243.3)</f>
        <v>243.3</v>
      </c>
      <c r="D17" s="2">
        <f ca="1">IFERROR(__xludf.DUMMYFUNCTION("""COMPUTED_VALUE"""),230.9)</f>
        <v>230.9</v>
      </c>
      <c r="E17" s="2">
        <f ca="1">IFERROR(__xludf.DUMMYFUNCTION("""COMPUTED_VALUE"""),240.61)</f>
        <v>240.61</v>
      </c>
      <c r="F17" s="2">
        <f ca="1">IFERROR(__xludf.DUMMYFUNCTION("""COMPUTED_VALUE"""),66526641)</f>
        <v>66526641</v>
      </c>
    </row>
    <row r="18" spans="1:6" ht="15.75" customHeight="1" x14ac:dyDescent="0.25">
      <c r="A18" s="3">
        <f ca="1">IFERROR(__xludf.DUMMYFUNCTION("""COMPUTED_VALUE"""),44952.6666666666)</f>
        <v>44952.666666666599</v>
      </c>
      <c r="B18" s="2">
        <f ca="1">IFERROR(__xludf.DUMMYFUNCTION("""COMPUTED_VALUE"""),243.65)</f>
        <v>243.65</v>
      </c>
      <c r="C18" s="2">
        <f ca="1">IFERROR(__xludf.DUMMYFUNCTION("""COMPUTED_VALUE"""),248.31)</f>
        <v>248.31</v>
      </c>
      <c r="D18" s="2">
        <f ca="1">IFERROR(__xludf.DUMMYFUNCTION("""COMPUTED_VALUE"""),242)</f>
        <v>242</v>
      </c>
      <c r="E18" s="2">
        <f ca="1">IFERROR(__xludf.DUMMYFUNCTION("""COMPUTED_VALUE"""),248)</f>
        <v>248</v>
      </c>
      <c r="F18" s="2">
        <f ca="1">IFERROR(__xludf.DUMMYFUNCTION("""COMPUTED_VALUE"""),33454491)</f>
        <v>33454491</v>
      </c>
    </row>
    <row r="19" spans="1:6" ht="15.75" customHeight="1" x14ac:dyDescent="0.25">
      <c r="A19" s="3">
        <f ca="1">IFERROR(__xludf.DUMMYFUNCTION("""COMPUTED_VALUE"""),44953.6666666666)</f>
        <v>44953.666666666599</v>
      </c>
      <c r="B19" s="2">
        <f ca="1">IFERROR(__xludf.DUMMYFUNCTION("""COMPUTED_VALUE"""),248.99)</f>
        <v>248.99</v>
      </c>
      <c r="C19" s="2">
        <f ca="1">IFERROR(__xludf.DUMMYFUNCTION("""COMPUTED_VALUE"""),249.83)</f>
        <v>249.83</v>
      </c>
      <c r="D19" s="2">
        <f ca="1">IFERROR(__xludf.DUMMYFUNCTION("""COMPUTED_VALUE"""),246.83)</f>
        <v>246.83</v>
      </c>
      <c r="E19" s="2">
        <f ca="1">IFERROR(__xludf.DUMMYFUNCTION("""COMPUTED_VALUE"""),248.16)</f>
        <v>248.16</v>
      </c>
      <c r="F19" s="2">
        <f ca="1">IFERROR(__xludf.DUMMYFUNCTION("""COMPUTED_VALUE"""),26498939)</f>
        <v>26498939</v>
      </c>
    </row>
    <row r="20" spans="1:6" ht="15.75" customHeight="1" x14ac:dyDescent="0.25">
      <c r="A20" s="3">
        <f ca="1">IFERROR(__xludf.DUMMYFUNCTION("""COMPUTED_VALUE"""),44956.6666666666)</f>
        <v>44956.666666666599</v>
      </c>
      <c r="B20" s="2">
        <f ca="1">IFERROR(__xludf.DUMMYFUNCTION("""COMPUTED_VALUE"""),244.51)</f>
        <v>244.51</v>
      </c>
      <c r="C20" s="2">
        <f ca="1">IFERROR(__xludf.DUMMYFUNCTION("""COMPUTED_VALUE"""),245.6)</f>
        <v>245.6</v>
      </c>
      <c r="D20" s="2">
        <f ca="1">IFERROR(__xludf.DUMMYFUNCTION("""COMPUTED_VALUE"""),242.2)</f>
        <v>242.2</v>
      </c>
      <c r="E20" s="2">
        <f ca="1">IFERROR(__xludf.DUMMYFUNCTION("""COMPUTED_VALUE"""),242.71)</f>
        <v>242.71</v>
      </c>
      <c r="F20" s="2">
        <f ca="1">IFERROR(__xludf.DUMMYFUNCTION("""COMPUTED_VALUE"""),25867365)</f>
        <v>25867365</v>
      </c>
    </row>
    <row r="21" spans="1:6" ht="15.75" customHeight="1" x14ac:dyDescent="0.25">
      <c r="A21" s="3">
        <f ca="1">IFERROR(__xludf.DUMMYFUNCTION("""COMPUTED_VALUE"""),44957.6666666666)</f>
        <v>44957.666666666599</v>
      </c>
      <c r="B21" s="2">
        <f ca="1">IFERROR(__xludf.DUMMYFUNCTION("""COMPUTED_VALUE"""),243.45)</f>
        <v>243.45</v>
      </c>
      <c r="C21" s="2">
        <f ca="1">IFERROR(__xludf.DUMMYFUNCTION("""COMPUTED_VALUE"""),247.95)</f>
        <v>247.95</v>
      </c>
      <c r="D21" s="2">
        <f ca="1">IFERROR(__xludf.DUMMYFUNCTION("""COMPUTED_VALUE"""),242.95)</f>
        <v>242.95</v>
      </c>
      <c r="E21" s="2">
        <f ca="1">IFERROR(__xludf.DUMMYFUNCTION("""COMPUTED_VALUE"""),247.81)</f>
        <v>247.81</v>
      </c>
      <c r="F21" s="2">
        <f ca="1">IFERROR(__xludf.DUMMYFUNCTION("""COMPUTED_VALUE"""),26541072)</f>
        <v>26541072</v>
      </c>
    </row>
    <row r="22" spans="1:6" ht="15.75" customHeight="1" x14ac:dyDescent="0.25">
      <c r="A22" s="3">
        <f ca="1">IFERROR(__xludf.DUMMYFUNCTION("""COMPUTED_VALUE"""),44958.6666666666)</f>
        <v>44958.666666666599</v>
      </c>
      <c r="B22" s="2">
        <f ca="1">IFERROR(__xludf.DUMMYFUNCTION("""COMPUTED_VALUE"""),248)</f>
        <v>248</v>
      </c>
      <c r="C22" s="2">
        <f ca="1">IFERROR(__xludf.DUMMYFUNCTION("""COMPUTED_VALUE"""),255.18)</f>
        <v>255.18</v>
      </c>
      <c r="D22" s="2">
        <f ca="1">IFERROR(__xludf.DUMMYFUNCTION("""COMPUTED_VALUE"""),245.47)</f>
        <v>245.47</v>
      </c>
      <c r="E22" s="2">
        <f ca="1">IFERROR(__xludf.DUMMYFUNCTION("""COMPUTED_VALUE"""),252.75)</f>
        <v>252.75</v>
      </c>
      <c r="F22" s="2">
        <f ca="1">IFERROR(__xludf.DUMMYFUNCTION("""COMPUTED_VALUE"""),31259912)</f>
        <v>31259912</v>
      </c>
    </row>
    <row r="23" spans="1:6" ht="15.75" customHeight="1" x14ac:dyDescent="0.25">
      <c r="A23" s="3">
        <f ca="1">IFERROR(__xludf.DUMMYFUNCTION("""COMPUTED_VALUE"""),44959.6666666666)</f>
        <v>44959.666666666599</v>
      </c>
      <c r="B23" s="2">
        <f ca="1">IFERROR(__xludf.DUMMYFUNCTION("""COMPUTED_VALUE"""),258.82)</f>
        <v>258.82</v>
      </c>
      <c r="C23" s="2">
        <f ca="1">IFERROR(__xludf.DUMMYFUNCTION("""COMPUTED_VALUE"""),264.69)</f>
        <v>264.69</v>
      </c>
      <c r="D23" s="2">
        <f ca="1">IFERROR(__xludf.DUMMYFUNCTION("""COMPUTED_VALUE"""),257.25)</f>
        <v>257.25</v>
      </c>
      <c r="E23" s="2">
        <f ca="1">IFERROR(__xludf.DUMMYFUNCTION("""COMPUTED_VALUE"""),264.6)</f>
        <v>264.60000000000002</v>
      </c>
      <c r="F23" s="2">
        <f ca="1">IFERROR(__xludf.DUMMYFUNCTION("""COMPUTED_VALUE"""),39940437)</f>
        <v>39940437</v>
      </c>
    </row>
    <row r="24" spans="1:6" ht="15.75" customHeight="1" x14ac:dyDescent="0.25">
      <c r="A24" s="3">
        <f ca="1">IFERROR(__xludf.DUMMYFUNCTION("""COMPUTED_VALUE"""),44960.6666666666)</f>
        <v>44960.666666666599</v>
      </c>
      <c r="B24" s="2">
        <f ca="1">IFERROR(__xludf.DUMMYFUNCTION("""COMPUTED_VALUE"""),259.54)</f>
        <v>259.54000000000002</v>
      </c>
      <c r="C24" s="2">
        <f ca="1">IFERROR(__xludf.DUMMYFUNCTION("""COMPUTED_VALUE"""),264.2)</f>
        <v>264.2</v>
      </c>
      <c r="D24" s="2">
        <f ca="1">IFERROR(__xludf.DUMMYFUNCTION("""COMPUTED_VALUE"""),257.1)</f>
        <v>257.10000000000002</v>
      </c>
      <c r="E24" s="2">
        <f ca="1">IFERROR(__xludf.DUMMYFUNCTION("""COMPUTED_VALUE"""),258.35)</f>
        <v>258.35000000000002</v>
      </c>
      <c r="F24" s="2">
        <f ca="1">IFERROR(__xludf.DUMMYFUNCTION("""COMPUTED_VALUE"""),29077256)</f>
        <v>29077256</v>
      </c>
    </row>
    <row r="25" spans="1:6" ht="15.75" customHeight="1" x14ac:dyDescent="0.25">
      <c r="A25" s="3">
        <f ca="1">IFERROR(__xludf.DUMMYFUNCTION("""COMPUTED_VALUE"""),44963.6666666666)</f>
        <v>44963.666666666599</v>
      </c>
      <c r="B25" s="2">
        <f ca="1">IFERROR(__xludf.DUMMYFUNCTION("""COMPUTED_VALUE"""),257.44)</f>
        <v>257.44</v>
      </c>
      <c r="C25" s="2">
        <f ca="1">IFERROR(__xludf.DUMMYFUNCTION("""COMPUTED_VALUE"""),258.3)</f>
        <v>258.3</v>
      </c>
      <c r="D25" s="2">
        <f ca="1">IFERROR(__xludf.DUMMYFUNCTION("""COMPUTED_VALUE"""),254.78)</f>
        <v>254.78</v>
      </c>
      <c r="E25" s="2">
        <f ca="1">IFERROR(__xludf.DUMMYFUNCTION("""COMPUTED_VALUE"""),256.77)</f>
        <v>256.77</v>
      </c>
      <c r="F25" s="2">
        <f ca="1">IFERROR(__xludf.DUMMYFUNCTION("""COMPUTED_VALUE"""),22517997)</f>
        <v>22517997</v>
      </c>
    </row>
    <row r="26" spans="1:6" ht="15.75" customHeight="1" x14ac:dyDescent="0.25">
      <c r="A26" s="3">
        <f ca="1">IFERROR(__xludf.DUMMYFUNCTION("""COMPUTED_VALUE"""),44964.6666666666)</f>
        <v>44964.666666666599</v>
      </c>
      <c r="B26" s="2">
        <f ca="1">IFERROR(__xludf.DUMMYFUNCTION("""COMPUTED_VALUE"""),260.53)</f>
        <v>260.52999999999997</v>
      </c>
      <c r="C26" s="2">
        <f ca="1">IFERROR(__xludf.DUMMYFUNCTION("""COMPUTED_VALUE"""),268.77)</f>
        <v>268.77</v>
      </c>
      <c r="D26" s="2">
        <f ca="1">IFERROR(__xludf.DUMMYFUNCTION("""COMPUTED_VALUE"""),260.08)</f>
        <v>260.08</v>
      </c>
      <c r="E26" s="2">
        <f ca="1">IFERROR(__xludf.DUMMYFUNCTION("""COMPUTED_VALUE"""),267.56)</f>
        <v>267.56</v>
      </c>
      <c r="F26" s="2">
        <f ca="1">IFERROR(__xludf.DUMMYFUNCTION("""COMPUTED_VALUE"""),50841365)</f>
        <v>50841365</v>
      </c>
    </row>
    <row r="27" spans="1:6" ht="15.75" customHeight="1" x14ac:dyDescent="0.25">
      <c r="A27" s="3">
        <f ca="1">IFERROR(__xludf.DUMMYFUNCTION("""COMPUTED_VALUE"""),44965.6666666666)</f>
        <v>44965.666666666599</v>
      </c>
      <c r="B27" s="2">
        <f ca="1">IFERROR(__xludf.DUMMYFUNCTION("""COMPUTED_VALUE"""),273.2)</f>
        <v>273.2</v>
      </c>
      <c r="C27" s="2">
        <f ca="1">IFERROR(__xludf.DUMMYFUNCTION("""COMPUTED_VALUE"""),276.76)</f>
        <v>276.76</v>
      </c>
      <c r="D27" s="2">
        <f ca="1">IFERROR(__xludf.DUMMYFUNCTION("""COMPUTED_VALUE"""),266.21)</f>
        <v>266.20999999999998</v>
      </c>
      <c r="E27" s="2">
        <f ca="1">IFERROR(__xludf.DUMMYFUNCTION("""COMPUTED_VALUE"""),266.73)</f>
        <v>266.73</v>
      </c>
      <c r="F27" s="2">
        <f ca="1">IFERROR(__xludf.DUMMYFUNCTION("""COMPUTED_VALUE"""),54686049)</f>
        <v>54686049</v>
      </c>
    </row>
    <row r="28" spans="1:6" ht="15.75" customHeight="1" x14ac:dyDescent="0.25">
      <c r="A28" s="3">
        <f ca="1">IFERROR(__xludf.DUMMYFUNCTION("""COMPUTED_VALUE"""),44966.6666666666)</f>
        <v>44966.666666666599</v>
      </c>
      <c r="B28" s="2">
        <f ca="1">IFERROR(__xludf.DUMMYFUNCTION("""COMPUTED_VALUE"""),273.8)</f>
        <v>273.8</v>
      </c>
      <c r="C28" s="2">
        <f ca="1">IFERROR(__xludf.DUMMYFUNCTION("""COMPUTED_VALUE"""),273.98)</f>
        <v>273.98</v>
      </c>
      <c r="D28" s="2">
        <f ca="1">IFERROR(__xludf.DUMMYFUNCTION("""COMPUTED_VALUE"""),262.8)</f>
        <v>262.8</v>
      </c>
      <c r="E28" s="2">
        <f ca="1">IFERROR(__xludf.DUMMYFUNCTION("""COMPUTED_VALUE"""),263.62)</f>
        <v>263.62</v>
      </c>
      <c r="F28" s="2">
        <f ca="1">IFERROR(__xludf.DUMMYFUNCTION("""COMPUTED_VALUE"""),42375102)</f>
        <v>42375102</v>
      </c>
    </row>
    <row r="29" spans="1:6" ht="15.75" customHeight="1" x14ac:dyDescent="0.25">
      <c r="A29" s="3">
        <f ca="1">IFERROR(__xludf.DUMMYFUNCTION("""COMPUTED_VALUE"""),44967.6666666666)</f>
        <v>44967.666666666599</v>
      </c>
      <c r="B29" s="2">
        <f ca="1">IFERROR(__xludf.DUMMYFUNCTION("""COMPUTED_VALUE"""),261.53)</f>
        <v>261.52999999999997</v>
      </c>
      <c r="C29" s="2">
        <f ca="1">IFERROR(__xludf.DUMMYFUNCTION("""COMPUTED_VALUE"""),264.09)</f>
        <v>264.08999999999997</v>
      </c>
      <c r="D29" s="2">
        <f ca="1">IFERROR(__xludf.DUMMYFUNCTION("""COMPUTED_VALUE"""),260.66)</f>
        <v>260.66000000000003</v>
      </c>
      <c r="E29" s="2">
        <f ca="1">IFERROR(__xludf.DUMMYFUNCTION("""COMPUTED_VALUE"""),263.1)</f>
        <v>263.10000000000002</v>
      </c>
      <c r="F29" s="2">
        <f ca="1">IFERROR(__xludf.DUMMYFUNCTION("""COMPUTED_VALUE"""),25818489)</f>
        <v>25818489</v>
      </c>
    </row>
    <row r="30" spans="1:6" ht="15.75" customHeight="1" x14ac:dyDescent="0.25">
      <c r="A30" s="3">
        <f ca="1">IFERROR(__xludf.DUMMYFUNCTION("""COMPUTED_VALUE"""),44970.6666666666)</f>
        <v>44970.666666666599</v>
      </c>
      <c r="B30" s="2">
        <f ca="1">IFERROR(__xludf.DUMMYFUNCTION("""COMPUTED_VALUE"""),267.64)</f>
        <v>267.64</v>
      </c>
      <c r="C30" s="2">
        <f ca="1">IFERROR(__xludf.DUMMYFUNCTION("""COMPUTED_VALUE"""),274.6)</f>
        <v>274.60000000000002</v>
      </c>
      <c r="D30" s="2">
        <f ca="1">IFERROR(__xludf.DUMMYFUNCTION("""COMPUTED_VALUE"""),267.15)</f>
        <v>267.14999999999998</v>
      </c>
      <c r="E30" s="2">
        <f ca="1">IFERROR(__xludf.DUMMYFUNCTION("""COMPUTED_VALUE"""),271.32)</f>
        <v>271.32</v>
      </c>
      <c r="F30" s="2">
        <f ca="1">IFERROR(__xludf.DUMMYFUNCTION("""COMPUTED_VALUE"""),44630921)</f>
        <v>44630921</v>
      </c>
    </row>
    <row r="31" spans="1:6" ht="15.75" customHeight="1" x14ac:dyDescent="0.25">
      <c r="A31" s="3">
        <f ca="1">IFERROR(__xludf.DUMMYFUNCTION("""COMPUTED_VALUE"""),44971.6666666666)</f>
        <v>44971.666666666599</v>
      </c>
      <c r="B31" s="2">
        <f ca="1">IFERROR(__xludf.DUMMYFUNCTION("""COMPUTED_VALUE"""),272.67)</f>
        <v>272.67</v>
      </c>
      <c r="C31" s="2">
        <f ca="1">IFERROR(__xludf.DUMMYFUNCTION("""COMPUTED_VALUE"""),274.97)</f>
        <v>274.97000000000003</v>
      </c>
      <c r="D31" s="2">
        <f ca="1">IFERROR(__xludf.DUMMYFUNCTION("""COMPUTED_VALUE"""),269.28)</f>
        <v>269.27999999999997</v>
      </c>
      <c r="E31" s="2">
        <f ca="1">IFERROR(__xludf.DUMMYFUNCTION("""COMPUTED_VALUE"""),272.17)</f>
        <v>272.17</v>
      </c>
      <c r="F31" s="2">
        <f ca="1">IFERROR(__xludf.DUMMYFUNCTION("""COMPUTED_VALUE"""),37047924)</f>
        <v>37047924</v>
      </c>
    </row>
    <row r="32" spans="1:6" ht="15.75" customHeight="1" x14ac:dyDescent="0.25">
      <c r="A32" s="3">
        <f ca="1">IFERROR(__xludf.DUMMYFUNCTION("""COMPUTED_VALUE"""),44972.6666666666)</f>
        <v>44972.666666666599</v>
      </c>
      <c r="B32" s="2">
        <f ca="1">IFERROR(__xludf.DUMMYFUNCTION("""COMPUTED_VALUE"""),268.32)</f>
        <v>268.32</v>
      </c>
      <c r="C32" s="2">
        <f ca="1">IFERROR(__xludf.DUMMYFUNCTION("""COMPUTED_VALUE"""),270.73)</f>
        <v>270.73</v>
      </c>
      <c r="D32" s="2">
        <f ca="1">IFERROR(__xludf.DUMMYFUNCTION("""COMPUTED_VALUE"""),266.18)</f>
        <v>266.18</v>
      </c>
      <c r="E32" s="2">
        <f ca="1">IFERROR(__xludf.DUMMYFUNCTION("""COMPUTED_VALUE"""),269.32)</f>
        <v>269.32</v>
      </c>
      <c r="F32" s="2">
        <f ca="1">IFERROR(__xludf.DUMMYFUNCTION("""COMPUTED_VALUE"""),28962163)</f>
        <v>28962163</v>
      </c>
    </row>
    <row r="33" spans="1:6" ht="15.75" customHeight="1" x14ac:dyDescent="0.25">
      <c r="A33" s="3">
        <f ca="1">IFERROR(__xludf.DUMMYFUNCTION("""COMPUTED_VALUE"""),44973.6666666666)</f>
        <v>44973.666666666599</v>
      </c>
      <c r="B33" s="2">
        <f ca="1">IFERROR(__xludf.DUMMYFUNCTION("""COMPUTED_VALUE"""),264.02)</f>
        <v>264.02</v>
      </c>
      <c r="C33" s="2">
        <f ca="1">IFERROR(__xludf.DUMMYFUNCTION("""COMPUTED_VALUE"""),266.74)</f>
        <v>266.74</v>
      </c>
      <c r="D33" s="2">
        <f ca="1">IFERROR(__xludf.DUMMYFUNCTION("""COMPUTED_VALUE"""),261.9)</f>
        <v>261.89999999999998</v>
      </c>
      <c r="E33" s="2">
        <f ca="1">IFERROR(__xludf.DUMMYFUNCTION("""COMPUTED_VALUE"""),262.15)</f>
        <v>262.14999999999998</v>
      </c>
      <c r="F33" s="2">
        <f ca="1">IFERROR(__xludf.DUMMYFUNCTION("""COMPUTED_VALUE"""),29603616)</f>
        <v>29603616</v>
      </c>
    </row>
    <row r="34" spans="1:6" ht="15.75" customHeight="1" x14ac:dyDescent="0.25">
      <c r="A34" s="3">
        <f ca="1">IFERROR(__xludf.DUMMYFUNCTION("""COMPUTED_VALUE"""),44974.6666666666)</f>
        <v>44974.666666666599</v>
      </c>
      <c r="B34" s="2">
        <f ca="1">IFERROR(__xludf.DUMMYFUNCTION("""COMPUTED_VALUE"""),259.39)</f>
        <v>259.39</v>
      </c>
      <c r="C34" s="2">
        <f ca="1">IFERROR(__xludf.DUMMYFUNCTION("""COMPUTED_VALUE"""),260.09)</f>
        <v>260.08999999999997</v>
      </c>
      <c r="D34" s="2">
        <f ca="1">IFERROR(__xludf.DUMMYFUNCTION("""COMPUTED_VALUE"""),256)</f>
        <v>256</v>
      </c>
      <c r="E34" s="2">
        <f ca="1">IFERROR(__xludf.DUMMYFUNCTION("""COMPUTED_VALUE"""),258.06)</f>
        <v>258.06</v>
      </c>
      <c r="F34" s="2">
        <f ca="1">IFERROR(__xludf.DUMMYFUNCTION("""COMPUTED_VALUE"""),30000055)</f>
        <v>30000055</v>
      </c>
    </row>
    <row r="35" spans="1:6" ht="15.75" customHeight="1" x14ac:dyDescent="0.25">
      <c r="A35" s="3">
        <f ca="1">IFERROR(__xludf.DUMMYFUNCTION("""COMPUTED_VALUE"""),44978.6666666666)</f>
        <v>44978.666666666599</v>
      </c>
      <c r="B35" s="2">
        <f ca="1">IFERROR(__xludf.DUMMYFUNCTION("""COMPUTED_VALUE"""),254.48)</f>
        <v>254.48</v>
      </c>
      <c r="C35" s="2">
        <f ca="1">IFERROR(__xludf.DUMMYFUNCTION("""COMPUTED_VALUE"""),255.49)</f>
        <v>255.49</v>
      </c>
      <c r="D35" s="2">
        <f ca="1">IFERROR(__xludf.DUMMYFUNCTION("""COMPUTED_VALUE"""),251.59)</f>
        <v>251.59</v>
      </c>
      <c r="E35" s="2">
        <f ca="1">IFERROR(__xludf.DUMMYFUNCTION("""COMPUTED_VALUE"""),252.67)</f>
        <v>252.67</v>
      </c>
      <c r="F35" s="2">
        <f ca="1">IFERROR(__xludf.DUMMYFUNCTION("""COMPUTED_VALUE"""),28397444)</f>
        <v>28397444</v>
      </c>
    </row>
    <row r="36" spans="1:6" ht="15.75" customHeight="1" x14ac:dyDescent="0.25">
      <c r="A36" s="3">
        <f ca="1">IFERROR(__xludf.DUMMYFUNCTION("""COMPUTED_VALUE"""),44979.6666666666)</f>
        <v>44979.666666666599</v>
      </c>
      <c r="B36" s="2">
        <f ca="1">IFERROR(__xludf.DUMMYFUNCTION("""COMPUTED_VALUE"""),254.09)</f>
        <v>254.09</v>
      </c>
      <c r="C36" s="2">
        <f ca="1">IFERROR(__xludf.DUMMYFUNCTION("""COMPUTED_VALUE"""),254.34)</f>
        <v>254.34</v>
      </c>
      <c r="D36" s="2">
        <f ca="1">IFERROR(__xludf.DUMMYFUNCTION("""COMPUTED_VALUE"""),250.34)</f>
        <v>250.34</v>
      </c>
      <c r="E36" s="2">
        <f ca="1">IFERROR(__xludf.DUMMYFUNCTION("""COMPUTED_VALUE"""),251.51)</f>
        <v>251.51</v>
      </c>
      <c r="F36" s="2">
        <f ca="1">IFERROR(__xludf.DUMMYFUNCTION("""COMPUTED_VALUE"""),22491056)</f>
        <v>22491056</v>
      </c>
    </row>
    <row r="37" spans="1:6" ht="15.75" customHeight="1" x14ac:dyDescent="0.25">
      <c r="A37" s="3">
        <f ca="1">IFERROR(__xludf.DUMMYFUNCTION("""COMPUTED_VALUE"""),44980.6666666666)</f>
        <v>44980.666666666599</v>
      </c>
      <c r="B37" s="2">
        <f ca="1">IFERROR(__xludf.DUMMYFUNCTION("""COMPUTED_VALUE"""),255.56)</f>
        <v>255.56</v>
      </c>
      <c r="C37" s="2">
        <f ca="1">IFERROR(__xludf.DUMMYFUNCTION("""COMPUTED_VALUE"""),256.84)</f>
        <v>256.83999999999997</v>
      </c>
      <c r="D37" s="2">
        <f ca="1">IFERROR(__xludf.DUMMYFUNCTION("""COMPUTED_VALUE"""),250.48)</f>
        <v>250.48</v>
      </c>
      <c r="E37" s="2">
        <f ca="1">IFERROR(__xludf.DUMMYFUNCTION("""COMPUTED_VALUE"""),254.77)</f>
        <v>254.77</v>
      </c>
      <c r="F37" s="2">
        <f ca="1">IFERROR(__xludf.DUMMYFUNCTION("""COMPUTED_VALUE"""),29219095)</f>
        <v>29219095</v>
      </c>
    </row>
    <row r="38" spans="1:6" ht="15.75" customHeight="1" x14ac:dyDescent="0.25">
      <c r="A38" s="3">
        <f ca="1">IFERROR(__xludf.DUMMYFUNCTION("""COMPUTED_VALUE"""),44981.6666666666)</f>
        <v>44981.666666666599</v>
      </c>
      <c r="B38" s="2">
        <f ca="1">IFERROR(__xludf.DUMMYFUNCTION("""COMPUTED_VALUE"""),249.96)</f>
        <v>249.96</v>
      </c>
      <c r="C38" s="2">
        <f ca="1">IFERROR(__xludf.DUMMYFUNCTION("""COMPUTED_VALUE"""),251)</f>
        <v>251</v>
      </c>
      <c r="D38" s="2">
        <f ca="1">IFERROR(__xludf.DUMMYFUNCTION("""COMPUTED_VALUE"""),248.1)</f>
        <v>248.1</v>
      </c>
      <c r="E38" s="2">
        <f ca="1">IFERROR(__xludf.DUMMYFUNCTION("""COMPUTED_VALUE"""),249.22)</f>
        <v>249.22</v>
      </c>
      <c r="F38" s="2">
        <f ca="1">IFERROR(__xludf.DUMMYFUNCTION("""COMPUTED_VALUE"""),24990905)</f>
        <v>24990905</v>
      </c>
    </row>
    <row r="39" spans="1:6" ht="15.75" customHeight="1" x14ac:dyDescent="0.25">
      <c r="A39" s="3">
        <f ca="1">IFERROR(__xludf.DUMMYFUNCTION("""COMPUTED_VALUE"""),44984.6666666666)</f>
        <v>44984.666666666599</v>
      </c>
      <c r="B39" s="2">
        <f ca="1">IFERROR(__xludf.DUMMYFUNCTION("""COMPUTED_VALUE"""),252.46)</f>
        <v>252.46</v>
      </c>
      <c r="C39" s="2">
        <f ca="1">IFERROR(__xludf.DUMMYFUNCTION("""COMPUTED_VALUE"""),252.82)</f>
        <v>252.82</v>
      </c>
      <c r="D39" s="2">
        <f ca="1">IFERROR(__xludf.DUMMYFUNCTION("""COMPUTED_VALUE"""),249.39)</f>
        <v>249.39</v>
      </c>
      <c r="E39" s="2">
        <f ca="1">IFERROR(__xludf.DUMMYFUNCTION("""COMPUTED_VALUE"""),250.16)</f>
        <v>250.16</v>
      </c>
      <c r="F39" s="2">
        <f ca="1">IFERROR(__xludf.DUMMYFUNCTION("""COMPUTED_VALUE"""),21190042)</f>
        <v>21190042</v>
      </c>
    </row>
    <row r="40" spans="1:6" ht="12.5" x14ac:dyDescent="0.25">
      <c r="A40" s="3">
        <f ca="1">IFERROR(__xludf.DUMMYFUNCTION("""COMPUTED_VALUE"""),44985.6666666666)</f>
        <v>44985.666666666599</v>
      </c>
      <c r="B40" s="2">
        <f ca="1">IFERROR(__xludf.DUMMYFUNCTION("""COMPUTED_VALUE"""),249.07)</f>
        <v>249.07</v>
      </c>
      <c r="C40" s="2">
        <f ca="1">IFERROR(__xludf.DUMMYFUNCTION("""COMPUTED_VALUE"""),251.49)</f>
        <v>251.49</v>
      </c>
      <c r="D40" s="2">
        <f ca="1">IFERROR(__xludf.DUMMYFUNCTION("""COMPUTED_VALUE"""),248.73)</f>
        <v>248.73</v>
      </c>
      <c r="E40" s="2">
        <f ca="1">IFERROR(__xludf.DUMMYFUNCTION("""COMPUTED_VALUE"""),249.42)</f>
        <v>249.42</v>
      </c>
      <c r="F40" s="2">
        <f ca="1">IFERROR(__xludf.DUMMYFUNCTION("""COMPUTED_VALUE"""),22490950)</f>
        <v>22490950</v>
      </c>
    </row>
    <row r="41" spans="1:6" ht="12.5" x14ac:dyDescent="0.25">
      <c r="A41" s="3">
        <f ca="1">IFERROR(__xludf.DUMMYFUNCTION("""COMPUTED_VALUE"""),44986.6666666666)</f>
        <v>44986.666666666599</v>
      </c>
      <c r="B41" s="2">
        <f ca="1">IFERROR(__xludf.DUMMYFUNCTION("""COMPUTED_VALUE"""),250.76)</f>
        <v>250.76</v>
      </c>
      <c r="C41" s="2">
        <f ca="1">IFERROR(__xludf.DUMMYFUNCTION("""COMPUTED_VALUE"""),250.93)</f>
        <v>250.93</v>
      </c>
      <c r="D41" s="2">
        <f ca="1">IFERROR(__xludf.DUMMYFUNCTION("""COMPUTED_VALUE"""),245.79)</f>
        <v>245.79</v>
      </c>
      <c r="E41" s="2">
        <f ca="1">IFERROR(__xludf.DUMMYFUNCTION("""COMPUTED_VALUE"""),246.27)</f>
        <v>246.27</v>
      </c>
      <c r="F41" s="2">
        <f ca="1">IFERROR(__xludf.DUMMYFUNCTION("""COMPUTED_VALUE"""),27565259)</f>
        <v>27565259</v>
      </c>
    </row>
    <row r="42" spans="1:6" ht="12.5" x14ac:dyDescent="0.25">
      <c r="A42" s="3">
        <f ca="1">IFERROR(__xludf.DUMMYFUNCTION("""COMPUTED_VALUE"""),44987.6666666666)</f>
        <v>44987.666666666599</v>
      </c>
      <c r="B42" s="2">
        <f ca="1">IFERROR(__xludf.DUMMYFUNCTION("""COMPUTED_VALUE"""),246.55)</f>
        <v>246.55</v>
      </c>
      <c r="C42" s="2">
        <f ca="1">IFERROR(__xludf.DUMMYFUNCTION("""COMPUTED_VALUE"""),251.4)</f>
        <v>251.4</v>
      </c>
      <c r="D42" s="2">
        <f ca="1">IFERROR(__xludf.DUMMYFUNCTION("""COMPUTED_VALUE"""),245.61)</f>
        <v>245.61</v>
      </c>
      <c r="E42" s="2">
        <f ca="1">IFERROR(__xludf.DUMMYFUNCTION("""COMPUTED_VALUE"""),251.11)</f>
        <v>251.11</v>
      </c>
      <c r="F42" s="2">
        <f ca="1">IFERROR(__xludf.DUMMYFUNCTION("""COMPUTED_VALUE"""),24833646)</f>
        <v>24833646</v>
      </c>
    </row>
    <row r="43" spans="1:6" ht="12.5" x14ac:dyDescent="0.25">
      <c r="A43" s="3">
        <f ca="1">IFERROR(__xludf.DUMMYFUNCTION("""COMPUTED_VALUE"""),44988.6666666666)</f>
        <v>44988.666666666599</v>
      </c>
      <c r="B43" s="2">
        <f ca="1">IFERROR(__xludf.DUMMYFUNCTION("""COMPUTED_VALUE"""),252.19)</f>
        <v>252.19</v>
      </c>
      <c r="C43" s="2">
        <f ca="1">IFERROR(__xludf.DUMMYFUNCTION("""COMPUTED_VALUE"""),255.62)</f>
        <v>255.62</v>
      </c>
      <c r="D43" s="2">
        <f ca="1">IFERROR(__xludf.DUMMYFUNCTION("""COMPUTED_VALUE"""),251.39)</f>
        <v>251.39</v>
      </c>
      <c r="E43" s="2">
        <f ca="1">IFERROR(__xludf.DUMMYFUNCTION("""COMPUTED_VALUE"""),255.29)</f>
        <v>255.29</v>
      </c>
      <c r="F43" s="2">
        <f ca="1">IFERROR(__xludf.DUMMYFUNCTION("""COMPUTED_VALUE"""),30760136)</f>
        <v>30760136</v>
      </c>
    </row>
    <row r="44" spans="1:6" ht="12.5" x14ac:dyDescent="0.25">
      <c r="A44" s="3">
        <f ca="1">IFERROR(__xludf.DUMMYFUNCTION("""COMPUTED_VALUE"""),44991.6666666666)</f>
        <v>44991.666666666599</v>
      </c>
      <c r="B44" s="2">
        <f ca="1">IFERROR(__xludf.DUMMYFUNCTION("""COMPUTED_VALUE"""),256.43)</f>
        <v>256.43</v>
      </c>
      <c r="C44" s="2">
        <f ca="1">IFERROR(__xludf.DUMMYFUNCTION("""COMPUTED_VALUE"""),260.12)</f>
        <v>260.12</v>
      </c>
      <c r="D44" s="2">
        <f ca="1">IFERROR(__xludf.DUMMYFUNCTION("""COMPUTED_VALUE"""),255.98)</f>
        <v>255.98</v>
      </c>
      <c r="E44" s="2">
        <f ca="1">IFERROR(__xludf.DUMMYFUNCTION("""COMPUTED_VALUE"""),256.87)</f>
        <v>256.87</v>
      </c>
      <c r="F44" s="2">
        <f ca="1">IFERROR(__xludf.DUMMYFUNCTION("""COMPUTED_VALUE"""),24109849)</f>
        <v>24109849</v>
      </c>
    </row>
    <row r="45" spans="1:6" ht="12.5" x14ac:dyDescent="0.25">
      <c r="A45" s="3">
        <f ca="1">IFERROR(__xludf.DUMMYFUNCTION("""COMPUTED_VALUE"""),44992.6666666666)</f>
        <v>44992.666666666599</v>
      </c>
      <c r="B45" s="2">
        <f ca="1">IFERROR(__xludf.DUMMYFUNCTION("""COMPUTED_VALUE"""),256.3)</f>
        <v>256.3</v>
      </c>
      <c r="C45" s="2">
        <f ca="1">IFERROR(__xludf.DUMMYFUNCTION("""COMPUTED_VALUE"""),257.69)</f>
        <v>257.69</v>
      </c>
      <c r="D45" s="2">
        <f ca="1">IFERROR(__xludf.DUMMYFUNCTION("""COMPUTED_VALUE"""),253.39)</f>
        <v>253.39</v>
      </c>
      <c r="E45" s="2">
        <f ca="1">IFERROR(__xludf.DUMMYFUNCTION("""COMPUTED_VALUE"""),254.15)</f>
        <v>254.15</v>
      </c>
      <c r="F45" s="2">
        <f ca="1">IFERROR(__xludf.DUMMYFUNCTION("""COMPUTED_VALUE"""),21473179)</f>
        <v>21473179</v>
      </c>
    </row>
    <row r="46" spans="1:6" ht="12.5" x14ac:dyDescent="0.25">
      <c r="A46" s="3">
        <f ca="1">IFERROR(__xludf.DUMMYFUNCTION("""COMPUTED_VALUE"""),44993.6666666666)</f>
        <v>44993.666666666599</v>
      </c>
      <c r="B46" s="2">
        <f ca="1">IFERROR(__xludf.DUMMYFUNCTION("""COMPUTED_VALUE"""),254.04)</f>
        <v>254.04</v>
      </c>
      <c r="C46" s="2">
        <f ca="1">IFERROR(__xludf.DUMMYFUNCTION("""COMPUTED_VALUE"""),254.54)</f>
        <v>254.54</v>
      </c>
      <c r="D46" s="2">
        <f ca="1">IFERROR(__xludf.DUMMYFUNCTION("""COMPUTED_VALUE"""),250.81)</f>
        <v>250.81</v>
      </c>
      <c r="E46" s="2">
        <f ca="1">IFERROR(__xludf.DUMMYFUNCTION("""COMPUTED_VALUE"""),253.7)</f>
        <v>253.7</v>
      </c>
      <c r="F46" s="2">
        <f ca="1">IFERROR(__xludf.DUMMYFUNCTION("""COMPUTED_VALUE"""),17340217)</f>
        <v>17340217</v>
      </c>
    </row>
    <row r="47" spans="1:6" ht="12.5" x14ac:dyDescent="0.25">
      <c r="A47" s="3">
        <f ca="1">IFERROR(__xludf.DUMMYFUNCTION("""COMPUTED_VALUE"""),44994.6666666666)</f>
        <v>44994.666666666599</v>
      </c>
      <c r="B47" s="2">
        <f ca="1">IFERROR(__xludf.DUMMYFUNCTION("""COMPUTED_VALUE"""),255.82)</f>
        <v>255.82</v>
      </c>
      <c r="C47" s="2">
        <f ca="1">IFERROR(__xludf.DUMMYFUNCTION("""COMPUTED_VALUE"""),259.56)</f>
        <v>259.56</v>
      </c>
      <c r="D47" s="2">
        <f ca="1">IFERROR(__xludf.DUMMYFUNCTION("""COMPUTED_VALUE"""),251.58)</f>
        <v>251.58</v>
      </c>
      <c r="E47" s="2">
        <f ca="1">IFERROR(__xludf.DUMMYFUNCTION("""COMPUTED_VALUE"""),252.32)</f>
        <v>252.32</v>
      </c>
      <c r="F47" s="2">
        <f ca="1">IFERROR(__xludf.DUMMYFUNCTION("""COMPUTED_VALUE"""),26653387)</f>
        <v>26653387</v>
      </c>
    </row>
    <row r="48" spans="1:6" ht="12.5" x14ac:dyDescent="0.25">
      <c r="A48" s="3">
        <f ca="1">IFERROR(__xludf.DUMMYFUNCTION("""COMPUTED_VALUE"""),44995.6666666666)</f>
        <v>44995.666666666599</v>
      </c>
      <c r="B48" s="2">
        <f ca="1">IFERROR(__xludf.DUMMYFUNCTION("""COMPUTED_VALUE"""),251.08)</f>
        <v>251.08</v>
      </c>
      <c r="C48" s="2">
        <f ca="1">IFERROR(__xludf.DUMMYFUNCTION("""COMPUTED_VALUE"""),252.79)</f>
        <v>252.79</v>
      </c>
      <c r="D48" s="2">
        <f ca="1">IFERROR(__xludf.DUMMYFUNCTION("""COMPUTED_VALUE"""),247.6)</f>
        <v>247.6</v>
      </c>
      <c r="E48" s="2">
        <f ca="1">IFERROR(__xludf.DUMMYFUNCTION("""COMPUTED_VALUE"""),248.59)</f>
        <v>248.59</v>
      </c>
      <c r="F48" s="2">
        <f ca="1">IFERROR(__xludf.DUMMYFUNCTION("""COMPUTED_VALUE"""),28333930)</f>
        <v>28333930</v>
      </c>
    </row>
    <row r="49" spans="1:6" ht="12.5" x14ac:dyDescent="0.25">
      <c r="A49" s="3">
        <f ca="1">IFERROR(__xludf.DUMMYFUNCTION("""COMPUTED_VALUE"""),44998.6666666666)</f>
        <v>44998.666666666599</v>
      </c>
      <c r="B49" s="2">
        <f ca="1">IFERROR(__xludf.DUMMYFUNCTION("""COMPUTED_VALUE"""),247.4)</f>
        <v>247.4</v>
      </c>
      <c r="C49" s="2">
        <f ca="1">IFERROR(__xludf.DUMMYFUNCTION("""COMPUTED_VALUE"""),257.91)</f>
        <v>257.91000000000003</v>
      </c>
      <c r="D49" s="2">
        <f ca="1">IFERROR(__xludf.DUMMYFUNCTION("""COMPUTED_VALUE"""),245.73)</f>
        <v>245.73</v>
      </c>
      <c r="E49" s="2">
        <f ca="1">IFERROR(__xludf.DUMMYFUNCTION("""COMPUTED_VALUE"""),253.92)</f>
        <v>253.92</v>
      </c>
      <c r="F49" s="2">
        <f ca="1">IFERROR(__xludf.DUMMYFUNCTION("""COMPUTED_VALUE"""),33339721)</f>
        <v>33339721</v>
      </c>
    </row>
    <row r="50" spans="1:6" ht="12.5" x14ac:dyDescent="0.25">
      <c r="A50" s="3">
        <f ca="1">IFERROR(__xludf.DUMMYFUNCTION("""COMPUTED_VALUE"""),44999.6666666666)</f>
        <v>44999.666666666599</v>
      </c>
      <c r="B50" s="2">
        <f ca="1">IFERROR(__xludf.DUMMYFUNCTION("""COMPUTED_VALUE"""),256.75)</f>
        <v>256.75</v>
      </c>
      <c r="C50" s="2">
        <f ca="1">IFERROR(__xludf.DUMMYFUNCTION("""COMPUTED_VALUE"""),261.07)</f>
        <v>261.07</v>
      </c>
      <c r="D50" s="2">
        <f ca="1">IFERROR(__xludf.DUMMYFUNCTION("""COMPUTED_VALUE"""),255.86)</f>
        <v>255.86</v>
      </c>
      <c r="E50" s="2">
        <f ca="1">IFERROR(__xludf.DUMMYFUNCTION("""COMPUTED_VALUE"""),260.79)</f>
        <v>260.79000000000002</v>
      </c>
      <c r="F50" s="2">
        <f ca="1">IFERROR(__xludf.DUMMYFUNCTION("""COMPUTED_VALUE"""),33620293)</f>
        <v>33620293</v>
      </c>
    </row>
    <row r="51" spans="1:6" ht="12.5" x14ac:dyDescent="0.25">
      <c r="A51" s="3">
        <f ca="1">IFERROR(__xludf.DUMMYFUNCTION("""COMPUTED_VALUE"""),45000.6666666666)</f>
        <v>45000.666666666599</v>
      </c>
      <c r="B51" s="2">
        <f ca="1">IFERROR(__xludf.DUMMYFUNCTION("""COMPUTED_VALUE"""),259.98)</f>
        <v>259.98</v>
      </c>
      <c r="C51" s="2">
        <f ca="1">IFERROR(__xludf.DUMMYFUNCTION("""COMPUTED_VALUE"""),266.48)</f>
        <v>266.48</v>
      </c>
      <c r="D51" s="2">
        <f ca="1">IFERROR(__xludf.DUMMYFUNCTION("""COMPUTED_VALUE"""),259.21)</f>
        <v>259.20999999999998</v>
      </c>
      <c r="E51" s="2">
        <f ca="1">IFERROR(__xludf.DUMMYFUNCTION("""COMPUTED_VALUE"""),265.44)</f>
        <v>265.44</v>
      </c>
      <c r="F51" s="2">
        <f ca="1">IFERROR(__xludf.DUMMYFUNCTION("""COMPUTED_VALUE"""),46028047)</f>
        <v>46028047</v>
      </c>
    </row>
    <row r="52" spans="1:6" ht="12.5" x14ac:dyDescent="0.25">
      <c r="A52" s="3">
        <f ca="1">IFERROR(__xludf.DUMMYFUNCTION("""COMPUTED_VALUE"""),45001.6666666666)</f>
        <v>45001.666666666599</v>
      </c>
      <c r="B52" s="2">
        <f ca="1">IFERROR(__xludf.DUMMYFUNCTION("""COMPUTED_VALUE"""),265.21)</f>
        <v>265.20999999999998</v>
      </c>
      <c r="C52" s="2">
        <f ca="1">IFERROR(__xludf.DUMMYFUNCTION("""COMPUTED_VALUE"""),276.56)</f>
        <v>276.56</v>
      </c>
      <c r="D52" s="2">
        <f ca="1">IFERROR(__xludf.DUMMYFUNCTION("""COMPUTED_VALUE"""),263.28)</f>
        <v>263.27999999999997</v>
      </c>
      <c r="E52" s="2">
        <f ca="1">IFERROR(__xludf.DUMMYFUNCTION("""COMPUTED_VALUE"""),276.2)</f>
        <v>276.2</v>
      </c>
      <c r="F52" s="2">
        <f ca="1">IFERROR(__xludf.DUMMYFUNCTION("""COMPUTED_VALUE"""),54832140)</f>
        <v>54832140</v>
      </c>
    </row>
    <row r="53" spans="1:6" ht="12.5" x14ac:dyDescent="0.25">
      <c r="A53" s="3">
        <f ca="1">IFERROR(__xludf.DUMMYFUNCTION("""COMPUTED_VALUE"""),45002.6666666666)</f>
        <v>45002.666666666599</v>
      </c>
      <c r="B53" s="2">
        <f ca="1">IFERROR(__xludf.DUMMYFUNCTION("""COMPUTED_VALUE"""),278.26)</f>
        <v>278.26</v>
      </c>
      <c r="C53" s="2">
        <f ca="1">IFERROR(__xludf.DUMMYFUNCTION("""COMPUTED_VALUE"""),283.33)</f>
        <v>283.33</v>
      </c>
      <c r="D53" s="2">
        <f ca="1">IFERROR(__xludf.DUMMYFUNCTION("""COMPUTED_VALUE"""),276.32)</f>
        <v>276.32</v>
      </c>
      <c r="E53" s="2">
        <f ca="1">IFERROR(__xludf.DUMMYFUNCTION("""COMPUTED_VALUE"""),279.43)</f>
        <v>279.43</v>
      </c>
      <c r="F53" s="2">
        <f ca="1">IFERROR(__xludf.DUMMYFUNCTION("""COMPUTED_VALUE"""),69527371)</f>
        <v>69527371</v>
      </c>
    </row>
    <row r="54" spans="1:6" ht="12.5" x14ac:dyDescent="0.25">
      <c r="A54" s="3">
        <f ca="1">IFERROR(__xludf.DUMMYFUNCTION("""COMPUTED_VALUE"""),45005.6666666666)</f>
        <v>45005.666666666599</v>
      </c>
      <c r="B54" s="2">
        <f ca="1">IFERROR(__xludf.DUMMYFUNCTION("""COMPUTED_VALUE"""),276.98)</f>
        <v>276.98</v>
      </c>
      <c r="C54" s="2">
        <f ca="1">IFERROR(__xludf.DUMMYFUNCTION("""COMPUTED_VALUE"""),277.48)</f>
        <v>277.48</v>
      </c>
      <c r="D54" s="2">
        <f ca="1">IFERROR(__xludf.DUMMYFUNCTION("""COMPUTED_VALUE"""),269.85)</f>
        <v>269.85000000000002</v>
      </c>
      <c r="E54" s="2">
        <f ca="1">IFERROR(__xludf.DUMMYFUNCTION("""COMPUTED_VALUE"""),272.23)</f>
        <v>272.23</v>
      </c>
      <c r="F54" s="2">
        <f ca="1">IFERROR(__xludf.DUMMYFUNCTION("""COMPUTED_VALUE"""),43466649)</f>
        <v>43466649</v>
      </c>
    </row>
    <row r="55" spans="1:6" ht="12.5" x14ac:dyDescent="0.25">
      <c r="A55" s="3">
        <f ca="1">IFERROR(__xludf.DUMMYFUNCTION("""COMPUTED_VALUE"""),45006.6666666666)</f>
        <v>45006.666666666599</v>
      </c>
      <c r="B55" s="2">
        <f ca="1">IFERROR(__xludf.DUMMYFUNCTION("""COMPUTED_VALUE"""),274.88)</f>
        <v>274.88</v>
      </c>
      <c r="C55" s="2">
        <f ca="1">IFERROR(__xludf.DUMMYFUNCTION("""COMPUTED_VALUE"""),275)</f>
        <v>275</v>
      </c>
      <c r="D55" s="2">
        <f ca="1">IFERROR(__xludf.DUMMYFUNCTION("""COMPUTED_VALUE"""),269.52)</f>
        <v>269.52</v>
      </c>
      <c r="E55" s="2">
        <f ca="1">IFERROR(__xludf.DUMMYFUNCTION("""COMPUTED_VALUE"""),273.78)</f>
        <v>273.77999999999997</v>
      </c>
      <c r="F55" s="2">
        <f ca="1">IFERROR(__xludf.DUMMYFUNCTION("""COMPUTED_VALUE"""),34558704)</f>
        <v>34558704</v>
      </c>
    </row>
    <row r="56" spans="1:6" ht="12.5" x14ac:dyDescent="0.25">
      <c r="A56" s="3">
        <f ca="1">IFERROR(__xludf.DUMMYFUNCTION("""COMPUTED_VALUE"""),45007.6666666666)</f>
        <v>45007.666666666599</v>
      </c>
      <c r="B56" s="2">
        <f ca="1">IFERROR(__xludf.DUMMYFUNCTION("""COMPUTED_VALUE"""),273.4)</f>
        <v>273.39999999999998</v>
      </c>
      <c r="C56" s="2">
        <f ca="1">IFERROR(__xludf.DUMMYFUNCTION("""COMPUTED_VALUE"""),281.04)</f>
        <v>281.04000000000002</v>
      </c>
      <c r="D56" s="2">
        <f ca="1">IFERROR(__xludf.DUMMYFUNCTION("""COMPUTED_VALUE"""),272.18)</f>
        <v>272.18</v>
      </c>
      <c r="E56" s="2">
        <f ca="1">IFERROR(__xludf.DUMMYFUNCTION("""COMPUTED_VALUE"""),272.29)</f>
        <v>272.29000000000002</v>
      </c>
      <c r="F56" s="2">
        <f ca="1">IFERROR(__xludf.DUMMYFUNCTION("""COMPUTED_VALUE"""),34873330)</f>
        <v>34873330</v>
      </c>
    </row>
    <row r="57" spans="1:6" ht="12.5" x14ac:dyDescent="0.25">
      <c r="A57" s="3">
        <f ca="1">IFERROR(__xludf.DUMMYFUNCTION("""COMPUTED_VALUE"""),45008.6666666666)</f>
        <v>45008.666666666599</v>
      </c>
      <c r="B57" s="2">
        <f ca="1">IFERROR(__xludf.DUMMYFUNCTION("""COMPUTED_VALUE"""),277.94)</f>
        <v>277.94</v>
      </c>
      <c r="C57" s="2">
        <f ca="1">IFERROR(__xludf.DUMMYFUNCTION("""COMPUTED_VALUE"""),281.06)</f>
        <v>281.06</v>
      </c>
      <c r="D57" s="2">
        <f ca="1">IFERROR(__xludf.DUMMYFUNCTION("""COMPUTED_VALUE"""),275.2)</f>
        <v>275.2</v>
      </c>
      <c r="E57" s="2">
        <f ca="1">IFERROR(__xludf.DUMMYFUNCTION("""COMPUTED_VALUE"""),277.66)</f>
        <v>277.66000000000003</v>
      </c>
      <c r="F57" s="2">
        <f ca="1">IFERROR(__xludf.DUMMYFUNCTION("""COMPUTED_VALUE"""),36610879)</f>
        <v>36610879</v>
      </c>
    </row>
    <row r="58" spans="1:6" ht="12.5" x14ac:dyDescent="0.25">
      <c r="A58" s="3">
        <f ca="1">IFERROR(__xludf.DUMMYFUNCTION("""COMPUTED_VALUE"""),45009.6666666666)</f>
        <v>45009.666666666599</v>
      </c>
      <c r="B58" s="2">
        <f ca="1">IFERROR(__xludf.DUMMYFUNCTION("""COMPUTED_VALUE"""),277.24)</f>
        <v>277.24</v>
      </c>
      <c r="C58" s="2">
        <f ca="1">IFERROR(__xludf.DUMMYFUNCTION("""COMPUTED_VALUE"""),280.63)</f>
        <v>280.63</v>
      </c>
      <c r="D58" s="2">
        <f ca="1">IFERROR(__xludf.DUMMYFUNCTION("""COMPUTED_VALUE"""),275.28)</f>
        <v>275.27999999999997</v>
      </c>
      <c r="E58" s="2">
        <f ca="1">IFERROR(__xludf.DUMMYFUNCTION("""COMPUTED_VALUE"""),280.57)</f>
        <v>280.57</v>
      </c>
      <c r="F58" s="2">
        <f ca="1">IFERROR(__xludf.DUMMYFUNCTION("""COMPUTED_VALUE"""),28199962)</f>
        <v>28199962</v>
      </c>
    </row>
    <row r="59" spans="1:6" ht="12.5" x14ac:dyDescent="0.25">
      <c r="A59" s="3">
        <f ca="1">IFERROR(__xludf.DUMMYFUNCTION("""COMPUTED_VALUE"""),45012.6666666666)</f>
        <v>45012.666666666599</v>
      </c>
      <c r="B59" s="2">
        <f ca="1">IFERROR(__xludf.DUMMYFUNCTION("""COMPUTED_VALUE"""),280.5)</f>
        <v>280.5</v>
      </c>
      <c r="C59" s="2">
        <f ca="1">IFERROR(__xludf.DUMMYFUNCTION("""COMPUTED_VALUE"""),281.46)</f>
        <v>281.45999999999998</v>
      </c>
      <c r="D59" s="2">
        <f ca="1">IFERROR(__xludf.DUMMYFUNCTION("""COMPUTED_VALUE"""),275.52)</f>
        <v>275.52</v>
      </c>
      <c r="E59" s="2">
        <f ca="1">IFERROR(__xludf.DUMMYFUNCTION("""COMPUTED_VALUE"""),276.38)</f>
        <v>276.38</v>
      </c>
      <c r="F59" s="2">
        <f ca="1">IFERROR(__xludf.DUMMYFUNCTION("""COMPUTED_VALUE"""),26840212)</f>
        <v>26840212</v>
      </c>
    </row>
    <row r="60" spans="1:6" ht="12.5" x14ac:dyDescent="0.25">
      <c r="A60" s="3">
        <f ca="1">IFERROR(__xludf.DUMMYFUNCTION("""COMPUTED_VALUE"""),45013.6666666666)</f>
        <v>45013.666666666599</v>
      </c>
      <c r="B60" s="2">
        <f ca="1">IFERROR(__xludf.DUMMYFUNCTION("""COMPUTED_VALUE"""),275.79)</f>
        <v>275.79000000000002</v>
      </c>
      <c r="C60" s="2">
        <f ca="1">IFERROR(__xludf.DUMMYFUNCTION("""COMPUTED_VALUE"""),276.14)</f>
        <v>276.14</v>
      </c>
      <c r="D60" s="2">
        <f ca="1">IFERROR(__xludf.DUMMYFUNCTION("""COMPUTED_VALUE"""),272.05)</f>
        <v>272.05</v>
      </c>
      <c r="E60" s="2">
        <f ca="1">IFERROR(__xludf.DUMMYFUNCTION("""COMPUTED_VALUE"""),275.23)</f>
        <v>275.23</v>
      </c>
      <c r="F60" s="2">
        <f ca="1">IFERROR(__xludf.DUMMYFUNCTION("""COMPUTED_VALUE"""),21878647)</f>
        <v>21878647</v>
      </c>
    </row>
    <row r="61" spans="1:6" ht="12.5" x14ac:dyDescent="0.25">
      <c r="A61" s="3">
        <f ca="1">IFERROR(__xludf.DUMMYFUNCTION("""COMPUTED_VALUE"""),45014.6666666666)</f>
        <v>45014.666666666599</v>
      </c>
      <c r="B61" s="2">
        <f ca="1">IFERROR(__xludf.DUMMYFUNCTION("""COMPUTED_VALUE"""),278.96)</f>
        <v>278.95999999999998</v>
      </c>
      <c r="C61" s="2">
        <f ca="1">IFERROR(__xludf.DUMMYFUNCTION("""COMPUTED_VALUE"""),281.14)</f>
        <v>281.14</v>
      </c>
      <c r="D61" s="2">
        <f ca="1">IFERROR(__xludf.DUMMYFUNCTION("""COMPUTED_VALUE"""),278.41)</f>
        <v>278.41000000000003</v>
      </c>
      <c r="E61" s="2">
        <f ca="1">IFERROR(__xludf.DUMMYFUNCTION("""COMPUTED_VALUE"""),280.51)</f>
        <v>280.51</v>
      </c>
      <c r="F61" s="2">
        <f ca="1">IFERROR(__xludf.DUMMYFUNCTION("""COMPUTED_VALUE"""),25087032)</f>
        <v>25087032</v>
      </c>
    </row>
    <row r="62" spans="1:6" ht="12.5" x14ac:dyDescent="0.25">
      <c r="A62" s="3">
        <f ca="1">IFERROR(__xludf.DUMMYFUNCTION("""COMPUTED_VALUE"""),45015.6666666666)</f>
        <v>45015.666666666599</v>
      </c>
      <c r="B62" s="2">
        <f ca="1">IFERROR(__xludf.DUMMYFUNCTION("""COMPUTED_VALUE"""),284.23)</f>
        <v>284.23</v>
      </c>
      <c r="C62" s="2">
        <f ca="1">IFERROR(__xludf.DUMMYFUNCTION("""COMPUTED_VALUE"""),284.46)</f>
        <v>284.45999999999998</v>
      </c>
      <c r="D62" s="2">
        <f ca="1">IFERROR(__xludf.DUMMYFUNCTION("""COMPUTED_VALUE"""),281.48)</f>
        <v>281.48</v>
      </c>
      <c r="E62" s="2">
        <f ca="1">IFERROR(__xludf.DUMMYFUNCTION("""COMPUTED_VALUE"""),284.05)</f>
        <v>284.05</v>
      </c>
      <c r="F62" s="2">
        <f ca="1">IFERROR(__xludf.DUMMYFUNCTION("""COMPUTED_VALUE"""),25053410)</f>
        <v>25053410</v>
      </c>
    </row>
    <row r="63" spans="1:6" ht="12.5" x14ac:dyDescent="0.25">
      <c r="A63" s="3">
        <f ca="1">IFERROR(__xludf.DUMMYFUNCTION("""COMPUTED_VALUE"""),45016.6666666666)</f>
        <v>45016.666666666599</v>
      </c>
      <c r="B63" s="2">
        <f ca="1">IFERROR(__xludf.DUMMYFUNCTION("""COMPUTED_VALUE"""),283.73)</f>
        <v>283.73</v>
      </c>
      <c r="C63" s="2">
        <f ca="1">IFERROR(__xludf.DUMMYFUNCTION("""COMPUTED_VALUE"""),289.27)</f>
        <v>289.27</v>
      </c>
      <c r="D63" s="2">
        <f ca="1">IFERROR(__xludf.DUMMYFUNCTION("""COMPUTED_VALUE"""),283)</f>
        <v>283</v>
      </c>
      <c r="E63" s="2">
        <f ca="1">IFERROR(__xludf.DUMMYFUNCTION("""COMPUTED_VALUE"""),288.3)</f>
        <v>288.3</v>
      </c>
      <c r="F63" s="2">
        <f ca="1">IFERROR(__xludf.DUMMYFUNCTION("""COMPUTED_VALUE"""),32765976)</f>
        <v>32765976</v>
      </c>
    </row>
    <row r="64" spans="1:6" ht="12.5" x14ac:dyDescent="0.25">
      <c r="A64" s="3">
        <f ca="1">IFERROR(__xludf.DUMMYFUNCTION("""COMPUTED_VALUE"""),45019.6666666666)</f>
        <v>45019.666666666599</v>
      </c>
      <c r="B64" s="2">
        <f ca="1">IFERROR(__xludf.DUMMYFUNCTION("""COMPUTED_VALUE"""),286.52)</f>
        <v>286.52</v>
      </c>
      <c r="C64" s="2">
        <f ca="1">IFERROR(__xludf.DUMMYFUNCTION("""COMPUTED_VALUE"""),288.27)</f>
        <v>288.27</v>
      </c>
      <c r="D64" s="2">
        <f ca="1">IFERROR(__xludf.DUMMYFUNCTION("""COMPUTED_VALUE"""),283.95)</f>
        <v>283.95</v>
      </c>
      <c r="E64" s="2">
        <f ca="1">IFERROR(__xludf.DUMMYFUNCTION("""COMPUTED_VALUE"""),287.23)</f>
        <v>287.23</v>
      </c>
      <c r="F64" s="2">
        <f ca="1">IFERROR(__xludf.DUMMYFUNCTION("""COMPUTED_VALUE"""),24883342)</f>
        <v>24883342</v>
      </c>
    </row>
    <row r="65" spans="1:6" ht="12.5" x14ac:dyDescent="0.25">
      <c r="A65" s="3">
        <f ca="1">IFERROR(__xludf.DUMMYFUNCTION("""COMPUTED_VALUE"""),45020.6666666666)</f>
        <v>45020.666666666599</v>
      </c>
      <c r="B65" s="2">
        <f ca="1">IFERROR(__xludf.DUMMYFUNCTION("""COMPUTED_VALUE"""),287.23)</f>
        <v>287.23</v>
      </c>
      <c r="C65" s="2">
        <f ca="1">IFERROR(__xludf.DUMMYFUNCTION("""COMPUTED_VALUE"""),290.45)</f>
        <v>290.45</v>
      </c>
      <c r="D65" s="2">
        <f ca="1">IFERROR(__xludf.DUMMYFUNCTION("""COMPUTED_VALUE"""),285.67)</f>
        <v>285.67</v>
      </c>
      <c r="E65" s="2">
        <f ca="1">IFERROR(__xludf.DUMMYFUNCTION("""COMPUTED_VALUE"""),287.18)</f>
        <v>287.18</v>
      </c>
      <c r="F65" s="2">
        <f ca="1">IFERROR(__xludf.DUMMYFUNCTION("""COMPUTED_VALUE"""),25824299)</f>
        <v>25824299</v>
      </c>
    </row>
    <row r="66" spans="1:6" ht="12.5" x14ac:dyDescent="0.25">
      <c r="A66" s="3">
        <f ca="1">IFERROR(__xludf.DUMMYFUNCTION("""COMPUTED_VALUE"""),45021.6666666666)</f>
        <v>45021.666666666599</v>
      </c>
      <c r="B66" s="2">
        <f ca="1">IFERROR(__xludf.DUMMYFUNCTION("""COMPUTED_VALUE"""),285.85)</f>
        <v>285.85000000000002</v>
      </c>
      <c r="C66" s="2">
        <f ca="1">IFERROR(__xludf.DUMMYFUNCTION("""COMPUTED_VALUE"""),287.15)</f>
        <v>287.14999999999998</v>
      </c>
      <c r="D66" s="2">
        <f ca="1">IFERROR(__xludf.DUMMYFUNCTION("""COMPUTED_VALUE"""),282.92)</f>
        <v>282.92</v>
      </c>
      <c r="E66" s="2">
        <f ca="1">IFERROR(__xludf.DUMMYFUNCTION("""COMPUTED_VALUE"""),284.34)</f>
        <v>284.33999999999997</v>
      </c>
      <c r="F66" s="2">
        <f ca="1">IFERROR(__xludf.DUMMYFUNCTION("""COMPUTED_VALUE"""),22064770)</f>
        <v>22064770</v>
      </c>
    </row>
    <row r="67" spans="1:6" ht="12.5" x14ac:dyDescent="0.25">
      <c r="A67" s="3">
        <f ca="1">IFERROR(__xludf.DUMMYFUNCTION("""COMPUTED_VALUE"""),45022.6666666666)</f>
        <v>45022.666666666599</v>
      </c>
      <c r="B67" s="2">
        <f ca="1">IFERROR(__xludf.DUMMYFUNCTION("""COMPUTED_VALUE"""),283.21)</f>
        <v>283.20999999999998</v>
      </c>
      <c r="C67" s="2">
        <f ca="1">IFERROR(__xludf.DUMMYFUNCTION("""COMPUTED_VALUE"""),292.08)</f>
        <v>292.08</v>
      </c>
      <c r="D67" s="2">
        <f ca="1">IFERROR(__xludf.DUMMYFUNCTION("""COMPUTED_VALUE"""),282.03)</f>
        <v>282.02999999999997</v>
      </c>
      <c r="E67" s="2">
        <f ca="1">IFERROR(__xludf.DUMMYFUNCTION("""COMPUTED_VALUE"""),291.6)</f>
        <v>291.60000000000002</v>
      </c>
      <c r="F67" s="2">
        <f ca="1">IFERROR(__xludf.DUMMYFUNCTION("""COMPUTED_VALUE"""),29770334)</f>
        <v>29770334</v>
      </c>
    </row>
    <row r="68" spans="1:6" ht="12.5" x14ac:dyDescent="0.25">
      <c r="A68" s="3">
        <f ca="1">IFERROR(__xludf.DUMMYFUNCTION("""COMPUTED_VALUE"""),45026.6666666666)</f>
        <v>45026.666666666599</v>
      </c>
      <c r="B68" s="2">
        <f ca="1">IFERROR(__xludf.DUMMYFUNCTION("""COMPUTED_VALUE"""),289.21)</f>
        <v>289.20999999999998</v>
      </c>
      <c r="C68" s="2">
        <f ca="1">IFERROR(__xludf.DUMMYFUNCTION("""COMPUTED_VALUE"""),289.6)</f>
        <v>289.60000000000002</v>
      </c>
      <c r="D68" s="2">
        <f ca="1">IFERROR(__xludf.DUMMYFUNCTION("""COMPUTED_VALUE"""),284.71)</f>
        <v>284.70999999999998</v>
      </c>
      <c r="E68" s="2">
        <f ca="1">IFERROR(__xludf.DUMMYFUNCTION("""COMPUTED_VALUE"""),289.39)</f>
        <v>289.39</v>
      </c>
      <c r="F68" s="2">
        <f ca="1">IFERROR(__xludf.DUMMYFUNCTION("""COMPUTED_VALUE"""),23102994)</f>
        <v>23102994</v>
      </c>
    </row>
    <row r="69" spans="1:6" ht="12.5" x14ac:dyDescent="0.25">
      <c r="A69" s="3">
        <f ca="1">IFERROR(__xludf.DUMMYFUNCTION("""COMPUTED_VALUE"""),45027.6666666666)</f>
        <v>45027.666666666599</v>
      </c>
      <c r="B69" s="2">
        <f ca="1">IFERROR(__xludf.DUMMYFUNCTION("""COMPUTED_VALUE"""),285.75)</f>
        <v>285.75</v>
      </c>
      <c r="C69" s="2">
        <f ca="1">IFERROR(__xludf.DUMMYFUNCTION("""COMPUTED_VALUE"""),285.98)</f>
        <v>285.98</v>
      </c>
      <c r="D69" s="2">
        <f ca="1">IFERROR(__xludf.DUMMYFUNCTION("""COMPUTED_VALUE"""),281.64)</f>
        <v>281.64</v>
      </c>
      <c r="E69" s="2">
        <f ca="1">IFERROR(__xludf.DUMMYFUNCTION("""COMPUTED_VALUE"""),282.83)</f>
        <v>282.83</v>
      </c>
      <c r="F69" s="2">
        <f ca="1">IFERROR(__xludf.DUMMYFUNCTION("""COMPUTED_VALUE"""),27276589)</f>
        <v>27276589</v>
      </c>
    </row>
    <row r="70" spans="1:6" ht="12.5" x14ac:dyDescent="0.25">
      <c r="A70" s="3">
        <f ca="1">IFERROR(__xludf.DUMMYFUNCTION("""COMPUTED_VALUE"""),45028.6666666666)</f>
        <v>45028.666666666599</v>
      </c>
      <c r="B70" s="2">
        <f ca="1">IFERROR(__xludf.DUMMYFUNCTION("""COMPUTED_VALUE"""),284.79)</f>
        <v>284.79000000000002</v>
      </c>
      <c r="C70" s="2">
        <f ca="1">IFERROR(__xludf.DUMMYFUNCTION("""COMPUTED_VALUE"""),287.01)</f>
        <v>287.01</v>
      </c>
      <c r="D70" s="2">
        <f ca="1">IFERROR(__xludf.DUMMYFUNCTION("""COMPUTED_VALUE"""),281.96)</f>
        <v>281.95999999999998</v>
      </c>
      <c r="E70" s="2">
        <f ca="1">IFERROR(__xludf.DUMMYFUNCTION("""COMPUTED_VALUE"""),283.49)</f>
        <v>283.49</v>
      </c>
      <c r="F70" s="2">
        <f ca="1">IFERROR(__xludf.DUMMYFUNCTION("""COMPUTED_VALUE"""),27403432)</f>
        <v>27403432</v>
      </c>
    </row>
    <row r="71" spans="1:6" ht="12.5" x14ac:dyDescent="0.25">
      <c r="A71" s="3">
        <f ca="1">IFERROR(__xludf.DUMMYFUNCTION("""COMPUTED_VALUE"""),45029.6666666666)</f>
        <v>45029.666666666599</v>
      </c>
      <c r="B71" s="2">
        <f ca="1">IFERROR(__xludf.DUMMYFUNCTION("""COMPUTED_VALUE"""),283.59)</f>
        <v>283.58999999999997</v>
      </c>
      <c r="C71" s="2">
        <f ca="1">IFERROR(__xludf.DUMMYFUNCTION("""COMPUTED_VALUE"""),289.9)</f>
        <v>289.89999999999998</v>
      </c>
      <c r="D71" s="2">
        <f ca="1">IFERROR(__xludf.DUMMYFUNCTION("""COMPUTED_VALUE"""),283.17)</f>
        <v>283.17</v>
      </c>
      <c r="E71" s="2">
        <f ca="1">IFERROR(__xludf.DUMMYFUNCTION("""COMPUTED_VALUE"""),289.84)</f>
        <v>289.83999999999997</v>
      </c>
      <c r="F71" s="2">
        <f ca="1">IFERROR(__xludf.DUMMYFUNCTION("""COMPUTED_VALUE"""),24222678)</f>
        <v>24222678</v>
      </c>
    </row>
    <row r="72" spans="1:6" ht="12.5" x14ac:dyDescent="0.25">
      <c r="A72" s="3">
        <f ca="1">IFERROR(__xludf.DUMMYFUNCTION("""COMPUTED_VALUE"""),45030.6666666666)</f>
        <v>45030.666666666599</v>
      </c>
      <c r="B72" s="2">
        <f ca="1">IFERROR(__xludf.DUMMYFUNCTION("""COMPUTED_VALUE"""),287)</f>
        <v>287</v>
      </c>
      <c r="C72" s="2">
        <f ca="1">IFERROR(__xludf.DUMMYFUNCTION("""COMPUTED_VALUE"""),288.48)</f>
        <v>288.48</v>
      </c>
      <c r="D72" s="2">
        <f ca="1">IFERROR(__xludf.DUMMYFUNCTION("""COMPUTED_VALUE"""),283.69)</f>
        <v>283.69</v>
      </c>
      <c r="E72" s="2">
        <f ca="1">IFERROR(__xludf.DUMMYFUNCTION("""COMPUTED_VALUE"""),286.14)</f>
        <v>286.14</v>
      </c>
      <c r="F72" s="2">
        <f ca="1">IFERROR(__xludf.DUMMYFUNCTION("""COMPUTED_VALUE"""),20987917)</f>
        <v>20987917</v>
      </c>
    </row>
    <row r="73" spans="1:6" ht="12.5" x14ac:dyDescent="0.25">
      <c r="A73" s="3">
        <f ca="1">IFERROR(__xludf.DUMMYFUNCTION("""COMPUTED_VALUE"""),45033.6666666666)</f>
        <v>45033.666666666599</v>
      </c>
      <c r="B73" s="2">
        <f ca="1">IFERROR(__xludf.DUMMYFUNCTION("""COMPUTED_VALUE"""),289.93)</f>
        <v>289.93</v>
      </c>
      <c r="C73" s="2">
        <f ca="1">IFERROR(__xludf.DUMMYFUNCTION("""COMPUTED_VALUE"""),291.6)</f>
        <v>291.60000000000002</v>
      </c>
      <c r="D73" s="2">
        <f ca="1">IFERROR(__xludf.DUMMYFUNCTION("""COMPUTED_VALUE"""),286.16)</f>
        <v>286.16000000000003</v>
      </c>
      <c r="E73" s="2">
        <f ca="1">IFERROR(__xludf.DUMMYFUNCTION("""COMPUTED_VALUE"""),288.8)</f>
        <v>288.8</v>
      </c>
      <c r="F73" s="2">
        <f ca="1">IFERROR(__xludf.DUMMYFUNCTION("""COMPUTED_VALUE"""),23836223)</f>
        <v>23836223</v>
      </c>
    </row>
    <row r="74" spans="1:6" ht="12.5" x14ac:dyDescent="0.25">
      <c r="A74" s="3">
        <f ca="1">IFERROR(__xludf.DUMMYFUNCTION("""COMPUTED_VALUE"""),45034.6666666666)</f>
        <v>45034.666666666599</v>
      </c>
      <c r="B74" s="2">
        <f ca="1">IFERROR(__xludf.DUMMYFUNCTION("""COMPUTED_VALUE"""),291.57)</f>
        <v>291.57</v>
      </c>
      <c r="C74" s="2">
        <f ca="1">IFERROR(__xludf.DUMMYFUNCTION("""COMPUTED_VALUE"""),291.76)</f>
        <v>291.76</v>
      </c>
      <c r="D74" s="2">
        <f ca="1">IFERROR(__xludf.DUMMYFUNCTION("""COMPUTED_VALUE"""),287.01)</f>
        <v>287.01</v>
      </c>
      <c r="E74" s="2">
        <f ca="1">IFERROR(__xludf.DUMMYFUNCTION("""COMPUTED_VALUE"""),288.37)</f>
        <v>288.37</v>
      </c>
      <c r="F74" s="2">
        <f ca="1">IFERROR(__xludf.DUMMYFUNCTION("""COMPUTED_VALUE"""),20161845)</f>
        <v>20161845</v>
      </c>
    </row>
    <row r="75" spans="1:6" ht="12.5" x14ac:dyDescent="0.25">
      <c r="A75" s="3">
        <f ca="1">IFERROR(__xludf.DUMMYFUNCTION("""COMPUTED_VALUE"""),45035.6666666666)</f>
        <v>45035.666666666599</v>
      </c>
      <c r="B75" s="2">
        <f ca="1">IFERROR(__xludf.DUMMYFUNCTION("""COMPUTED_VALUE"""),285.99)</f>
        <v>285.99</v>
      </c>
      <c r="C75" s="2">
        <f ca="1">IFERROR(__xludf.DUMMYFUNCTION("""COMPUTED_VALUE"""),289.05)</f>
        <v>289.05</v>
      </c>
      <c r="D75" s="2">
        <f ca="1">IFERROR(__xludf.DUMMYFUNCTION("""COMPUTED_VALUE"""),284.54)</f>
        <v>284.54000000000002</v>
      </c>
      <c r="E75" s="2">
        <f ca="1">IFERROR(__xludf.DUMMYFUNCTION("""COMPUTED_VALUE"""),288.45)</f>
        <v>288.45</v>
      </c>
      <c r="F75" s="2">
        <f ca="1">IFERROR(__xludf.DUMMYFUNCTION("""COMPUTED_VALUE"""),17150271)</f>
        <v>17150271</v>
      </c>
    </row>
    <row r="76" spans="1:6" ht="12.5" x14ac:dyDescent="0.25">
      <c r="A76" s="3">
        <f ca="1">IFERROR(__xludf.DUMMYFUNCTION("""COMPUTED_VALUE"""),45036.6666666666)</f>
        <v>45036.666666666599</v>
      </c>
      <c r="B76" s="2">
        <f ca="1">IFERROR(__xludf.DUMMYFUNCTION("""COMPUTED_VALUE"""),285.25)</f>
        <v>285.25</v>
      </c>
      <c r="C76" s="2">
        <f ca="1">IFERROR(__xludf.DUMMYFUNCTION("""COMPUTED_VALUE"""),289.03)</f>
        <v>289.02999999999997</v>
      </c>
      <c r="D76" s="2">
        <f ca="1">IFERROR(__xludf.DUMMYFUNCTION("""COMPUTED_VALUE"""),285.08)</f>
        <v>285.08</v>
      </c>
      <c r="E76" s="2">
        <f ca="1">IFERROR(__xludf.DUMMYFUNCTION("""COMPUTED_VALUE"""),286.11)</f>
        <v>286.11</v>
      </c>
      <c r="F76" s="2">
        <f ca="1">IFERROR(__xludf.DUMMYFUNCTION("""COMPUTED_VALUE"""),23244363)</f>
        <v>23244363</v>
      </c>
    </row>
    <row r="77" spans="1:6" ht="12.5" x14ac:dyDescent="0.25">
      <c r="A77" s="3">
        <f ca="1">IFERROR(__xludf.DUMMYFUNCTION("""COMPUTED_VALUE"""),45037.6666666666)</f>
        <v>45037.666666666599</v>
      </c>
      <c r="B77" s="2">
        <f ca="1">IFERROR(__xludf.DUMMYFUNCTION("""COMPUTED_VALUE"""),285.01)</f>
        <v>285.01</v>
      </c>
      <c r="C77" s="2">
        <f ca="1">IFERROR(__xludf.DUMMYFUNCTION("""COMPUTED_VALUE"""),286.27)</f>
        <v>286.27</v>
      </c>
      <c r="D77" s="2">
        <f ca="1">IFERROR(__xludf.DUMMYFUNCTION("""COMPUTED_VALUE"""),283.06)</f>
        <v>283.06</v>
      </c>
      <c r="E77" s="2">
        <f ca="1">IFERROR(__xludf.DUMMYFUNCTION("""COMPUTED_VALUE"""),285.76)</f>
        <v>285.76</v>
      </c>
      <c r="F77" s="2">
        <f ca="1">IFERROR(__xludf.DUMMYFUNCTION("""COMPUTED_VALUE"""),21676387)</f>
        <v>21676387</v>
      </c>
    </row>
    <row r="78" spans="1:6" ht="12.5" x14ac:dyDescent="0.25">
      <c r="A78" s="3">
        <f ca="1">IFERROR(__xludf.DUMMYFUNCTION("""COMPUTED_VALUE"""),45040.6666666666)</f>
        <v>45040.666666666599</v>
      </c>
      <c r="B78" s="2">
        <f ca="1">IFERROR(__xludf.DUMMYFUNCTION("""COMPUTED_VALUE"""),282.09)</f>
        <v>282.08999999999997</v>
      </c>
      <c r="C78" s="2">
        <f ca="1">IFERROR(__xludf.DUMMYFUNCTION("""COMPUTED_VALUE"""),284.95)</f>
        <v>284.95</v>
      </c>
      <c r="D78" s="2">
        <f ca="1">IFERROR(__xludf.DUMMYFUNCTION("""COMPUTED_VALUE"""),278.72)</f>
        <v>278.72000000000003</v>
      </c>
      <c r="E78" s="2">
        <f ca="1">IFERROR(__xludf.DUMMYFUNCTION("""COMPUTED_VALUE"""),281.77)</f>
        <v>281.77</v>
      </c>
      <c r="F78" s="2">
        <f ca="1">IFERROR(__xludf.DUMMYFUNCTION("""COMPUTED_VALUE"""),26611014)</f>
        <v>26611014</v>
      </c>
    </row>
    <row r="79" spans="1:6" ht="12.5" x14ac:dyDescent="0.25">
      <c r="A79" s="3">
        <f ca="1">IFERROR(__xludf.DUMMYFUNCTION("""COMPUTED_VALUE"""),45041.6666666666)</f>
        <v>45041.666666666599</v>
      </c>
      <c r="B79" s="2">
        <f ca="1">IFERROR(__xludf.DUMMYFUNCTION("""COMPUTED_VALUE"""),279.51)</f>
        <v>279.51</v>
      </c>
      <c r="C79" s="2">
        <f ca="1">IFERROR(__xludf.DUMMYFUNCTION("""COMPUTED_VALUE"""),281.6)</f>
        <v>281.60000000000002</v>
      </c>
      <c r="D79" s="2">
        <f ca="1">IFERROR(__xludf.DUMMYFUNCTION("""COMPUTED_VALUE"""),275.37)</f>
        <v>275.37</v>
      </c>
      <c r="E79" s="2">
        <f ca="1">IFERROR(__xludf.DUMMYFUNCTION("""COMPUTED_VALUE"""),275.42)</f>
        <v>275.42</v>
      </c>
      <c r="F79" s="2">
        <f ca="1">IFERROR(__xludf.DUMMYFUNCTION("""COMPUTED_VALUE"""),45772236)</f>
        <v>45772236</v>
      </c>
    </row>
    <row r="80" spans="1:6" ht="12.5" x14ac:dyDescent="0.25">
      <c r="A80" s="3">
        <f ca="1">IFERROR(__xludf.DUMMYFUNCTION("""COMPUTED_VALUE"""),45042.6666666666)</f>
        <v>45042.666666666599</v>
      </c>
      <c r="B80" s="2">
        <f ca="1">IFERROR(__xludf.DUMMYFUNCTION("""COMPUTED_VALUE"""),296.7)</f>
        <v>296.7</v>
      </c>
      <c r="C80" s="2">
        <f ca="1">IFERROR(__xludf.DUMMYFUNCTION("""COMPUTED_VALUE"""),299.57)</f>
        <v>299.57</v>
      </c>
      <c r="D80" s="2">
        <f ca="1">IFERROR(__xludf.DUMMYFUNCTION("""COMPUTED_VALUE"""),292.73)</f>
        <v>292.73</v>
      </c>
      <c r="E80" s="2">
        <f ca="1">IFERROR(__xludf.DUMMYFUNCTION("""COMPUTED_VALUE"""),295.37)</f>
        <v>295.37</v>
      </c>
      <c r="F80" s="2">
        <f ca="1">IFERROR(__xludf.DUMMYFUNCTION("""COMPUTED_VALUE"""),64599182)</f>
        <v>64599182</v>
      </c>
    </row>
    <row r="81" spans="1:6" ht="12.5" x14ac:dyDescent="0.25">
      <c r="A81" s="3">
        <f ca="1">IFERROR(__xludf.DUMMYFUNCTION("""COMPUTED_VALUE"""),45043.6666666666)</f>
        <v>45043.666666666599</v>
      </c>
      <c r="B81" s="2">
        <f ca="1">IFERROR(__xludf.DUMMYFUNCTION("""COMPUTED_VALUE"""),295.97)</f>
        <v>295.97000000000003</v>
      </c>
      <c r="C81" s="2">
        <f ca="1">IFERROR(__xludf.DUMMYFUNCTION("""COMPUTED_VALUE"""),305.2)</f>
        <v>305.2</v>
      </c>
      <c r="D81" s="2">
        <f ca="1">IFERROR(__xludf.DUMMYFUNCTION("""COMPUTED_VALUE"""),295.25)</f>
        <v>295.25</v>
      </c>
      <c r="E81" s="2">
        <f ca="1">IFERROR(__xludf.DUMMYFUNCTION("""COMPUTED_VALUE"""),304.83)</f>
        <v>304.83</v>
      </c>
      <c r="F81" s="2">
        <f ca="1">IFERROR(__xludf.DUMMYFUNCTION("""COMPUTED_VALUE"""),46462638)</f>
        <v>46462638</v>
      </c>
    </row>
    <row r="82" spans="1:6" ht="12.5" x14ac:dyDescent="0.25">
      <c r="A82" s="3">
        <f ca="1">IFERROR(__xludf.DUMMYFUNCTION("""COMPUTED_VALUE"""),45044.6666666666)</f>
        <v>45044.666666666599</v>
      </c>
      <c r="B82" s="2">
        <f ca="1">IFERROR(__xludf.DUMMYFUNCTION("""COMPUTED_VALUE"""),304.01)</f>
        <v>304.01</v>
      </c>
      <c r="C82" s="2">
        <f ca="1">IFERROR(__xludf.DUMMYFUNCTION("""COMPUTED_VALUE"""),308.93)</f>
        <v>308.93</v>
      </c>
      <c r="D82" s="2">
        <f ca="1">IFERROR(__xludf.DUMMYFUNCTION("""COMPUTED_VALUE"""),303.31)</f>
        <v>303.31</v>
      </c>
      <c r="E82" s="2">
        <f ca="1">IFERROR(__xludf.DUMMYFUNCTION("""COMPUTED_VALUE"""),307.26)</f>
        <v>307.26</v>
      </c>
      <c r="F82" s="2">
        <f ca="1">IFERROR(__xludf.DUMMYFUNCTION("""COMPUTED_VALUE"""),36469613)</f>
        <v>36469613</v>
      </c>
    </row>
    <row r="83" spans="1:6" ht="12.5" x14ac:dyDescent="0.25">
      <c r="A83" s="3">
        <f ca="1">IFERROR(__xludf.DUMMYFUNCTION("""COMPUTED_VALUE"""),45047.6666666666)</f>
        <v>45047.666666666599</v>
      </c>
      <c r="B83" s="2">
        <f ca="1">IFERROR(__xludf.DUMMYFUNCTION("""COMPUTED_VALUE"""),306.97)</f>
        <v>306.97000000000003</v>
      </c>
      <c r="C83" s="2">
        <f ca="1">IFERROR(__xludf.DUMMYFUNCTION("""COMPUTED_VALUE"""),308.6)</f>
        <v>308.60000000000002</v>
      </c>
      <c r="D83" s="2">
        <f ca="1">IFERROR(__xludf.DUMMYFUNCTION("""COMPUTED_VALUE"""),305.15)</f>
        <v>305.14999999999998</v>
      </c>
      <c r="E83" s="2">
        <f ca="1">IFERROR(__xludf.DUMMYFUNCTION("""COMPUTED_VALUE"""),305.56)</f>
        <v>305.56</v>
      </c>
      <c r="F83" s="2">
        <f ca="1">IFERROR(__xludf.DUMMYFUNCTION("""COMPUTED_VALUE"""),21294115)</f>
        <v>21294115</v>
      </c>
    </row>
    <row r="84" spans="1:6" ht="12.5" x14ac:dyDescent="0.25">
      <c r="A84" s="3">
        <f ca="1">IFERROR(__xludf.DUMMYFUNCTION("""COMPUTED_VALUE"""),45048.6666666666)</f>
        <v>45048.666666666599</v>
      </c>
      <c r="B84" s="2">
        <f ca="1">IFERROR(__xludf.DUMMYFUNCTION("""COMPUTED_VALUE"""),307.76)</f>
        <v>307.76</v>
      </c>
      <c r="C84" s="2">
        <f ca="1">IFERROR(__xludf.DUMMYFUNCTION("""COMPUTED_VALUE"""),309.18)</f>
        <v>309.18</v>
      </c>
      <c r="D84" s="2">
        <f ca="1">IFERROR(__xludf.DUMMYFUNCTION("""COMPUTED_VALUE"""),303.91)</f>
        <v>303.91000000000003</v>
      </c>
      <c r="E84" s="2">
        <f ca="1">IFERROR(__xludf.DUMMYFUNCTION("""COMPUTED_VALUE"""),305.41)</f>
        <v>305.41000000000003</v>
      </c>
      <c r="F84" s="2">
        <f ca="1">IFERROR(__xludf.DUMMYFUNCTION("""COMPUTED_VALUE"""),26404431)</f>
        <v>26404431</v>
      </c>
    </row>
    <row r="85" spans="1:6" ht="12.5" x14ac:dyDescent="0.25">
      <c r="A85" s="3">
        <f ca="1">IFERROR(__xludf.DUMMYFUNCTION("""COMPUTED_VALUE"""),45049.6666666666)</f>
        <v>45049.666666666599</v>
      </c>
      <c r="B85" s="2">
        <f ca="1">IFERROR(__xludf.DUMMYFUNCTION("""COMPUTED_VALUE"""),306.62)</f>
        <v>306.62</v>
      </c>
      <c r="C85" s="2">
        <f ca="1">IFERROR(__xludf.DUMMYFUNCTION("""COMPUTED_VALUE"""),308.61)</f>
        <v>308.61</v>
      </c>
      <c r="D85" s="2">
        <f ca="1">IFERROR(__xludf.DUMMYFUNCTION("""COMPUTED_VALUE"""),304.09)</f>
        <v>304.08999999999997</v>
      </c>
      <c r="E85" s="2">
        <f ca="1">IFERROR(__xludf.DUMMYFUNCTION("""COMPUTED_VALUE"""),304.4)</f>
        <v>304.39999999999998</v>
      </c>
      <c r="F85" s="2">
        <f ca="1">IFERROR(__xludf.DUMMYFUNCTION("""COMPUTED_VALUE"""),22360754)</f>
        <v>22360754</v>
      </c>
    </row>
    <row r="86" spans="1:6" ht="12.5" x14ac:dyDescent="0.25">
      <c r="A86" s="3">
        <f ca="1">IFERROR(__xludf.DUMMYFUNCTION("""COMPUTED_VALUE"""),45050.6666666666)</f>
        <v>45050.666666666599</v>
      </c>
      <c r="B86" s="2">
        <f ca="1">IFERROR(__xludf.DUMMYFUNCTION("""COMPUTED_VALUE"""),306.24)</f>
        <v>306.24</v>
      </c>
      <c r="C86" s="2">
        <f ca="1">IFERROR(__xludf.DUMMYFUNCTION("""COMPUTED_VALUE"""),307.76)</f>
        <v>307.76</v>
      </c>
      <c r="D86" s="2">
        <f ca="1">IFERROR(__xludf.DUMMYFUNCTION("""COMPUTED_VALUE"""),303.4)</f>
        <v>303.39999999999998</v>
      </c>
      <c r="E86" s="2">
        <f ca="1">IFERROR(__xludf.DUMMYFUNCTION("""COMPUTED_VALUE"""),305.41)</f>
        <v>305.41000000000003</v>
      </c>
      <c r="F86" s="2">
        <f ca="1">IFERROR(__xludf.DUMMYFUNCTION("""COMPUTED_VALUE"""),22519907)</f>
        <v>22519907</v>
      </c>
    </row>
    <row r="87" spans="1:6" ht="12.5" x14ac:dyDescent="0.25">
      <c r="A87" s="3">
        <f ca="1">IFERROR(__xludf.DUMMYFUNCTION("""COMPUTED_VALUE"""),45051.6666666666)</f>
        <v>45051.666666666599</v>
      </c>
      <c r="B87" s="2">
        <f ca="1">IFERROR(__xludf.DUMMYFUNCTION("""COMPUTED_VALUE"""),305.72)</f>
        <v>305.72000000000003</v>
      </c>
      <c r="C87" s="2">
        <f ca="1">IFERROR(__xludf.DUMMYFUNCTION("""COMPUTED_VALUE"""),311.97)</f>
        <v>311.97000000000003</v>
      </c>
      <c r="D87" s="2">
        <f ca="1">IFERROR(__xludf.DUMMYFUNCTION("""COMPUTED_VALUE"""),304.27)</f>
        <v>304.27</v>
      </c>
      <c r="E87" s="2">
        <f ca="1">IFERROR(__xludf.DUMMYFUNCTION("""COMPUTED_VALUE"""),310.65)</f>
        <v>310.64999999999998</v>
      </c>
      <c r="F87" s="2">
        <f ca="1">IFERROR(__xludf.DUMMYFUNCTION("""COMPUTED_VALUE"""),28197052)</f>
        <v>28197052</v>
      </c>
    </row>
    <row r="88" spans="1:6" ht="12.5" x14ac:dyDescent="0.25">
      <c r="A88" s="3">
        <f ca="1">IFERROR(__xludf.DUMMYFUNCTION("""COMPUTED_VALUE"""),45054.6666666666)</f>
        <v>45054.666666666599</v>
      </c>
      <c r="B88" s="2">
        <f ca="1">IFERROR(__xludf.DUMMYFUNCTION("""COMPUTED_VALUE"""),310.13)</f>
        <v>310.13</v>
      </c>
      <c r="C88" s="2">
        <f ca="1">IFERROR(__xludf.DUMMYFUNCTION("""COMPUTED_VALUE"""),310.2)</f>
        <v>310.2</v>
      </c>
      <c r="D88" s="2">
        <f ca="1">IFERROR(__xludf.DUMMYFUNCTION("""COMPUTED_VALUE"""),306.09)</f>
        <v>306.08999999999997</v>
      </c>
      <c r="E88" s="2">
        <f ca="1">IFERROR(__xludf.DUMMYFUNCTION("""COMPUTED_VALUE"""),308.65)</f>
        <v>308.64999999999998</v>
      </c>
      <c r="F88" s="2">
        <f ca="1">IFERROR(__xludf.DUMMYFUNCTION("""COMPUTED_VALUE"""),21318613)</f>
        <v>21318613</v>
      </c>
    </row>
    <row r="89" spans="1:6" ht="12.5" x14ac:dyDescent="0.25">
      <c r="A89" s="3">
        <f ca="1">IFERROR(__xludf.DUMMYFUNCTION("""COMPUTED_VALUE"""),45055.6666666666)</f>
        <v>45055.666666666599</v>
      </c>
      <c r="B89" s="2">
        <f ca="1">IFERROR(__xludf.DUMMYFUNCTION("""COMPUTED_VALUE"""),308)</f>
        <v>308</v>
      </c>
      <c r="C89" s="2">
        <f ca="1">IFERROR(__xludf.DUMMYFUNCTION("""COMPUTED_VALUE"""),310.04)</f>
        <v>310.04000000000002</v>
      </c>
      <c r="D89" s="2">
        <f ca="1">IFERROR(__xludf.DUMMYFUNCTION("""COMPUTED_VALUE"""),306.31)</f>
        <v>306.31</v>
      </c>
      <c r="E89" s="2">
        <f ca="1">IFERROR(__xludf.DUMMYFUNCTION("""COMPUTED_VALUE"""),307)</f>
        <v>307</v>
      </c>
      <c r="F89" s="2">
        <f ca="1">IFERROR(__xludf.DUMMYFUNCTION("""COMPUTED_VALUE"""),21340829)</f>
        <v>21340829</v>
      </c>
    </row>
    <row r="90" spans="1:6" ht="12.5" x14ac:dyDescent="0.25">
      <c r="A90" s="3">
        <f ca="1">IFERROR(__xludf.DUMMYFUNCTION("""COMPUTED_VALUE"""),45056.6666666666)</f>
        <v>45056.666666666599</v>
      </c>
      <c r="B90" s="2">
        <f ca="1">IFERROR(__xludf.DUMMYFUNCTION("""COMPUTED_VALUE"""),308.62)</f>
        <v>308.62</v>
      </c>
      <c r="C90" s="2">
        <f ca="1">IFERROR(__xludf.DUMMYFUNCTION("""COMPUTED_VALUE"""),313)</f>
        <v>313</v>
      </c>
      <c r="D90" s="2">
        <f ca="1">IFERROR(__xludf.DUMMYFUNCTION("""COMPUTED_VALUE"""),307.67)</f>
        <v>307.67</v>
      </c>
      <c r="E90" s="2">
        <f ca="1">IFERROR(__xludf.DUMMYFUNCTION("""COMPUTED_VALUE"""),312.31)</f>
        <v>312.31</v>
      </c>
      <c r="F90" s="2">
        <f ca="1">IFERROR(__xludf.DUMMYFUNCTION("""COMPUTED_VALUE"""),30078044)</f>
        <v>30078044</v>
      </c>
    </row>
    <row r="91" spans="1:6" ht="12.5" x14ac:dyDescent="0.25">
      <c r="A91" s="3">
        <f ca="1">IFERROR(__xludf.DUMMYFUNCTION("""COMPUTED_VALUE"""),45057.6666666666)</f>
        <v>45057.666666666599</v>
      </c>
      <c r="B91" s="2">
        <f ca="1">IFERROR(__xludf.DUMMYFUNCTION("""COMPUTED_VALUE"""),310.1)</f>
        <v>310.10000000000002</v>
      </c>
      <c r="C91" s="2">
        <f ca="1">IFERROR(__xludf.DUMMYFUNCTION("""COMPUTED_VALUE"""),311.12)</f>
        <v>311.12</v>
      </c>
      <c r="D91" s="2">
        <f ca="1">IFERROR(__xludf.DUMMYFUNCTION("""COMPUTED_VALUE"""),306.26)</f>
        <v>306.26</v>
      </c>
      <c r="E91" s="2">
        <f ca="1">IFERROR(__xludf.DUMMYFUNCTION("""COMPUTED_VALUE"""),310.11)</f>
        <v>310.11</v>
      </c>
      <c r="F91" s="2">
        <f ca="1">IFERROR(__xludf.DUMMYFUNCTION("""COMPUTED_VALUE"""),31680179)</f>
        <v>31680179</v>
      </c>
    </row>
    <row r="92" spans="1:6" ht="12.5" x14ac:dyDescent="0.25">
      <c r="A92" s="3">
        <f ca="1">IFERROR(__xludf.DUMMYFUNCTION("""COMPUTED_VALUE"""),45058.6666666666)</f>
        <v>45058.666666666599</v>
      </c>
      <c r="B92" s="2">
        <f ca="1">IFERROR(__xludf.DUMMYFUNCTION("""COMPUTED_VALUE"""),310.55)</f>
        <v>310.55</v>
      </c>
      <c r="C92" s="2">
        <f ca="1">IFERROR(__xludf.DUMMYFUNCTION("""COMPUTED_VALUE"""),310.65)</f>
        <v>310.64999999999998</v>
      </c>
      <c r="D92" s="2">
        <f ca="1">IFERROR(__xludf.DUMMYFUNCTION("""COMPUTED_VALUE"""),306.6)</f>
        <v>306.60000000000002</v>
      </c>
      <c r="E92" s="2">
        <f ca="1">IFERROR(__xludf.DUMMYFUNCTION("""COMPUTED_VALUE"""),308.97)</f>
        <v>308.97000000000003</v>
      </c>
      <c r="F92" s="2">
        <f ca="1">IFERROR(__xludf.DUMMYFUNCTION("""COMPUTED_VALUE"""),19774696)</f>
        <v>19774696</v>
      </c>
    </row>
    <row r="93" spans="1:6" ht="12.5" x14ac:dyDescent="0.25">
      <c r="A93" s="3">
        <f ca="1">IFERROR(__xludf.DUMMYFUNCTION("""COMPUTED_VALUE"""),45061.6666666666)</f>
        <v>45061.666666666599</v>
      </c>
      <c r="B93" s="2">
        <f ca="1">IFERROR(__xludf.DUMMYFUNCTION("""COMPUTED_VALUE"""),309.1)</f>
        <v>309.10000000000002</v>
      </c>
      <c r="C93" s="2">
        <f ca="1">IFERROR(__xludf.DUMMYFUNCTION("""COMPUTED_VALUE"""),309.9)</f>
        <v>309.89999999999998</v>
      </c>
      <c r="D93" s="2">
        <f ca="1">IFERROR(__xludf.DUMMYFUNCTION("""COMPUTED_VALUE"""),307.59)</f>
        <v>307.58999999999997</v>
      </c>
      <c r="E93" s="2">
        <f ca="1">IFERROR(__xludf.DUMMYFUNCTION("""COMPUTED_VALUE"""),309.46)</f>
        <v>309.45999999999998</v>
      </c>
      <c r="F93" s="2">
        <f ca="1">IFERROR(__xludf.DUMMYFUNCTION("""COMPUTED_VALUE"""),16336547)</f>
        <v>16336547</v>
      </c>
    </row>
    <row r="94" spans="1:6" ht="12.5" x14ac:dyDescent="0.25">
      <c r="A94" s="3">
        <f ca="1">IFERROR(__xludf.DUMMYFUNCTION("""COMPUTED_VALUE"""),45062.6666666666)</f>
        <v>45062.666666666599</v>
      </c>
      <c r="B94" s="2">
        <f ca="1">IFERROR(__xludf.DUMMYFUNCTION("""COMPUTED_VALUE"""),309.83)</f>
        <v>309.83</v>
      </c>
      <c r="C94" s="2">
        <f ca="1">IFERROR(__xludf.DUMMYFUNCTION("""COMPUTED_VALUE"""),313.71)</f>
        <v>313.70999999999998</v>
      </c>
      <c r="D94" s="2">
        <f ca="1">IFERROR(__xludf.DUMMYFUNCTION("""COMPUTED_VALUE"""),309.83)</f>
        <v>309.83</v>
      </c>
      <c r="E94" s="2">
        <f ca="1">IFERROR(__xludf.DUMMYFUNCTION("""COMPUTED_VALUE"""),311.74)</f>
        <v>311.74</v>
      </c>
      <c r="F94" s="2">
        <f ca="1">IFERROR(__xludf.DUMMYFUNCTION("""COMPUTED_VALUE"""),26730347)</f>
        <v>26730347</v>
      </c>
    </row>
    <row r="95" spans="1:6" ht="12.5" x14ac:dyDescent="0.25">
      <c r="A95" s="3">
        <f ca="1">IFERROR(__xludf.DUMMYFUNCTION("""COMPUTED_VALUE"""),45063.6666666666)</f>
        <v>45063.666666666599</v>
      </c>
      <c r="B95" s="2">
        <f ca="1">IFERROR(__xludf.DUMMYFUNCTION("""COMPUTED_VALUE"""),312.29)</f>
        <v>312.29000000000002</v>
      </c>
      <c r="C95" s="2">
        <f ca="1">IFERROR(__xludf.DUMMYFUNCTION("""COMPUTED_VALUE"""),314.43)</f>
        <v>314.43</v>
      </c>
      <c r="D95" s="2">
        <f ca="1">IFERROR(__xludf.DUMMYFUNCTION("""COMPUTED_VALUE"""),310.74)</f>
        <v>310.74</v>
      </c>
      <c r="E95" s="2">
        <f ca="1">IFERROR(__xludf.DUMMYFUNCTION("""COMPUTED_VALUE"""),314)</f>
        <v>314</v>
      </c>
      <c r="F95" s="2">
        <f ca="1">IFERROR(__xludf.DUMMYFUNCTION("""COMPUTED_VALUE"""),24315012)</f>
        <v>24315012</v>
      </c>
    </row>
    <row r="96" spans="1:6" ht="12.5" x14ac:dyDescent="0.25">
      <c r="A96" s="3">
        <f ca="1">IFERROR(__xludf.DUMMYFUNCTION("""COMPUTED_VALUE"""),45064.6666666666)</f>
        <v>45064.666666666599</v>
      </c>
      <c r="B96" s="2">
        <f ca="1">IFERROR(__xludf.DUMMYFUNCTION("""COMPUTED_VALUE"""),314.53)</f>
        <v>314.52999999999997</v>
      </c>
      <c r="C96" s="2">
        <f ca="1">IFERROR(__xludf.DUMMYFUNCTION("""COMPUTED_VALUE"""),319.04)</f>
        <v>319.04000000000002</v>
      </c>
      <c r="D96" s="2">
        <f ca="1">IFERROR(__xludf.DUMMYFUNCTION("""COMPUTED_VALUE"""),313.72)</f>
        <v>313.72000000000003</v>
      </c>
      <c r="E96" s="2">
        <f ca="1">IFERROR(__xludf.DUMMYFUNCTION("""COMPUTED_VALUE"""),318.52)</f>
        <v>318.52</v>
      </c>
      <c r="F96" s="2">
        <f ca="1">IFERROR(__xludf.DUMMYFUNCTION("""COMPUTED_VALUE"""),27275991)</f>
        <v>27275991</v>
      </c>
    </row>
    <row r="97" spans="1:6" ht="12.5" x14ac:dyDescent="0.25">
      <c r="A97" s="3">
        <f ca="1">IFERROR(__xludf.DUMMYFUNCTION("""COMPUTED_VALUE"""),45065.6666666666)</f>
        <v>45065.666666666599</v>
      </c>
      <c r="B97" s="2">
        <f ca="1">IFERROR(__xludf.DUMMYFUNCTION("""COMPUTED_VALUE"""),316.74)</f>
        <v>316.74</v>
      </c>
      <c r="C97" s="2">
        <f ca="1">IFERROR(__xludf.DUMMYFUNCTION("""COMPUTED_VALUE"""),318.75)</f>
        <v>318.75</v>
      </c>
      <c r="D97" s="2">
        <f ca="1">IFERROR(__xludf.DUMMYFUNCTION("""COMPUTED_VALUE"""),316.37)</f>
        <v>316.37</v>
      </c>
      <c r="E97" s="2">
        <f ca="1">IFERROR(__xludf.DUMMYFUNCTION("""COMPUTED_VALUE"""),318.34)</f>
        <v>318.33999999999997</v>
      </c>
      <c r="F97" s="2">
        <f ca="1">IFERROR(__xludf.DUMMYFUNCTION("""COMPUTED_VALUE"""),27546701)</f>
        <v>27546701</v>
      </c>
    </row>
    <row r="98" spans="1:6" ht="12.5" x14ac:dyDescent="0.25">
      <c r="A98" s="3">
        <f ca="1">IFERROR(__xludf.DUMMYFUNCTION("""COMPUTED_VALUE"""),45068.6666666666)</f>
        <v>45068.666666666599</v>
      </c>
      <c r="B98" s="2">
        <f ca="1">IFERROR(__xludf.DUMMYFUNCTION("""COMPUTED_VALUE"""),318.6)</f>
        <v>318.60000000000002</v>
      </c>
      <c r="C98" s="2">
        <f ca="1">IFERROR(__xludf.DUMMYFUNCTION("""COMPUTED_VALUE"""),322.59)</f>
        <v>322.58999999999997</v>
      </c>
      <c r="D98" s="2">
        <f ca="1">IFERROR(__xludf.DUMMYFUNCTION("""COMPUTED_VALUE"""),318.01)</f>
        <v>318.01</v>
      </c>
      <c r="E98" s="2">
        <f ca="1">IFERROR(__xludf.DUMMYFUNCTION("""COMPUTED_VALUE"""),321.18)</f>
        <v>321.18</v>
      </c>
      <c r="F98" s="2">
        <f ca="1">IFERROR(__xludf.DUMMYFUNCTION("""COMPUTED_VALUE"""),24115664)</f>
        <v>24115664</v>
      </c>
    </row>
    <row r="99" spans="1:6" ht="12.5" x14ac:dyDescent="0.25">
      <c r="A99" s="3">
        <f ca="1">IFERROR(__xludf.DUMMYFUNCTION("""COMPUTED_VALUE"""),45069.6666666666)</f>
        <v>45069.666666666599</v>
      </c>
      <c r="B99" s="2">
        <f ca="1">IFERROR(__xludf.DUMMYFUNCTION("""COMPUTED_VALUE"""),320.03)</f>
        <v>320.02999999999997</v>
      </c>
      <c r="C99" s="2">
        <f ca="1">IFERROR(__xludf.DUMMYFUNCTION("""COMPUTED_VALUE"""),322.72)</f>
        <v>322.72000000000003</v>
      </c>
      <c r="D99" s="2">
        <f ca="1">IFERROR(__xludf.DUMMYFUNCTION("""COMPUTED_VALUE"""),315.25)</f>
        <v>315.25</v>
      </c>
      <c r="E99" s="2">
        <f ca="1">IFERROR(__xludf.DUMMYFUNCTION("""COMPUTED_VALUE"""),315.26)</f>
        <v>315.26</v>
      </c>
      <c r="F99" s="2">
        <f ca="1">IFERROR(__xludf.DUMMYFUNCTION("""COMPUTED_VALUE"""),30797173)</f>
        <v>30797173</v>
      </c>
    </row>
    <row r="100" spans="1:6" ht="12.5" x14ac:dyDescent="0.25">
      <c r="A100" s="3">
        <f ca="1">IFERROR(__xludf.DUMMYFUNCTION("""COMPUTED_VALUE"""),45070.6666666666)</f>
        <v>45070.666666666599</v>
      </c>
      <c r="B100" s="2">
        <f ca="1">IFERROR(__xludf.DUMMYFUNCTION("""COMPUTED_VALUE"""),314.73)</f>
        <v>314.73</v>
      </c>
      <c r="C100" s="2">
        <f ca="1">IFERROR(__xludf.DUMMYFUNCTION("""COMPUTED_VALUE"""),316.5)</f>
        <v>316.5</v>
      </c>
      <c r="D100" s="2">
        <f ca="1">IFERROR(__xludf.DUMMYFUNCTION("""COMPUTED_VALUE"""),312.61)</f>
        <v>312.61</v>
      </c>
      <c r="E100" s="2">
        <f ca="1">IFERROR(__xludf.DUMMYFUNCTION("""COMPUTED_VALUE"""),313.85)</f>
        <v>313.85000000000002</v>
      </c>
      <c r="F100" s="2">
        <f ca="1">IFERROR(__xludf.DUMMYFUNCTION("""COMPUTED_VALUE"""),23384887)</f>
        <v>23384887</v>
      </c>
    </row>
    <row r="101" spans="1:6" ht="12.5" x14ac:dyDescent="0.25">
      <c r="A101" s="3">
        <f ca="1">IFERROR(__xludf.DUMMYFUNCTION("""COMPUTED_VALUE"""),45071.6666666666)</f>
        <v>45071.666666666599</v>
      </c>
      <c r="B101" s="2">
        <f ca="1">IFERROR(__xludf.DUMMYFUNCTION("""COMPUTED_VALUE"""),323.24)</f>
        <v>323.24</v>
      </c>
      <c r="C101" s="2">
        <f ca="1">IFERROR(__xludf.DUMMYFUNCTION("""COMPUTED_VALUE"""),326.9)</f>
        <v>326.89999999999998</v>
      </c>
      <c r="D101" s="2">
        <f ca="1">IFERROR(__xludf.DUMMYFUNCTION("""COMPUTED_VALUE"""),320)</f>
        <v>320</v>
      </c>
      <c r="E101" s="2">
        <f ca="1">IFERROR(__xludf.DUMMYFUNCTION("""COMPUTED_VALUE"""),325.92)</f>
        <v>325.92</v>
      </c>
      <c r="F101" s="2">
        <f ca="1">IFERROR(__xludf.DUMMYFUNCTION("""COMPUTED_VALUE"""),43301743)</f>
        <v>43301743</v>
      </c>
    </row>
    <row r="102" spans="1:6" ht="12.5" x14ac:dyDescent="0.25">
      <c r="A102" s="3">
        <f ca="1">IFERROR(__xludf.DUMMYFUNCTION("""COMPUTED_VALUE"""),45072.6666666666)</f>
        <v>45072.666666666599</v>
      </c>
      <c r="B102" s="2">
        <f ca="1">IFERROR(__xludf.DUMMYFUNCTION("""COMPUTED_VALUE"""),324.02)</f>
        <v>324.02</v>
      </c>
      <c r="C102" s="2">
        <f ca="1">IFERROR(__xludf.DUMMYFUNCTION("""COMPUTED_VALUE"""),333.4)</f>
        <v>333.4</v>
      </c>
      <c r="D102" s="2">
        <f ca="1">IFERROR(__xludf.DUMMYFUNCTION("""COMPUTED_VALUE"""),323.88)</f>
        <v>323.88</v>
      </c>
      <c r="E102" s="2">
        <f ca="1">IFERROR(__xludf.DUMMYFUNCTION("""COMPUTED_VALUE"""),332.89)</f>
        <v>332.89</v>
      </c>
      <c r="F102" s="2">
        <f ca="1">IFERROR(__xludf.DUMMYFUNCTION("""COMPUTED_VALUE"""),36630633)</f>
        <v>36630633</v>
      </c>
    </row>
    <row r="103" spans="1:6" ht="12.5" x14ac:dyDescent="0.25">
      <c r="A103" s="3">
        <f ca="1">IFERROR(__xludf.DUMMYFUNCTION("""COMPUTED_VALUE"""),45076.6666666666)</f>
        <v>45076.666666666599</v>
      </c>
      <c r="B103" s="2">
        <f ca="1">IFERROR(__xludf.DUMMYFUNCTION("""COMPUTED_VALUE"""),335.23)</f>
        <v>335.23</v>
      </c>
      <c r="C103" s="2">
        <f ca="1">IFERROR(__xludf.DUMMYFUNCTION("""COMPUTED_VALUE"""),335.74)</f>
        <v>335.74</v>
      </c>
      <c r="D103" s="2">
        <f ca="1">IFERROR(__xludf.DUMMYFUNCTION("""COMPUTED_VALUE"""),330.52)</f>
        <v>330.52</v>
      </c>
      <c r="E103" s="2">
        <f ca="1">IFERROR(__xludf.DUMMYFUNCTION("""COMPUTED_VALUE"""),331.21)</f>
        <v>331.21</v>
      </c>
      <c r="F103" s="2">
        <f ca="1">IFERROR(__xludf.DUMMYFUNCTION("""COMPUTED_VALUE"""),29503070)</f>
        <v>29503070</v>
      </c>
    </row>
    <row r="104" spans="1:6" ht="12.5" x14ac:dyDescent="0.25">
      <c r="A104" s="3">
        <f ca="1">IFERROR(__xludf.DUMMYFUNCTION("""COMPUTED_VALUE"""),45077.6666666666)</f>
        <v>45077.666666666599</v>
      </c>
      <c r="B104" s="2">
        <f ca="1">IFERROR(__xludf.DUMMYFUNCTION("""COMPUTED_VALUE"""),332.29)</f>
        <v>332.29</v>
      </c>
      <c r="C104" s="2">
        <f ca="1">IFERROR(__xludf.DUMMYFUNCTION("""COMPUTED_VALUE"""),335.94)</f>
        <v>335.94</v>
      </c>
      <c r="D104" s="2">
        <f ca="1">IFERROR(__xludf.DUMMYFUNCTION("""COMPUTED_VALUE"""),327.33)</f>
        <v>327.33</v>
      </c>
      <c r="E104" s="2">
        <f ca="1">IFERROR(__xludf.DUMMYFUNCTION("""COMPUTED_VALUE"""),328.39)</f>
        <v>328.39</v>
      </c>
      <c r="F104" s="2">
        <f ca="1">IFERROR(__xludf.DUMMYFUNCTION("""COMPUTED_VALUE"""),45950553)</f>
        <v>45950553</v>
      </c>
    </row>
    <row r="105" spans="1:6" ht="12.5" x14ac:dyDescent="0.25">
      <c r="A105" s="3">
        <f ca="1">IFERROR(__xludf.DUMMYFUNCTION("""COMPUTED_VALUE"""),45078.6666666666)</f>
        <v>45078.666666666599</v>
      </c>
      <c r="B105" s="2">
        <f ca="1">IFERROR(__xludf.DUMMYFUNCTION("""COMPUTED_VALUE"""),325.93)</f>
        <v>325.93</v>
      </c>
      <c r="C105" s="2">
        <f ca="1">IFERROR(__xludf.DUMMYFUNCTION("""COMPUTED_VALUE"""),333.53)</f>
        <v>333.53</v>
      </c>
      <c r="D105" s="2">
        <f ca="1">IFERROR(__xludf.DUMMYFUNCTION("""COMPUTED_VALUE"""),324.72)</f>
        <v>324.72000000000003</v>
      </c>
      <c r="E105" s="2">
        <f ca="1">IFERROR(__xludf.DUMMYFUNCTION("""COMPUTED_VALUE"""),332.58)</f>
        <v>332.58</v>
      </c>
      <c r="F105" s="2">
        <f ca="1">IFERROR(__xludf.DUMMYFUNCTION("""COMPUTED_VALUE"""),26773851)</f>
        <v>26773851</v>
      </c>
    </row>
    <row r="106" spans="1:6" ht="12.5" x14ac:dyDescent="0.25">
      <c r="A106" s="3">
        <f ca="1">IFERROR(__xludf.DUMMYFUNCTION("""COMPUTED_VALUE"""),45079.6666666666)</f>
        <v>45079.666666666599</v>
      </c>
      <c r="B106" s="2">
        <f ca="1">IFERROR(__xludf.DUMMYFUNCTION("""COMPUTED_VALUE"""),334.25)</f>
        <v>334.25</v>
      </c>
      <c r="C106" s="2">
        <f ca="1">IFERROR(__xludf.DUMMYFUNCTION("""COMPUTED_VALUE"""),337.5)</f>
        <v>337.5</v>
      </c>
      <c r="D106" s="2">
        <f ca="1">IFERROR(__xludf.DUMMYFUNCTION("""COMPUTED_VALUE"""),332.55)</f>
        <v>332.55</v>
      </c>
      <c r="E106" s="2">
        <f ca="1">IFERROR(__xludf.DUMMYFUNCTION("""COMPUTED_VALUE"""),335.4)</f>
        <v>335.4</v>
      </c>
      <c r="F106" s="2">
        <f ca="1">IFERROR(__xludf.DUMMYFUNCTION("""COMPUTED_VALUE"""),25873769)</f>
        <v>25873769</v>
      </c>
    </row>
    <row r="107" spans="1:6" ht="12.5" x14ac:dyDescent="0.25">
      <c r="A107" s="3">
        <f ca="1">IFERROR(__xludf.DUMMYFUNCTION("""COMPUTED_VALUE"""),45082.6666666666)</f>
        <v>45082.666666666599</v>
      </c>
      <c r="B107" s="2">
        <f ca="1">IFERROR(__xludf.DUMMYFUNCTION("""COMPUTED_VALUE"""),335.22)</f>
        <v>335.22</v>
      </c>
      <c r="C107" s="2">
        <f ca="1">IFERROR(__xludf.DUMMYFUNCTION("""COMPUTED_VALUE"""),338.56)</f>
        <v>338.56</v>
      </c>
      <c r="D107" s="2">
        <f ca="1">IFERROR(__xludf.DUMMYFUNCTION("""COMPUTED_VALUE"""),334.66)</f>
        <v>334.66</v>
      </c>
      <c r="E107" s="2">
        <f ca="1">IFERROR(__xludf.DUMMYFUNCTION("""COMPUTED_VALUE"""),335.94)</f>
        <v>335.94</v>
      </c>
      <c r="F107" s="2">
        <f ca="1">IFERROR(__xludf.DUMMYFUNCTION("""COMPUTED_VALUE"""),21307053)</f>
        <v>21307053</v>
      </c>
    </row>
    <row r="108" spans="1:6" ht="12.5" x14ac:dyDescent="0.25">
      <c r="A108" s="3">
        <f ca="1">IFERROR(__xludf.DUMMYFUNCTION("""COMPUTED_VALUE"""),45083.6666666666)</f>
        <v>45083.666666666599</v>
      </c>
      <c r="B108" s="2">
        <f ca="1">IFERROR(__xludf.DUMMYFUNCTION("""COMPUTED_VALUE"""),335.33)</f>
        <v>335.33</v>
      </c>
      <c r="C108" s="2">
        <f ca="1">IFERROR(__xludf.DUMMYFUNCTION("""COMPUTED_VALUE"""),335.37)</f>
        <v>335.37</v>
      </c>
      <c r="D108" s="2">
        <f ca="1">IFERROR(__xludf.DUMMYFUNCTION("""COMPUTED_VALUE"""),332.17)</f>
        <v>332.17</v>
      </c>
      <c r="E108" s="2">
        <f ca="1">IFERROR(__xludf.DUMMYFUNCTION("""COMPUTED_VALUE"""),333.68)</f>
        <v>333.68</v>
      </c>
      <c r="F108" s="2">
        <f ca="1">IFERROR(__xludf.DUMMYFUNCTION("""COMPUTED_VALUE"""),20396223)</f>
        <v>20396223</v>
      </c>
    </row>
    <row r="109" spans="1:6" ht="12.5" x14ac:dyDescent="0.25">
      <c r="A109" s="3">
        <f ca="1">IFERROR(__xludf.DUMMYFUNCTION("""COMPUTED_VALUE"""),45084.6666666666)</f>
        <v>45084.666666666599</v>
      </c>
      <c r="B109" s="2">
        <f ca="1">IFERROR(__xludf.DUMMYFUNCTION("""COMPUTED_VALUE"""),331.65)</f>
        <v>331.65</v>
      </c>
      <c r="C109" s="2">
        <f ca="1">IFERROR(__xludf.DUMMYFUNCTION("""COMPUTED_VALUE"""),334.49)</f>
        <v>334.49</v>
      </c>
      <c r="D109" s="2">
        <f ca="1">IFERROR(__xludf.DUMMYFUNCTION("""COMPUTED_VALUE"""),322.5)</f>
        <v>322.5</v>
      </c>
      <c r="E109" s="2">
        <f ca="1">IFERROR(__xludf.DUMMYFUNCTION("""COMPUTED_VALUE"""),323.38)</f>
        <v>323.38</v>
      </c>
      <c r="F109" s="2">
        <f ca="1">IFERROR(__xludf.DUMMYFUNCTION("""COMPUTED_VALUE"""),40717129)</f>
        <v>40717129</v>
      </c>
    </row>
    <row r="110" spans="1:6" ht="12.5" x14ac:dyDescent="0.25">
      <c r="A110" s="3">
        <f ca="1">IFERROR(__xludf.DUMMYFUNCTION("""COMPUTED_VALUE"""),45085.6666666666)</f>
        <v>45085.666666666599</v>
      </c>
      <c r="B110" s="2">
        <f ca="1">IFERROR(__xludf.DUMMYFUNCTION("""COMPUTED_VALUE"""),323.94)</f>
        <v>323.94</v>
      </c>
      <c r="C110" s="2">
        <f ca="1">IFERROR(__xludf.DUMMYFUNCTION("""COMPUTED_VALUE"""),326.64)</f>
        <v>326.64</v>
      </c>
      <c r="D110" s="2">
        <f ca="1">IFERROR(__xludf.DUMMYFUNCTION("""COMPUTED_VALUE"""),323.35)</f>
        <v>323.35000000000002</v>
      </c>
      <c r="E110" s="2">
        <f ca="1">IFERROR(__xludf.DUMMYFUNCTION("""COMPUTED_VALUE"""),325.26)</f>
        <v>325.26</v>
      </c>
      <c r="F110" s="2">
        <f ca="1">IFERROR(__xludf.DUMMYFUNCTION("""COMPUTED_VALUE"""),23277708)</f>
        <v>23277708</v>
      </c>
    </row>
    <row r="111" spans="1:6" ht="12.5" x14ac:dyDescent="0.25">
      <c r="A111" s="3">
        <f ca="1">IFERROR(__xludf.DUMMYFUNCTION("""COMPUTED_VALUE"""),45086.6666666666)</f>
        <v>45086.666666666599</v>
      </c>
      <c r="B111" s="2">
        <f ca="1">IFERROR(__xludf.DUMMYFUNCTION("""COMPUTED_VALUE"""),324.99)</f>
        <v>324.99</v>
      </c>
      <c r="C111" s="2">
        <f ca="1">IFERROR(__xludf.DUMMYFUNCTION("""COMPUTED_VALUE"""),329.99)</f>
        <v>329.99</v>
      </c>
      <c r="D111" s="2">
        <f ca="1">IFERROR(__xludf.DUMMYFUNCTION("""COMPUTED_VALUE"""),324.41)</f>
        <v>324.41000000000003</v>
      </c>
      <c r="E111" s="2">
        <f ca="1">IFERROR(__xludf.DUMMYFUNCTION("""COMPUTED_VALUE"""),326.79)</f>
        <v>326.79000000000002</v>
      </c>
      <c r="F111" s="2">
        <f ca="1">IFERROR(__xludf.DUMMYFUNCTION("""COMPUTED_VALUE"""),22528950)</f>
        <v>22528950</v>
      </c>
    </row>
    <row r="112" spans="1:6" ht="12.5" x14ac:dyDescent="0.25">
      <c r="A112" s="3">
        <f ca="1">IFERROR(__xludf.DUMMYFUNCTION("""COMPUTED_VALUE"""),45089.6666666666)</f>
        <v>45089.666666666599</v>
      </c>
      <c r="B112" s="2">
        <f ca="1">IFERROR(__xludf.DUMMYFUNCTION("""COMPUTED_VALUE"""),328.58)</f>
        <v>328.58</v>
      </c>
      <c r="C112" s="2">
        <f ca="1">IFERROR(__xludf.DUMMYFUNCTION("""COMPUTED_VALUE"""),332.1)</f>
        <v>332.1</v>
      </c>
      <c r="D112" s="2">
        <f ca="1">IFERROR(__xludf.DUMMYFUNCTION("""COMPUTED_VALUE"""),325.16)</f>
        <v>325.16000000000003</v>
      </c>
      <c r="E112" s="2">
        <f ca="1">IFERROR(__xludf.DUMMYFUNCTION("""COMPUTED_VALUE"""),331.85)</f>
        <v>331.85</v>
      </c>
      <c r="F112" s="2">
        <f ca="1">IFERROR(__xludf.DUMMYFUNCTION("""COMPUTED_VALUE"""),24306753)</f>
        <v>24306753</v>
      </c>
    </row>
    <row r="113" spans="1:6" ht="12.5" x14ac:dyDescent="0.25">
      <c r="A113" s="3">
        <f ca="1">IFERROR(__xludf.DUMMYFUNCTION("""COMPUTED_VALUE"""),45090.6666666666)</f>
        <v>45090.666666666599</v>
      </c>
      <c r="B113" s="2">
        <f ca="1">IFERROR(__xludf.DUMMYFUNCTION("""COMPUTED_VALUE"""),334.47)</f>
        <v>334.47</v>
      </c>
      <c r="C113" s="2">
        <f ca="1">IFERROR(__xludf.DUMMYFUNCTION("""COMPUTED_VALUE"""),336.98)</f>
        <v>336.98</v>
      </c>
      <c r="D113" s="2">
        <f ca="1">IFERROR(__xludf.DUMMYFUNCTION("""COMPUTED_VALUE"""),330.39)</f>
        <v>330.39</v>
      </c>
      <c r="E113" s="2">
        <f ca="1">IFERROR(__xludf.DUMMYFUNCTION("""COMPUTED_VALUE"""),334.29)</f>
        <v>334.29</v>
      </c>
      <c r="F113" s="2">
        <f ca="1">IFERROR(__xludf.DUMMYFUNCTION("""COMPUTED_VALUE"""),22951279)</f>
        <v>22951279</v>
      </c>
    </row>
    <row r="114" spans="1:6" ht="12.5" x14ac:dyDescent="0.25">
      <c r="A114" s="3">
        <f ca="1">IFERROR(__xludf.DUMMYFUNCTION("""COMPUTED_VALUE"""),45091.6666666666)</f>
        <v>45091.666666666599</v>
      </c>
      <c r="B114" s="2">
        <f ca="1">IFERROR(__xludf.DUMMYFUNCTION("""COMPUTED_VALUE"""),334.34)</f>
        <v>334.34</v>
      </c>
      <c r="C114" s="2">
        <f ca="1">IFERROR(__xludf.DUMMYFUNCTION("""COMPUTED_VALUE"""),339.04)</f>
        <v>339.04</v>
      </c>
      <c r="D114" s="2">
        <f ca="1">IFERROR(__xludf.DUMMYFUNCTION("""COMPUTED_VALUE"""),332.81)</f>
        <v>332.81</v>
      </c>
      <c r="E114" s="2">
        <f ca="1">IFERROR(__xludf.DUMMYFUNCTION("""COMPUTED_VALUE"""),337.34)</f>
        <v>337.34</v>
      </c>
      <c r="F114" s="2">
        <f ca="1">IFERROR(__xludf.DUMMYFUNCTION("""COMPUTED_VALUE"""),26003791)</f>
        <v>26003791</v>
      </c>
    </row>
    <row r="115" spans="1:6" ht="12.5" x14ac:dyDescent="0.25">
      <c r="A115" s="3">
        <f ca="1">IFERROR(__xludf.DUMMYFUNCTION("""COMPUTED_VALUE"""),45092.6666666666)</f>
        <v>45092.666666666599</v>
      </c>
      <c r="B115" s="2">
        <f ca="1">IFERROR(__xludf.DUMMYFUNCTION("""COMPUTED_VALUE"""),337.48)</f>
        <v>337.48</v>
      </c>
      <c r="C115" s="2">
        <f ca="1">IFERROR(__xludf.DUMMYFUNCTION("""COMPUTED_VALUE"""),349.84)</f>
        <v>349.84</v>
      </c>
      <c r="D115" s="2">
        <f ca="1">IFERROR(__xludf.DUMMYFUNCTION("""COMPUTED_VALUE"""),337.2)</f>
        <v>337.2</v>
      </c>
      <c r="E115" s="2">
        <f ca="1">IFERROR(__xludf.DUMMYFUNCTION("""COMPUTED_VALUE"""),348.1)</f>
        <v>348.1</v>
      </c>
      <c r="F115" s="2">
        <f ca="1">IFERROR(__xludf.DUMMYFUNCTION("""COMPUTED_VALUE"""),38899075)</f>
        <v>38899075</v>
      </c>
    </row>
    <row r="116" spans="1:6" ht="12.5" x14ac:dyDescent="0.25">
      <c r="A116" s="3">
        <f ca="1">IFERROR(__xludf.DUMMYFUNCTION("""COMPUTED_VALUE"""),45093.6666666666)</f>
        <v>45093.666666666599</v>
      </c>
      <c r="B116" s="2">
        <f ca="1">IFERROR(__xludf.DUMMYFUNCTION("""COMPUTED_VALUE"""),351.32)</f>
        <v>351.32</v>
      </c>
      <c r="C116" s="2">
        <f ca="1">IFERROR(__xludf.DUMMYFUNCTION("""COMPUTED_VALUE"""),351.47)</f>
        <v>351.47</v>
      </c>
      <c r="D116" s="2">
        <f ca="1">IFERROR(__xludf.DUMMYFUNCTION("""COMPUTED_VALUE"""),341.95)</f>
        <v>341.95</v>
      </c>
      <c r="E116" s="2">
        <f ca="1">IFERROR(__xludf.DUMMYFUNCTION("""COMPUTED_VALUE"""),342.33)</f>
        <v>342.33</v>
      </c>
      <c r="F116" s="2">
        <f ca="1">IFERROR(__xludf.DUMMYFUNCTION("""COMPUTED_VALUE"""),46551985)</f>
        <v>46551985</v>
      </c>
    </row>
    <row r="117" spans="1:6" ht="12.5" x14ac:dyDescent="0.25">
      <c r="A117" s="3">
        <f ca="1">IFERROR(__xludf.DUMMYFUNCTION("""COMPUTED_VALUE"""),45097.6666666666)</f>
        <v>45097.666666666599</v>
      </c>
      <c r="B117" s="2">
        <f ca="1">IFERROR(__xludf.DUMMYFUNCTION("""COMPUTED_VALUE"""),339.31)</f>
        <v>339.31</v>
      </c>
      <c r="C117" s="2">
        <f ca="1">IFERROR(__xludf.DUMMYFUNCTION("""COMPUTED_VALUE"""),342.08)</f>
        <v>342.08</v>
      </c>
      <c r="D117" s="2">
        <f ca="1">IFERROR(__xludf.DUMMYFUNCTION("""COMPUTED_VALUE"""),335.86)</f>
        <v>335.86</v>
      </c>
      <c r="E117" s="2">
        <f ca="1">IFERROR(__xludf.DUMMYFUNCTION("""COMPUTED_VALUE"""),338.05)</f>
        <v>338.05</v>
      </c>
      <c r="F117" s="2">
        <f ca="1">IFERROR(__xludf.DUMMYFUNCTION("""COMPUTED_VALUE"""),26375407)</f>
        <v>26375407</v>
      </c>
    </row>
    <row r="118" spans="1:6" ht="12.5" x14ac:dyDescent="0.25">
      <c r="A118" s="3">
        <f ca="1">IFERROR(__xludf.DUMMYFUNCTION("""COMPUTED_VALUE"""),45098.6666666666)</f>
        <v>45098.666666666599</v>
      </c>
      <c r="B118" s="2">
        <f ca="1">IFERROR(__xludf.DUMMYFUNCTION("""COMPUTED_VALUE"""),336.37)</f>
        <v>336.37</v>
      </c>
      <c r="C118" s="2">
        <f ca="1">IFERROR(__xludf.DUMMYFUNCTION("""COMPUTED_VALUE"""),337.73)</f>
        <v>337.73</v>
      </c>
      <c r="D118" s="2">
        <f ca="1">IFERROR(__xludf.DUMMYFUNCTION("""COMPUTED_VALUE"""),332.07)</f>
        <v>332.07</v>
      </c>
      <c r="E118" s="2">
        <f ca="1">IFERROR(__xludf.DUMMYFUNCTION("""COMPUTED_VALUE"""),333.56)</f>
        <v>333.56</v>
      </c>
      <c r="F118" s="2">
        <f ca="1">IFERROR(__xludf.DUMMYFUNCTION("""COMPUTED_VALUE"""),25117799)</f>
        <v>25117799</v>
      </c>
    </row>
    <row r="119" spans="1:6" ht="12.5" x14ac:dyDescent="0.25">
      <c r="A119" s="3">
        <f ca="1">IFERROR(__xludf.DUMMYFUNCTION("""COMPUTED_VALUE"""),45099.6666666666)</f>
        <v>45099.666666666599</v>
      </c>
      <c r="B119" s="2">
        <f ca="1">IFERROR(__xludf.DUMMYFUNCTION("""COMPUTED_VALUE"""),334.12)</f>
        <v>334.12</v>
      </c>
      <c r="C119" s="2">
        <f ca="1">IFERROR(__xludf.DUMMYFUNCTION("""COMPUTED_VALUE"""),340.12)</f>
        <v>340.12</v>
      </c>
      <c r="D119" s="2">
        <f ca="1">IFERROR(__xludf.DUMMYFUNCTION("""COMPUTED_VALUE"""),333.34)</f>
        <v>333.34</v>
      </c>
      <c r="E119" s="2">
        <f ca="1">IFERROR(__xludf.DUMMYFUNCTION("""COMPUTED_VALUE"""),339.71)</f>
        <v>339.71</v>
      </c>
      <c r="F119" s="2">
        <f ca="1">IFERROR(__xludf.DUMMYFUNCTION("""COMPUTED_VALUE"""),23556764)</f>
        <v>23556764</v>
      </c>
    </row>
    <row r="120" spans="1:6" ht="12.5" x14ac:dyDescent="0.25">
      <c r="A120" s="3">
        <f ca="1">IFERROR(__xludf.DUMMYFUNCTION("""COMPUTED_VALUE"""),45100.6666666666)</f>
        <v>45100.666666666599</v>
      </c>
      <c r="B120" s="2">
        <f ca="1">IFERROR(__xludf.DUMMYFUNCTION("""COMPUTED_VALUE"""),334.36)</f>
        <v>334.36</v>
      </c>
      <c r="C120" s="2">
        <f ca="1">IFERROR(__xludf.DUMMYFUNCTION("""COMPUTED_VALUE"""),337.96)</f>
        <v>337.96</v>
      </c>
      <c r="D120" s="2">
        <f ca="1">IFERROR(__xludf.DUMMYFUNCTION("""COMPUTED_VALUE"""),333.45)</f>
        <v>333.45</v>
      </c>
      <c r="E120" s="2">
        <f ca="1">IFERROR(__xludf.DUMMYFUNCTION("""COMPUTED_VALUE"""),335.02)</f>
        <v>335.02</v>
      </c>
      <c r="F120" s="2">
        <f ca="1">IFERROR(__xludf.DUMMYFUNCTION("""COMPUTED_VALUE"""),23146901)</f>
        <v>23146901</v>
      </c>
    </row>
    <row r="121" spans="1:6" ht="12.5" x14ac:dyDescent="0.25">
      <c r="A121" s="3">
        <f ca="1">IFERROR(__xludf.DUMMYFUNCTION("""COMPUTED_VALUE"""),45103.6666666666)</f>
        <v>45103.666666666599</v>
      </c>
      <c r="B121" s="2">
        <f ca="1">IFERROR(__xludf.DUMMYFUNCTION("""COMPUTED_VALUE"""),333.72)</f>
        <v>333.72</v>
      </c>
      <c r="C121" s="2">
        <f ca="1">IFERROR(__xludf.DUMMYFUNCTION("""COMPUTED_VALUE"""),336.11)</f>
        <v>336.11</v>
      </c>
      <c r="D121" s="2">
        <f ca="1">IFERROR(__xludf.DUMMYFUNCTION("""COMPUTED_VALUE"""),328.49)</f>
        <v>328.49</v>
      </c>
      <c r="E121" s="2">
        <f ca="1">IFERROR(__xludf.DUMMYFUNCTION("""COMPUTED_VALUE"""),328.6)</f>
        <v>328.6</v>
      </c>
      <c r="F121" s="2">
        <f ca="1">IFERROR(__xludf.DUMMYFUNCTION("""COMPUTED_VALUE"""),21520582)</f>
        <v>21520582</v>
      </c>
    </row>
    <row r="122" spans="1:6" ht="12.5" x14ac:dyDescent="0.25">
      <c r="A122" s="3">
        <f ca="1">IFERROR(__xludf.DUMMYFUNCTION("""COMPUTED_VALUE"""),45104.6666666666)</f>
        <v>45104.666666666599</v>
      </c>
      <c r="B122" s="2">
        <f ca="1">IFERROR(__xludf.DUMMYFUNCTION("""COMPUTED_VALUE"""),331.86)</f>
        <v>331.86</v>
      </c>
      <c r="C122" s="2">
        <f ca="1">IFERROR(__xludf.DUMMYFUNCTION("""COMPUTED_VALUE"""),336.15)</f>
        <v>336.15</v>
      </c>
      <c r="D122" s="2">
        <f ca="1">IFERROR(__xludf.DUMMYFUNCTION("""COMPUTED_VALUE"""),329.3)</f>
        <v>329.3</v>
      </c>
      <c r="E122" s="2">
        <f ca="1">IFERROR(__xludf.DUMMYFUNCTION("""COMPUTED_VALUE"""),334.57)</f>
        <v>334.57</v>
      </c>
      <c r="F122" s="2">
        <f ca="1">IFERROR(__xludf.DUMMYFUNCTION("""COMPUTED_VALUE"""),24354110)</f>
        <v>24354110</v>
      </c>
    </row>
    <row r="123" spans="1:6" ht="12.5" x14ac:dyDescent="0.25">
      <c r="A123" s="3">
        <f ca="1">IFERROR(__xludf.DUMMYFUNCTION("""COMPUTED_VALUE"""),45105.6666666666)</f>
        <v>45105.666666666599</v>
      </c>
      <c r="B123" s="2">
        <f ca="1">IFERROR(__xludf.DUMMYFUNCTION("""COMPUTED_VALUE"""),334.66)</f>
        <v>334.66</v>
      </c>
      <c r="C123" s="2">
        <f ca="1">IFERROR(__xludf.DUMMYFUNCTION("""COMPUTED_VALUE"""),337.98)</f>
        <v>337.98</v>
      </c>
      <c r="D123" s="2">
        <f ca="1">IFERROR(__xludf.DUMMYFUNCTION("""COMPUTED_VALUE"""),333.81)</f>
        <v>333.81</v>
      </c>
      <c r="E123" s="2">
        <f ca="1">IFERROR(__xludf.DUMMYFUNCTION("""COMPUTED_VALUE"""),335.85)</f>
        <v>335.85</v>
      </c>
      <c r="F123" s="2">
        <f ca="1">IFERROR(__xludf.DUMMYFUNCTION("""COMPUTED_VALUE"""),20259523)</f>
        <v>20259523</v>
      </c>
    </row>
    <row r="124" spans="1:6" ht="12.5" x14ac:dyDescent="0.25">
      <c r="A124" s="3">
        <f ca="1">IFERROR(__xludf.DUMMYFUNCTION("""COMPUTED_VALUE"""),45106.6666666666)</f>
        <v>45106.666666666599</v>
      </c>
      <c r="B124" s="2">
        <f ca="1">IFERROR(__xludf.DUMMYFUNCTION("""COMPUTED_VALUE"""),334.71)</f>
        <v>334.71</v>
      </c>
      <c r="C124" s="2">
        <f ca="1">IFERROR(__xludf.DUMMYFUNCTION("""COMPUTED_VALUE"""),336.11)</f>
        <v>336.11</v>
      </c>
      <c r="D124" s="2">
        <f ca="1">IFERROR(__xludf.DUMMYFUNCTION("""COMPUTED_VALUE"""),332.62)</f>
        <v>332.62</v>
      </c>
      <c r="E124" s="2">
        <f ca="1">IFERROR(__xludf.DUMMYFUNCTION("""COMPUTED_VALUE"""),335.05)</f>
        <v>335.05</v>
      </c>
      <c r="F124" s="2">
        <f ca="1">IFERROR(__xludf.DUMMYFUNCTION("""COMPUTED_VALUE"""),16997042)</f>
        <v>16997042</v>
      </c>
    </row>
    <row r="125" spans="1:6" ht="12.5" x14ac:dyDescent="0.25">
      <c r="A125" s="3">
        <f ca="1">IFERROR(__xludf.DUMMYFUNCTION("""COMPUTED_VALUE"""),45107.6666666666)</f>
        <v>45107.666666666599</v>
      </c>
      <c r="B125" s="2">
        <f ca="1">IFERROR(__xludf.DUMMYFUNCTION("""COMPUTED_VALUE"""),337.75)</f>
        <v>337.75</v>
      </c>
      <c r="C125" s="2">
        <f ca="1">IFERROR(__xludf.DUMMYFUNCTION("""COMPUTED_VALUE"""),342.73)</f>
        <v>342.73</v>
      </c>
      <c r="D125" s="2">
        <f ca="1">IFERROR(__xludf.DUMMYFUNCTION("""COMPUTED_VALUE"""),337.2)</f>
        <v>337.2</v>
      </c>
      <c r="E125" s="2">
        <f ca="1">IFERROR(__xludf.DUMMYFUNCTION("""COMPUTED_VALUE"""),340.54)</f>
        <v>340.54</v>
      </c>
      <c r="F125" s="2">
        <f ca="1">IFERROR(__xludf.DUMMYFUNCTION("""COMPUTED_VALUE"""),26832756)</f>
        <v>26832756</v>
      </c>
    </row>
    <row r="126" spans="1:6" ht="12.5" x14ac:dyDescent="0.25">
      <c r="A126" s="3">
        <f ca="1">IFERROR(__xludf.DUMMYFUNCTION("""COMPUTED_VALUE"""),45110.5451388888)</f>
        <v>45110.545138888803</v>
      </c>
      <c r="B126" s="2">
        <f ca="1">IFERROR(__xludf.DUMMYFUNCTION("""COMPUTED_VALUE"""),339.19)</f>
        <v>339.19</v>
      </c>
      <c r="C126" s="2">
        <f ca="1">IFERROR(__xludf.DUMMYFUNCTION("""COMPUTED_VALUE"""),340.9)</f>
        <v>340.9</v>
      </c>
      <c r="D126" s="2">
        <f ca="1">IFERROR(__xludf.DUMMYFUNCTION("""COMPUTED_VALUE"""),336.57)</f>
        <v>336.57</v>
      </c>
      <c r="E126" s="2">
        <f ca="1">IFERROR(__xludf.DUMMYFUNCTION("""COMPUTED_VALUE"""),337.99)</f>
        <v>337.99</v>
      </c>
      <c r="F126" s="2">
        <f ca="1">IFERROR(__xludf.DUMMYFUNCTION("""COMPUTED_VALUE"""),12508692)</f>
        <v>12508692</v>
      </c>
    </row>
    <row r="127" spans="1:6" ht="12.5" x14ac:dyDescent="0.25">
      <c r="A127" s="3">
        <f ca="1">IFERROR(__xludf.DUMMYFUNCTION("""COMPUTED_VALUE"""),45112.6666666666)</f>
        <v>45112.666666666599</v>
      </c>
      <c r="B127" s="2">
        <f ca="1">IFERROR(__xludf.DUMMYFUNCTION("""COMPUTED_VALUE"""),335.09)</f>
        <v>335.09</v>
      </c>
      <c r="C127" s="2">
        <f ca="1">IFERROR(__xludf.DUMMYFUNCTION("""COMPUTED_VALUE"""),341.65)</f>
        <v>341.65</v>
      </c>
      <c r="D127" s="2">
        <f ca="1">IFERROR(__xludf.DUMMYFUNCTION("""COMPUTED_VALUE"""),334.73)</f>
        <v>334.73</v>
      </c>
      <c r="E127" s="2">
        <f ca="1">IFERROR(__xludf.DUMMYFUNCTION("""COMPUTED_VALUE"""),338.15)</f>
        <v>338.15</v>
      </c>
      <c r="F127" s="2">
        <f ca="1">IFERROR(__xludf.DUMMYFUNCTION("""COMPUTED_VALUE"""),18172378)</f>
        <v>18172378</v>
      </c>
    </row>
    <row r="128" spans="1:6" ht="12.5" x14ac:dyDescent="0.25">
      <c r="A128" s="3">
        <f ca="1">IFERROR(__xludf.DUMMYFUNCTION("""COMPUTED_VALUE"""),45113.6666666666)</f>
        <v>45113.666666666599</v>
      </c>
      <c r="B128" s="2">
        <f ca="1">IFERROR(__xludf.DUMMYFUNCTION("""COMPUTED_VALUE"""),337.3)</f>
        <v>337.3</v>
      </c>
      <c r="C128" s="2">
        <f ca="1">IFERROR(__xludf.DUMMYFUNCTION("""COMPUTED_VALUE"""),342.99)</f>
        <v>342.99</v>
      </c>
      <c r="D128" s="2">
        <f ca="1">IFERROR(__xludf.DUMMYFUNCTION("""COMPUTED_VALUE"""),335.5)</f>
        <v>335.5</v>
      </c>
      <c r="E128" s="2">
        <f ca="1">IFERROR(__xludf.DUMMYFUNCTION("""COMPUTED_VALUE"""),341.27)</f>
        <v>341.27</v>
      </c>
      <c r="F128" s="2">
        <f ca="1">IFERROR(__xludf.DUMMYFUNCTION("""COMPUTED_VALUE"""),28195534)</f>
        <v>28195534</v>
      </c>
    </row>
    <row r="129" spans="1:6" ht="12.5" x14ac:dyDescent="0.25">
      <c r="A129" s="3">
        <f ca="1">IFERROR(__xludf.DUMMYFUNCTION("""COMPUTED_VALUE"""),45114.6666666666)</f>
        <v>45114.666666666599</v>
      </c>
      <c r="B129" s="2">
        <f ca="1">IFERROR(__xludf.DUMMYFUNCTION("""COMPUTED_VALUE"""),339.32)</f>
        <v>339.32</v>
      </c>
      <c r="C129" s="2">
        <f ca="1">IFERROR(__xludf.DUMMYFUNCTION("""COMPUTED_VALUE"""),341.79)</f>
        <v>341.79</v>
      </c>
      <c r="D129" s="2">
        <f ca="1">IFERROR(__xludf.DUMMYFUNCTION("""COMPUTED_VALUE"""),337)</f>
        <v>337</v>
      </c>
      <c r="E129" s="2">
        <f ca="1">IFERROR(__xludf.DUMMYFUNCTION("""COMPUTED_VALUE"""),337.22)</f>
        <v>337.22</v>
      </c>
      <c r="F129" s="2">
        <f ca="1">IFERROR(__xludf.DUMMYFUNCTION("""COMPUTED_VALUE"""),21214824)</f>
        <v>21214824</v>
      </c>
    </row>
    <row r="130" spans="1:6" ht="12.5" x14ac:dyDescent="0.25">
      <c r="A130" s="3">
        <f ca="1">IFERROR(__xludf.DUMMYFUNCTION("""COMPUTED_VALUE"""),45117.6666666666)</f>
        <v>45117.666666666599</v>
      </c>
      <c r="B130" s="2">
        <f ca="1">IFERROR(__xludf.DUMMYFUNCTION("""COMPUTED_VALUE"""),334.6)</f>
        <v>334.6</v>
      </c>
      <c r="C130" s="2">
        <f ca="1">IFERROR(__xludf.DUMMYFUNCTION("""COMPUTED_VALUE"""),335.23)</f>
        <v>335.23</v>
      </c>
      <c r="D130" s="2">
        <f ca="1">IFERROR(__xludf.DUMMYFUNCTION("""COMPUTED_VALUE"""),327.59)</f>
        <v>327.58999999999997</v>
      </c>
      <c r="E130" s="2">
        <f ca="1">IFERROR(__xludf.DUMMYFUNCTION("""COMPUTED_VALUE"""),331.83)</f>
        <v>331.83</v>
      </c>
      <c r="F130" s="2">
        <f ca="1">IFERROR(__xludf.DUMMYFUNCTION("""COMPUTED_VALUE"""),32791449)</f>
        <v>32791449</v>
      </c>
    </row>
    <row r="131" spans="1:6" ht="12.5" x14ac:dyDescent="0.25">
      <c r="A131" s="3">
        <f ca="1">IFERROR(__xludf.DUMMYFUNCTION("""COMPUTED_VALUE"""),45118.6666666666)</f>
        <v>45118.666666666599</v>
      </c>
      <c r="B131" s="2">
        <f ca="1">IFERROR(__xludf.DUMMYFUNCTION("""COMPUTED_VALUE"""),331.06)</f>
        <v>331.06</v>
      </c>
      <c r="C131" s="2">
        <f ca="1">IFERROR(__xludf.DUMMYFUNCTION("""COMPUTED_VALUE"""),332.86)</f>
        <v>332.86</v>
      </c>
      <c r="D131" s="2">
        <f ca="1">IFERROR(__xludf.DUMMYFUNCTION("""COMPUTED_VALUE"""),327)</f>
        <v>327</v>
      </c>
      <c r="E131" s="2">
        <f ca="1">IFERROR(__xludf.DUMMYFUNCTION("""COMPUTED_VALUE"""),332.47)</f>
        <v>332.47</v>
      </c>
      <c r="F131" s="2">
        <f ca="1">IFERROR(__xludf.DUMMYFUNCTION("""COMPUTED_VALUE"""),26698218)</f>
        <v>26698218</v>
      </c>
    </row>
    <row r="132" spans="1:6" ht="12.5" x14ac:dyDescent="0.25">
      <c r="A132" s="3">
        <f ca="1">IFERROR(__xludf.DUMMYFUNCTION("""COMPUTED_VALUE"""),45119.6666666666)</f>
        <v>45119.666666666599</v>
      </c>
      <c r="B132" s="2">
        <f ca="1">IFERROR(__xludf.DUMMYFUNCTION("""COMPUTED_VALUE"""),336.6)</f>
        <v>336.6</v>
      </c>
      <c r="C132" s="2">
        <f ca="1">IFERROR(__xludf.DUMMYFUNCTION("""COMPUTED_VALUE"""),341.65)</f>
        <v>341.65</v>
      </c>
      <c r="D132" s="2">
        <f ca="1">IFERROR(__xludf.DUMMYFUNCTION("""COMPUTED_VALUE"""),335.67)</f>
        <v>335.67</v>
      </c>
      <c r="E132" s="2">
        <f ca="1">IFERROR(__xludf.DUMMYFUNCTION("""COMPUTED_VALUE"""),337.2)</f>
        <v>337.2</v>
      </c>
      <c r="F132" s="2">
        <f ca="1">IFERROR(__xludf.DUMMYFUNCTION("""COMPUTED_VALUE"""),29995262)</f>
        <v>29995262</v>
      </c>
    </row>
    <row r="133" spans="1:6" ht="12.5" x14ac:dyDescent="0.25">
      <c r="A133" s="3">
        <f ca="1">IFERROR(__xludf.DUMMYFUNCTION("""COMPUTED_VALUE"""),45120.6666666666)</f>
        <v>45120.666666666599</v>
      </c>
      <c r="B133" s="2">
        <f ca="1">IFERROR(__xludf.DUMMYFUNCTION("""COMPUTED_VALUE"""),339.56)</f>
        <v>339.56</v>
      </c>
      <c r="C133" s="2">
        <f ca="1">IFERROR(__xludf.DUMMYFUNCTION("""COMPUTED_VALUE"""),343.74)</f>
        <v>343.74</v>
      </c>
      <c r="D133" s="2">
        <f ca="1">IFERROR(__xludf.DUMMYFUNCTION("""COMPUTED_VALUE"""),339.02)</f>
        <v>339.02</v>
      </c>
      <c r="E133" s="2">
        <f ca="1">IFERROR(__xludf.DUMMYFUNCTION("""COMPUTED_VALUE"""),342.66)</f>
        <v>342.66</v>
      </c>
      <c r="F133" s="2">
        <f ca="1">IFERROR(__xludf.DUMMYFUNCTION("""COMPUTED_VALUE"""),20567159)</f>
        <v>20567159</v>
      </c>
    </row>
    <row r="134" spans="1:6" ht="12.5" x14ac:dyDescent="0.25">
      <c r="A134" s="3">
        <f ca="1">IFERROR(__xludf.DUMMYFUNCTION("""COMPUTED_VALUE"""),45121.6666666666)</f>
        <v>45121.666666666599</v>
      </c>
      <c r="B134" s="2">
        <f ca="1">IFERROR(__xludf.DUMMYFUNCTION("""COMPUTED_VALUE"""),347.59)</f>
        <v>347.59</v>
      </c>
      <c r="C134" s="2">
        <f ca="1">IFERROR(__xludf.DUMMYFUNCTION("""COMPUTED_VALUE"""),351.43)</f>
        <v>351.43</v>
      </c>
      <c r="D134" s="2">
        <f ca="1">IFERROR(__xludf.DUMMYFUNCTION("""COMPUTED_VALUE"""),344.31)</f>
        <v>344.31</v>
      </c>
      <c r="E134" s="2">
        <f ca="1">IFERROR(__xludf.DUMMYFUNCTION("""COMPUTED_VALUE"""),345.24)</f>
        <v>345.24</v>
      </c>
      <c r="F134" s="2">
        <f ca="1">IFERROR(__xludf.DUMMYFUNCTION("""COMPUTED_VALUE"""),28352729)</f>
        <v>28352729</v>
      </c>
    </row>
    <row r="135" spans="1:6" ht="12.5" x14ac:dyDescent="0.25">
      <c r="A135" s="3">
        <f ca="1">IFERROR(__xludf.DUMMYFUNCTION("""COMPUTED_VALUE"""),45124.6666666666)</f>
        <v>45124.666666666599</v>
      </c>
      <c r="B135" s="2">
        <f ca="1">IFERROR(__xludf.DUMMYFUNCTION("""COMPUTED_VALUE"""),345.68)</f>
        <v>345.68</v>
      </c>
      <c r="C135" s="2">
        <f ca="1">IFERROR(__xludf.DUMMYFUNCTION("""COMPUTED_VALUE"""),346.99)</f>
        <v>346.99</v>
      </c>
      <c r="D135" s="2">
        <f ca="1">IFERROR(__xludf.DUMMYFUNCTION("""COMPUTED_VALUE"""),342.2)</f>
        <v>342.2</v>
      </c>
      <c r="E135" s="2">
        <f ca="1">IFERROR(__xludf.DUMMYFUNCTION("""COMPUTED_VALUE"""),345.73)</f>
        <v>345.73</v>
      </c>
      <c r="F135" s="2">
        <f ca="1">IFERROR(__xludf.DUMMYFUNCTION("""COMPUTED_VALUE"""),20363927)</f>
        <v>20363927</v>
      </c>
    </row>
    <row r="136" spans="1:6" ht="12.5" x14ac:dyDescent="0.25">
      <c r="A136" s="3">
        <f ca="1">IFERROR(__xludf.DUMMYFUNCTION("""COMPUTED_VALUE"""),45125.6666666666)</f>
        <v>45125.666666666599</v>
      </c>
      <c r="B136" s="2">
        <f ca="1">IFERROR(__xludf.DUMMYFUNCTION("""COMPUTED_VALUE"""),345.83)</f>
        <v>345.83</v>
      </c>
      <c r="C136" s="2">
        <f ca="1">IFERROR(__xludf.DUMMYFUNCTION("""COMPUTED_VALUE"""),366.78)</f>
        <v>366.78</v>
      </c>
      <c r="D136" s="2">
        <f ca="1">IFERROR(__xludf.DUMMYFUNCTION("""COMPUTED_VALUE"""),342.17)</f>
        <v>342.17</v>
      </c>
      <c r="E136" s="2">
        <f ca="1">IFERROR(__xludf.DUMMYFUNCTION("""COMPUTED_VALUE"""),359.49)</f>
        <v>359.49</v>
      </c>
      <c r="F136" s="2">
        <f ca="1">IFERROR(__xludf.DUMMYFUNCTION("""COMPUTED_VALUE"""),64872705)</f>
        <v>64872705</v>
      </c>
    </row>
    <row r="137" spans="1:6" ht="12.5" x14ac:dyDescent="0.25">
      <c r="A137" s="3">
        <f ca="1">IFERROR(__xludf.DUMMYFUNCTION("""COMPUTED_VALUE"""),45126.6666666666)</f>
        <v>45126.666666666599</v>
      </c>
      <c r="B137" s="2">
        <f ca="1">IFERROR(__xludf.DUMMYFUNCTION("""COMPUTED_VALUE"""),361.75)</f>
        <v>361.75</v>
      </c>
      <c r="C137" s="2">
        <f ca="1">IFERROR(__xludf.DUMMYFUNCTION("""COMPUTED_VALUE"""),362.46)</f>
        <v>362.46</v>
      </c>
      <c r="D137" s="2">
        <f ca="1">IFERROR(__xludf.DUMMYFUNCTION("""COMPUTED_VALUE"""),352.44)</f>
        <v>352.44</v>
      </c>
      <c r="E137" s="2">
        <f ca="1">IFERROR(__xludf.DUMMYFUNCTION("""COMPUTED_VALUE"""),355.08)</f>
        <v>355.08</v>
      </c>
      <c r="F137" s="2">
        <f ca="1">IFERROR(__xludf.DUMMYFUNCTION("""COMPUTED_VALUE"""),39732901)</f>
        <v>39732901</v>
      </c>
    </row>
    <row r="138" spans="1:6" ht="12.5" x14ac:dyDescent="0.25">
      <c r="A138" s="3">
        <f ca="1">IFERROR(__xludf.DUMMYFUNCTION("""COMPUTED_VALUE"""),45127.6666666666)</f>
        <v>45127.666666666599</v>
      </c>
      <c r="B138" s="2">
        <f ca="1">IFERROR(__xludf.DUMMYFUNCTION("""COMPUTED_VALUE"""),353.57)</f>
        <v>353.57</v>
      </c>
      <c r="C138" s="2">
        <f ca="1">IFERROR(__xludf.DUMMYFUNCTION("""COMPUTED_VALUE"""),357.97)</f>
        <v>357.97</v>
      </c>
      <c r="D138" s="2">
        <f ca="1">IFERROR(__xludf.DUMMYFUNCTION("""COMPUTED_VALUE"""),345.37)</f>
        <v>345.37</v>
      </c>
      <c r="E138" s="2">
        <f ca="1">IFERROR(__xludf.DUMMYFUNCTION("""COMPUTED_VALUE"""),346.87)</f>
        <v>346.87</v>
      </c>
      <c r="F138" s="2">
        <f ca="1">IFERROR(__xludf.DUMMYFUNCTION("""COMPUTED_VALUE"""),33778395)</f>
        <v>33778395</v>
      </c>
    </row>
    <row r="139" spans="1:6" ht="12.5" x14ac:dyDescent="0.25">
      <c r="A139" s="3">
        <f ca="1">IFERROR(__xludf.DUMMYFUNCTION("""COMPUTED_VALUE"""),45128.6666666666)</f>
        <v>45128.666666666599</v>
      </c>
      <c r="B139" s="2">
        <f ca="1">IFERROR(__xludf.DUMMYFUNCTION("""COMPUTED_VALUE"""),349.15)</f>
        <v>349.15</v>
      </c>
      <c r="C139" s="2">
        <f ca="1">IFERROR(__xludf.DUMMYFUNCTION("""COMPUTED_VALUE"""),350.3)</f>
        <v>350.3</v>
      </c>
      <c r="D139" s="2">
        <f ca="1">IFERROR(__xludf.DUMMYFUNCTION("""COMPUTED_VALUE"""),339.83)</f>
        <v>339.83</v>
      </c>
      <c r="E139" s="2">
        <f ca="1">IFERROR(__xludf.DUMMYFUNCTION("""COMPUTED_VALUE"""),343.77)</f>
        <v>343.77</v>
      </c>
      <c r="F139" s="2">
        <f ca="1">IFERROR(__xludf.DUMMYFUNCTION("""COMPUTED_VALUE"""),69405382)</f>
        <v>69405382</v>
      </c>
    </row>
    <row r="140" spans="1:6" ht="12.5" x14ac:dyDescent="0.25">
      <c r="A140" s="3">
        <f ca="1">IFERROR(__xludf.DUMMYFUNCTION("""COMPUTED_VALUE"""),45131.6666666666)</f>
        <v>45131.666666666599</v>
      </c>
      <c r="B140" s="2">
        <f ca="1">IFERROR(__xludf.DUMMYFUNCTION("""COMPUTED_VALUE"""),345.85)</f>
        <v>345.85</v>
      </c>
      <c r="C140" s="2">
        <f ca="1">IFERROR(__xludf.DUMMYFUNCTION("""COMPUTED_VALUE"""),346.92)</f>
        <v>346.92</v>
      </c>
      <c r="D140" s="2">
        <f ca="1">IFERROR(__xludf.DUMMYFUNCTION("""COMPUTED_VALUE"""),342.31)</f>
        <v>342.31</v>
      </c>
      <c r="E140" s="2">
        <f ca="1">IFERROR(__xludf.DUMMYFUNCTION("""COMPUTED_VALUE"""),345.11)</f>
        <v>345.11</v>
      </c>
      <c r="F140" s="2">
        <f ca="1">IFERROR(__xludf.DUMMYFUNCTION("""COMPUTED_VALUE"""),26719207)</f>
        <v>26719207</v>
      </c>
    </row>
    <row r="141" spans="1:6" ht="12.5" x14ac:dyDescent="0.25">
      <c r="A141" s="3">
        <f ca="1">IFERROR(__xludf.DUMMYFUNCTION("""COMPUTED_VALUE"""),45132.6666666666)</f>
        <v>45132.666666666599</v>
      </c>
      <c r="B141" s="2">
        <f ca="1">IFERROR(__xludf.DUMMYFUNCTION("""COMPUTED_VALUE"""),347.11)</f>
        <v>347.11</v>
      </c>
      <c r="C141" s="2">
        <f ca="1">IFERROR(__xludf.DUMMYFUNCTION("""COMPUTED_VALUE"""),351.89)</f>
        <v>351.89</v>
      </c>
      <c r="D141" s="2">
        <f ca="1">IFERROR(__xludf.DUMMYFUNCTION("""COMPUTED_VALUE"""),345.07)</f>
        <v>345.07</v>
      </c>
      <c r="E141" s="2">
        <f ca="1">IFERROR(__xludf.DUMMYFUNCTION("""COMPUTED_VALUE"""),350.98)</f>
        <v>350.98</v>
      </c>
      <c r="F141" s="2">
        <f ca="1">IFERROR(__xludf.DUMMYFUNCTION("""COMPUTED_VALUE"""),41637739)</f>
        <v>41637739</v>
      </c>
    </row>
    <row r="142" spans="1:6" ht="12.5" x14ac:dyDescent="0.25">
      <c r="A142" s="3">
        <f ca="1">IFERROR(__xludf.DUMMYFUNCTION("""COMPUTED_VALUE"""),45133.6666666666)</f>
        <v>45133.666666666599</v>
      </c>
      <c r="B142" s="2">
        <f ca="1">IFERROR(__xludf.DUMMYFUNCTION("""COMPUTED_VALUE"""),341.44)</f>
        <v>341.44</v>
      </c>
      <c r="C142" s="2">
        <f ca="1">IFERROR(__xludf.DUMMYFUNCTION("""COMPUTED_VALUE"""),344.67)</f>
        <v>344.67</v>
      </c>
      <c r="D142" s="2">
        <f ca="1">IFERROR(__xludf.DUMMYFUNCTION("""COMPUTED_VALUE"""),333.11)</f>
        <v>333.11</v>
      </c>
      <c r="E142" s="2">
        <f ca="1">IFERROR(__xludf.DUMMYFUNCTION("""COMPUTED_VALUE"""),337.77)</f>
        <v>337.77</v>
      </c>
      <c r="F142" s="2">
        <f ca="1">IFERROR(__xludf.DUMMYFUNCTION("""COMPUTED_VALUE"""),58383702)</f>
        <v>58383702</v>
      </c>
    </row>
    <row r="143" spans="1:6" ht="12.5" x14ac:dyDescent="0.25">
      <c r="A143" s="3">
        <f ca="1">IFERROR(__xludf.DUMMYFUNCTION("""COMPUTED_VALUE"""),45134.6666666666)</f>
        <v>45134.666666666599</v>
      </c>
      <c r="B143" s="2">
        <f ca="1">IFERROR(__xludf.DUMMYFUNCTION("""COMPUTED_VALUE"""),340.48)</f>
        <v>340.48</v>
      </c>
      <c r="C143" s="2">
        <f ca="1">IFERROR(__xludf.DUMMYFUNCTION("""COMPUTED_VALUE"""),341.33)</f>
        <v>341.33</v>
      </c>
      <c r="D143" s="2">
        <f ca="1">IFERROR(__xludf.DUMMYFUNCTION("""COMPUTED_VALUE"""),329.05)</f>
        <v>329.05</v>
      </c>
      <c r="E143" s="2">
        <f ca="1">IFERROR(__xludf.DUMMYFUNCTION("""COMPUTED_VALUE"""),330.72)</f>
        <v>330.72</v>
      </c>
      <c r="F143" s="2">
        <f ca="1">IFERROR(__xludf.DUMMYFUNCTION("""COMPUTED_VALUE"""),39635262)</f>
        <v>39635262</v>
      </c>
    </row>
    <row r="144" spans="1:6" ht="12.5" x14ac:dyDescent="0.25">
      <c r="A144" s="3">
        <f ca="1">IFERROR(__xludf.DUMMYFUNCTION("""COMPUTED_VALUE"""),45135.6666666666)</f>
        <v>45135.666666666599</v>
      </c>
      <c r="B144" s="2">
        <f ca="1">IFERROR(__xludf.DUMMYFUNCTION("""COMPUTED_VALUE"""),333.67)</f>
        <v>333.67</v>
      </c>
      <c r="C144" s="2">
        <f ca="1">IFERROR(__xludf.DUMMYFUNCTION("""COMPUTED_VALUE"""),340.01)</f>
        <v>340.01</v>
      </c>
      <c r="D144" s="2">
        <f ca="1">IFERROR(__xludf.DUMMYFUNCTION("""COMPUTED_VALUE"""),333.17)</f>
        <v>333.17</v>
      </c>
      <c r="E144" s="2">
        <f ca="1">IFERROR(__xludf.DUMMYFUNCTION("""COMPUTED_VALUE"""),338.37)</f>
        <v>338.37</v>
      </c>
      <c r="F144" s="2">
        <f ca="1">IFERROR(__xludf.DUMMYFUNCTION("""COMPUTED_VALUE"""),28484868)</f>
        <v>28484868</v>
      </c>
    </row>
    <row r="145" spans="1:6" ht="12.5" x14ac:dyDescent="0.25">
      <c r="A145" s="3">
        <f ca="1">IFERROR(__xludf.DUMMYFUNCTION("""COMPUTED_VALUE"""),45138.6666666666)</f>
        <v>45138.666666666599</v>
      </c>
      <c r="B145" s="2">
        <f ca="1">IFERROR(__xludf.DUMMYFUNCTION("""COMPUTED_VALUE"""),336.92)</f>
        <v>336.92</v>
      </c>
      <c r="C145" s="2">
        <f ca="1">IFERROR(__xludf.DUMMYFUNCTION("""COMPUTED_VALUE"""),337.7)</f>
        <v>337.7</v>
      </c>
      <c r="D145" s="2">
        <f ca="1">IFERROR(__xludf.DUMMYFUNCTION("""COMPUTED_VALUE"""),333.36)</f>
        <v>333.36</v>
      </c>
      <c r="E145" s="2">
        <f ca="1">IFERROR(__xludf.DUMMYFUNCTION("""COMPUTED_VALUE"""),335.92)</f>
        <v>335.92</v>
      </c>
      <c r="F145" s="2">
        <f ca="1">IFERROR(__xludf.DUMMYFUNCTION("""COMPUTED_VALUE"""),25446022)</f>
        <v>25446022</v>
      </c>
    </row>
    <row r="146" spans="1:6" ht="12.5" x14ac:dyDescent="0.25">
      <c r="A146" s="3">
        <f ca="1">IFERROR(__xludf.DUMMYFUNCTION("""COMPUTED_VALUE"""),45139.6666666666)</f>
        <v>45139.666666666599</v>
      </c>
      <c r="B146" s="2">
        <f ca="1">IFERROR(__xludf.DUMMYFUNCTION("""COMPUTED_VALUE"""),335.19)</f>
        <v>335.19</v>
      </c>
      <c r="C146" s="2">
        <f ca="1">IFERROR(__xludf.DUMMYFUNCTION("""COMPUTED_VALUE"""),338.54)</f>
        <v>338.54</v>
      </c>
      <c r="D146" s="2">
        <f ca="1">IFERROR(__xludf.DUMMYFUNCTION("""COMPUTED_VALUE"""),333.7)</f>
        <v>333.7</v>
      </c>
      <c r="E146" s="2">
        <f ca="1">IFERROR(__xludf.DUMMYFUNCTION("""COMPUTED_VALUE"""),336.34)</f>
        <v>336.34</v>
      </c>
      <c r="F146" s="2">
        <f ca="1">IFERROR(__xludf.DUMMYFUNCTION("""COMPUTED_VALUE"""),18381253)</f>
        <v>18381253</v>
      </c>
    </row>
    <row r="147" spans="1:6" ht="12.5" x14ac:dyDescent="0.25">
      <c r="A147" s="3">
        <f ca="1">IFERROR(__xludf.DUMMYFUNCTION("""COMPUTED_VALUE"""),45140.6666666666)</f>
        <v>45140.666666666599</v>
      </c>
      <c r="B147" s="2">
        <f ca="1">IFERROR(__xludf.DUMMYFUNCTION("""COMPUTED_VALUE"""),333.63)</f>
        <v>333.63</v>
      </c>
      <c r="C147" s="2">
        <f ca="1">IFERROR(__xludf.DUMMYFUNCTION("""COMPUTED_VALUE"""),333.63)</f>
        <v>333.63</v>
      </c>
      <c r="D147" s="2">
        <f ca="1">IFERROR(__xludf.DUMMYFUNCTION("""COMPUTED_VALUE"""),326.36)</f>
        <v>326.36</v>
      </c>
      <c r="E147" s="2">
        <f ca="1">IFERROR(__xludf.DUMMYFUNCTION("""COMPUTED_VALUE"""),327.5)</f>
        <v>327.5</v>
      </c>
      <c r="F147" s="2">
        <f ca="1">IFERROR(__xludf.DUMMYFUNCTION("""COMPUTED_VALUE"""),27761257)</f>
        <v>27761257</v>
      </c>
    </row>
    <row r="148" spans="1:6" ht="12.5" x14ac:dyDescent="0.25">
      <c r="A148" s="3">
        <f ca="1">IFERROR(__xludf.DUMMYFUNCTION("""COMPUTED_VALUE"""),45141.6666666666)</f>
        <v>45141.666666666599</v>
      </c>
      <c r="B148" s="2">
        <f ca="1">IFERROR(__xludf.DUMMYFUNCTION("""COMPUTED_VALUE"""),326)</f>
        <v>326</v>
      </c>
      <c r="C148" s="2">
        <f ca="1">IFERROR(__xludf.DUMMYFUNCTION("""COMPUTED_VALUE"""),329.88)</f>
        <v>329.88</v>
      </c>
      <c r="D148" s="2">
        <f ca="1">IFERROR(__xludf.DUMMYFUNCTION("""COMPUTED_VALUE"""),325.95)</f>
        <v>325.95</v>
      </c>
      <c r="E148" s="2">
        <f ca="1">IFERROR(__xludf.DUMMYFUNCTION("""COMPUTED_VALUE"""),326.66)</f>
        <v>326.66000000000003</v>
      </c>
      <c r="F148" s="2">
        <f ca="1">IFERROR(__xludf.DUMMYFUNCTION("""COMPUTED_VALUE"""),18360352)</f>
        <v>18360352</v>
      </c>
    </row>
    <row r="149" spans="1:6" ht="12.5" x14ac:dyDescent="0.25">
      <c r="A149" s="3">
        <f ca="1">IFERROR(__xludf.DUMMYFUNCTION("""COMPUTED_VALUE"""),45142.6666666666)</f>
        <v>45142.666666666599</v>
      </c>
      <c r="B149" s="2">
        <f ca="1">IFERROR(__xludf.DUMMYFUNCTION("""COMPUTED_VALUE"""),331.88)</f>
        <v>331.88</v>
      </c>
      <c r="C149" s="2">
        <f ca="1">IFERROR(__xludf.DUMMYFUNCTION("""COMPUTED_VALUE"""),335.14)</f>
        <v>335.14</v>
      </c>
      <c r="D149" s="2">
        <f ca="1">IFERROR(__xludf.DUMMYFUNCTION("""COMPUTED_VALUE"""),327.24)</f>
        <v>327.24</v>
      </c>
      <c r="E149" s="2">
        <f ca="1">IFERROR(__xludf.DUMMYFUNCTION("""COMPUTED_VALUE"""),327.78)</f>
        <v>327.78</v>
      </c>
      <c r="F149" s="2">
        <f ca="1">IFERROR(__xludf.DUMMYFUNCTION("""COMPUTED_VALUE"""),23741484)</f>
        <v>23741484</v>
      </c>
    </row>
    <row r="150" spans="1:6" ht="12.5" x14ac:dyDescent="0.25">
      <c r="A150" s="3">
        <f ca="1">IFERROR(__xludf.DUMMYFUNCTION("""COMPUTED_VALUE"""),45145.6666666666)</f>
        <v>45145.666666666599</v>
      </c>
      <c r="B150" s="2">
        <f ca="1">IFERROR(__xludf.DUMMYFUNCTION("""COMPUTED_VALUE"""),328.37)</f>
        <v>328.37</v>
      </c>
      <c r="C150" s="2">
        <f ca="1">IFERROR(__xludf.DUMMYFUNCTION("""COMPUTED_VALUE"""),331.11)</f>
        <v>331.11</v>
      </c>
      <c r="D150" s="2">
        <f ca="1">IFERROR(__xludf.DUMMYFUNCTION("""COMPUTED_VALUE"""),327.52)</f>
        <v>327.52</v>
      </c>
      <c r="E150" s="2">
        <f ca="1">IFERROR(__xludf.DUMMYFUNCTION("""COMPUTED_VALUE"""),330.11)</f>
        <v>330.11</v>
      </c>
      <c r="F150" s="2">
        <f ca="1">IFERROR(__xludf.DUMMYFUNCTION("""COMPUTED_VALUE"""),17741526)</f>
        <v>17741526</v>
      </c>
    </row>
    <row r="151" spans="1:6" ht="12.5" x14ac:dyDescent="0.25">
      <c r="A151" s="3">
        <f ca="1">IFERROR(__xludf.DUMMYFUNCTION("""COMPUTED_VALUE"""),45146.6666666666)</f>
        <v>45146.666666666599</v>
      </c>
      <c r="B151" s="2">
        <f ca="1">IFERROR(__xludf.DUMMYFUNCTION("""COMPUTED_VALUE"""),326.96)</f>
        <v>326.95999999999998</v>
      </c>
      <c r="C151" s="2">
        <f ca="1">IFERROR(__xludf.DUMMYFUNCTION("""COMPUTED_VALUE"""),328.75)</f>
        <v>328.75</v>
      </c>
      <c r="D151" s="2">
        <f ca="1">IFERROR(__xludf.DUMMYFUNCTION("""COMPUTED_VALUE"""),323)</f>
        <v>323</v>
      </c>
      <c r="E151" s="2">
        <f ca="1">IFERROR(__xludf.DUMMYFUNCTION("""COMPUTED_VALUE"""),326.05)</f>
        <v>326.05</v>
      </c>
      <c r="F151" s="2">
        <f ca="1">IFERROR(__xludf.DUMMYFUNCTION("""COMPUTED_VALUE"""),22327574)</f>
        <v>22327574</v>
      </c>
    </row>
    <row r="152" spans="1:6" ht="12.5" x14ac:dyDescent="0.25">
      <c r="A152" s="3">
        <f ca="1">IFERROR(__xludf.DUMMYFUNCTION("""COMPUTED_VALUE"""),45147.6666666666)</f>
        <v>45147.666666666599</v>
      </c>
      <c r="B152" s="2">
        <f ca="1">IFERROR(__xludf.DUMMYFUNCTION("""COMPUTED_VALUE"""),326.47)</f>
        <v>326.47000000000003</v>
      </c>
      <c r="C152" s="2">
        <f ca="1">IFERROR(__xludf.DUMMYFUNCTION("""COMPUTED_VALUE"""),327.11)</f>
        <v>327.11</v>
      </c>
      <c r="D152" s="2">
        <f ca="1">IFERROR(__xludf.DUMMYFUNCTION("""COMPUTED_VALUE"""),321.05)</f>
        <v>321.05</v>
      </c>
      <c r="E152" s="2">
        <f ca="1">IFERROR(__xludf.DUMMYFUNCTION("""COMPUTED_VALUE"""),322.23)</f>
        <v>322.23</v>
      </c>
      <c r="F152" s="2">
        <f ca="1">IFERROR(__xludf.DUMMYFUNCTION("""COMPUTED_VALUE"""),22373268)</f>
        <v>22373268</v>
      </c>
    </row>
    <row r="153" spans="1:6" ht="12.5" x14ac:dyDescent="0.25">
      <c r="A153" s="3">
        <f ca="1">IFERROR(__xludf.DUMMYFUNCTION("""COMPUTED_VALUE"""),45148.6666666666)</f>
        <v>45148.666666666599</v>
      </c>
      <c r="B153" s="2">
        <f ca="1">IFERROR(__xludf.DUMMYFUNCTION("""COMPUTED_VALUE"""),326.02)</f>
        <v>326.02</v>
      </c>
      <c r="C153" s="2">
        <f ca="1">IFERROR(__xludf.DUMMYFUNCTION("""COMPUTED_VALUE"""),328.26)</f>
        <v>328.26</v>
      </c>
      <c r="D153" s="2">
        <f ca="1">IFERROR(__xludf.DUMMYFUNCTION("""COMPUTED_VALUE"""),321.18)</f>
        <v>321.18</v>
      </c>
      <c r="E153" s="2">
        <f ca="1">IFERROR(__xludf.DUMMYFUNCTION("""COMPUTED_VALUE"""),322.93)</f>
        <v>322.93</v>
      </c>
      <c r="F153" s="2">
        <f ca="1">IFERROR(__xludf.DUMMYFUNCTION("""COMPUTED_VALUE"""),20113725)</f>
        <v>20113725</v>
      </c>
    </row>
    <row r="154" spans="1:6" ht="12.5" x14ac:dyDescent="0.25">
      <c r="A154" s="3">
        <f ca="1">IFERROR(__xludf.DUMMYFUNCTION("""COMPUTED_VALUE"""),45149.6666666666)</f>
        <v>45149.666666666599</v>
      </c>
      <c r="B154" s="2">
        <f ca="1">IFERROR(__xludf.DUMMYFUNCTION("""COMPUTED_VALUE"""),320.26)</f>
        <v>320.26</v>
      </c>
      <c r="C154" s="2">
        <f ca="1">IFERROR(__xludf.DUMMYFUNCTION("""COMPUTED_VALUE"""),322.41)</f>
        <v>322.41000000000003</v>
      </c>
      <c r="D154" s="2">
        <f ca="1">IFERROR(__xludf.DUMMYFUNCTION("""COMPUTED_VALUE"""),319.21)</f>
        <v>319.20999999999998</v>
      </c>
      <c r="E154" s="2">
        <f ca="1">IFERROR(__xludf.DUMMYFUNCTION("""COMPUTED_VALUE"""),321.01)</f>
        <v>321.01</v>
      </c>
      <c r="F154" s="2">
        <f ca="1">IFERROR(__xludf.DUMMYFUNCTION("""COMPUTED_VALUE"""),24355491)</f>
        <v>24355491</v>
      </c>
    </row>
    <row r="155" spans="1:6" ht="12.5" x14ac:dyDescent="0.25">
      <c r="A155" s="3">
        <f ca="1">IFERROR(__xludf.DUMMYFUNCTION("""COMPUTED_VALUE"""),45152.6666666666)</f>
        <v>45152.666666666599</v>
      </c>
      <c r="B155" s="2">
        <f ca="1">IFERROR(__xludf.DUMMYFUNCTION("""COMPUTED_VALUE"""),321.39)</f>
        <v>321.39</v>
      </c>
      <c r="C155" s="2">
        <f ca="1">IFERROR(__xludf.DUMMYFUNCTION("""COMPUTED_VALUE"""),324.06)</f>
        <v>324.06</v>
      </c>
      <c r="D155" s="2">
        <f ca="1">IFERROR(__xludf.DUMMYFUNCTION("""COMPUTED_VALUE"""),320.08)</f>
        <v>320.08</v>
      </c>
      <c r="E155" s="2">
        <f ca="1">IFERROR(__xludf.DUMMYFUNCTION("""COMPUTED_VALUE"""),324.04)</f>
        <v>324.04000000000002</v>
      </c>
      <c r="F155" s="2">
        <f ca="1">IFERROR(__xludf.DUMMYFUNCTION("""COMPUTED_VALUE"""),18836139)</f>
        <v>18836139</v>
      </c>
    </row>
    <row r="156" spans="1:6" ht="12.5" x14ac:dyDescent="0.25">
      <c r="A156" s="3">
        <f ca="1">IFERROR(__xludf.DUMMYFUNCTION("""COMPUTED_VALUE"""),45153.6666666666)</f>
        <v>45153.666666666599</v>
      </c>
      <c r="B156" s="2">
        <f ca="1">IFERROR(__xludf.DUMMYFUNCTION("""COMPUTED_VALUE"""),323)</f>
        <v>323</v>
      </c>
      <c r="C156" s="2">
        <f ca="1">IFERROR(__xludf.DUMMYFUNCTION("""COMPUTED_VALUE"""),325.09)</f>
        <v>325.08999999999997</v>
      </c>
      <c r="D156" s="2">
        <f ca="1">IFERROR(__xludf.DUMMYFUNCTION("""COMPUTED_VALUE"""),320.9)</f>
        <v>320.89999999999998</v>
      </c>
      <c r="E156" s="2">
        <f ca="1">IFERROR(__xludf.DUMMYFUNCTION("""COMPUTED_VALUE"""),321.86)</f>
        <v>321.86</v>
      </c>
      <c r="F156" s="2">
        <f ca="1">IFERROR(__xludf.DUMMYFUNCTION("""COMPUTED_VALUE"""),16966285)</f>
        <v>16966285</v>
      </c>
    </row>
    <row r="157" spans="1:6" ht="12.5" x14ac:dyDescent="0.25">
      <c r="A157" s="3">
        <f ca="1">IFERROR(__xludf.DUMMYFUNCTION("""COMPUTED_VALUE"""),45154.6666666666)</f>
        <v>45154.666666666599</v>
      </c>
      <c r="B157" s="2">
        <f ca="1">IFERROR(__xludf.DUMMYFUNCTION("""COMPUTED_VALUE"""),320.8)</f>
        <v>320.8</v>
      </c>
      <c r="C157" s="2">
        <f ca="1">IFERROR(__xludf.DUMMYFUNCTION("""COMPUTED_VALUE"""),324.42)</f>
        <v>324.42</v>
      </c>
      <c r="D157" s="2">
        <f ca="1">IFERROR(__xludf.DUMMYFUNCTION("""COMPUTED_VALUE"""),319.8)</f>
        <v>319.8</v>
      </c>
      <c r="E157" s="2">
        <f ca="1">IFERROR(__xludf.DUMMYFUNCTION("""COMPUTED_VALUE"""),320.4)</f>
        <v>320.39999999999998</v>
      </c>
      <c r="F157" s="2">
        <f ca="1">IFERROR(__xludf.DUMMYFUNCTION("""COMPUTED_VALUE"""),20698864)</f>
        <v>20698864</v>
      </c>
    </row>
    <row r="158" spans="1:6" ht="12.5" x14ac:dyDescent="0.25">
      <c r="A158" s="3">
        <f ca="1">IFERROR(__xludf.DUMMYFUNCTION("""COMPUTED_VALUE"""),45155.6666666666)</f>
        <v>45155.666666666599</v>
      </c>
      <c r="B158" s="2">
        <f ca="1">IFERROR(__xludf.DUMMYFUNCTION("""COMPUTED_VALUE"""),320.54)</f>
        <v>320.54000000000002</v>
      </c>
      <c r="C158" s="2">
        <f ca="1">IFERROR(__xludf.DUMMYFUNCTION("""COMPUTED_VALUE"""),321.87)</f>
        <v>321.87</v>
      </c>
      <c r="D158" s="2">
        <f ca="1">IFERROR(__xludf.DUMMYFUNCTION("""COMPUTED_VALUE"""),316.21)</f>
        <v>316.20999999999998</v>
      </c>
      <c r="E158" s="2">
        <f ca="1">IFERROR(__xludf.DUMMYFUNCTION("""COMPUTED_VALUE"""),316.88)</f>
        <v>316.88</v>
      </c>
      <c r="F158" s="2">
        <f ca="1">IFERROR(__xludf.DUMMYFUNCTION("""COMPUTED_VALUE"""),21257161)</f>
        <v>21257161</v>
      </c>
    </row>
    <row r="159" spans="1:6" ht="12.5" x14ac:dyDescent="0.25">
      <c r="A159" s="3">
        <f ca="1">IFERROR(__xludf.DUMMYFUNCTION("""COMPUTED_VALUE"""),45156.6666666666)</f>
        <v>45156.666666666599</v>
      </c>
      <c r="B159" s="2">
        <f ca="1">IFERROR(__xludf.DUMMYFUNCTION("""COMPUTED_VALUE"""),314.49)</f>
        <v>314.49</v>
      </c>
      <c r="C159" s="2">
        <f ca="1">IFERROR(__xludf.DUMMYFUNCTION("""COMPUTED_VALUE"""),318.38)</f>
        <v>318.38</v>
      </c>
      <c r="D159" s="2">
        <f ca="1">IFERROR(__xludf.DUMMYFUNCTION("""COMPUTED_VALUE"""),311.55)</f>
        <v>311.55</v>
      </c>
      <c r="E159" s="2">
        <f ca="1">IFERROR(__xludf.DUMMYFUNCTION("""COMPUTED_VALUE"""),316.48)</f>
        <v>316.48</v>
      </c>
      <c r="F159" s="2">
        <f ca="1">IFERROR(__xludf.DUMMYFUNCTION("""COMPUTED_VALUE"""),24755012)</f>
        <v>24755012</v>
      </c>
    </row>
    <row r="160" spans="1:6" ht="12.5" x14ac:dyDescent="0.25">
      <c r="A160" s="3">
        <f ca="1">IFERROR(__xludf.DUMMYFUNCTION("""COMPUTED_VALUE"""),45159.6666666666)</f>
        <v>45159.666666666599</v>
      </c>
      <c r="B160" s="2">
        <f ca="1">IFERROR(__xludf.DUMMYFUNCTION("""COMPUTED_VALUE"""),317.93)</f>
        <v>317.93</v>
      </c>
      <c r="C160" s="2">
        <f ca="1">IFERROR(__xludf.DUMMYFUNCTION("""COMPUTED_VALUE"""),322.77)</f>
        <v>322.77</v>
      </c>
      <c r="D160" s="2">
        <f ca="1">IFERROR(__xludf.DUMMYFUNCTION("""COMPUTED_VALUE"""),317.04)</f>
        <v>317.04000000000002</v>
      </c>
      <c r="E160" s="2">
        <f ca="1">IFERROR(__xludf.DUMMYFUNCTION("""COMPUTED_VALUE"""),321.88)</f>
        <v>321.88</v>
      </c>
      <c r="F160" s="2">
        <f ca="1">IFERROR(__xludf.DUMMYFUNCTION("""COMPUTED_VALUE"""),24039956)</f>
        <v>24039956</v>
      </c>
    </row>
    <row r="161" spans="1:6" ht="12.5" x14ac:dyDescent="0.25">
      <c r="A161" s="3">
        <f ca="1">IFERROR(__xludf.DUMMYFUNCTION("""COMPUTED_VALUE"""),45160.6666666666)</f>
        <v>45160.666666666599</v>
      </c>
      <c r="B161" s="2">
        <f ca="1">IFERROR(__xludf.DUMMYFUNCTION("""COMPUTED_VALUE"""),325.5)</f>
        <v>325.5</v>
      </c>
      <c r="C161" s="2">
        <f ca="1">IFERROR(__xludf.DUMMYFUNCTION("""COMPUTED_VALUE"""),326.08)</f>
        <v>326.08</v>
      </c>
      <c r="D161" s="2">
        <f ca="1">IFERROR(__xludf.DUMMYFUNCTION("""COMPUTED_VALUE"""),321.46)</f>
        <v>321.45999999999998</v>
      </c>
      <c r="E161" s="2">
        <f ca="1">IFERROR(__xludf.DUMMYFUNCTION("""COMPUTED_VALUE"""),322.46)</f>
        <v>322.45999999999998</v>
      </c>
      <c r="F161" s="2">
        <f ca="1">IFERROR(__xludf.DUMMYFUNCTION("""COMPUTED_VALUE"""),16102024)</f>
        <v>16102024</v>
      </c>
    </row>
    <row r="162" spans="1:6" ht="12.5" x14ac:dyDescent="0.25">
      <c r="A162" s="3">
        <f ca="1">IFERROR(__xludf.DUMMYFUNCTION("""COMPUTED_VALUE"""),45161.6666666666)</f>
        <v>45161.666666666599</v>
      </c>
      <c r="B162" s="2">
        <f ca="1">IFERROR(__xludf.DUMMYFUNCTION("""COMPUTED_VALUE"""),323.82)</f>
        <v>323.82</v>
      </c>
      <c r="C162" s="2">
        <f ca="1">IFERROR(__xludf.DUMMYFUNCTION("""COMPUTED_VALUE"""),329.2)</f>
        <v>329.2</v>
      </c>
      <c r="D162" s="2">
        <f ca="1">IFERROR(__xludf.DUMMYFUNCTION("""COMPUTED_VALUE"""),323.46)</f>
        <v>323.45999999999998</v>
      </c>
      <c r="E162" s="2">
        <f ca="1">IFERROR(__xludf.DUMMYFUNCTION("""COMPUTED_VALUE"""),327)</f>
        <v>327</v>
      </c>
      <c r="F162" s="2">
        <f ca="1">IFERROR(__xludf.DUMMYFUNCTION("""COMPUTED_VALUE"""),21166382)</f>
        <v>21166382</v>
      </c>
    </row>
    <row r="163" spans="1:6" ht="12.5" x14ac:dyDescent="0.25">
      <c r="A163" s="3">
        <f ca="1">IFERROR(__xludf.DUMMYFUNCTION("""COMPUTED_VALUE"""),45162.6666666666)</f>
        <v>45162.666666666599</v>
      </c>
      <c r="B163" s="2">
        <f ca="1">IFERROR(__xludf.DUMMYFUNCTION("""COMPUTED_VALUE"""),332.85)</f>
        <v>332.85</v>
      </c>
      <c r="C163" s="2">
        <f ca="1">IFERROR(__xludf.DUMMYFUNCTION("""COMPUTED_VALUE"""),332.98)</f>
        <v>332.98</v>
      </c>
      <c r="D163" s="2">
        <f ca="1">IFERROR(__xludf.DUMMYFUNCTION("""COMPUTED_VALUE"""),319.96)</f>
        <v>319.95999999999998</v>
      </c>
      <c r="E163" s="2">
        <f ca="1">IFERROR(__xludf.DUMMYFUNCTION("""COMPUTED_VALUE"""),319.97)</f>
        <v>319.97000000000003</v>
      </c>
      <c r="F163" s="2">
        <f ca="1">IFERROR(__xludf.DUMMYFUNCTION("""COMPUTED_VALUE"""),23281434)</f>
        <v>23281434</v>
      </c>
    </row>
    <row r="164" spans="1:6" ht="12.5" x14ac:dyDescent="0.25">
      <c r="A164" s="3">
        <f ca="1">IFERROR(__xludf.DUMMYFUNCTION("""COMPUTED_VALUE"""),45163.6666666666)</f>
        <v>45163.666666666599</v>
      </c>
      <c r="B164" s="2">
        <f ca="1">IFERROR(__xludf.DUMMYFUNCTION("""COMPUTED_VALUE"""),321.47)</f>
        <v>321.47000000000003</v>
      </c>
      <c r="C164" s="2">
        <f ca="1">IFERROR(__xludf.DUMMYFUNCTION("""COMPUTED_VALUE"""),325.36)</f>
        <v>325.36</v>
      </c>
      <c r="D164" s="2">
        <f ca="1">IFERROR(__xludf.DUMMYFUNCTION("""COMPUTED_VALUE"""),318.8)</f>
        <v>318.8</v>
      </c>
      <c r="E164" s="2">
        <f ca="1">IFERROR(__xludf.DUMMYFUNCTION("""COMPUTED_VALUE"""),322.98)</f>
        <v>322.98</v>
      </c>
      <c r="F164" s="2">
        <f ca="1">IFERROR(__xludf.DUMMYFUNCTION("""COMPUTED_VALUE"""),21684104)</f>
        <v>21684104</v>
      </c>
    </row>
    <row r="165" spans="1:6" ht="12.5" x14ac:dyDescent="0.25">
      <c r="A165" s="3">
        <f ca="1">IFERROR(__xludf.DUMMYFUNCTION("""COMPUTED_VALUE"""),45166.6666666666)</f>
        <v>45166.666666666599</v>
      </c>
      <c r="B165" s="2">
        <f ca="1">IFERROR(__xludf.DUMMYFUNCTION("""COMPUTED_VALUE"""),325.66)</f>
        <v>325.66000000000003</v>
      </c>
      <c r="C165" s="2">
        <f ca="1">IFERROR(__xludf.DUMMYFUNCTION("""COMPUTED_VALUE"""),326.15)</f>
        <v>326.14999999999998</v>
      </c>
      <c r="D165" s="2">
        <f ca="1">IFERROR(__xludf.DUMMYFUNCTION("""COMPUTED_VALUE"""),321.72)</f>
        <v>321.72000000000003</v>
      </c>
      <c r="E165" s="2">
        <f ca="1">IFERROR(__xludf.DUMMYFUNCTION("""COMPUTED_VALUE"""),323.7)</f>
        <v>323.7</v>
      </c>
      <c r="F165" s="2">
        <f ca="1">IFERROR(__xludf.DUMMYFUNCTION("""COMPUTED_VALUE"""),14808482)</f>
        <v>14808482</v>
      </c>
    </row>
    <row r="166" spans="1:6" ht="12.5" x14ac:dyDescent="0.25">
      <c r="A166" s="3">
        <f ca="1">IFERROR(__xludf.DUMMYFUNCTION("""COMPUTED_VALUE"""),45167.6666666666)</f>
        <v>45167.666666666599</v>
      </c>
      <c r="B166" s="2">
        <f ca="1">IFERROR(__xludf.DUMMYFUNCTION("""COMPUTED_VALUE"""),321.88)</f>
        <v>321.88</v>
      </c>
      <c r="C166" s="2">
        <f ca="1">IFERROR(__xludf.DUMMYFUNCTION("""COMPUTED_VALUE"""),328.98)</f>
        <v>328.98</v>
      </c>
      <c r="D166" s="2">
        <f ca="1">IFERROR(__xludf.DUMMYFUNCTION("""COMPUTED_VALUE"""),321.88)</f>
        <v>321.88</v>
      </c>
      <c r="E166" s="2">
        <f ca="1">IFERROR(__xludf.DUMMYFUNCTION("""COMPUTED_VALUE"""),328.41)</f>
        <v>328.41</v>
      </c>
      <c r="F166" s="2">
        <f ca="1">IFERROR(__xludf.DUMMYFUNCTION("""COMPUTED_VALUE"""),19284590)</f>
        <v>19284590</v>
      </c>
    </row>
    <row r="167" spans="1:6" ht="12.5" x14ac:dyDescent="0.25">
      <c r="A167" s="3">
        <f ca="1">IFERROR(__xludf.DUMMYFUNCTION("""COMPUTED_VALUE"""),45168.6666666666)</f>
        <v>45168.666666666599</v>
      </c>
      <c r="B167" s="2">
        <f ca="1">IFERROR(__xludf.DUMMYFUNCTION("""COMPUTED_VALUE"""),328.67)</f>
        <v>328.67</v>
      </c>
      <c r="C167" s="2">
        <f ca="1">IFERROR(__xludf.DUMMYFUNCTION("""COMPUTED_VALUE"""),329.81)</f>
        <v>329.81</v>
      </c>
      <c r="D167" s="2">
        <f ca="1">IFERROR(__xludf.DUMMYFUNCTION("""COMPUTED_VALUE"""),326.45)</f>
        <v>326.45</v>
      </c>
      <c r="E167" s="2">
        <f ca="1">IFERROR(__xludf.DUMMYFUNCTION("""COMPUTED_VALUE"""),328.79)</f>
        <v>328.79</v>
      </c>
      <c r="F167" s="2">
        <f ca="1">IFERROR(__xludf.DUMMYFUNCTION("""COMPUTED_VALUE"""),15222110)</f>
        <v>15222110</v>
      </c>
    </row>
    <row r="168" spans="1:6" ht="12.5" x14ac:dyDescent="0.25">
      <c r="A168" s="3">
        <f ca="1">IFERROR(__xludf.DUMMYFUNCTION("""COMPUTED_VALUE"""),45169.6666666666)</f>
        <v>45169.666666666599</v>
      </c>
      <c r="B168" s="2">
        <f ca="1">IFERROR(__xludf.DUMMYFUNCTION("""COMPUTED_VALUE"""),329.2)</f>
        <v>329.2</v>
      </c>
      <c r="C168" s="2">
        <f ca="1">IFERROR(__xludf.DUMMYFUNCTION("""COMPUTED_VALUE"""),330.91)</f>
        <v>330.91</v>
      </c>
      <c r="D168" s="2">
        <f ca="1">IFERROR(__xludf.DUMMYFUNCTION("""COMPUTED_VALUE"""),326.78)</f>
        <v>326.77999999999997</v>
      </c>
      <c r="E168" s="2">
        <f ca="1">IFERROR(__xludf.DUMMYFUNCTION("""COMPUTED_VALUE"""),327.76)</f>
        <v>327.76</v>
      </c>
      <c r="F168" s="2">
        <f ca="1">IFERROR(__xludf.DUMMYFUNCTION("""COMPUTED_VALUE"""),26410954)</f>
        <v>26410954</v>
      </c>
    </row>
    <row r="169" spans="1:6" ht="12.5" x14ac:dyDescent="0.25">
      <c r="A169" s="3">
        <f ca="1">IFERROR(__xludf.DUMMYFUNCTION("""COMPUTED_VALUE"""),45170.6666666666)</f>
        <v>45170.666666666599</v>
      </c>
      <c r="B169" s="2">
        <f ca="1">IFERROR(__xludf.DUMMYFUNCTION("""COMPUTED_VALUE"""),331.31)</f>
        <v>331.31</v>
      </c>
      <c r="C169" s="2">
        <f ca="1">IFERROR(__xludf.DUMMYFUNCTION("""COMPUTED_VALUE"""),331.99)</f>
        <v>331.99</v>
      </c>
      <c r="D169" s="2">
        <f ca="1">IFERROR(__xludf.DUMMYFUNCTION("""COMPUTED_VALUE"""),326.78)</f>
        <v>326.77999999999997</v>
      </c>
      <c r="E169" s="2">
        <f ca="1">IFERROR(__xludf.DUMMYFUNCTION("""COMPUTED_VALUE"""),328.66)</f>
        <v>328.66</v>
      </c>
      <c r="F169" s="2">
        <f ca="1">IFERROR(__xludf.DUMMYFUNCTION("""COMPUTED_VALUE"""),14942024)</f>
        <v>14942024</v>
      </c>
    </row>
    <row r="170" spans="1:6" ht="12.5" x14ac:dyDescent="0.25">
      <c r="A170" s="3">
        <f ca="1">IFERROR(__xludf.DUMMYFUNCTION("""COMPUTED_VALUE"""),45174.6666666666)</f>
        <v>45174.666666666599</v>
      </c>
      <c r="B170" s="2">
        <f ca="1">IFERROR(__xludf.DUMMYFUNCTION("""COMPUTED_VALUE"""),329)</f>
        <v>329</v>
      </c>
      <c r="C170" s="2">
        <f ca="1">IFERROR(__xludf.DUMMYFUNCTION("""COMPUTED_VALUE"""),334.85)</f>
        <v>334.85</v>
      </c>
      <c r="D170" s="2">
        <f ca="1">IFERROR(__xludf.DUMMYFUNCTION("""COMPUTED_VALUE"""),328.66)</f>
        <v>328.66</v>
      </c>
      <c r="E170" s="2">
        <f ca="1">IFERROR(__xludf.DUMMYFUNCTION("""COMPUTED_VALUE"""),333.55)</f>
        <v>333.55</v>
      </c>
      <c r="F170" s="2">
        <f ca="1">IFERROR(__xludf.DUMMYFUNCTION("""COMPUTED_VALUE"""),18553859)</f>
        <v>18553859</v>
      </c>
    </row>
    <row r="171" spans="1:6" ht="12.5" x14ac:dyDescent="0.25">
      <c r="A171" s="3">
        <f ca="1">IFERROR(__xludf.DUMMYFUNCTION("""COMPUTED_VALUE"""),45175.6666666666)</f>
        <v>45175.666666666599</v>
      </c>
      <c r="B171" s="2">
        <f ca="1">IFERROR(__xludf.DUMMYFUNCTION("""COMPUTED_VALUE"""),333.38)</f>
        <v>333.38</v>
      </c>
      <c r="C171" s="2">
        <f ca="1">IFERROR(__xludf.DUMMYFUNCTION("""COMPUTED_VALUE"""),334.46)</f>
        <v>334.46</v>
      </c>
      <c r="D171" s="2">
        <f ca="1">IFERROR(__xludf.DUMMYFUNCTION("""COMPUTED_VALUE"""),330.18)</f>
        <v>330.18</v>
      </c>
      <c r="E171" s="2">
        <f ca="1">IFERROR(__xludf.DUMMYFUNCTION("""COMPUTED_VALUE"""),332.88)</f>
        <v>332.88</v>
      </c>
      <c r="F171" s="2">
        <f ca="1">IFERROR(__xludf.DUMMYFUNCTION("""COMPUTED_VALUE"""),17535773)</f>
        <v>17535773</v>
      </c>
    </row>
    <row r="172" spans="1:6" ht="12.5" x14ac:dyDescent="0.25">
      <c r="A172" s="3">
        <f ca="1">IFERROR(__xludf.DUMMYFUNCTION("""COMPUTED_VALUE"""),45176.6666666666)</f>
        <v>45176.666666666599</v>
      </c>
      <c r="B172" s="2">
        <f ca="1">IFERROR(__xludf.DUMMYFUNCTION("""COMPUTED_VALUE"""),331.29)</f>
        <v>331.29</v>
      </c>
      <c r="C172" s="2">
        <f ca="1">IFERROR(__xludf.DUMMYFUNCTION("""COMPUTED_VALUE"""),333.08)</f>
        <v>333.08</v>
      </c>
      <c r="D172" s="2">
        <f ca="1">IFERROR(__xludf.DUMMYFUNCTION("""COMPUTED_VALUE"""),329.03)</f>
        <v>329.03</v>
      </c>
      <c r="E172" s="2">
        <f ca="1">IFERROR(__xludf.DUMMYFUNCTION("""COMPUTED_VALUE"""),329.91)</f>
        <v>329.91</v>
      </c>
      <c r="F172" s="2">
        <f ca="1">IFERROR(__xludf.DUMMYFUNCTION("""COMPUTED_VALUE"""),18380995)</f>
        <v>18380995</v>
      </c>
    </row>
    <row r="173" spans="1:6" ht="12.5" x14ac:dyDescent="0.25">
      <c r="A173" s="3">
        <f ca="1">IFERROR(__xludf.DUMMYFUNCTION("""COMPUTED_VALUE"""),45177.6666666666)</f>
        <v>45177.666666666599</v>
      </c>
      <c r="B173" s="2">
        <f ca="1">IFERROR(__xludf.DUMMYFUNCTION("""COMPUTED_VALUE"""),330.09)</f>
        <v>330.09</v>
      </c>
      <c r="C173" s="2">
        <f ca="1">IFERROR(__xludf.DUMMYFUNCTION("""COMPUTED_VALUE"""),336.16)</f>
        <v>336.16</v>
      </c>
      <c r="D173" s="2">
        <f ca="1">IFERROR(__xludf.DUMMYFUNCTION("""COMPUTED_VALUE"""),329.46)</f>
        <v>329.46</v>
      </c>
      <c r="E173" s="2">
        <f ca="1">IFERROR(__xludf.DUMMYFUNCTION("""COMPUTED_VALUE"""),334.27)</f>
        <v>334.27</v>
      </c>
      <c r="F173" s="2">
        <f ca="1">IFERROR(__xludf.DUMMYFUNCTION("""COMPUTED_VALUE"""),19548165)</f>
        <v>19548165</v>
      </c>
    </row>
    <row r="174" spans="1:6" ht="12.5" x14ac:dyDescent="0.25">
      <c r="A174" s="3">
        <f ca="1">IFERROR(__xludf.DUMMYFUNCTION("""COMPUTED_VALUE"""),45180.6666666666)</f>
        <v>45180.666666666599</v>
      </c>
      <c r="B174" s="2">
        <f ca="1">IFERROR(__xludf.DUMMYFUNCTION("""COMPUTED_VALUE"""),337.24)</f>
        <v>337.24</v>
      </c>
      <c r="C174" s="2">
        <f ca="1">IFERROR(__xludf.DUMMYFUNCTION("""COMPUTED_VALUE"""),338.42)</f>
        <v>338.42</v>
      </c>
      <c r="D174" s="2">
        <f ca="1">IFERROR(__xludf.DUMMYFUNCTION("""COMPUTED_VALUE"""),335.43)</f>
        <v>335.43</v>
      </c>
      <c r="E174" s="2">
        <f ca="1">IFERROR(__xludf.DUMMYFUNCTION("""COMPUTED_VALUE"""),337.94)</f>
        <v>337.94</v>
      </c>
      <c r="F174" s="2">
        <f ca="1">IFERROR(__xludf.DUMMYFUNCTION("""COMPUTED_VALUE"""),16583324)</f>
        <v>16583324</v>
      </c>
    </row>
    <row r="175" spans="1:6" ht="12.5" x14ac:dyDescent="0.25">
      <c r="A175" s="3">
        <f ca="1">IFERROR(__xludf.DUMMYFUNCTION("""COMPUTED_VALUE"""),45181.6666666666)</f>
        <v>45181.666666666599</v>
      </c>
      <c r="B175" s="2">
        <f ca="1">IFERROR(__xludf.DUMMYFUNCTION("""COMPUTED_VALUE"""),335.82)</f>
        <v>335.82</v>
      </c>
      <c r="C175" s="2">
        <f ca="1">IFERROR(__xludf.DUMMYFUNCTION("""COMPUTED_VALUE"""),336.79)</f>
        <v>336.79</v>
      </c>
      <c r="D175" s="2">
        <f ca="1">IFERROR(__xludf.DUMMYFUNCTION("""COMPUTED_VALUE"""),331.48)</f>
        <v>331.48</v>
      </c>
      <c r="E175" s="2">
        <f ca="1">IFERROR(__xludf.DUMMYFUNCTION("""COMPUTED_VALUE"""),331.77)</f>
        <v>331.77</v>
      </c>
      <c r="F175" s="2">
        <f ca="1">IFERROR(__xludf.DUMMYFUNCTION("""COMPUTED_VALUE"""),17565482)</f>
        <v>17565482</v>
      </c>
    </row>
    <row r="176" spans="1:6" ht="12.5" x14ac:dyDescent="0.25">
      <c r="A176" s="3">
        <f ca="1">IFERROR(__xludf.DUMMYFUNCTION("""COMPUTED_VALUE"""),45182.6666666666)</f>
        <v>45182.666666666599</v>
      </c>
      <c r="B176" s="2">
        <f ca="1">IFERROR(__xludf.DUMMYFUNCTION("""COMPUTED_VALUE"""),331.31)</f>
        <v>331.31</v>
      </c>
      <c r="C176" s="2">
        <f ca="1">IFERROR(__xludf.DUMMYFUNCTION("""COMPUTED_VALUE"""),336.85)</f>
        <v>336.85</v>
      </c>
      <c r="D176" s="2">
        <f ca="1">IFERROR(__xludf.DUMMYFUNCTION("""COMPUTED_VALUE"""),331.17)</f>
        <v>331.17</v>
      </c>
      <c r="E176" s="2">
        <f ca="1">IFERROR(__xludf.DUMMYFUNCTION("""COMPUTED_VALUE"""),336.06)</f>
        <v>336.06</v>
      </c>
      <c r="F176" s="2">
        <f ca="1">IFERROR(__xludf.DUMMYFUNCTION("""COMPUTED_VALUE"""),16544412)</f>
        <v>16544412</v>
      </c>
    </row>
    <row r="177" spans="1:6" ht="12.5" x14ac:dyDescent="0.25">
      <c r="A177" s="3">
        <f ca="1">IFERROR(__xludf.DUMMYFUNCTION("""COMPUTED_VALUE"""),45183.6666666666)</f>
        <v>45183.666666666599</v>
      </c>
      <c r="B177" s="2">
        <f ca="1">IFERROR(__xludf.DUMMYFUNCTION("""COMPUTED_VALUE"""),339.15)</f>
        <v>339.15</v>
      </c>
      <c r="C177" s="2">
        <f ca="1">IFERROR(__xludf.DUMMYFUNCTION("""COMPUTED_VALUE"""),340.86)</f>
        <v>340.86</v>
      </c>
      <c r="D177" s="2">
        <f ca="1">IFERROR(__xludf.DUMMYFUNCTION("""COMPUTED_VALUE"""),336.57)</f>
        <v>336.57</v>
      </c>
      <c r="E177" s="2">
        <f ca="1">IFERROR(__xludf.DUMMYFUNCTION("""COMPUTED_VALUE"""),338.7)</f>
        <v>338.7</v>
      </c>
      <c r="F177" s="2">
        <f ca="1">IFERROR(__xludf.DUMMYFUNCTION("""COMPUTED_VALUE"""),20267048)</f>
        <v>20267048</v>
      </c>
    </row>
    <row r="178" spans="1:6" ht="12.5" x14ac:dyDescent="0.25">
      <c r="A178" s="3">
        <f ca="1">IFERROR(__xludf.DUMMYFUNCTION("""COMPUTED_VALUE"""),45184.6666666666)</f>
        <v>45184.666666666599</v>
      </c>
      <c r="B178" s="2">
        <f ca="1">IFERROR(__xludf.DUMMYFUNCTION("""COMPUTED_VALUE"""),336.92)</f>
        <v>336.92</v>
      </c>
      <c r="C178" s="2">
        <f ca="1">IFERROR(__xludf.DUMMYFUNCTION("""COMPUTED_VALUE"""),337.4)</f>
        <v>337.4</v>
      </c>
      <c r="D178" s="2">
        <f ca="1">IFERROR(__xludf.DUMMYFUNCTION("""COMPUTED_VALUE"""),329.65)</f>
        <v>329.65</v>
      </c>
      <c r="E178" s="2">
        <f ca="1">IFERROR(__xludf.DUMMYFUNCTION("""COMPUTED_VALUE"""),330.22)</f>
        <v>330.22</v>
      </c>
      <c r="F178" s="2">
        <f ca="1">IFERROR(__xludf.DUMMYFUNCTION("""COMPUTED_VALUE"""),37679792)</f>
        <v>37679792</v>
      </c>
    </row>
    <row r="179" spans="1:6" ht="12.5" x14ac:dyDescent="0.25">
      <c r="A179" s="3">
        <f ca="1">IFERROR(__xludf.DUMMYFUNCTION("""COMPUTED_VALUE"""),45187.6666666666)</f>
        <v>45187.666666666599</v>
      </c>
      <c r="B179" s="2">
        <f ca="1">IFERROR(__xludf.DUMMYFUNCTION("""COMPUTED_VALUE"""),327.8)</f>
        <v>327.8</v>
      </c>
      <c r="C179" s="2">
        <f ca="1">IFERROR(__xludf.DUMMYFUNCTION("""COMPUTED_VALUE"""),330.4)</f>
        <v>330.4</v>
      </c>
      <c r="D179" s="2">
        <f ca="1">IFERROR(__xludf.DUMMYFUNCTION("""COMPUTED_VALUE"""),326.36)</f>
        <v>326.36</v>
      </c>
      <c r="E179" s="2">
        <f ca="1">IFERROR(__xludf.DUMMYFUNCTION("""COMPUTED_VALUE"""),329.06)</f>
        <v>329.06</v>
      </c>
      <c r="F179" s="2">
        <f ca="1">IFERROR(__xludf.DUMMYFUNCTION("""COMPUTED_VALUE"""),16834208)</f>
        <v>16834208</v>
      </c>
    </row>
    <row r="180" spans="1:6" ht="12.5" x14ac:dyDescent="0.25">
      <c r="A180" s="3">
        <f ca="1">IFERROR(__xludf.DUMMYFUNCTION("""COMPUTED_VALUE"""),45188.6666666666)</f>
        <v>45188.666666666599</v>
      </c>
      <c r="B180" s="2">
        <f ca="1">IFERROR(__xludf.DUMMYFUNCTION("""COMPUTED_VALUE"""),326.17)</f>
        <v>326.17</v>
      </c>
      <c r="C180" s="2">
        <f ca="1">IFERROR(__xludf.DUMMYFUNCTION("""COMPUTED_VALUE"""),329.39)</f>
        <v>329.39</v>
      </c>
      <c r="D180" s="2">
        <f ca="1">IFERROR(__xludf.DUMMYFUNCTION("""COMPUTED_VALUE"""),324.51)</f>
        <v>324.51</v>
      </c>
      <c r="E180" s="2">
        <f ca="1">IFERROR(__xludf.DUMMYFUNCTION("""COMPUTED_VALUE"""),328.65)</f>
        <v>328.65</v>
      </c>
      <c r="F180" s="2">
        <f ca="1">IFERROR(__xludf.DUMMYFUNCTION("""COMPUTED_VALUE"""),16514487)</f>
        <v>16514487</v>
      </c>
    </row>
    <row r="181" spans="1:6" ht="12.5" x14ac:dyDescent="0.25">
      <c r="A181" s="3">
        <f ca="1">IFERROR(__xludf.DUMMYFUNCTION("""COMPUTED_VALUE"""),45189.6666666666)</f>
        <v>45189.666666666599</v>
      </c>
      <c r="B181" s="2">
        <f ca="1">IFERROR(__xludf.DUMMYFUNCTION("""COMPUTED_VALUE"""),329.51)</f>
        <v>329.51</v>
      </c>
      <c r="C181" s="2">
        <f ca="1">IFERROR(__xludf.DUMMYFUNCTION("""COMPUTED_VALUE"""),329.59)</f>
        <v>329.59</v>
      </c>
      <c r="D181" s="2">
        <f ca="1">IFERROR(__xludf.DUMMYFUNCTION("""COMPUTED_VALUE"""),320.51)</f>
        <v>320.51</v>
      </c>
      <c r="E181" s="2">
        <f ca="1">IFERROR(__xludf.DUMMYFUNCTION("""COMPUTED_VALUE"""),320.77)</f>
        <v>320.77</v>
      </c>
      <c r="F181" s="2">
        <f ca="1">IFERROR(__xludf.DUMMYFUNCTION("""COMPUTED_VALUE"""),21436525)</f>
        <v>21436525</v>
      </c>
    </row>
    <row r="182" spans="1:6" ht="12.5" x14ac:dyDescent="0.25">
      <c r="A182" s="3">
        <f ca="1">IFERROR(__xludf.DUMMYFUNCTION("""COMPUTED_VALUE"""),45190.6666666666)</f>
        <v>45190.666666666599</v>
      </c>
      <c r="B182" s="2">
        <f ca="1">IFERROR(__xludf.DUMMYFUNCTION("""COMPUTED_VALUE"""),319.26)</f>
        <v>319.26</v>
      </c>
      <c r="C182" s="2">
        <f ca="1">IFERROR(__xludf.DUMMYFUNCTION("""COMPUTED_VALUE"""),325.35)</f>
        <v>325.35000000000002</v>
      </c>
      <c r="D182" s="2">
        <f ca="1">IFERROR(__xludf.DUMMYFUNCTION("""COMPUTED_VALUE"""),315)</f>
        <v>315</v>
      </c>
      <c r="E182" s="2">
        <f ca="1">IFERROR(__xludf.DUMMYFUNCTION("""COMPUTED_VALUE"""),319.53)</f>
        <v>319.52999999999997</v>
      </c>
      <c r="F182" s="2">
        <f ca="1">IFERROR(__xludf.DUMMYFUNCTION("""COMPUTED_VALUE"""),35560362)</f>
        <v>35560362</v>
      </c>
    </row>
    <row r="183" spans="1:6" ht="12.5" x14ac:dyDescent="0.25">
      <c r="A183" s="3">
        <f ca="1">IFERROR(__xludf.DUMMYFUNCTION("""COMPUTED_VALUE"""),45191.6666666666)</f>
        <v>45191.666666666599</v>
      </c>
      <c r="B183" s="2">
        <f ca="1">IFERROR(__xludf.DUMMYFUNCTION("""COMPUTED_VALUE"""),321.32)</f>
        <v>321.32</v>
      </c>
      <c r="C183" s="2">
        <f ca="1">IFERROR(__xludf.DUMMYFUNCTION("""COMPUTED_VALUE"""),321.45)</f>
        <v>321.45</v>
      </c>
      <c r="D183" s="2">
        <f ca="1">IFERROR(__xludf.DUMMYFUNCTION("""COMPUTED_VALUE"""),316.15)</f>
        <v>316.14999999999998</v>
      </c>
      <c r="E183" s="2">
        <f ca="1">IFERROR(__xludf.DUMMYFUNCTION("""COMPUTED_VALUE"""),317.01)</f>
        <v>317.01</v>
      </c>
      <c r="F183" s="2">
        <f ca="1">IFERROR(__xludf.DUMMYFUNCTION("""COMPUTED_VALUE"""),21447887)</f>
        <v>21447887</v>
      </c>
    </row>
    <row r="184" spans="1:6" ht="12.5" x14ac:dyDescent="0.25">
      <c r="A184" s="3">
        <f ca="1">IFERROR(__xludf.DUMMYFUNCTION("""COMPUTED_VALUE"""),45194.6666666666)</f>
        <v>45194.666666666599</v>
      </c>
      <c r="B184" s="2">
        <f ca="1">IFERROR(__xludf.DUMMYFUNCTION("""COMPUTED_VALUE"""),316.59)</f>
        <v>316.58999999999997</v>
      </c>
      <c r="C184" s="2">
        <f ca="1">IFERROR(__xludf.DUMMYFUNCTION("""COMPUTED_VALUE"""),317.67)</f>
        <v>317.67</v>
      </c>
      <c r="D184" s="2">
        <f ca="1">IFERROR(__xludf.DUMMYFUNCTION("""COMPUTED_VALUE"""),315)</f>
        <v>315</v>
      </c>
      <c r="E184" s="2">
        <f ca="1">IFERROR(__xludf.DUMMYFUNCTION("""COMPUTED_VALUE"""),317.54)</f>
        <v>317.54000000000002</v>
      </c>
      <c r="F184" s="2">
        <f ca="1">IFERROR(__xludf.DUMMYFUNCTION("""COMPUTED_VALUE"""),17835964)</f>
        <v>17835964</v>
      </c>
    </row>
    <row r="185" spans="1:6" ht="12.5" x14ac:dyDescent="0.25">
      <c r="A185" s="3">
        <f ca="1">IFERROR(__xludf.DUMMYFUNCTION("""COMPUTED_VALUE"""),45195.6666666666)</f>
        <v>45195.666666666599</v>
      </c>
      <c r="B185" s="2">
        <f ca="1">IFERROR(__xludf.DUMMYFUNCTION("""COMPUTED_VALUE"""),315.13)</f>
        <v>315.13</v>
      </c>
      <c r="C185" s="2">
        <f ca="1">IFERROR(__xludf.DUMMYFUNCTION("""COMPUTED_VALUE"""),315.88)</f>
        <v>315.88</v>
      </c>
      <c r="D185" s="2">
        <f ca="1">IFERROR(__xludf.DUMMYFUNCTION("""COMPUTED_VALUE"""),310.02)</f>
        <v>310.02</v>
      </c>
      <c r="E185" s="2">
        <f ca="1">IFERROR(__xludf.DUMMYFUNCTION("""COMPUTED_VALUE"""),312.14)</f>
        <v>312.14</v>
      </c>
      <c r="F185" s="2">
        <f ca="1">IFERROR(__xludf.DUMMYFUNCTION("""COMPUTED_VALUE"""),26297573)</f>
        <v>26297573</v>
      </c>
    </row>
    <row r="186" spans="1:6" ht="12.5" x14ac:dyDescent="0.25">
      <c r="A186" s="3">
        <f ca="1">IFERROR(__xludf.DUMMYFUNCTION("""COMPUTED_VALUE"""),45196.6666666666)</f>
        <v>45196.666666666599</v>
      </c>
      <c r="B186" s="2">
        <f ca="1">IFERROR(__xludf.DUMMYFUNCTION("""COMPUTED_VALUE"""),312.3)</f>
        <v>312.3</v>
      </c>
      <c r="C186" s="2">
        <f ca="1">IFERROR(__xludf.DUMMYFUNCTION("""COMPUTED_VALUE"""),314.3)</f>
        <v>314.3</v>
      </c>
      <c r="D186" s="2">
        <f ca="1">IFERROR(__xludf.DUMMYFUNCTION("""COMPUTED_VALUE"""),309.69)</f>
        <v>309.69</v>
      </c>
      <c r="E186" s="2">
        <f ca="1">IFERROR(__xludf.DUMMYFUNCTION("""COMPUTED_VALUE"""),312.79)</f>
        <v>312.79000000000002</v>
      </c>
      <c r="F186" s="2">
        <f ca="1">IFERROR(__xludf.DUMMYFUNCTION("""COMPUTED_VALUE"""),19410082)</f>
        <v>19410082</v>
      </c>
    </row>
    <row r="187" spans="1:6" ht="12.5" x14ac:dyDescent="0.25">
      <c r="A187" s="3">
        <f ca="1">IFERROR(__xludf.DUMMYFUNCTION("""COMPUTED_VALUE"""),45197.6666666666)</f>
        <v>45197.666666666599</v>
      </c>
      <c r="B187" s="2">
        <f ca="1">IFERROR(__xludf.DUMMYFUNCTION("""COMPUTED_VALUE"""),310.99)</f>
        <v>310.99</v>
      </c>
      <c r="C187" s="2">
        <f ca="1">IFERROR(__xludf.DUMMYFUNCTION("""COMPUTED_VALUE"""),315.48)</f>
        <v>315.48</v>
      </c>
      <c r="D187" s="2">
        <f ca="1">IFERROR(__xludf.DUMMYFUNCTION("""COMPUTED_VALUE"""),309.45)</f>
        <v>309.45</v>
      </c>
      <c r="E187" s="2">
        <f ca="1">IFERROR(__xludf.DUMMYFUNCTION("""COMPUTED_VALUE"""),313.64)</f>
        <v>313.64</v>
      </c>
      <c r="F187" s="2">
        <f ca="1">IFERROR(__xludf.DUMMYFUNCTION("""COMPUTED_VALUE"""),19683564)</f>
        <v>19683564</v>
      </c>
    </row>
    <row r="188" spans="1:6" ht="12.5" x14ac:dyDescent="0.25">
      <c r="A188" s="3">
        <f ca="1">IFERROR(__xludf.DUMMYFUNCTION("""COMPUTED_VALUE"""),45198.6666666666)</f>
        <v>45198.666666666599</v>
      </c>
      <c r="B188" s="2">
        <f ca="1">IFERROR(__xludf.DUMMYFUNCTION("""COMPUTED_VALUE"""),317.75)</f>
        <v>317.75</v>
      </c>
      <c r="C188" s="2">
        <f ca="1">IFERROR(__xludf.DUMMYFUNCTION("""COMPUTED_VALUE"""),319.47)</f>
        <v>319.47000000000003</v>
      </c>
      <c r="D188" s="2">
        <f ca="1">IFERROR(__xludf.DUMMYFUNCTION("""COMPUTED_VALUE"""),314.98)</f>
        <v>314.98</v>
      </c>
      <c r="E188" s="2">
        <f ca="1">IFERROR(__xludf.DUMMYFUNCTION("""COMPUTED_VALUE"""),315.75)</f>
        <v>315.75</v>
      </c>
      <c r="F188" s="2">
        <f ca="1">IFERROR(__xludf.DUMMYFUNCTION("""COMPUTED_VALUE"""),24147298)</f>
        <v>24147298</v>
      </c>
    </row>
    <row r="189" spans="1:6" ht="12.5" x14ac:dyDescent="0.25">
      <c r="A189" s="3">
        <f ca="1">IFERROR(__xludf.DUMMYFUNCTION("""COMPUTED_VALUE"""),45201.6666666666)</f>
        <v>45201.666666666599</v>
      </c>
      <c r="B189" s="2">
        <f ca="1">IFERROR(__xludf.DUMMYFUNCTION("""COMPUTED_VALUE"""),316.28)</f>
        <v>316.27999999999997</v>
      </c>
      <c r="C189" s="2">
        <f ca="1">IFERROR(__xludf.DUMMYFUNCTION("""COMPUTED_VALUE"""),321.89)</f>
        <v>321.89</v>
      </c>
      <c r="D189" s="2">
        <f ca="1">IFERROR(__xludf.DUMMYFUNCTION("""COMPUTED_VALUE"""),315.18)</f>
        <v>315.18</v>
      </c>
      <c r="E189" s="2">
        <f ca="1">IFERROR(__xludf.DUMMYFUNCTION("""COMPUTED_VALUE"""),321.8)</f>
        <v>321.8</v>
      </c>
      <c r="F189" s="2">
        <f ca="1">IFERROR(__xludf.DUMMYFUNCTION("""COMPUTED_VALUE"""),20570006)</f>
        <v>20570006</v>
      </c>
    </row>
    <row r="190" spans="1:6" ht="12.5" x14ac:dyDescent="0.25">
      <c r="A190" s="3">
        <f ca="1">IFERROR(__xludf.DUMMYFUNCTION("""COMPUTED_VALUE"""),45202.6666666666)</f>
        <v>45202.666666666599</v>
      </c>
      <c r="B190" s="2">
        <f ca="1">IFERROR(__xludf.DUMMYFUNCTION("""COMPUTED_VALUE"""),320.83)</f>
        <v>320.83</v>
      </c>
      <c r="C190" s="2">
        <f ca="1">IFERROR(__xludf.DUMMYFUNCTION("""COMPUTED_VALUE"""),321.39)</f>
        <v>321.39</v>
      </c>
      <c r="D190" s="2">
        <f ca="1">IFERROR(__xludf.DUMMYFUNCTION("""COMPUTED_VALUE"""),311.21)</f>
        <v>311.20999999999998</v>
      </c>
      <c r="E190" s="2">
        <f ca="1">IFERROR(__xludf.DUMMYFUNCTION("""COMPUTED_VALUE"""),313.39)</f>
        <v>313.39</v>
      </c>
      <c r="F190" s="2">
        <f ca="1">IFERROR(__xludf.DUMMYFUNCTION("""COMPUTED_VALUE"""),21033492)</f>
        <v>21033492</v>
      </c>
    </row>
    <row r="191" spans="1:6" ht="12.5" x14ac:dyDescent="0.25">
      <c r="A191" s="3">
        <f ca="1">IFERROR(__xludf.DUMMYFUNCTION("""COMPUTED_VALUE"""),45203.6666666666)</f>
        <v>45203.666666666599</v>
      </c>
      <c r="B191" s="2">
        <f ca="1">IFERROR(__xludf.DUMMYFUNCTION("""COMPUTED_VALUE"""),314.03)</f>
        <v>314.02999999999997</v>
      </c>
      <c r="C191" s="2">
        <f ca="1">IFERROR(__xludf.DUMMYFUNCTION("""COMPUTED_VALUE"""),320.04)</f>
        <v>320.04000000000002</v>
      </c>
      <c r="D191" s="2">
        <f ca="1">IFERROR(__xludf.DUMMYFUNCTION("""COMPUTED_VALUE"""),314)</f>
        <v>314</v>
      </c>
      <c r="E191" s="2">
        <f ca="1">IFERROR(__xludf.DUMMYFUNCTION("""COMPUTED_VALUE"""),318.96)</f>
        <v>318.95999999999998</v>
      </c>
      <c r="F191" s="2">
        <f ca="1">IFERROR(__xludf.DUMMYFUNCTION("""COMPUTED_VALUE"""),20720144)</f>
        <v>20720144</v>
      </c>
    </row>
    <row r="192" spans="1:6" ht="12.5" x14ac:dyDescent="0.25">
      <c r="A192" s="3">
        <f ca="1">IFERROR(__xludf.DUMMYFUNCTION("""COMPUTED_VALUE"""),45204.6666666666)</f>
        <v>45204.666666666599</v>
      </c>
      <c r="B192" s="2">
        <f ca="1">IFERROR(__xludf.DUMMYFUNCTION("""COMPUTED_VALUE"""),319.09)</f>
        <v>319.08999999999997</v>
      </c>
      <c r="C192" s="2">
        <f ca="1">IFERROR(__xludf.DUMMYFUNCTION("""COMPUTED_VALUE"""),319.98)</f>
        <v>319.98</v>
      </c>
      <c r="D192" s="2">
        <f ca="1">IFERROR(__xludf.DUMMYFUNCTION("""COMPUTED_VALUE"""),314.9)</f>
        <v>314.89999999999998</v>
      </c>
      <c r="E192" s="2">
        <f ca="1">IFERROR(__xludf.DUMMYFUNCTION("""COMPUTED_VALUE"""),319.36)</f>
        <v>319.36</v>
      </c>
      <c r="F192" s="2">
        <f ca="1">IFERROR(__xludf.DUMMYFUNCTION("""COMPUTED_VALUE"""),16965629)</f>
        <v>16965629</v>
      </c>
    </row>
    <row r="193" spans="1:6" ht="12.5" x14ac:dyDescent="0.25">
      <c r="A193" s="3">
        <f ca="1">IFERROR(__xludf.DUMMYFUNCTION("""COMPUTED_VALUE"""),45205.6666666666)</f>
        <v>45205.666666666599</v>
      </c>
      <c r="B193" s="2">
        <f ca="1">IFERROR(__xludf.DUMMYFUNCTION("""COMPUTED_VALUE"""),316.55)</f>
        <v>316.55</v>
      </c>
      <c r="C193" s="2">
        <f ca="1">IFERROR(__xludf.DUMMYFUNCTION("""COMPUTED_VALUE"""),329.19)</f>
        <v>329.19</v>
      </c>
      <c r="D193" s="2">
        <f ca="1">IFERROR(__xludf.DUMMYFUNCTION("""COMPUTED_VALUE"""),316.3)</f>
        <v>316.3</v>
      </c>
      <c r="E193" s="2">
        <f ca="1">IFERROR(__xludf.DUMMYFUNCTION("""COMPUTED_VALUE"""),327.26)</f>
        <v>327.26</v>
      </c>
      <c r="F193" s="2">
        <f ca="1">IFERROR(__xludf.DUMMYFUNCTION("""COMPUTED_VALUE"""),25673630)</f>
        <v>25673630</v>
      </c>
    </row>
    <row r="194" spans="1:6" ht="12.5" x14ac:dyDescent="0.25">
      <c r="A194" s="3">
        <f ca="1">IFERROR(__xludf.DUMMYFUNCTION("""COMPUTED_VALUE"""),45208.6666666666)</f>
        <v>45208.666666666599</v>
      </c>
      <c r="B194" s="2">
        <f ca="1">IFERROR(__xludf.DUMMYFUNCTION("""COMPUTED_VALUE"""),324.75)</f>
        <v>324.75</v>
      </c>
      <c r="C194" s="2">
        <f ca="1">IFERROR(__xludf.DUMMYFUNCTION("""COMPUTED_VALUE"""),330.3)</f>
        <v>330.3</v>
      </c>
      <c r="D194" s="2">
        <f ca="1">IFERROR(__xludf.DUMMYFUNCTION("""COMPUTED_VALUE"""),323.18)</f>
        <v>323.18</v>
      </c>
      <c r="E194" s="2">
        <f ca="1">IFERROR(__xludf.DUMMYFUNCTION("""COMPUTED_VALUE"""),329.82)</f>
        <v>329.82</v>
      </c>
      <c r="F194" s="2">
        <f ca="1">IFERROR(__xludf.DUMMYFUNCTION("""COMPUTED_VALUE"""),19891180)</f>
        <v>19891180</v>
      </c>
    </row>
    <row r="195" spans="1:6" ht="12.5" x14ac:dyDescent="0.25">
      <c r="A195" s="3">
        <f ca="1">IFERROR(__xludf.DUMMYFUNCTION("""COMPUTED_VALUE"""),45209.6666666666)</f>
        <v>45209.666666666599</v>
      </c>
      <c r="B195" s="2">
        <f ca="1">IFERROR(__xludf.DUMMYFUNCTION("""COMPUTED_VALUE"""),330.96)</f>
        <v>330.96</v>
      </c>
      <c r="C195" s="2">
        <f ca="1">IFERROR(__xludf.DUMMYFUNCTION("""COMPUTED_VALUE"""),331.1)</f>
        <v>331.1</v>
      </c>
      <c r="D195" s="2">
        <f ca="1">IFERROR(__xludf.DUMMYFUNCTION("""COMPUTED_VALUE"""),327.67)</f>
        <v>327.67</v>
      </c>
      <c r="E195" s="2">
        <f ca="1">IFERROR(__xludf.DUMMYFUNCTION("""COMPUTED_VALUE"""),328.39)</f>
        <v>328.39</v>
      </c>
      <c r="F195" s="2">
        <f ca="1">IFERROR(__xludf.DUMMYFUNCTION("""COMPUTED_VALUE"""),20557094)</f>
        <v>20557094</v>
      </c>
    </row>
    <row r="196" spans="1:6" ht="12.5" x14ac:dyDescent="0.25">
      <c r="A196" s="3">
        <f ca="1">IFERROR(__xludf.DUMMYFUNCTION("""COMPUTED_VALUE"""),45210.6666666666)</f>
        <v>45210.666666666599</v>
      </c>
      <c r="B196" s="2">
        <f ca="1">IFERROR(__xludf.DUMMYFUNCTION("""COMPUTED_VALUE"""),331.21)</f>
        <v>331.21</v>
      </c>
      <c r="C196" s="2">
        <f ca="1">IFERROR(__xludf.DUMMYFUNCTION("""COMPUTED_VALUE"""),332.82)</f>
        <v>332.82</v>
      </c>
      <c r="D196" s="2">
        <f ca="1">IFERROR(__xludf.DUMMYFUNCTION("""COMPUTED_VALUE"""),329.14)</f>
        <v>329.14</v>
      </c>
      <c r="E196" s="2">
        <f ca="1">IFERROR(__xludf.DUMMYFUNCTION("""COMPUTED_VALUE"""),332.42)</f>
        <v>332.42</v>
      </c>
      <c r="F196" s="2">
        <f ca="1">IFERROR(__xludf.DUMMYFUNCTION("""COMPUTED_VALUE"""),20063246)</f>
        <v>20063246</v>
      </c>
    </row>
    <row r="197" spans="1:6" ht="12.5" x14ac:dyDescent="0.25">
      <c r="A197" s="3">
        <f ca="1">IFERROR(__xludf.DUMMYFUNCTION("""COMPUTED_VALUE"""),45211.6666666666)</f>
        <v>45211.666666666599</v>
      </c>
      <c r="B197" s="2">
        <f ca="1">IFERROR(__xludf.DUMMYFUNCTION("""COMPUTED_VALUE"""),330.57)</f>
        <v>330.57</v>
      </c>
      <c r="C197" s="2">
        <f ca="1">IFERROR(__xludf.DUMMYFUNCTION("""COMPUTED_VALUE"""),333.63)</f>
        <v>333.63</v>
      </c>
      <c r="D197" s="2">
        <f ca="1">IFERROR(__xludf.DUMMYFUNCTION("""COMPUTED_VALUE"""),328.72)</f>
        <v>328.72</v>
      </c>
      <c r="E197" s="2">
        <f ca="1">IFERROR(__xludf.DUMMYFUNCTION("""COMPUTED_VALUE"""),331.16)</f>
        <v>331.16</v>
      </c>
      <c r="F197" s="2">
        <f ca="1">IFERROR(__xludf.DUMMYFUNCTION("""COMPUTED_VALUE"""),19313098)</f>
        <v>19313098</v>
      </c>
    </row>
    <row r="198" spans="1:6" ht="12.5" x14ac:dyDescent="0.25">
      <c r="A198" s="3">
        <f ca="1">IFERROR(__xludf.DUMMYFUNCTION("""COMPUTED_VALUE"""),45212.6666666666)</f>
        <v>45212.666666666599</v>
      </c>
      <c r="B198" s="2">
        <f ca="1">IFERROR(__xludf.DUMMYFUNCTION("""COMPUTED_VALUE"""),332.38)</f>
        <v>332.38</v>
      </c>
      <c r="C198" s="2">
        <f ca="1">IFERROR(__xludf.DUMMYFUNCTION("""COMPUTED_VALUE"""),333.83)</f>
        <v>333.83</v>
      </c>
      <c r="D198" s="2">
        <f ca="1">IFERROR(__xludf.DUMMYFUNCTION("""COMPUTED_VALUE"""),326.36)</f>
        <v>326.36</v>
      </c>
      <c r="E198" s="2">
        <f ca="1">IFERROR(__xludf.DUMMYFUNCTION("""COMPUTED_VALUE"""),327.73)</f>
        <v>327.73</v>
      </c>
      <c r="F198" s="2">
        <f ca="1">IFERROR(__xludf.DUMMYFUNCTION("""COMPUTED_VALUE"""),21085695)</f>
        <v>21085695</v>
      </c>
    </row>
    <row r="199" spans="1:6" ht="12.5" x14ac:dyDescent="0.25">
      <c r="A199" s="3">
        <f ca="1">IFERROR(__xludf.DUMMYFUNCTION("""COMPUTED_VALUE"""),45215.6666666666)</f>
        <v>45215.666666666599</v>
      </c>
      <c r="B199" s="2">
        <f ca="1">IFERROR(__xludf.DUMMYFUNCTION("""COMPUTED_VALUE"""),331.05)</f>
        <v>331.05</v>
      </c>
      <c r="C199" s="2">
        <f ca="1">IFERROR(__xludf.DUMMYFUNCTION("""COMPUTED_VALUE"""),336.14)</f>
        <v>336.14</v>
      </c>
      <c r="D199" s="2">
        <f ca="1">IFERROR(__xludf.DUMMYFUNCTION("""COMPUTED_VALUE"""),330.6)</f>
        <v>330.6</v>
      </c>
      <c r="E199" s="2">
        <f ca="1">IFERROR(__xludf.DUMMYFUNCTION("""COMPUTED_VALUE"""),332.64)</f>
        <v>332.64</v>
      </c>
      <c r="F199" s="2">
        <f ca="1">IFERROR(__xludf.DUMMYFUNCTION("""COMPUTED_VALUE"""),22158048)</f>
        <v>22158048</v>
      </c>
    </row>
    <row r="200" spans="1:6" ht="12.5" x14ac:dyDescent="0.25">
      <c r="A200" s="3">
        <f ca="1">IFERROR(__xludf.DUMMYFUNCTION("""COMPUTED_VALUE"""),45216.6666666666)</f>
        <v>45216.666666666599</v>
      </c>
      <c r="B200" s="2">
        <f ca="1">IFERROR(__xludf.DUMMYFUNCTION("""COMPUTED_VALUE"""),329.59)</f>
        <v>329.59</v>
      </c>
      <c r="C200" s="2">
        <f ca="1">IFERROR(__xludf.DUMMYFUNCTION("""COMPUTED_VALUE"""),333.46)</f>
        <v>333.46</v>
      </c>
      <c r="D200" s="2">
        <f ca="1">IFERROR(__xludf.DUMMYFUNCTION("""COMPUTED_VALUE"""),327.41)</f>
        <v>327.41000000000003</v>
      </c>
      <c r="E200" s="2">
        <f ca="1">IFERROR(__xludf.DUMMYFUNCTION("""COMPUTED_VALUE"""),332.06)</f>
        <v>332.06</v>
      </c>
      <c r="F200" s="2">
        <f ca="1">IFERROR(__xludf.DUMMYFUNCTION("""COMPUTED_VALUE"""),18338523)</f>
        <v>18338523</v>
      </c>
    </row>
    <row r="201" spans="1:6" ht="12.5" x14ac:dyDescent="0.25">
      <c r="A201" s="3">
        <f ca="1">IFERROR(__xludf.DUMMYFUNCTION("""COMPUTED_VALUE"""),45217.6666666666)</f>
        <v>45217.666666666599</v>
      </c>
      <c r="B201" s="2">
        <f ca="1">IFERROR(__xludf.DUMMYFUNCTION("""COMPUTED_VALUE"""),332.49)</f>
        <v>332.49</v>
      </c>
      <c r="C201" s="2">
        <f ca="1">IFERROR(__xludf.DUMMYFUNCTION("""COMPUTED_VALUE"""),335.59)</f>
        <v>335.59</v>
      </c>
      <c r="D201" s="2">
        <f ca="1">IFERROR(__xludf.DUMMYFUNCTION("""COMPUTED_VALUE"""),328.3)</f>
        <v>328.3</v>
      </c>
      <c r="E201" s="2">
        <f ca="1">IFERROR(__xludf.DUMMYFUNCTION("""COMPUTED_VALUE"""),330.11)</f>
        <v>330.11</v>
      </c>
      <c r="F201" s="2">
        <f ca="1">IFERROR(__xludf.DUMMYFUNCTION("""COMPUTED_VALUE"""),23153602)</f>
        <v>23153602</v>
      </c>
    </row>
    <row r="202" spans="1:6" ht="12.5" x14ac:dyDescent="0.25">
      <c r="A202" s="3">
        <f ca="1">IFERROR(__xludf.DUMMYFUNCTION("""COMPUTED_VALUE"""),45218.6666666666)</f>
        <v>45218.666666666599</v>
      </c>
      <c r="B202" s="2">
        <f ca="1">IFERROR(__xludf.DUMMYFUNCTION("""COMPUTED_VALUE"""),332.15)</f>
        <v>332.15</v>
      </c>
      <c r="C202" s="2">
        <f ca="1">IFERROR(__xludf.DUMMYFUNCTION("""COMPUTED_VALUE"""),336.88)</f>
        <v>336.88</v>
      </c>
      <c r="D202" s="2">
        <f ca="1">IFERROR(__xludf.DUMMYFUNCTION("""COMPUTED_VALUE"""),330.91)</f>
        <v>330.91</v>
      </c>
      <c r="E202" s="2">
        <f ca="1">IFERROR(__xludf.DUMMYFUNCTION("""COMPUTED_VALUE"""),331.32)</f>
        <v>331.32</v>
      </c>
      <c r="F202" s="2">
        <f ca="1">IFERROR(__xludf.DUMMYFUNCTION("""COMPUTED_VALUE"""),25052071)</f>
        <v>25052071</v>
      </c>
    </row>
    <row r="203" spans="1:6" ht="12.5" x14ac:dyDescent="0.25">
      <c r="A203" s="3">
        <f ca="1">IFERROR(__xludf.DUMMYFUNCTION("""COMPUTED_VALUE"""),45219.6666666666)</f>
        <v>45219.666666666599</v>
      </c>
      <c r="B203" s="2">
        <f ca="1">IFERROR(__xludf.DUMMYFUNCTION("""COMPUTED_VALUE"""),331.72)</f>
        <v>331.72</v>
      </c>
      <c r="C203" s="2">
        <f ca="1">IFERROR(__xludf.DUMMYFUNCTION("""COMPUTED_VALUE"""),331.92)</f>
        <v>331.92</v>
      </c>
      <c r="D203" s="2">
        <f ca="1">IFERROR(__xludf.DUMMYFUNCTION("""COMPUTED_VALUE"""),325.45)</f>
        <v>325.45</v>
      </c>
      <c r="E203" s="2">
        <f ca="1">IFERROR(__xludf.DUMMYFUNCTION("""COMPUTED_VALUE"""),326.67)</f>
        <v>326.67</v>
      </c>
      <c r="F203" s="2">
        <f ca="1">IFERROR(__xludf.DUMMYFUNCTION("""COMPUTED_VALUE"""),25027715)</f>
        <v>25027715</v>
      </c>
    </row>
    <row r="204" spans="1:6" ht="12.5" x14ac:dyDescent="0.25">
      <c r="A204" s="3">
        <f ca="1">IFERROR(__xludf.DUMMYFUNCTION("""COMPUTED_VALUE"""),45222.6666666666)</f>
        <v>45222.666666666599</v>
      </c>
      <c r="B204" s="2">
        <f ca="1">IFERROR(__xludf.DUMMYFUNCTION("""COMPUTED_VALUE"""),325.47)</f>
        <v>325.47000000000003</v>
      </c>
      <c r="C204" s="2">
        <f ca="1">IFERROR(__xludf.DUMMYFUNCTION("""COMPUTED_VALUE"""),332.73)</f>
        <v>332.73</v>
      </c>
      <c r="D204" s="2">
        <f ca="1">IFERROR(__xludf.DUMMYFUNCTION("""COMPUTED_VALUE"""),324.39)</f>
        <v>324.39</v>
      </c>
      <c r="E204" s="2">
        <f ca="1">IFERROR(__xludf.DUMMYFUNCTION("""COMPUTED_VALUE"""),329.32)</f>
        <v>329.32</v>
      </c>
      <c r="F204" s="2">
        <f ca="1">IFERROR(__xludf.DUMMYFUNCTION("""COMPUTED_VALUE"""),24374748)</f>
        <v>24374748</v>
      </c>
    </row>
    <row r="205" spans="1:6" ht="12.5" x14ac:dyDescent="0.25">
      <c r="A205" s="3">
        <f ca="1">IFERROR(__xludf.DUMMYFUNCTION("""COMPUTED_VALUE"""),45223.6666666666)</f>
        <v>45223.666666666599</v>
      </c>
      <c r="B205" s="2">
        <f ca="1">IFERROR(__xludf.DUMMYFUNCTION("""COMPUTED_VALUE"""),331.3)</f>
        <v>331.3</v>
      </c>
      <c r="C205" s="2">
        <f ca="1">IFERROR(__xludf.DUMMYFUNCTION("""COMPUTED_VALUE"""),331.84)</f>
        <v>331.84</v>
      </c>
      <c r="D205" s="2">
        <f ca="1">IFERROR(__xludf.DUMMYFUNCTION("""COMPUTED_VALUE"""),327.6)</f>
        <v>327.60000000000002</v>
      </c>
      <c r="E205" s="2">
        <f ca="1">IFERROR(__xludf.DUMMYFUNCTION("""COMPUTED_VALUE"""),330.53)</f>
        <v>330.53</v>
      </c>
      <c r="F205" s="2">
        <f ca="1">IFERROR(__xludf.DUMMYFUNCTION("""COMPUTED_VALUE"""),31153571)</f>
        <v>31153571</v>
      </c>
    </row>
    <row r="206" spans="1:6" ht="12.5" x14ac:dyDescent="0.25">
      <c r="A206" s="3">
        <f ca="1">IFERROR(__xludf.DUMMYFUNCTION("""COMPUTED_VALUE"""),45224.6666666666)</f>
        <v>45224.666666666599</v>
      </c>
      <c r="B206" s="2">
        <f ca="1">IFERROR(__xludf.DUMMYFUNCTION("""COMPUTED_VALUE"""),345.02)</f>
        <v>345.02</v>
      </c>
      <c r="C206" s="2">
        <f ca="1">IFERROR(__xludf.DUMMYFUNCTION("""COMPUTED_VALUE"""),346.2)</f>
        <v>346.2</v>
      </c>
      <c r="D206" s="2">
        <f ca="1">IFERROR(__xludf.DUMMYFUNCTION("""COMPUTED_VALUE"""),337.62)</f>
        <v>337.62</v>
      </c>
      <c r="E206" s="2">
        <f ca="1">IFERROR(__xludf.DUMMYFUNCTION("""COMPUTED_VALUE"""),340.67)</f>
        <v>340.67</v>
      </c>
      <c r="F206" s="2">
        <f ca="1">IFERROR(__xludf.DUMMYFUNCTION("""COMPUTED_VALUE"""),55053828)</f>
        <v>55053828</v>
      </c>
    </row>
    <row r="207" spans="1:6" ht="12.5" x14ac:dyDescent="0.25">
      <c r="A207" s="3">
        <f ca="1">IFERROR(__xludf.DUMMYFUNCTION("""COMPUTED_VALUE"""),45225.6666666666)</f>
        <v>45225.666666666599</v>
      </c>
      <c r="B207" s="2">
        <f ca="1">IFERROR(__xludf.DUMMYFUNCTION("""COMPUTED_VALUE"""),340.54)</f>
        <v>340.54</v>
      </c>
      <c r="C207" s="2">
        <f ca="1">IFERROR(__xludf.DUMMYFUNCTION("""COMPUTED_VALUE"""),341.63)</f>
        <v>341.63</v>
      </c>
      <c r="D207" s="2">
        <f ca="1">IFERROR(__xludf.DUMMYFUNCTION("""COMPUTED_VALUE"""),326.94)</f>
        <v>326.94</v>
      </c>
      <c r="E207" s="2">
        <f ca="1">IFERROR(__xludf.DUMMYFUNCTION("""COMPUTED_VALUE"""),327.89)</f>
        <v>327.89</v>
      </c>
      <c r="F207" s="2">
        <f ca="1">IFERROR(__xludf.DUMMYFUNCTION("""COMPUTED_VALUE"""),37828543)</f>
        <v>37828543</v>
      </c>
    </row>
    <row r="208" spans="1:6" ht="12.5" x14ac:dyDescent="0.25">
      <c r="A208" s="3">
        <f ca="1">IFERROR(__xludf.DUMMYFUNCTION("""COMPUTED_VALUE"""),45226.6666666666)</f>
        <v>45226.666666666599</v>
      </c>
      <c r="B208" s="2">
        <f ca="1">IFERROR(__xludf.DUMMYFUNCTION("""COMPUTED_VALUE"""),330.43)</f>
        <v>330.43</v>
      </c>
      <c r="C208" s="2">
        <f ca="1">IFERROR(__xludf.DUMMYFUNCTION("""COMPUTED_VALUE"""),336.72)</f>
        <v>336.72</v>
      </c>
      <c r="D208" s="2">
        <f ca="1">IFERROR(__xludf.DUMMYFUNCTION("""COMPUTED_VALUE"""),328.4)</f>
        <v>328.4</v>
      </c>
      <c r="E208" s="2">
        <f ca="1">IFERROR(__xludf.DUMMYFUNCTION("""COMPUTED_VALUE"""),329.81)</f>
        <v>329.81</v>
      </c>
      <c r="F208" s="2">
        <f ca="1">IFERROR(__xludf.DUMMYFUNCTION("""COMPUTED_VALUE"""),29856522)</f>
        <v>29856522</v>
      </c>
    </row>
    <row r="209" spans="1:6" ht="12.5" x14ac:dyDescent="0.25">
      <c r="A209" s="3">
        <f ca="1">IFERROR(__xludf.DUMMYFUNCTION("""COMPUTED_VALUE"""),45229.6666666666)</f>
        <v>45229.666666666599</v>
      </c>
      <c r="B209" s="2">
        <f ca="1">IFERROR(__xludf.DUMMYFUNCTION("""COMPUTED_VALUE"""),333.41)</f>
        <v>333.41</v>
      </c>
      <c r="C209" s="2">
        <f ca="1">IFERROR(__xludf.DUMMYFUNCTION("""COMPUTED_VALUE"""),339.45)</f>
        <v>339.45</v>
      </c>
      <c r="D209" s="2">
        <f ca="1">IFERROR(__xludf.DUMMYFUNCTION("""COMPUTED_VALUE"""),331.83)</f>
        <v>331.83</v>
      </c>
      <c r="E209" s="2">
        <f ca="1">IFERROR(__xludf.DUMMYFUNCTION("""COMPUTED_VALUE"""),337.31)</f>
        <v>337.31</v>
      </c>
      <c r="F209" s="2">
        <f ca="1">IFERROR(__xludf.DUMMYFUNCTION("""COMPUTED_VALUE"""),22828082)</f>
        <v>22828082</v>
      </c>
    </row>
    <row r="210" spans="1:6" ht="12.5" x14ac:dyDescent="0.25">
      <c r="A210" s="3">
        <f ca="1">IFERROR(__xludf.DUMMYFUNCTION("""COMPUTED_VALUE"""),45230.6666666666)</f>
        <v>45230.666666666599</v>
      </c>
      <c r="B210" s="2">
        <f ca="1">IFERROR(__xludf.DUMMYFUNCTION("""COMPUTED_VALUE"""),338.85)</f>
        <v>338.85</v>
      </c>
      <c r="C210" s="2">
        <f ca="1">IFERROR(__xludf.DUMMYFUNCTION("""COMPUTED_VALUE"""),339)</f>
        <v>339</v>
      </c>
      <c r="D210" s="2">
        <f ca="1">IFERROR(__xludf.DUMMYFUNCTION("""COMPUTED_VALUE"""),334.69)</f>
        <v>334.69</v>
      </c>
      <c r="E210" s="2">
        <f ca="1">IFERROR(__xludf.DUMMYFUNCTION("""COMPUTED_VALUE"""),338.11)</f>
        <v>338.11</v>
      </c>
      <c r="F210" s="2">
        <f ca="1">IFERROR(__xludf.DUMMYFUNCTION("""COMPUTED_VALUE"""),20265282)</f>
        <v>20265282</v>
      </c>
    </row>
    <row r="211" spans="1:6" ht="12.5" x14ac:dyDescent="0.25">
      <c r="A211" s="3">
        <f ca="1">IFERROR(__xludf.DUMMYFUNCTION("""COMPUTED_VALUE"""),45231.6666666666)</f>
        <v>45231.666666666599</v>
      </c>
      <c r="B211" s="2">
        <f ca="1">IFERROR(__xludf.DUMMYFUNCTION("""COMPUTED_VALUE"""),339.79)</f>
        <v>339.79</v>
      </c>
      <c r="C211" s="2">
        <f ca="1">IFERROR(__xludf.DUMMYFUNCTION("""COMPUTED_VALUE"""),347.42)</f>
        <v>347.42</v>
      </c>
      <c r="D211" s="2">
        <f ca="1">IFERROR(__xludf.DUMMYFUNCTION("""COMPUTED_VALUE"""),339.65)</f>
        <v>339.65</v>
      </c>
      <c r="E211" s="2">
        <f ca="1">IFERROR(__xludf.DUMMYFUNCTION("""COMPUTED_VALUE"""),346.07)</f>
        <v>346.07</v>
      </c>
      <c r="F211" s="2">
        <f ca="1">IFERROR(__xludf.DUMMYFUNCTION("""COMPUTED_VALUE"""),28158819)</f>
        <v>28158819</v>
      </c>
    </row>
    <row r="212" spans="1:6" ht="12.5" x14ac:dyDescent="0.25">
      <c r="A212" s="3">
        <f ca="1">IFERROR(__xludf.DUMMYFUNCTION("""COMPUTED_VALUE"""),45232.6666666666)</f>
        <v>45232.666666666599</v>
      </c>
      <c r="B212" s="2">
        <f ca="1">IFERROR(__xludf.DUMMYFUNCTION("""COMPUTED_VALUE"""),347.24)</f>
        <v>347.24</v>
      </c>
      <c r="C212" s="2">
        <f ca="1">IFERROR(__xludf.DUMMYFUNCTION("""COMPUTED_VALUE"""),348.83)</f>
        <v>348.83</v>
      </c>
      <c r="D212" s="2">
        <f ca="1">IFERROR(__xludf.DUMMYFUNCTION("""COMPUTED_VALUE"""),344.77)</f>
        <v>344.77</v>
      </c>
      <c r="E212" s="2">
        <f ca="1">IFERROR(__xludf.DUMMYFUNCTION("""COMPUTED_VALUE"""),348.32)</f>
        <v>348.32</v>
      </c>
      <c r="F212" s="2">
        <f ca="1">IFERROR(__xludf.DUMMYFUNCTION("""COMPUTED_VALUE"""),24348072)</f>
        <v>24348072</v>
      </c>
    </row>
    <row r="213" spans="1:6" ht="12.5" x14ac:dyDescent="0.25">
      <c r="A213" s="3">
        <f ca="1">IFERROR(__xludf.DUMMYFUNCTION("""COMPUTED_VALUE"""),45233.6666666666)</f>
        <v>45233.666666666599</v>
      </c>
      <c r="B213" s="2">
        <f ca="1">IFERROR(__xludf.DUMMYFUNCTION("""COMPUTED_VALUE"""),349.63)</f>
        <v>349.63</v>
      </c>
      <c r="C213" s="2">
        <f ca="1">IFERROR(__xludf.DUMMYFUNCTION("""COMPUTED_VALUE"""),354.39)</f>
        <v>354.39</v>
      </c>
      <c r="D213" s="2">
        <f ca="1">IFERROR(__xludf.DUMMYFUNCTION("""COMPUTED_VALUE"""),347.33)</f>
        <v>347.33</v>
      </c>
      <c r="E213" s="2">
        <f ca="1">IFERROR(__xludf.DUMMYFUNCTION("""COMPUTED_VALUE"""),352.8)</f>
        <v>352.8</v>
      </c>
      <c r="F213" s="2">
        <f ca="1">IFERROR(__xludf.DUMMYFUNCTION("""COMPUTED_VALUE"""),23637673)</f>
        <v>23637673</v>
      </c>
    </row>
    <row r="214" spans="1:6" ht="12.5" x14ac:dyDescent="0.25">
      <c r="A214" s="3">
        <f ca="1">IFERROR(__xludf.DUMMYFUNCTION("""COMPUTED_VALUE"""),45236.6666666666)</f>
        <v>45236.666666666599</v>
      </c>
      <c r="B214" s="2">
        <f ca="1">IFERROR(__xludf.DUMMYFUNCTION("""COMPUTED_VALUE"""),353.45)</f>
        <v>353.45</v>
      </c>
      <c r="C214" s="2">
        <f ca="1">IFERROR(__xludf.DUMMYFUNCTION("""COMPUTED_VALUE"""),357.54)</f>
        <v>357.54</v>
      </c>
      <c r="D214" s="2">
        <f ca="1">IFERROR(__xludf.DUMMYFUNCTION("""COMPUTED_VALUE"""),353.35)</f>
        <v>353.35</v>
      </c>
      <c r="E214" s="2">
        <f ca="1">IFERROR(__xludf.DUMMYFUNCTION("""COMPUTED_VALUE"""),356.53)</f>
        <v>356.53</v>
      </c>
      <c r="F214" s="2">
        <f ca="1">IFERROR(__xludf.DUMMYFUNCTION("""COMPUTED_VALUE"""),23828301)</f>
        <v>23828301</v>
      </c>
    </row>
    <row r="215" spans="1:6" ht="12.5" x14ac:dyDescent="0.25">
      <c r="A215" s="3">
        <f ca="1">IFERROR(__xludf.DUMMYFUNCTION("""COMPUTED_VALUE"""),45237.6666666666)</f>
        <v>45237.666666666599</v>
      </c>
      <c r="B215" s="2">
        <f ca="1">IFERROR(__xludf.DUMMYFUNCTION("""COMPUTED_VALUE"""),359.4)</f>
        <v>359.4</v>
      </c>
      <c r="C215" s="2">
        <f ca="1">IFERROR(__xludf.DUMMYFUNCTION("""COMPUTED_VALUE"""),362.46)</f>
        <v>362.46</v>
      </c>
      <c r="D215" s="2">
        <f ca="1">IFERROR(__xludf.DUMMYFUNCTION("""COMPUTED_VALUE"""),357.63)</f>
        <v>357.63</v>
      </c>
      <c r="E215" s="2">
        <f ca="1">IFERROR(__xludf.DUMMYFUNCTION("""COMPUTED_VALUE"""),360.53)</f>
        <v>360.53</v>
      </c>
      <c r="F215" s="2">
        <f ca="1">IFERROR(__xludf.DUMMYFUNCTION("""COMPUTED_VALUE"""),25833931)</f>
        <v>25833931</v>
      </c>
    </row>
    <row r="216" spans="1:6" ht="12.5" x14ac:dyDescent="0.25">
      <c r="A216" s="3">
        <f ca="1">IFERROR(__xludf.DUMMYFUNCTION("""COMPUTED_VALUE"""),45238.6666666666)</f>
        <v>45238.666666666599</v>
      </c>
      <c r="B216" s="2">
        <f ca="1">IFERROR(__xludf.DUMMYFUNCTION("""COMPUTED_VALUE"""),361.68)</f>
        <v>361.68</v>
      </c>
      <c r="C216" s="2">
        <f ca="1">IFERROR(__xludf.DUMMYFUNCTION("""COMPUTED_VALUE"""),363.87)</f>
        <v>363.87</v>
      </c>
      <c r="D216" s="2">
        <f ca="1">IFERROR(__xludf.DUMMYFUNCTION("""COMPUTED_VALUE"""),360.55)</f>
        <v>360.55</v>
      </c>
      <c r="E216" s="2">
        <f ca="1">IFERROR(__xludf.DUMMYFUNCTION("""COMPUTED_VALUE"""),363.2)</f>
        <v>363.2</v>
      </c>
      <c r="F216" s="2">
        <f ca="1">IFERROR(__xludf.DUMMYFUNCTION("""COMPUTED_VALUE"""),26767828)</f>
        <v>26767828</v>
      </c>
    </row>
    <row r="217" spans="1:6" ht="12.5" x14ac:dyDescent="0.25">
      <c r="A217" s="3">
        <f ca="1">IFERROR(__xludf.DUMMYFUNCTION("""COMPUTED_VALUE"""),45239.6666666666)</f>
        <v>45239.666666666599</v>
      </c>
      <c r="B217" s="2">
        <f ca="1">IFERROR(__xludf.DUMMYFUNCTION("""COMPUTED_VALUE"""),362.3)</f>
        <v>362.3</v>
      </c>
      <c r="C217" s="2">
        <f ca="1">IFERROR(__xludf.DUMMYFUNCTION("""COMPUTED_VALUE"""),364.79)</f>
        <v>364.79</v>
      </c>
      <c r="D217" s="2">
        <f ca="1">IFERROR(__xludf.DUMMYFUNCTION("""COMPUTED_VALUE"""),360.36)</f>
        <v>360.36</v>
      </c>
      <c r="E217" s="2">
        <f ca="1">IFERROR(__xludf.DUMMYFUNCTION("""COMPUTED_VALUE"""),360.69)</f>
        <v>360.69</v>
      </c>
      <c r="F217" s="2">
        <f ca="1">IFERROR(__xludf.DUMMYFUNCTION("""COMPUTED_VALUE"""),24847331)</f>
        <v>24847331</v>
      </c>
    </row>
    <row r="218" spans="1:6" ht="12.5" x14ac:dyDescent="0.25">
      <c r="A218" s="3">
        <f ca="1">IFERROR(__xludf.DUMMYFUNCTION("""COMPUTED_VALUE"""),45240.6666666666)</f>
        <v>45240.666666666599</v>
      </c>
      <c r="B218" s="2">
        <f ca="1">IFERROR(__xludf.DUMMYFUNCTION("""COMPUTED_VALUE"""),361.49)</f>
        <v>361.49</v>
      </c>
      <c r="C218" s="2">
        <f ca="1">IFERROR(__xludf.DUMMYFUNCTION("""COMPUTED_VALUE"""),370.1)</f>
        <v>370.1</v>
      </c>
      <c r="D218" s="2">
        <f ca="1">IFERROR(__xludf.DUMMYFUNCTION("""COMPUTED_VALUE"""),361.07)</f>
        <v>361.07</v>
      </c>
      <c r="E218" s="2">
        <f ca="1">IFERROR(__xludf.DUMMYFUNCTION("""COMPUTED_VALUE"""),369.67)</f>
        <v>369.67</v>
      </c>
      <c r="F218" s="2">
        <f ca="1">IFERROR(__xludf.DUMMYFUNCTION("""COMPUTED_VALUE"""),28065164)</f>
        <v>28065164</v>
      </c>
    </row>
    <row r="219" spans="1:6" ht="12.5" x14ac:dyDescent="0.25">
      <c r="A219" s="3">
        <f ca="1">IFERROR(__xludf.DUMMYFUNCTION("""COMPUTED_VALUE"""),45243.6666666666)</f>
        <v>45243.666666666599</v>
      </c>
      <c r="B219" s="2">
        <f ca="1">IFERROR(__xludf.DUMMYFUNCTION("""COMPUTED_VALUE"""),368.22)</f>
        <v>368.22</v>
      </c>
      <c r="C219" s="2">
        <f ca="1">IFERROR(__xludf.DUMMYFUNCTION("""COMPUTED_VALUE"""),368.47)</f>
        <v>368.47</v>
      </c>
      <c r="D219" s="2">
        <f ca="1">IFERROR(__xludf.DUMMYFUNCTION("""COMPUTED_VALUE"""),365.9)</f>
        <v>365.9</v>
      </c>
      <c r="E219" s="2">
        <f ca="1">IFERROR(__xludf.DUMMYFUNCTION("""COMPUTED_VALUE"""),366.68)</f>
        <v>366.68</v>
      </c>
      <c r="F219" s="2">
        <f ca="1">IFERROR(__xludf.DUMMYFUNCTION("""COMPUTED_VALUE"""),19986506)</f>
        <v>19986506</v>
      </c>
    </row>
    <row r="220" spans="1:6" ht="12.5" x14ac:dyDescent="0.25">
      <c r="A220" s="3">
        <f ca="1">IFERROR(__xludf.DUMMYFUNCTION("""COMPUTED_VALUE"""),45244.6666666666)</f>
        <v>45244.666666666599</v>
      </c>
      <c r="B220" s="2">
        <f ca="1">IFERROR(__xludf.DUMMYFUNCTION("""COMPUTED_VALUE"""),371.01)</f>
        <v>371.01</v>
      </c>
      <c r="C220" s="2">
        <f ca="1">IFERROR(__xludf.DUMMYFUNCTION("""COMPUTED_VALUE"""),371.95)</f>
        <v>371.95</v>
      </c>
      <c r="D220" s="2">
        <f ca="1">IFERROR(__xludf.DUMMYFUNCTION("""COMPUTED_VALUE"""),367.35)</f>
        <v>367.35</v>
      </c>
      <c r="E220" s="2">
        <f ca="1">IFERROR(__xludf.DUMMYFUNCTION("""COMPUTED_VALUE"""),370.27)</f>
        <v>370.27</v>
      </c>
      <c r="F220" s="2">
        <f ca="1">IFERROR(__xludf.DUMMYFUNCTION("""COMPUTED_VALUE"""),27683862)</f>
        <v>27683862</v>
      </c>
    </row>
    <row r="221" spans="1:6" ht="12.5" x14ac:dyDescent="0.25">
      <c r="A221" s="3">
        <f ca="1">IFERROR(__xludf.DUMMYFUNCTION("""COMPUTED_VALUE"""),45245.6666666666)</f>
        <v>45245.666666666599</v>
      </c>
      <c r="B221" s="2">
        <f ca="1">IFERROR(__xludf.DUMMYFUNCTION("""COMPUTED_VALUE"""),371.28)</f>
        <v>371.28</v>
      </c>
      <c r="C221" s="2">
        <f ca="1">IFERROR(__xludf.DUMMYFUNCTION("""COMPUTED_VALUE"""),373.13)</f>
        <v>373.13</v>
      </c>
      <c r="D221" s="2">
        <f ca="1">IFERROR(__xludf.DUMMYFUNCTION("""COMPUTED_VALUE"""),367.11)</f>
        <v>367.11</v>
      </c>
      <c r="E221" s="2">
        <f ca="1">IFERROR(__xludf.DUMMYFUNCTION("""COMPUTED_VALUE"""),369.67)</f>
        <v>369.67</v>
      </c>
      <c r="F221" s="2">
        <f ca="1">IFERROR(__xludf.DUMMYFUNCTION("""COMPUTED_VALUE"""),26860095)</f>
        <v>26860095</v>
      </c>
    </row>
    <row r="222" spans="1:6" ht="12.5" x14ac:dyDescent="0.25">
      <c r="A222" s="3">
        <f ca="1">IFERROR(__xludf.DUMMYFUNCTION("""COMPUTED_VALUE"""),45246.6666666666)</f>
        <v>45246.666666666599</v>
      </c>
      <c r="B222" s="2">
        <f ca="1">IFERROR(__xludf.DUMMYFUNCTION("""COMPUTED_VALUE"""),370.96)</f>
        <v>370.96</v>
      </c>
      <c r="C222" s="2">
        <f ca="1">IFERROR(__xludf.DUMMYFUNCTION("""COMPUTED_VALUE"""),376.35)</f>
        <v>376.35</v>
      </c>
      <c r="D222" s="2">
        <f ca="1">IFERROR(__xludf.DUMMYFUNCTION("""COMPUTED_VALUE"""),370.18)</f>
        <v>370.18</v>
      </c>
      <c r="E222" s="2">
        <f ca="1">IFERROR(__xludf.DUMMYFUNCTION("""COMPUTED_VALUE"""),376.17)</f>
        <v>376.17</v>
      </c>
      <c r="F222" s="2">
        <f ca="1">IFERROR(__xludf.DUMMYFUNCTION("""COMPUTED_VALUE"""),27182315)</f>
        <v>27182315</v>
      </c>
    </row>
    <row r="223" spans="1:6" ht="12.5" x14ac:dyDescent="0.25">
      <c r="A223" s="3">
        <f ca="1">IFERROR(__xludf.DUMMYFUNCTION("""COMPUTED_VALUE"""),45247.6666666666)</f>
        <v>45247.666666666599</v>
      </c>
      <c r="B223" s="2">
        <f ca="1">IFERROR(__xludf.DUMMYFUNCTION("""COMPUTED_VALUE"""),373.61)</f>
        <v>373.61</v>
      </c>
      <c r="C223" s="2">
        <f ca="1">IFERROR(__xludf.DUMMYFUNCTION("""COMPUTED_VALUE"""),374.37)</f>
        <v>374.37</v>
      </c>
      <c r="D223" s="2">
        <f ca="1">IFERROR(__xludf.DUMMYFUNCTION("""COMPUTED_VALUE"""),367)</f>
        <v>367</v>
      </c>
      <c r="E223" s="2">
        <f ca="1">IFERROR(__xludf.DUMMYFUNCTION("""COMPUTED_VALUE"""),369.85)</f>
        <v>369.85</v>
      </c>
      <c r="F223" s="2">
        <f ca="1">IFERROR(__xludf.DUMMYFUNCTION("""COMPUTED_VALUE"""),40325371)</f>
        <v>40325371</v>
      </c>
    </row>
    <row r="224" spans="1:6" ht="12.5" x14ac:dyDescent="0.25">
      <c r="A224" s="3">
        <f ca="1">IFERROR(__xludf.DUMMYFUNCTION("""COMPUTED_VALUE"""),45250.6666666666)</f>
        <v>45250.666666666599</v>
      </c>
      <c r="B224" s="2">
        <f ca="1">IFERROR(__xludf.DUMMYFUNCTION("""COMPUTED_VALUE"""),371.22)</f>
        <v>371.22</v>
      </c>
      <c r="C224" s="2">
        <f ca="1">IFERROR(__xludf.DUMMYFUNCTION("""COMPUTED_VALUE"""),378.87)</f>
        <v>378.87</v>
      </c>
      <c r="D224" s="2">
        <f ca="1">IFERROR(__xludf.DUMMYFUNCTION("""COMPUTED_VALUE"""),371)</f>
        <v>371</v>
      </c>
      <c r="E224" s="2">
        <f ca="1">IFERROR(__xludf.DUMMYFUNCTION("""COMPUTED_VALUE"""),377.44)</f>
        <v>377.44</v>
      </c>
      <c r="F224" s="2">
        <f ca="1">IFERROR(__xludf.DUMMYFUNCTION("""COMPUTED_VALUE"""),52528964)</f>
        <v>52528964</v>
      </c>
    </row>
    <row r="225" spans="1:6" ht="12.5" x14ac:dyDescent="0.25">
      <c r="A225" s="3">
        <f ca="1">IFERROR(__xludf.DUMMYFUNCTION("""COMPUTED_VALUE"""),45251.6666666666)</f>
        <v>45251.666666666599</v>
      </c>
      <c r="B225" s="2">
        <f ca="1">IFERROR(__xludf.DUMMYFUNCTION("""COMPUTED_VALUE"""),375.67)</f>
        <v>375.67</v>
      </c>
      <c r="C225" s="2">
        <f ca="1">IFERROR(__xludf.DUMMYFUNCTION("""COMPUTED_VALUE"""),376.22)</f>
        <v>376.22</v>
      </c>
      <c r="D225" s="2">
        <f ca="1">IFERROR(__xludf.DUMMYFUNCTION("""COMPUTED_VALUE"""),371.12)</f>
        <v>371.12</v>
      </c>
      <c r="E225" s="2">
        <f ca="1">IFERROR(__xludf.DUMMYFUNCTION("""COMPUTED_VALUE"""),373.07)</f>
        <v>373.07</v>
      </c>
      <c r="F225" s="2">
        <f ca="1">IFERROR(__xludf.DUMMYFUNCTION("""COMPUTED_VALUE"""),28423145)</f>
        <v>28423145</v>
      </c>
    </row>
    <row r="226" spans="1:6" ht="12.5" x14ac:dyDescent="0.25">
      <c r="A226" s="3">
        <f ca="1">IFERROR(__xludf.DUMMYFUNCTION("""COMPUTED_VALUE"""),45252.6666666666)</f>
        <v>45252.666666666599</v>
      </c>
      <c r="B226" s="2">
        <f ca="1">IFERROR(__xludf.DUMMYFUNCTION("""COMPUTED_VALUE"""),378)</f>
        <v>378</v>
      </c>
      <c r="C226" s="2">
        <f ca="1">IFERROR(__xludf.DUMMYFUNCTION("""COMPUTED_VALUE"""),379.79)</f>
        <v>379.79</v>
      </c>
      <c r="D226" s="2">
        <f ca="1">IFERROR(__xludf.DUMMYFUNCTION("""COMPUTED_VALUE"""),374.97)</f>
        <v>374.97</v>
      </c>
      <c r="E226" s="2">
        <f ca="1">IFERROR(__xludf.DUMMYFUNCTION("""COMPUTED_VALUE"""),377.85)</f>
        <v>377.85</v>
      </c>
      <c r="F226" s="2">
        <f ca="1">IFERROR(__xludf.DUMMYFUNCTION("""COMPUTED_VALUE"""),23361184)</f>
        <v>23361184</v>
      </c>
    </row>
    <row r="227" spans="1:6" ht="12.5" x14ac:dyDescent="0.25">
      <c r="A227" s="3">
        <f ca="1">IFERROR(__xludf.DUMMYFUNCTION("""COMPUTED_VALUE"""),45254.5451388888)</f>
        <v>45254.545138888803</v>
      </c>
      <c r="B227" s="2">
        <f ca="1">IFERROR(__xludf.DUMMYFUNCTION("""COMPUTED_VALUE"""),377.33)</f>
        <v>377.33</v>
      </c>
      <c r="C227" s="2">
        <f ca="1">IFERROR(__xludf.DUMMYFUNCTION("""COMPUTED_VALUE"""),377.97)</f>
        <v>377.97</v>
      </c>
      <c r="D227" s="2">
        <f ca="1">IFERROR(__xludf.DUMMYFUNCTION("""COMPUTED_VALUE"""),375.14)</f>
        <v>375.14</v>
      </c>
      <c r="E227" s="2">
        <f ca="1">IFERROR(__xludf.DUMMYFUNCTION("""COMPUTED_VALUE"""),377.43)</f>
        <v>377.43</v>
      </c>
      <c r="F227" s="2">
        <f ca="1">IFERROR(__xludf.DUMMYFUNCTION("""COMPUTED_VALUE"""),10176649)</f>
        <v>10176649</v>
      </c>
    </row>
    <row r="228" spans="1:6" ht="12.5" x14ac:dyDescent="0.25">
      <c r="A228" s="3">
        <f ca="1">IFERROR(__xludf.DUMMYFUNCTION("""COMPUTED_VALUE"""),45257.6666666666)</f>
        <v>45257.666666666599</v>
      </c>
      <c r="B228" s="2">
        <f ca="1">IFERROR(__xludf.DUMMYFUNCTION("""COMPUTED_VALUE"""),376.78)</f>
        <v>376.78</v>
      </c>
      <c r="C228" s="2">
        <f ca="1">IFERROR(__xludf.DUMMYFUNCTION("""COMPUTED_VALUE"""),380.64)</f>
        <v>380.64</v>
      </c>
      <c r="D228" s="2">
        <f ca="1">IFERROR(__xludf.DUMMYFUNCTION("""COMPUTED_VALUE"""),376.2)</f>
        <v>376.2</v>
      </c>
      <c r="E228" s="2">
        <f ca="1">IFERROR(__xludf.DUMMYFUNCTION("""COMPUTED_VALUE"""),378.61)</f>
        <v>378.61</v>
      </c>
      <c r="F228" s="2">
        <f ca="1">IFERROR(__xludf.DUMMYFUNCTION("""COMPUTED_VALUE"""),22179228)</f>
        <v>22179228</v>
      </c>
    </row>
    <row r="229" spans="1:6" ht="12.5" x14ac:dyDescent="0.25">
      <c r="A229" s="3">
        <f ca="1">IFERROR(__xludf.DUMMYFUNCTION("""COMPUTED_VALUE"""),45258.6666666666)</f>
        <v>45258.666666666599</v>
      </c>
      <c r="B229" s="2">
        <f ca="1">IFERROR(__xludf.DUMMYFUNCTION("""COMPUTED_VALUE"""),378.35)</f>
        <v>378.35</v>
      </c>
      <c r="C229" s="2">
        <f ca="1">IFERROR(__xludf.DUMMYFUNCTION("""COMPUTED_VALUE"""),383)</f>
        <v>383</v>
      </c>
      <c r="D229" s="2">
        <f ca="1">IFERROR(__xludf.DUMMYFUNCTION("""COMPUTED_VALUE"""),378.16)</f>
        <v>378.16</v>
      </c>
      <c r="E229" s="2">
        <f ca="1">IFERROR(__xludf.DUMMYFUNCTION("""COMPUTED_VALUE"""),382.7)</f>
        <v>382.7</v>
      </c>
      <c r="F229" s="2">
        <f ca="1">IFERROR(__xludf.DUMMYFUNCTION("""COMPUTED_VALUE"""),20453112)</f>
        <v>20453112</v>
      </c>
    </row>
    <row r="230" spans="1:6" ht="12.5" x14ac:dyDescent="0.25">
      <c r="A230" s="3">
        <f ca="1">IFERROR(__xludf.DUMMYFUNCTION("""COMPUTED_VALUE"""),45259.6666666666)</f>
        <v>45259.666666666599</v>
      </c>
      <c r="B230" s="2">
        <f ca="1">IFERROR(__xludf.DUMMYFUNCTION("""COMPUTED_VALUE"""),383.76)</f>
        <v>383.76</v>
      </c>
      <c r="C230" s="2">
        <f ca="1">IFERROR(__xludf.DUMMYFUNCTION("""COMPUTED_VALUE"""),384.3)</f>
        <v>384.3</v>
      </c>
      <c r="D230" s="2">
        <f ca="1">IFERROR(__xludf.DUMMYFUNCTION("""COMPUTED_VALUE"""),377.44)</f>
        <v>377.44</v>
      </c>
      <c r="E230" s="2">
        <f ca="1">IFERROR(__xludf.DUMMYFUNCTION("""COMPUTED_VALUE"""),378.85)</f>
        <v>378.85</v>
      </c>
      <c r="F230" s="2">
        <f ca="1">IFERROR(__xludf.DUMMYFUNCTION("""COMPUTED_VALUE"""),28963399)</f>
        <v>28963399</v>
      </c>
    </row>
    <row r="231" spans="1:6" ht="12.5" x14ac:dyDescent="0.25">
      <c r="A231" s="3">
        <f ca="1">IFERROR(__xludf.DUMMYFUNCTION("""COMPUTED_VALUE"""),45260.6666666666)</f>
        <v>45260.666666666599</v>
      </c>
      <c r="B231" s="2">
        <f ca="1">IFERROR(__xludf.DUMMYFUNCTION("""COMPUTED_VALUE"""),378.49)</f>
        <v>378.49</v>
      </c>
      <c r="C231" s="2">
        <f ca="1">IFERROR(__xludf.DUMMYFUNCTION("""COMPUTED_VALUE"""),380.09)</f>
        <v>380.09</v>
      </c>
      <c r="D231" s="2">
        <f ca="1">IFERROR(__xludf.DUMMYFUNCTION("""COMPUTED_VALUE"""),375.47)</f>
        <v>375.47</v>
      </c>
      <c r="E231" s="2">
        <f ca="1">IFERROR(__xludf.DUMMYFUNCTION("""COMPUTED_VALUE"""),378.91)</f>
        <v>378.91</v>
      </c>
      <c r="F231" s="2">
        <f ca="1">IFERROR(__xludf.DUMMYFUNCTION("""COMPUTED_VALUE"""),30554415)</f>
        <v>30554415</v>
      </c>
    </row>
    <row r="232" spans="1:6" ht="12.5" x14ac:dyDescent="0.25">
      <c r="A232" s="3">
        <f ca="1">IFERROR(__xludf.DUMMYFUNCTION("""COMPUTED_VALUE"""),45261.6666666666)</f>
        <v>45261.666666666599</v>
      </c>
      <c r="B232" s="2">
        <f ca="1">IFERROR(__xludf.DUMMYFUNCTION("""COMPUTED_VALUE"""),376.76)</f>
        <v>376.76</v>
      </c>
      <c r="C232" s="2">
        <f ca="1">IFERROR(__xludf.DUMMYFUNCTION("""COMPUTED_VALUE"""),378.16)</f>
        <v>378.16</v>
      </c>
      <c r="D232" s="2">
        <f ca="1">IFERROR(__xludf.DUMMYFUNCTION("""COMPUTED_VALUE"""),371.31)</f>
        <v>371.31</v>
      </c>
      <c r="E232" s="2">
        <f ca="1">IFERROR(__xludf.DUMMYFUNCTION("""COMPUTED_VALUE"""),374.51)</f>
        <v>374.51</v>
      </c>
      <c r="F232" s="2">
        <f ca="1">IFERROR(__xludf.DUMMYFUNCTION("""COMPUTED_VALUE"""),33040472)</f>
        <v>33040472</v>
      </c>
    </row>
    <row r="233" spans="1:6" ht="12.5" x14ac:dyDescent="0.25">
      <c r="A233" s="3">
        <f ca="1">IFERROR(__xludf.DUMMYFUNCTION("""COMPUTED_VALUE"""),45264.6666666666)</f>
        <v>45264.666666666599</v>
      </c>
      <c r="B233" s="2">
        <f ca="1">IFERROR(__xludf.DUMMYFUNCTION("""COMPUTED_VALUE"""),369.1)</f>
        <v>369.1</v>
      </c>
      <c r="C233" s="2">
        <f ca="1">IFERROR(__xludf.DUMMYFUNCTION("""COMPUTED_VALUE"""),369.52)</f>
        <v>369.52</v>
      </c>
      <c r="D233" s="2">
        <f ca="1">IFERROR(__xludf.DUMMYFUNCTION("""COMPUTED_VALUE"""),362.9)</f>
        <v>362.9</v>
      </c>
      <c r="E233" s="2">
        <f ca="1">IFERROR(__xludf.DUMMYFUNCTION("""COMPUTED_VALUE"""),369.14)</f>
        <v>369.14</v>
      </c>
      <c r="F233" s="2">
        <f ca="1">IFERROR(__xludf.DUMMYFUNCTION("""COMPUTED_VALUE"""),32063305)</f>
        <v>32063305</v>
      </c>
    </row>
    <row r="234" spans="1:6" ht="12.5" x14ac:dyDescent="0.25">
      <c r="A234" s="3">
        <f ca="1">IFERROR(__xludf.DUMMYFUNCTION("""COMPUTED_VALUE"""),45265.6666666666)</f>
        <v>45265.666666666599</v>
      </c>
      <c r="B234" s="2">
        <f ca="1">IFERROR(__xludf.DUMMYFUNCTION("""COMPUTED_VALUE"""),366.45)</f>
        <v>366.45</v>
      </c>
      <c r="C234" s="2">
        <f ca="1">IFERROR(__xludf.DUMMYFUNCTION("""COMPUTED_VALUE"""),373.08)</f>
        <v>373.08</v>
      </c>
      <c r="D234" s="2">
        <f ca="1">IFERROR(__xludf.DUMMYFUNCTION("""COMPUTED_VALUE"""),365.62)</f>
        <v>365.62</v>
      </c>
      <c r="E234" s="2">
        <f ca="1">IFERROR(__xludf.DUMMYFUNCTION("""COMPUTED_VALUE"""),372.52)</f>
        <v>372.52</v>
      </c>
      <c r="F234" s="2">
        <f ca="1">IFERROR(__xludf.DUMMYFUNCTION("""COMPUTED_VALUE"""),23065035)</f>
        <v>23065035</v>
      </c>
    </row>
    <row r="235" spans="1:6" ht="12.5" x14ac:dyDescent="0.25">
      <c r="A235" s="3">
        <f ca="1">IFERROR(__xludf.DUMMYFUNCTION("""COMPUTED_VALUE"""),45266.6666666666)</f>
        <v>45266.666666666599</v>
      </c>
      <c r="B235" s="2">
        <f ca="1">IFERROR(__xludf.DUMMYFUNCTION("""COMPUTED_VALUE"""),373.54)</f>
        <v>373.54</v>
      </c>
      <c r="C235" s="2">
        <f ca="1">IFERROR(__xludf.DUMMYFUNCTION("""COMPUTED_VALUE"""),374.18)</f>
        <v>374.18</v>
      </c>
      <c r="D235" s="2">
        <f ca="1">IFERROR(__xludf.DUMMYFUNCTION("""COMPUTED_VALUE"""),368.03)</f>
        <v>368.03</v>
      </c>
      <c r="E235" s="2">
        <f ca="1">IFERROR(__xludf.DUMMYFUNCTION("""COMPUTED_VALUE"""),368.8)</f>
        <v>368.8</v>
      </c>
      <c r="F235" s="2">
        <f ca="1">IFERROR(__xludf.DUMMYFUNCTION("""COMPUTED_VALUE"""),21182072)</f>
        <v>21182072</v>
      </c>
    </row>
    <row r="236" spans="1:6" ht="12.5" x14ac:dyDescent="0.25">
      <c r="A236" s="3">
        <f ca="1">IFERROR(__xludf.DUMMYFUNCTION("""COMPUTED_VALUE"""),45267.6666666666)</f>
        <v>45267.666666666599</v>
      </c>
      <c r="B236" s="2">
        <f ca="1">IFERROR(__xludf.DUMMYFUNCTION("""COMPUTED_VALUE"""),368.23)</f>
        <v>368.23</v>
      </c>
      <c r="C236" s="2">
        <f ca="1">IFERROR(__xludf.DUMMYFUNCTION("""COMPUTED_VALUE"""),371.45)</f>
        <v>371.45</v>
      </c>
      <c r="D236" s="2">
        <f ca="1">IFERROR(__xludf.DUMMYFUNCTION("""COMPUTED_VALUE"""),366.32)</f>
        <v>366.32</v>
      </c>
      <c r="E236" s="2">
        <f ca="1">IFERROR(__xludf.DUMMYFUNCTION("""COMPUTED_VALUE"""),370.95)</f>
        <v>370.95</v>
      </c>
      <c r="F236" s="2">
        <f ca="1">IFERROR(__xludf.DUMMYFUNCTION("""COMPUTED_VALUE"""),23118864)</f>
        <v>23118864</v>
      </c>
    </row>
    <row r="237" spans="1:6" ht="12.5" x14ac:dyDescent="0.25">
      <c r="A237" s="3">
        <f ca="1">IFERROR(__xludf.DUMMYFUNCTION("""COMPUTED_VALUE"""),45268.6666666666)</f>
        <v>45268.666666666599</v>
      </c>
      <c r="B237" s="2">
        <f ca="1">IFERROR(__xludf.DUMMYFUNCTION("""COMPUTED_VALUE"""),369.2)</f>
        <v>369.2</v>
      </c>
      <c r="C237" s="2">
        <f ca="1">IFERROR(__xludf.DUMMYFUNCTION("""COMPUTED_VALUE"""),374.46)</f>
        <v>374.46</v>
      </c>
      <c r="D237" s="2">
        <f ca="1">IFERROR(__xludf.DUMMYFUNCTION("""COMPUTED_VALUE"""),368.23)</f>
        <v>368.23</v>
      </c>
      <c r="E237" s="2">
        <f ca="1">IFERROR(__xludf.DUMMYFUNCTION("""COMPUTED_VALUE"""),374.23)</f>
        <v>374.23</v>
      </c>
      <c r="F237" s="2">
        <f ca="1">IFERROR(__xludf.DUMMYFUNCTION("""COMPUTED_VALUE"""),20154366)</f>
        <v>20154366</v>
      </c>
    </row>
    <row r="238" spans="1:6" ht="12.5" x14ac:dyDescent="0.25">
      <c r="A238" s="3">
        <f ca="1">IFERROR(__xludf.DUMMYFUNCTION("""COMPUTED_VALUE"""),45271.6666666666)</f>
        <v>45271.666666666599</v>
      </c>
      <c r="B238" s="2">
        <f ca="1">IFERROR(__xludf.DUMMYFUNCTION("""COMPUTED_VALUE"""),368.48)</f>
        <v>368.48</v>
      </c>
      <c r="C238" s="2">
        <f ca="1">IFERROR(__xludf.DUMMYFUNCTION("""COMPUTED_VALUE"""),371.6)</f>
        <v>371.6</v>
      </c>
      <c r="D238" s="2">
        <f ca="1">IFERROR(__xludf.DUMMYFUNCTION("""COMPUTED_VALUE"""),366.1)</f>
        <v>366.1</v>
      </c>
      <c r="E238" s="2">
        <f ca="1">IFERROR(__xludf.DUMMYFUNCTION("""COMPUTED_VALUE"""),371.3)</f>
        <v>371.3</v>
      </c>
      <c r="F238" s="2">
        <f ca="1">IFERROR(__xludf.DUMMYFUNCTION("""COMPUTED_VALUE"""),27708757)</f>
        <v>27708757</v>
      </c>
    </row>
    <row r="239" spans="1:6" ht="12.5" x14ac:dyDescent="0.25">
      <c r="A239" s="3">
        <f ca="1">IFERROR(__xludf.DUMMYFUNCTION("""COMPUTED_VALUE"""),45272.6666666666)</f>
        <v>45272.666666666599</v>
      </c>
      <c r="B239" s="2">
        <f ca="1">IFERROR(__xludf.DUMMYFUNCTION("""COMPUTED_VALUE"""),370.85)</f>
        <v>370.85</v>
      </c>
      <c r="C239" s="2">
        <f ca="1">IFERROR(__xludf.DUMMYFUNCTION("""COMPUTED_VALUE"""),374.42)</f>
        <v>374.42</v>
      </c>
      <c r="D239" s="2">
        <f ca="1">IFERROR(__xludf.DUMMYFUNCTION("""COMPUTED_VALUE"""),370.46)</f>
        <v>370.46</v>
      </c>
      <c r="E239" s="2">
        <f ca="1">IFERROR(__xludf.DUMMYFUNCTION("""COMPUTED_VALUE"""),374.38)</f>
        <v>374.38</v>
      </c>
      <c r="F239" s="2">
        <f ca="1">IFERROR(__xludf.DUMMYFUNCTION("""COMPUTED_VALUE"""),24838253)</f>
        <v>24838253</v>
      </c>
    </row>
    <row r="240" spans="1:6" ht="12.5" x14ac:dyDescent="0.25">
      <c r="A240" s="3">
        <f ca="1">IFERROR(__xludf.DUMMYFUNCTION("""COMPUTED_VALUE"""),45273.6666666666)</f>
        <v>45273.666666666599</v>
      </c>
      <c r="B240" s="2">
        <f ca="1">IFERROR(__xludf.DUMMYFUNCTION("""COMPUTED_VALUE"""),376.02)</f>
        <v>376.02</v>
      </c>
      <c r="C240" s="2">
        <f ca="1">IFERROR(__xludf.DUMMYFUNCTION("""COMPUTED_VALUE"""),377.64)</f>
        <v>377.64</v>
      </c>
      <c r="D240" s="2">
        <f ca="1">IFERROR(__xludf.DUMMYFUNCTION("""COMPUTED_VALUE"""),370.77)</f>
        <v>370.77</v>
      </c>
      <c r="E240" s="2">
        <f ca="1">IFERROR(__xludf.DUMMYFUNCTION("""COMPUTED_VALUE"""),374.37)</f>
        <v>374.37</v>
      </c>
      <c r="F240" s="2">
        <f ca="1">IFERROR(__xludf.DUMMYFUNCTION("""COMPUTED_VALUE"""),30955531)</f>
        <v>30955531</v>
      </c>
    </row>
    <row r="241" spans="1:6" ht="12.5" x14ac:dyDescent="0.25">
      <c r="A241" s="3">
        <f ca="1">IFERROR(__xludf.DUMMYFUNCTION("""COMPUTED_VALUE"""),45274.6666666666)</f>
        <v>45274.666666666599</v>
      </c>
      <c r="B241" s="2">
        <f ca="1">IFERROR(__xludf.DUMMYFUNCTION("""COMPUTED_VALUE"""),373.31)</f>
        <v>373.31</v>
      </c>
      <c r="C241" s="2">
        <f ca="1">IFERROR(__xludf.DUMMYFUNCTION("""COMPUTED_VALUE"""),373.76)</f>
        <v>373.76</v>
      </c>
      <c r="D241" s="2">
        <f ca="1">IFERROR(__xludf.DUMMYFUNCTION("""COMPUTED_VALUE"""),364.13)</f>
        <v>364.13</v>
      </c>
      <c r="E241" s="2">
        <f ca="1">IFERROR(__xludf.DUMMYFUNCTION("""COMPUTED_VALUE"""),365.93)</f>
        <v>365.93</v>
      </c>
      <c r="F241" s="2">
        <f ca="1">IFERROR(__xludf.DUMMYFUNCTION("""COMPUTED_VALUE"""),43277461)</f>
        <v>43277461</v>
      </c>
    </row>
    <row r="242" spans="1:6" ht="12.5" x14ac:dyDescent="0.25">
      <c r="A242" s="3">
        <f ca="1">IFERROR(__xludf.DUMMYFUNCTION("""COMPUTED_VALUE"""),45275.6666666666)</f>
        <v>45275.666666666599</v>
      </c>
      <c r="B242" s="2">
        <f ca="1">IFERROR(__xludf.DUMMYFUNCTION("""COMPUTED_VALUE"""),366.85)</f>
        <v>366.85</v>
      </c>
      <c r="C242" s="2">
        <f ca="1">IFERROR(__xludf.DUMMYFUNCTION("""COMPUTED_VALUE"""),372.4)</f>
        <v>372.4</v>
      </c>
      <c r="D242" s="2">
        <f ca="1">IFERROR(__xludf.DUMMYFUNCTION("""COMPUTED_VALUE"""),366.28)</f>
        <v>366.28</v>
      </c>
      <c r="E242" s="2">
        <f ca="1">IFERROR(__xludf.DUMMYFUNCTION("""COMPUTED_VALUE"""),370.73)</f>
        <v>370.73</v>
      </c>
      <c r="F242" s="2">
        <f ca="1">IFERROR(__xludf.DUMMYFUNCTION("""COMPUTED_VALUE"""),78502324)</f>
        <v>78502324</v>
      </c>
    </row>
    <row r="243" spans="1:6" ht="12.5" x14ac:dyDescent="0.25">
      <c r="A243" s="3">
        <f ca="1">IFERROR(__xludf.DUMMYFUNCTION("""COMPUTED_VALUE"""),45278.6666666666)</f>
        <v>45278.666666666599</v>
      </c>
      <c r="B243" s="2">
        <f ca="1">IFERROR(__xludf.DUMMYFUNCTION("""COMPUTED_VALUE"""),369.45)</f>
        <v>369.45</v>
      </c>
      <c r="C243" s="2">
        <f ca="1">IFERROR(__xludf.DUMMYFUNCTION("""COMPUTED_VALUE"""),373)</f>
        <v>373</v>
      </c>
      <c r="D243" s="2">
        <f ca="1">IFERROR(__xludf.DUMMYFUNCTION("""COMPUTED_VALUE"""),368.68)</f>
        <v>368.68</v>
      </c>
      <c r="E243" s="2">
        <f ca="1">IFERROR(__xludf.DUMMYFUNCTION("""COMPUTED_VALUE"""),372.65)</f>
        <v>372.65</v>
      </c>
      <c r="F243" s="2">
        <f ca="1">IFERROR(__xludf.DUMMYFUNCTION("""COMPUTED_VALUE"""),21802878)</f>
        <v>21802878</v>
      </c>
    </row>
    <row r="244" spans="1:6" ht="12.5" x14ac:dyDescent="0.25">
      <c r="A244" s="3">
        <f ca="1">IFERROR(__xludf.DUMMYFUNCTION("""COMPUTED_VALUE"""),45279.6666666666)</f>
        <v>45279.666666666599</v>
      </c>
      <c r="B244" s="2">
        <f ca="1">IFERROR(__xludf.DUMMYFUNCTION("""COMPUTED_VALUE"""),371.49)</f>
        <v>371.49</v>
      </c>
      <c r="C244" s="2">
        <f ca="1">IFERROR(__xludf.DUMMYFUNCTION("""COMPUTED_VALUE"""),373.26)</f>
        <v>373.26</v>
      </c>
      <c r="D244" s="2">
        <f ca="1">IFERROR(__xludf.DUMMYFUNCTION("""COMPUTED_VALUE"""),369.84)</f>
        <v>369.84</v>
      </c>
      <c r="E244" s="2">
        <f ca="1">IFERROR(__xludf.DUMMYFUNCTION("""COMPUTED_VALUE"""),373.26)</f>
        <v>373.26</v>
      </c>
      <c r="F244" s="2">
        <f ca="1">IFERROR(__xludf.DUMMYFUNCTION("""COMPUTED_VALUE"""),20603658)</f>
        <v>20603658</v>
      </c>
    </row>
    <row r="245" spans="1:6" ht="12.5" x14ac:dyDescent="0.25">
      <c r="A245" s="3">
        <f ca="1">IFERROR(__xludf.DUMMYFUNCTION("""COMPUTED_VALUE"""),45280.6666666666)</f>
        <v>45280.666666666599</v>
      </c>
      <c r="B245" s="2">
        <f ca="1">IFERROR(__xludf.DUMMYFUNCTION("""COMPUTED_VALUE"""),375)</f>
        <v>375</v>
      </c>
      <c r="C245" s="2">
        <f ca="1">IFERROR(__xludf.DUMMYFUNCTION("""COMPUTED_VALUE"""),376.03)</f>
        <v>376.03</v>
      </c>
      <c r="D245" s="2">
        <f ca="1">IFERROR(__xludf.DUMMYFUNCTION("""COMPUTED_VALUE"""),370.53)</f>
        <v>370.53</v>
      </c>
      <c r="E245" s="2">
        <f ca="1">IFERROR(__xludf.DUMMYFUNCTION("""COMPUTED_VALUE"""),370.62)</f>
        <v>370.62</v>
      </c>
      <c r="F245" s="2">
        <f ca="1">IFERROR(__xludf.DUMMYFUNCTION("""COMPUTED_VALUE"""),26316650)</f>
        <v>26316650</v>
      </c>
    </row>
    <row r="246" spans="1:6" ht="12.5" x14ac:dyDescent="0.25">
      <c r="A246" s="3">
        <f ca="1">IFERROR(__xludf.DUMMYFUNCTION("""COMPUTED_VALUE"""),45281.6666666666)</f>
        <v>45281.666666666599</v>
      </c>
      <c r="B246" s="2">
        <f ca="1">IFERROR(__xludf.DUMMYFUNCTION("""COMPUTED_VALUE"""),372.56)</f>
        <v>372.56</v>
      </c>
      <c r="C246" s="2">
        <f ca="1">IFERROR(__xludf.DUMMYFUNCTION("""COMPUTED_VALUE"""),374.41)</f>
        <v>374.41</v>
      </c>
      <c r="D246" s="2">
        <f ca="1">IFERROR(__xludf.DUMMYFUNCTION("""COMPUTED_VALUE"""),370.04)</f>
        <v>370.04</v>
      </c>
      <c r="E246" s="2">
        <f ca="1">IFERROR(__xludf.DUMMYFUNCTION("""COMPUTED_VALUE"""),373.54)</f>
        <v>373.54</v>
      </c>
      <c r="F246" s="2">
        <f ca="1">IFERROR(__xludf.DUMMYFUNCTION("""COMPUTED_VALUE"""),17708006)</f>
        <v>17708006</v>
      </c>
    </row>
    <row r="247" spans="1:6" ht="12.5" x14ac:dyDescent="0.25">
      <c r="A247" s="3">
        <f ca="1">IFERROR(__xludf.DUMMYFUNCTION("""COMPUTED_VALUE"""),45282.6666666666)</f>
        <v>45282.666666666599</v>
      </c>
      <c r="B247" s="2">
        <f ca="1">IFERROR(__xludf.DUMMYFUNCTION("""COMPUTED_VALUE"""),373.68)</f>
        <v>373.68</v>
      </c>
      <c r="C247" s="2">
        <f ca="1">IFERROR(__xludf.DUMMYFUNCTION("""COMPUTED_VALUE"""),375.18)</f>
        <v>375.18</v>
      </c>
      <c r="D247" s="2">
        <f ca="1">IFERROR(__xludf.DUMMYFUNCTION("""COMPUTED_VALUE"""),372.71)</f>
        <v>372.71</v>
      </c>
      <c r="E247" s="2">
        <f ca="1">IFERROR(__xludf.DUMMYFUNCTION("""COMPUTED_VALUE"""),374.58)</f>
        <v>374.58</v>
      </c>
      <c r="F247" s="2">
        <f ca="1">IFERROR(__xludf.DUMMYFUNCTION("""COMPUTED_VALUE"""),17107484)</f>
        <v>17107484</v>
      </c>
    </row>
    <row r="248" spans="1:6" ht="12.5" x14ac:dyDescent="0.25">
      <c r="A248" s="3">
        <f ca="1">IFERROR(__xludf.DUMMYFUNCTION("""COMPUTED_VALUE"""),45286.6666666666)</f>
        <v>45286.666666666599</v>
      </c>
      <c r="B248" s="2">
        <f ca="1">IFERROR(__xludf.DUMMYFUNCTION("""COMPUTED_VALUE"""),375)</f>
        <v>375</v>
      </c>
      <c r="C248" s="2">
        <f ca="1">IFERROR(__xludf.DUMMYFUNCTION("""COMPUTED_VALUE"""),376.94)</f>
        <v>376.94</v>
      </c>
      <c r="D248" s="2">
        <f ca="1">IFERROR(__xludf.DUMMYFUNCTION("""COMPUTED_VALUE"""),373.5)</f>
        <v>373.5</v>
      </c>
      <c r="E248" s="2">
        <f ca="1">IFERROR(__xludf.DUMMYFUNCTION("""COMPUTED_VALUE"""),374.66)</f>
        <v>374.66</v>
      </c>
      <c r="F248" s="2">
        <f ca="1">IFERROR(__xludf.DUMMYFUNCTION("""COMPUTED_VALUE"""),12673050)</f>
        <v>12673050</v>
      </c>
    </row>
    <row r="249" spans="1:6" ht="12.5" x14ac:dyDescent="0.25">
      <c r="A249" s="3">
        <f ca="1">IFERROR(__xludf.DUMMYFUNCTION("""COMPUTED_VALUE"""),45287.6666666666)</f>
        <v>45287.666666666599</v>
      </c>
      <c r="B249" s="2">
        <f ca="1">IFERROR(__xludf.DUMMYFUNCTION("""COMPUTED_VALUE"""),373.69)</f>
        <v>373.69</v>
      </c>
      <c r="C249" s="2">
        <f ca="1">IFERROR(__xludf.DUMMYFUNCTION("""COMPUTED_VALUE"""),375.06)</f>
        <v>375.06</v>
      </c>
      <c r="D249" s="2">
        <f ca="1">IFERROR(__xludf.DUMMYFUNCTION("""COMPUTED_VALUE"""),372.81)</f>
        <v>372.81</v>
      </c>
      <c r="E249" s="2">
        <f ca="1">IFERROR(__xludf.DUMMYFUNCTION("""COMPUTED_VALUE"""),374.07)</f>
        <v>374.07</v>
      </c>
      <c r="F249" s="2">
        <f ca="1">IFERROR(__xludf.DUMMYFUNCTION("""COMPUTED_VALUE"""),14905412)</f>
        <v>14905412</v>
      </c>
    </row>
    <row r="250" spans="1:6" ht="12.5" x14ac:dyDescent="0.25">
      <c r="A250" s="3">
        <f ca="1">IFERROR(__xludf.DUMMYFUNCTION("""COMPUTED_VALUE"""),45288.6666666666)</f>
        <v>45288.666666666599</v>
      </c>
      <c r="B250" s="2">
        <f ca="1">IFERROR(__xludf.DUMMYFUNCTION("""COMPUTED_VALUE"""),375.37)</f>
        <v>375.37</v>
      </c>
      <c r="C250" s="2">
        <f ca="1">IFERROR(__xludf.DUMMYFUNCTION("""COMPUTED_VALUE"""),376.46)</f>
        <v>376.46</v>
      </c>
      <c r="D250" s="2">
        <f ca="1">IFERROR(__xludf.DUMMYFUNCTION("""COMPUTED_VALUE"""),374.16)</f>
        <v>374.16</v>
      </c>
      <c r="E250" s="2">
        <f ca="1">IFERROR(__xludf.DUMMYFUNCTION("""COMPUTED_VALUE"""),375.28)</f>
        <v>375.28</v>
      </c>
      <c r="F250" s="2">
        <f ca="1">IFERROR(__xludf.DUMMYFUNCTION("""COMPUTED_VALUE"""),14327013)</f>
        <v>14327013</v>
      </c>
    </row>
    <row r="251" spans="1:6" ht="12.5" x14ac:dyDescent="0.25">
      <c r="A251" s="3">
        <f ca="1">IFERROR(__xludf.DUMMYFUNCTION("""COMPUTED_VALUE"""),45289.6666666666)</f>
        <v>45289.666666666599</v>
      </c>
      <c r="B251" s="2">
        <f ca="1">IFERROR(__xludf.DUMMYFUNCTION("""COMPUTED_VALUE"""),376)</f>
        <v>376</v>
      </c>
      <c r="C251" s="2">
        <f ca="1">IFERROR(__xludf.DUMMYFUNCTION("""COMPUTED_VALUE"""),377.16)</f>
        <v>377.16</v>
      </c>
      <c r="D251" s="2">
        <f ca="1">IFERROR(__xludf.DUMMYFUNCTION("""COMPUTED_VALUE"""),373.48)</f>
        <v>373.48</v>
      </c>
      <c r="E251" s="2">
        <f ca="1">IFERROR(__xludf.DUMMYFUNCTION("""COMPUTED_VALUE"""),376.04)</f>
        <v>376.04</v>
      </c>
      <c r="F251" s="2">
        <f ca="1">IFERROR(__xludf.DUMMYFUNCTION("""COMPUTED_VALUE"""),18730838)</f>
        <v>18730838</v>
      </c>
    </row>
    <row r="252" spans="1:6" ht="12.5" x14ac:dyDescent="0.25">
      <c r="A252" s="3">
        <f ca="1">IFERROR(__xludf.DUMMYFUNCTION("""COMPUTED_VALUE"""),45293.6666666666)</f>
        <v>45293.666666666599</v>
      </c>
      <c r="B252" s="2">
        <f ca="1">IFERROR(__xludf.DUMMYFUNCTION("""COMPUTED_VALUE"""),373.86)</f>
        <v>373.86</v>
      </c>
      <c r="C252" s="2">
        <f ca="1">IFERROR(__xludf.DUMMYFUNCTION("""COMPUTED_VALUE"""),375.9)</f>
        <v>375.9</v>
      </c>
      <c r="D252" s="2">
        <f ca="1">IFERROR(__xludf.DUMMYFUNCTION("""COMPUTED_VALUE"""),366.77)</f>
        <v>366.77</v>
      </c>
      <c r="E252" s="2">
        <f ca="1">IFERROR(__xludf.DUMMYFUNCTION("""COMPUTED_VALUE"""),370.87)</f>
        <v>370.87</v>
      </c>
      <c r="F252" s="2">
        <f ca="1">IFERROR(__xludf.DUMMYFUNCTION("""COMPUTED_VALUE"""),25258633)</f>
        <v>25258633</v>
      </c>
    </row>
    <row r="253" spans="1:6" ht="12.5" x14ac:dyDescent="0.25">
      <c r="A253" s="3">
        <f ca="1">IFERROR(__xludf.DUMMYFUNCTION("""COMPUTED_VALUE"""),45294.6666666666)</f>
        <v>45294.666666666599</v>
      </c>
      <c r="B253" s="2">
        <f ca="1">IFERROR(__xludf.DUMMYFUNCTION("""COMPUTED_VALUE"""),369.01)</f>
        <v>369.01</v>
      </c>
      <c r="C253" s="2">
        <f ca="1">IFERROR(__xludf.DUMMYFUNCTION("""COMPUTED_VALUE"""),373.26)</f>
        <v>373.26</v>
      </c>
      <c r="D253" s="2">
        <f ca="1">IFERROR(__xludf.DUMMYFUNCTION("""COMPUTED_VALUE"""),368.51)</f>
        <v>368.51</v>
      </c>
      <c r="E253" s="2">
        <f ca="1">IFERROR(__xludf.DUMMYFUNCTION("""COMPUTED_VALUE"""),370.6)</f>
        <v>370.6</v>
      </c>
      <c r="F253" s="2">
        <f ca="1">IFERROR(__xludf.DUMMYFUNCTION("""COMPUTED_VALUE"""),23083465)</f>
        <v>23083465</v>
      </c>
    </row>
    <row r="254" spans="1:6" ht="12.5" x14ac:dyDescent="0.25">
      <c r="A254" s="3">
        <f ca="1">IFERROR(__xludf.DUMMYFUNCTION("""COMPUTED_VALUE"""),45295.6666666666)</f>
        <v>45295.666666666599</v>
      </c>
      <c r="B254" s="2">
        <f ca="1">IFERROR(__xludf.DUMMYFUNCTION("""COMPUTED_VALUE"""),370.67)</f>
        <v>370.67</v>
      </c>
      <c r="C254" s="2">
        <f ca="1">IFERROR(__xludf.DUMMYFUNCTION("""COMPUTED_VALUE"""),373.1)</f>
        <v>373.1</v>
      </c>
      <c r="D254" s="2">
        <f ca="1">IFERROR(__xludf.DUMMYFUNCTION("""COMPUTED_VALUE"""),367.17)</f>
        <v>367.17</v>
      </c>
      <c r="E254" s="2">
        <f ca="1">IFERROR(__xludf.DUMMYFUNCTION("""COMPUTED_VALUE"""),367.94)</f>
        <v>367.94</v>
      </c>
      <c r="F254" s="2">
        <f ca="1">IFERROR(__xludf.DUMMYFUNCTION("""COMPUTED_VALUE"""),20901502)</f>
        <v>20901502</v>
      </c>
    </row>
    <row r="255" spans="1:6" ht="12.5" x14ac:dyDescent="0.25">
      <c r="A255" s="3">
        <f ca="1">IFERROR(__xludf.DUMMYFUNCTION("""COMPUTED_VALUE"""),45296.6666666666)</f>
        <v>45296.666666666599</v>
      </c>
      <c r="B255" s="2">
        <f ca="1">IFERROR(__xludf.DUMMYFUNCTION("""COMPUTED_VALUE"""),368.97)</f>
        <v>368.97</v>
      </c>
      <c r="C255" s="2">
        <f ca="1">IFERROR(__xludf.DUMMYFUNCTION("""COMPUTED_VALUE"""),372.06)</f>
        <v>372.06</v>
      </c>
      <c r="D255" s="2">
        <f ca="1">IFERROR(__xludf.DUMMYFUNCTION("""COMPUTED_VALUE"""),366.5)</f>
        <v>366.5</v>
      </c>
      <c r="E255" s="2">
        <f ca="1">IFERROR(__xludf.DUMMYFUNCTION("""COMPUTED_VALUE"""),367.75)</f>
        <v>367.75</v>
      </c>
      <c r="F255" s="2">
        <f ca="1">IFERROR(__xludf.DUMMYFUNCTION("""COMPUTED_VALUE"""),21004575)</f>
        <v>21004575</v>
      </c>
    </row>
    <row r="256" spans="1:6" ht="12.5" x14ac:dyDescent="0.25">
      <c r="A256" s="3">
        <f ca="1">IFERROR(__xludf.DUMMYFUNCTION("""COMPUTED_VALUE"""),45299.6666666666)</f>
        <v>45299.666666666599</v>
      </c>
      <c r="B256" s="2">
        <f ca="1">IFERROR(__xludf.DUMMYFUNCTION("""COMPUTED_VALUE"""),369.3)</f>
        <v>369.3</v>
      </c>
      <c r="C256" s="2">
        <f ca="1">IFERROR(__xludf.DUMMYFUNCTION("""COMPUTED_VALUE"""),375.2)</f>
        <v>375.2</v>
      </c>
      <c r="D256" s="2">
        <f ca="1">IFERROR(__xludf.DUMMYFUNCTION("""COMPUTED_VALUE"""),369.01)</f>
        <v>369.01</v>
      </c>
      <c r="E256" s="2">
        <f ca="1">IFERROR(__xludf.DUMMYFUNCTION("""COMPUTED_VALUE"""),374.69)</f>
        <v>374.69</v>
      </c>
      <c r="F256" s="2">
        <f ca="1">IFERROR(__xludf.DUMMYFUNCTION("""COMPUTED_VALUE"""),23133967)</f>
        <v>23133967</v>
      </c>
    </row>
    <row r="257" spans="1:6" ht="12.5" x14ac:dyDescent="0.25">
      <c r="A257" s="3">
        <f ca="1">IFERROR(__xludf.DUMMYFUNCTION("""COMPUTED_VALUE"""),45300.6666666666)</f>
        <v>45300.666666666599</v>
      </c>
      <c r="B257" s="2">
        <f ca="1">IFERROR(__xludf.DUMMYFUNCTION("""COMPUTED_VALUE"""),372.01)</f>
        <v>372.01</v>
      </c>
      <c r="C257" s="2">
        <f ca="1">IFERROR(__xludf.DUMMYFUNCTION("""COMPUTED_VALUE"""),375.99)</f>
        <v>375.99</v>
      </c>
      <c r="D257" s="2">
        <f ca="1">IFERROR(__xludf.DUMMYFUNCTION("""COMPUTED_VALUE"""),371.19)</f>
        <v>371.19</v>
      </c>
      <c r="E257" s="2">
        <f ca="1">IFERROR(__xludf.DUMMYFUNCTION("""COMPUTED_VALUE"""),375.79)</f>
        <v>375.79</v>
      </c>
      <c r="F257" s="2">
        <f ca="1">IFERROR(__xludf.DUMMYFUNCTION("""COMPUTED_VALUE"""),20829953)</f>
        <v>20829953</v>
      </c>
    </row>
    <row r="258" spans="1:6" ht="12.5" x14ac:dyDescent="0.25">
      <c r="A258" s="3">
        <f ca="1">IFERROR(__xludf.DUMMYFUNCTION("""COMPUTED_VALUE"""),45301.6666666666)</f>
        <v>45301.666666666599</v>
      </c>
      <c r="B258" s="2">
        <f ca="1">IFERROR(__xludf.DUMMYFUNCTION("""COMPUTED_VALUE"""),376.37)</f>
        <v>376.37</v>
      </c>
      <c r="C258" s="2">
        <f ca="1">IFERROR(__xludf.DUMMYFUNCTION("""COMPUTED_VALUE"""),384.17)</f>
        <v>384.17</v>
      </c>
      <c r="D258" s="2">
        <f ca="1">IFERROR(__xludf.DUMMYFUNCTION("""COMPUTED_VALUE"""),376.32)</f>
        <v>376.32</v>
      </c>
      <c r="E258" s="2">
        <f ca="1">IFERROR(__xludf.DUMMYFUNCTION("""COMPUTED_VALUE"""),382.77)</f>
        <v>382.77</v>
      </c>
      <c r="F258" s="2">
        <f ca="1">IFERROR(__xludf.DUMMYFUNCTION("""COMPUTED_VALUE"""),25514245)</f>
        <v>25514245</v>
      </c>
    </row>
    <row r="259" spans="1:6" ht="12.5" x14ac:dyDescent="0.25">
      <c r="A259" s="3">
        <f ca="1">IFERROR(__xludf.DUMMYFUNCTION("""COMPUTED_VALUE"""),45302.6666666666)</f>
        <v>45302.666666666599</v>
      </c>
      <c r="B259" s="2">
        <f ca="1">IFERROR(__xludf.DUMMYFUNCTION("""COMPUTED_VALUE"""),386)</f>
        <v>386</v>
      </c>
      <c r="C259" s="2">
        <f ca="1">IFERROR(__xludf.DUMMYFUNCTION("""COMPUTED_VALUE"""),390.68)</f>
        <v>390.68</v>
      </c>
      <c r="D259" s="2">
        <f ca="1">IFERROR(__xludf.DUMMYFUNCTION("""COMPUTED_VALUE"""),380.38)</f>
        <v>380.38</v>
      </c>
      <c r="E259" s="2">
        <f ca="1">IFERROR(__xludf.DUMMYFUNCTION("""COMPUTED_VALUE"""),384.63)</f>
        <v>384.63</v>
      </c>
      <c r="F259" s="2">
        <f ca="1">IFERROR(__xludf.DUMMYFUNCTION("""COMPUTED_VALUE"""),27850846)</f>
        <v>27850846</v>
      </c>
    </row>
    <row r="260" spans="1:6" ht="12.5" x14ac:dyDescent="0.25">
      <c r="A260" s="3">
        <f ca="1">IFERROR(__xludf.DUMMYFUNCTION("""COMPUTED_VALUE"""),45303.6666666666)</f>
        <v>45303.666666666599</v>
      </c>
      <c r="B260" s="2">
        <f ca="1">IFERROR(__xludf.DUMMYFUNCTION("""COMPUTED_VALUE"""),385.49)</f>
        <v>385.49</v>
      </c>
      <c r="C260" s="2">
        <f ca="1">IFERROR(__xludf.DUMMYFUNCTION("""COMPUTED_VALUE"""),388.68)</f>
        <v>388.68</v>
      </c>
      <c r="D260" s="2">
        <f ca="1">IFERROR(__xludf.DUMMYFUNCTION("""COMPUTED_VALUE"""),384.65)</f>
        <v>384.65</v>
      </c>
      <c r="E260" s="2">
        <f ca="1">IFERROR(__xludf.DUMMYFUNCTION("""COMPUTED_VALUE"""),388.47)</f>
        <v>388.47</v>
      </c>
      <c r="F260" s="2">
        <f ca="1">IFERROR(__xludf.DUMMYFUNCTION("""COMPUTED_VALUE"""),21661153)</f>
        <v>21661153</v>
      </c>
    </row>
    <row r="261" spans="1:6" ht="12.5" x14ac:dyDescent="0.25">
      <c r="A261" s="3">
        <f ca="1">IFERROR(__xludf.DUMMYFUNCTION("""COMPUTED_VALUE"""),45307.6666666666)</f>
        <v>45307.666666666599</v>
      </c>
      <c r="B261" s="2">
        <f ca="1">IFERROR(__xludf.DUMMYFUNCTION("""COMPUTED_VALUE"""),393.66)</f>
        <v>393.66</v>
      </c>
      <c r="C261" s="2">
        <f ca="1">IFERROR(__xludf.DUMMYFUNCTION("""COMPUTED_VALUE"""),394.03)</f>
        <v>394.03</v>
      </c>
      <c r="D261" s="2">
        <f ca="1">IFERROR(__xludf.DUMMYFUNCTION("""COMPUTED_VALUE"""),387.62)</f>
        <v>387.62</v>
      </c>
      <c r="E261" s="2">
        <f ca="1">IFERROR(__xludf.DUMMYFUNCTION("""COMPUTED_VALUE"""),390.27)</f>
        <v>390.27</v>
      </c>
      <c r="F261" s="2">
        <f ca="1">IFERROR(__xludf.DUMMYFUNCTION("""COMPUTED_VALUE"""),27202268)</f>
        <v>27202268</v>
      </c>
    </row>
    <row r="262" spans="1:6" ht="12.5" x14ac:dyDescent="0.25">
      <c r="A262" s="3">
        <f ca="1">IFERROR(__xludf.DUMMYFUNCTION("""COMPUTED_VALUE"""),45308.6666666666)</f>
        <v>45308.666666666599</v>
      </c>
      <c r="B262" s="2">
        <f ca="1">IFERROR(__xludf.DUMMYFUNCTION("""COMPUTED_VALUE"""),387.98)</f>
        <v>387.98</v>
      </c>
      <c r="C262" s="2">
        <f ca="1">IFERROR(__xludf.DUMMYFUNCTION("""COMPUTED_VALUE"""),390.11)</f>
        <v>390.11</v>
      </c>
      <c r="D262" s="2">
        <f ca="1">IFERROR(__xludf.DUMMYFUNCTION("""COMPUTED_VALUE"""),384.81)</f>
        <v>384.81</v>
      </c>
      <c r="E262" s="2">
        <f ca="1">IFERROR(__xludf.DUMMYFUNCTION("""COMPUTED_VALUE"""),389.47)</f>
        <v>389.47</v>
      </c>
      <c r="F262" s="2">
        <f ca="1">IFERROR(__xludf.DUMMYFUNCTION("""COMPUTED_VALUE"""),22234108)</f>
        <v>22234108</v>
      </c>
    </row>
    <row r="263" spans="1:6" ht="12.5" x14ac:dyDescent="0.25">
      <c r="A263" s="3">
        <f ca="1">IFERROR(__xludf.DUMMYFUNCTION("""COMPUTED_VALUE"""),45309.6666666666)</f>
        <v>45309.666666666599</v>
      </c>
      <c r="B263" s="2">
        <f ca="1">IFERROR(__xludf.DUMMYFUNCTION("""COMPUTED_VALUE"""),391.72)</f>
        <v>391.72</v>
      </c>
      <c r="C263" s="2">
        <f ca="1">IFERROR(__xludf.DUMMYFUNCTION("""COMPUTED_VALUE"""),393.99)</f>
        <v>393.99</v>
      </c>
      <c r="D263" s="2">
        <f ca="1">IFERROR(__xludf.DUMMYFUNCTION("""COMPUTED_VALUE"""),390.12)</f>
        <v>390.12</v>
      </c>
      <c r="E263" s="2">
        <f ca="1">IFERROR(__xludf.DUMMYFUNCTION("""COMPUTED_VALUE"""),393.87)</f>
        <v>393.87</v>
      </c>
      <c r="F263" s="2">
        <f ca="1">IFERROR(__xludf.DUMMYFUNCTION("""COMPUTED_VALUE"""),23392068)</f>
        <v>23392068</v>
      </c>
    </row>
    <row r="264" spans="1:6" ht="12.5" x14ac:dyDescent="0.25">
      <c r="A264" s="3">
        <f ca="1">IFERROR(__xludf.DUMMYFUNCTION("""COMPUTED_VALUE"""),45310.6666666666)</f>
        <v>45310.666666666599</v>
      </c>
      <c r="B264" s="2">
        <f ca="1">IFERROR(__xludf.DUMMYFUNCTION("""COMPUTED_VALUE"""),395.76)</f>
        <v>395.76</v>
      </c>
      <c r="C264" s="2">
        <f ca="1">IFERROR(__xludf.DUMMYFUNCTION("""COMPUTED_VALUE"""),398.67)</f>
        <v>398.67</v>
      </c>
      <c r="D264" s="2">
        <f ca="1">IFERROR(__xludf.DUMMYFUNCTION("""COMPUTED_VALUE"""),393.5)</f>
        <v>393.5</v>
      </c>
      <c r="E264" s="2">
        <f ca="1">IFERROR(__xludf.DUMMYFUNCTION("""COMPUTED_VALUE"""),398.67)</f>
        <v>398.67</v>
      </c>
      <c r="F264" s="2">
        <f ca="1">IFERROR(__xludf.DUMMYFUNCTION("""COMPUTED_VALUE"""),29331136)</f>
        <v>29331136</v>
      </c>
    </row>
    <row r="265" spans="1:6" ht="12.5" x14ac:dyDescent="0.25">
      <c r="A265" s="3">
        <f ca="1">IFERROR(__xludf.DUMMYFUNCTION("""COMPUTED_VALUE"""),45313.6666666666)</f>
        <v>45313.666666666599</v>
      </c>
      <c r="B265" s="2">
        <f ca="1">IFERROR(__xludf.DUMMYFUNCTION("""COMPUTED_VALUE"""),400.02)</f>
        <v>400.02</v>
      </c>
      <c r="C265" s="2">
        <f ca="1">IFERROR(__xludf.DUMMYFUNCTION("""COMPUTED_VALUE"""),400.62)</f>
        <v>400.62</v>
      </c>
      <c r="D265" s="2">
        <f ca="1">IFERROR(__xludf.DUMMYFUNCTION("""COMPUTED_VALUE"""),393.59)</f>
        <v>393.59</v>
      </c>
      <c r="E265" s="2">
        <f ca="1">IFERROR(__xludf.DUMMYFUNCTION("""COMPUTED_VALUE"""),396.51)</f>
        <v>396.51</v>
      </c>
      <c r="F265" s="2">
        <f ca="1">IFERROR(__xludf.DUMMYFUNCTION("""COMPUTED_VALUE"""),27016902)</f>
        <v>27016902</v>
      </c>
    </row>
    <row r="266" spans="1:6" ht="12.5" x14ac:dyDescent="0.25">
      <c r="A266" s="3">
        <f ca="1">IFERROR(__xludf.DUMMYFUNCTION("""COMPUTED_VALUE"""),45314.6666666666)</f>
        <v>45314.666666666599</v>
      </c>
      <c r="B266" s="2">
        <f ca="1">IFERROR(__xludf.DUMMYFUNCTION("""COMPUTED_VALUE"""),395.75)</f>
        <v>395.75</v>
      </c>
      <c r="C266" s="2">
        <f ca="1">IFERROR(__xludf.DUMMYFUNCTION("""COMPUTED_VALUE"""),399.38)</f>
        <v>399.38</v>
      </c>
      <c r="D266" s="2">
        <f ca="1">IFERROR(__xludf.DUMMYFUNCTION("""COMPUTED_VALUE"""),393.93)</f>
        <v>393.93</v>
      </c>
      <c r="E266" s="2">
        <f ca="1">IFERROR(__xludf.DUMMYFUNCTION("""COMPUTED_VALUE"""),398.9)</f>
        <v>398.9</v>
      </c>
      <c r="F266" s="2">
        <f ca="1">IFERROR(__xludf.DUMMYFUNCTION("""COMPUTED_VALUE"""),20525882)</f>
        <v>20525882</v>
      </c>
    </row>
    <row r="267" spans="1:6" ht="12.5" x14ac:dyDescent="0.25">
      <c r="A267" s="3">
        <f ca="1">IFERROR(__xludf.DUMMYFUNCTION("""COMPUTED_VALUE"""),45315.6666666666)</f>
        <v>45315.666666666599</v>
      </c>
      <c r="B267" s="2">
        <f ca="1">IFERROR(__xludf.DUMMYFUNCTION("""COMPUTED_VALUE"""),401.54)</f>
        <v>401.54</v>
      </c>
      <c r="C267" s="2">
        <f ca="1">IFERROR(__xludf.DUMMYFUNCTION("""COMPUTED_VALUE"""),405.63)</f>
        <v>405.63</v>
      </c>
      <c r="D267" s="2">
        <f ca="1">IFERROR(__xludf.DUMMYFUNCTION("""COMPUTED_VALUE"""),400.45)</f>
        <v>400.45</v>
      </c>
      <c r="E267" s="2">
        <f ca="1">IFERROR(__xludf.DUMMYFUNCTION("""COMPUTED_VALUE"""),402.56)</f>
        <v>402.56</v>
      </c>
      <c r="F267" s="2">
        <f ca="1">IFERROR(__xludf.DUMMYFUNCTION("""COMPUTED_VALUE"""),24866953)</f>
        <v>24866953</v>
      </c>
    </row>
    <row r="268" spans="1:6" ht="12.5" x14ac:dyDescent="0.25">
      <c r="A268" s="3">
        <f ca="1">IFERROR(__xludf.DUMMYFUNCTION("""COMPUTED_VALUE"""),45316.6666666666)</f>
        <v>45316.666666666599</v>
      </c>
      <c r="B268" s="2">
        <f ca="1">IFERROR(__xludf.DUMMYFUNCTION("""COMPUTED_VALUE"""),404.32)</f>
        <v>404.32</v>
      </c>
      <c r="C268" s="2">
        <f ca="1">IFERROR(__xludf.DUMMYFUNCTION("""COMPUTED_VALUE"""),407.01)</f>
        <v>407.01</v>
      </c>
      <c r="D268" s="2">
        <f ca="1">IFERROR(__xludf.DUMMYFUNCTION("""COMPUTED_VALUE"""),402.53)</f>
        <v>402.53</v>
      </c>
      <c r="E268" s="2">
        <f ca="1">IFERROR(__xludf.DUMMYFUNCTION("""COMPUTED_VALUE"""),404.87)</f>
        <v>404.87</v>
      </c>
      <c r="F268" s="2">
        <f ca="1">IFERROR(__xludf.DUMMYFUNCTION("""COMPUTED_VALUE"""),21021155)</f>
        <v>21021155</v>
      </c>
    </row>
    <row r="269" spans="1:6" ht="12.5" x14ac:dyDescent="0.25">
      <c r="A269" s="3">
        <f ca="1">IFERROR(__xludf.DUMMYFUNCTION("""COMPUTED_VALUE"""),45317.6666666666)</f>
        <v>45317.666666666599</v>
      </c>
      <c r="B269" s="2">
        <f ca="1">IFERROR(__xludf.DUMMYFUNCTION("""COMPUTED_VALUE"""),404.37)</f>
        <v>404.37</v>
      </c>
      <c r="C269" s="2">
        <f ca="1">IFERROR(__xludf.DUMMYFUNCTION("""COMPUTED_VALUE"""),406.17)</f>
        <v>406.17</v>
      </c>
      <c r="D269" s="2">
        <f ca="1">IFERROR(__xludf.DUMMYFUNCTION("""COMPUTED_VALUE"""),402.43)</f>
        <v>402.43</v>
      </c>
      <c r="E269" s="2">
        <f ca="1">IFERROR(__xludf.DUMMYFUNCTION("""COMPUTED_VALUE"""),403.93)</f>
        <v>403.93</v>
      </c>
      <c r="F269" s="2">
        <f ca="1">IFERROR(__xludf.DUMMYFUNCTION("""COMPUTED_VALUE"""),17803271)</f>
        <v>17803271</v>
      </c>
    </row>
    <row r="270" spans="1:6" ht="12.5" x14ac:dyDescent="0.25">
      <c r="A270" s="3">
        <f ca="1">IFERROR(__xludf.DUMMYFUNCTION("""COMPUTED_VALUE"""),45320.6666666666)</f>
        <v>45320.666666666599</v>
      </c>
      <c r="B270" s="2">
        <f ca="1">IFERROR(__xludf.DUMMYFUNCTION("""COMPUTED_VALUE"""),406.06)</f>
        <v>406.06</v>
      </c>
      <c r="C270" s="2">
        <f ca="1">IFERROR(__xludf.DUMMYFUNCTION("""COMPUTED_VALUE"""),409.98)</f>
        <v>409.98</v>
      </c>
      <c r="D270" s="2">
        <f ca="1">IFERROR(__xludf.DUMMYFUNCTION("""COMPUTED_VALUE"""),404.33)</f>
        <v>404.33</v>
      </c>
      <c r="E270" s="2">
        <f ca="1">IFERROR(__xludf.DUMMYFUNCTION("""COMPUTED_VALUE"""),409.72)</f>
        <v>409.72</v>
      </c>
      <c r="F270" s="2">
        <f ca="1">IFERROR(__xludf.DUMMYFUNCTION("""COMPUTED_VALUE"""),24510236)</f>
        <v>24510236</v>
      </c>
    </row>
    <row r="271" spans="1:6" ht="12.5" x14ac:dyDescent="0.25">
      <c r="A271" s="3">
        <f ca="1">IFERROR(__xludf.DUMMYFUNCTION("""COMPUTED_VALUE"""),45321.6666666666)</f>
        <v>45321.666666666599</v>
      </c>
      <c r="B271" s="2">
        <f ca="1">IFERROR(__xludf.DUMMYFUNCTION("""COMPUTED_VALUE"""),412.26)</f>
        <v>412.26</v>
      </c>
      <c r="C271" s="2">
        <f ca="1">IFERROR(__xludf.DUMMYFUNCTION("""COMPUTED_VALUE"""),413.05)</f>
        <v>413.05</v>
      </c>
      <c r="D271" s="2">
        <f ca="1">IFERROR(__xludf.DUMMYFUNCTION("""COMPUTED_VALUE"""),406.45)</f>
        <v>406.45</v>
      </c>
      <c r="E271" s="2">
        <f ca="1">IFERROR(__xludf.DUMMYFUNCTION("""COMPUTED_VALUE"""),408.59)</f>
        <v>408.59</v>
      </c>
      <c r="F271" s="2">
        <f ca="1">IFERROR(__xludf.DUMMYFUNCTION("""COMPUTED_VALUE"""),33477610)</f>
        <v>33477610</v>
      </c>
    </row>
    <row r="272" spans="1:6" ht="12.5" x14ac:dyDescent="0.25">
      <c r="A272" s="3">
        <f ca="1">IFERROR(__xludf.DUMMYFUNCTION("""COMPUTED_VALUE"""),45322.6666666666)</f>
        <v>45322.666666666599</v>
      </c>
      <c r="B272" s="2">
        <f ca="1">IFERROR(__xludf.DUMMYFUNCTION("""COMPUTED_VALUE"""),406.96)</f>
        <v>406.96</v>
      </c>
      <c r="C272" s="2">
        <f ca="1">IFERROR(__xludf.DUMMYFUNCTION("""COMPUTED_VALUE"""),415.32)</f>
        <v>415.32</v>
      </c>
      <c r="D272" s="2">
        <f ca="1">IFERROR(__xludf.DUMMYFUNCTION("""COMPUTED_VALUE"""),397.21)</f>
        <v>397.21</v>
      </c>
      <c r="E272" s="2">
        <f ca="1">IFERROR(__xludf.DUMMYFUNCTION("""COMPUTED_VALUE"""),397.58)</f>
        <v>397.58</v>
      </c>
      <c r="F272" s="2">
        <f ca="1">IFERROR(__xludf.DUMMYFUNCTION("""COMPUTED_VALUE"""),47871097)</f>
        <v>47871097</v>
      </c>
    </row>
    <row r="273" spans="1:6" ht="12.5" x14ac:dyDescent="0.25">
      <c r="A273" s="3">
        <f ca="1">IFERROR(__xludf.DUMMYFUNCTION("""COMPUTED_VALUE"""),45323.6666666666)</f>
        <v>45323.666666666599</v>
      </c>
      <c r="B273" s="2">
        <f ca="1">IFERROR(__xludf.DUMMYFUNCTION("""COMPUTED_VALUE"""),401.83)</f>
        <v>401.83</v>
      </c>
      <c r="C273" s="2">
        <f ca="1">IFERROR(__xludf.DUMMYFUNCTION("""COMPUTED_VALUE"""),408)</f>
        <v>408</v>
      </c>
      <c r="D273" s="2">
        <f ca="1">IFERROR(__xludf.DUMMYFUNCTION("""COMPUTED_VALUE"""),401.8)</f>
        <v>401.8</v>
      </c>
      <c r="E273" s="2">
        <f ca="1">IFERROR(__xludf.DUMMYFUNCTION("""COMPUTED_VALUE"""),403.78)</f>
        <v>403.78</v>
      </c>
      <c r="F273" s="2">
        <f ca="1">IFERROR(__xludf.DUMMYFUNCTION("""COMPUTED_VALUE"""),30657726)</f>
        <v>30657726</v>
      </c>
    </row>
    <row r="274" spans="1:6" ht="12.5" x14ac:dyDescent="0.25">
      <c r="A274" s="3">
        <f ca="1">IFERROR(__xludf.DUMMYFUNCTION("""COMPUTED_VALUE"""),45324.6666666666)</f>
        <v>45324.666666666599</v>
      </c>
      <c r="B274" s="2">
        <f ca="1">IFERROR(__xludf.DUMMYFUNCTION("""COMPUTED_VALUE"""),403.81)</f>
        <v>403.81</v>
      </c>
      <c r="C274" s="2">
        <f ca="1">IFERROR(__xludf.DUMMYFUNCTION("""COMPUTED_VALUE"""),412.65)</f>
        <v>412.65</v>
      </c>
      <c r="D274" s="2">
        <f ca="1">IFERROR(__xludf.DUMMYFUNCTION("""COMPUTED_VALUE"""),403.56)</f>
        <v>403.56</v>
      </c>
      <c r="E274" s="2">
        <f ca="1">IFERROR(__xludf.DUMMYFUNCTION("""COMPUTED_VALUE"""),411.22)</f>
        <v>411.22</v>
      </c>
      <c r="F274" s="2">
        <f ca="1">IFERROR(__xludf.DUMMYFUNCTION("""COMPUTED_VALUE"""),28256670)</f>
        <v>28256670</v>
      </c>
    </row>
    <row r="275" spans="1:6" ht="12.5" x14ac:dyDescent="0.25">
      <c r="A275" s="3">
        <f ca="1">IFERROR(__xludf.DUMMYFUNCTION("""COMPUTED_VALUE"""),45327.6666666666)</f>
        <v>45327.666666666599</v>
      </c>
      <c r="B275" s="2">
        <f ca="1">IFERROR(__xludf.DUMMYFUNCTION("""COMPUTED_VALUE"""),409.9)</f>
        <v>409.9</v>
      </c>
      <c r="C275" s="2">
        <f ca="1">IFERROR(__xludf.DUMMYFUNCTION("""COMPUTED_VALUE"""),411.16)</f>
        <v>411.16</v>
      </c>
      <c r="D275" s="2">
        <f ca="1">IFERROR(__xludf.DUMMYFUNCTION("""COMPUTED_VALUE"""),403.99)</f>
        <v>403.99</v>
      </c>
      <c r="E275" s="2">
        <f ca="1">IFERROR(__xludf.DUMMYFUNCTION("""COMPUTED_VALUE"""),405.65)</f>
        <v>405.65</v>
      </c>
      <c r="F275" s="2">
        <f ca="1">IFERROR(__xludf.DUMMYFUNCTION("""COMPUTED_VALUE"""),25352286)</f>
        <v>25352286</v>
      </c>
    </row>
    <row r="276" spans="1:6" ht="12.5" x14ac:dyDescent="0.25">
      <c r="A276" s="3">
        <f ca="1">IFERROR(__xludf.DUMMYFUNCTION("""COMPUTED_VALUE"""),45328.6666666666)</f>
        <v>45328.666666666599</v>
      </c>
      <c r="B276" s="2">
        <f ca="1">IFERROR(__xludf.DUMMYFUNCTION("""COMPUTED_VALUE"""),405.88)</f>
        <v>405.88</v>
      </c>
      <c r="C276" s="2">
        <f ca="1">IFERROR(__xludf.DUMMYFUNCTION("""COMPUTED_VALUE"""),407.97)</f>
        <v>407.97</v>
      </c>
      <c r="D276" s="2">
        <f ca="1">IFERROR(__xludf.DUMMYFUNCTION("""COMPUTED_VALUE"""),402.91)</f>
        <v>402.91</v>
      </c>
      <c r="E276" s="2">
        <f ca="1">IFERROR(__xludf.DUMMYFUNCTION("""COMPUTED_VALUE"""),405.49)</f>
        <v>405.49</v>
      </c>
      <c r="F276" s="2">
        <f ca="1">IFERROR(__xludf.DUMMYFUNCTION("""COMPUTED_VALUE"""),18382624)</f>
        <v>18382624</v>
      </c>
    </row>
    <row r="277" spans="1:6" ht="12.5" x14ac:dyDescent="0.25">
      <c r="A277" s="3">
        <f ca="1">IFERROR(__xludf.DUMMYFUNCTION("""COMPUTED_VALUE"""),45329.6666666666)</f>
        <v>45329.666666666599</v>
      </c>
      <c r="B277" s="2">
        <f ca="1">IFERROR(__xludf.DUMMYFUNCTION("""COMPUTED_VALUE"""),407.44)</f>
        <v>407.44</v>
      </c>
      <c r="C277" s="2">
        <f ca="1">IFERROR(__xludf.DUMMYFUNCTION("""COMPUTED_VALUE"""),414.3)</f>
        <v>414.3</v>
      </c>
      <c r="D277" s="2">
        <f ca="1">IFERROR(__xludf.DUMMYFUNCTION("""COMPUTED_VALUE"""),407.4)</f>
        <v>407.4</v>
      </c>
      <c r="E277" s="2">
        <f ca="1">IFERROR(__xludf.DUMMYFUNCTION("""COMPUTED_VALUE"""),414.05)</f>
        <v>414.05</v>
      </c>
      <c r="F277" s="2">
        <f ca="1">IFERROR(__xludf.DUMMYFUNCTION("""COMPUTED_VALUE"""),22340526)</f>
        <v>22340526</v>
      </c>
    </row>
    <row r="278" spans="1:6" ht="12.5" x14ac:dyDescent="0.25">
      <c r="A278" s="3">
        <f ca="1">IFERROR(__xludf.DUMMYFUNCTION("""COMPUTED_VALUE"""),45330.6666666666)</f>
        <v>45330.666666666599</v>
      </c>
      <c r="B278" s="2">
        <f ca="1">IFERROR(__xludf.DUMMYFUNCTION("""COMPUTED_VALUE"""),414.05)</f>
        <v>414.05</v>
      </c>
      <c r="C278" s="2">
        <f ca="1">IFERROR(__xludf.DUMMYFUNCTION("""COMPUTED_VALUE"""),415.56)</f>
        <v>415.56</v>
      </c>
      <c r="D278" s="2">
        <f ca="1">IFERROR(__xludf.DUMMYFUNCTION("""COMPUTED_VALUE"""),412.53)</f>
        <v>412.53</v>
      </c>
      <c r="E278" s="2">
        <f ca="1">IFERROR(__xludf.DUMMYFUNCTION("""COMPUTED_VALUE"""),414.11)</f>
        <v>414.11</v>
      </c>
      <c r="F278" s="2">
        <f ca="1">IFERROR(__xludf.DUMMYFUNCTION("""COMPUTED_VALUE"""),21225257)</f>
        <v>21225257</v>
      </c>
    </row>
    <row r="279" spans="1:6" ht="12.5" x14ac:dyDescent="0.25">
      <c r="A279" s="3">
        <f ca="1">IFERROR(__xludf.DUMMYFUNCTION("""COMPUTED_VALUE"""),45331.6666666666)</f>
        <v>45331.666666666599</v>
      </c>
      <c r="B279" s="2">
        <f ca="1">IFERROR(__xludf.DUMMYFUNCTION("""COMPUTED_VALUE"""),415.25)</f>
        <v>415.25</v>
      </c>
      <c r="C279" s="2">
        <f ca="1">IFERROR(__xludf.DUMMYFUNCTION("""COMPUTED_VALUE"""),420.82)</f>
        <v>420.82</v>
      </c>
      <c r="D279" s="2">
        <f ca="1">IFERROR(__xludf.DUMMYFUNCTION("""COMPUTED_VALUE"""),415.09)</f>
        <v>415.09</v>
      </c>
      <c r="E279" s="2">
        <f ca="1">IFERROR(__xludf.DUMMYFUNCTION("""COMPUTED_VALUE"""),420.55)</f>
        <v>420.55</v>
      </c>
      <c r="F279" s="2">
        <f ca="1">IFERROR(__xludf.DUMMYFUNCTION("""COMPUTED_VALUE"""),22032844)</f>
        <v>22032844</v>
      </c>
    </row>
    <row r="280" spans="1:6" ht="12.5" x14ac:dyDescent="0.25">
      <c r="A280" s="3">
        <f ca="1">IFERROR(__xludf.DUMMYFUNCTION("""COMPUTED_VALUE"""),45334.6666666666)</f>
        <v>45334.666666666599</v>
      </c>
      <c r="B280" s="2">
        <f ca="1">IFERROR(__xludf.DUMMYFUNCTION("""COMPUTED_VALUE"""),420.56)</f>
        <v>420.56</v>
      </c>
      <c r="C280" s="2">
        <f ca="1">IFERROR(__xludf.DUMMYFUNCTION("""COMPUTED_VALUE"""),420.74)</f>
        <v>420.74</v>
      </c>
      <c r="D280" s="2">
        <f ca="1">IFERROR(__xludf.DUMMYFUNCTION("""COMPUTED_VALUE"""),414.75)</f>
        <v>414.75</v>
      </c>
      <c r="E280" s="2">
        <f ca="1">IFERROR(__xludf.DUMMYFUNCTION("""COMPUTED_VALUE"""),415.26)</f>
        <v>415.26</v>
      </c>
      <c r="F280" s="2">
        <f ca="1">IFERROR(__xludf.DUMMYFUNCTION("""COMPUTED_VALUE"""),21202921)</f>
        <v>21202921</v>
      </c>
    </row>
    <row r="281" spans="1:6" ht="12.5" x14ac:dyDescent="0.25">
      <c r="A281" s="3">
        <f ca="1">IFERROR(__xludf.DUMMYFUNCTION("""COMPUTED_VALUE"""),45335.6666666666)</f>
        <v>45335.666666666599</v>
      </c>
      <c r="B281" s="2">
        <f ca="1">IFERROR(__xludf.DUMMYFUNCTION("""COMPUTED_VALUE"""),404.94)</f>
        <v>404.94</v>
      </c>
      <c r="C281" s="2">
        <f ca="1">IFERROR(__xludf.DUMMYFUNCTION("""COMPUTED_VALUE"""),410.07)</f>
        <v>410.07</v>
      </c>
      <c r="D281" s="2">
        <f ca="1">IFERROR(__xludf.DUMMYFUNCTION("""COMPUTED_VALUE"""),403.39)</f>
        <v>403.39</v>
      </c>
      <c r="E281" s="2">
        <f ca="1">IFERROR(__xludf.DUMMYFUNCTION("""COMPUTED_VALUE"""),406.32)</f>
        <v>406.32</v>
      </c>
      <c r="F281" s="2">
        <f ca="1">IFERROR(__xludf.DUMMYFUNCTION("""COMPUTED_VALUE"""),27824936)</f>
        <v>27824936</v>
      </c>
    </row>
    <row r="282" spans="1:6" ht="12.5" x14ac:dyDescent="0.25">
      <c r="A282" s="3">
        <f ca="1">IFERROR(__xludf.DUMMYFUNCTION("""COMPUTED_VALUE"""),45336.6666666666)</f>
        <v>45336.666666666599</v>
      </c>
      <c r="B282" s="2">
        <f ca="1">IFERROR(__xludf.DUMMYFUNCTION("""COMPUTED_VALUE"""),408.07)</f>
        <v>408.07</v>
      </c>
      <c r="C282" s="2">
        <f ca="1">IFERROR(__xludf.DUMMYFUNCTION("""COMPUTED_VALUE"""),409.84)</f>
        <v>409.84</v>
      </c>
      <c r="D282" s="2">
        <f ca="1">IFERROR(__xludf.DUMMYFUNCTION("""COMPUTED_VALUE"""),404.57)</f>
        <v>404.57</v>
      </c>
      <c r="E282" s="2">
        <f ca="1">IFERROR(__xludf.DUMMYFUNCTION("""COMPUTED_VALUE"""),409.49)</f>
        <v>409.49</v>
      </c>
      <c r="F282" s="2">
        <f ca="1">IFERROR(__xludf.DUMMYFUNCTION("""COMPUTED_VALUE"""),20401190)</f>
        <v>20401190</v>
      </c>
    </row>
    <row r="283" spans="1:6" ht="12.5" x14ac:dyDescent="0.25">
      <c r="A283" s="3">
        <f ca="1">IFERROR(__xludf.DUMMYFUNCTION("""COMPUTED_VALUE"""),45337.6666666666)</f>
        <v>45337.666666666599</v>
      </c>
      <c r="B283" s="2">
        <f ca="1">IFERROR(__xludf.DUMMYFUNCTION("""COMPUTED_VALUE"""),408.14)</f>
        <v>408.14</v>
      </c>
      <c r="C283" s="2">
        <f ca="1">IFERROR(__xludf.DUMMYFUNCTION("""COMPUTED_VALUE"""),409.13)</f>
        <v>409.13</v>
      </c>
      <c r="D283" s="2">
        <f ca="1">IFERROR(__xludf.DUMMYFUNCTION("""COMPUTED_VALUE"""),404.29)</f>
        <v>404.29</v>
      </c>
      <c r="E283" s="2">
        <f ca="1">IFERROR(__xludf.DUMMYFUNCTION("""COMPUTED_VALUE"""),406.56)</f>
        <v>406.56</v>
      </c>
      <c r="F283" s="2">
        <f ca="1">IFERROR(__xludf.DUMMYFUNCTION("""COMPUTED_VALUE"""),21825525)</f>
        <v>21825525</v>
      </c>
    </row>
    <row r="284" spans="1:6" ht="12.5" x14ac:dyDescent="0.25">
      <c r="A284" s="3">
        <f ca="1">IFERROR(__xludf.DUMMYFUNCTION("""COMPUTED_VALUE"""),45338.6666666666)</f>
        <v>45338.666666666599</v>
      </c>
      <c r="B284" s="2">
        <f ca="1">IFERROR(__xludf.DUMMYFUNCTION("""COMPUTED_VALUE"""),407.96)</f>
        <v>407.96</v>
      </c>
      <c r="C284" s="2">
        <f ca="1">IFERROR(__xludf.DUMMYFUNCTION("""COMPUTED_VALUE"""),408.29)</f>
        <v>408.29</v>
      </c>
      <c r="D284" s="2">
        <f ca="1">IFERROR(__xludf.DUMMYFUNCTION("""COMPUTED_VALUE"""),403.44)</f>
        <v>403.44</v>
      </c>
      <c r="E284" s="2">
        <f ca="1">IFERROR(__xludf.DUMMYFUNCTION("""COMPUTED_VALUE"""),404.06)</f>
        <v>404.06</v>
      </c>
      <c r="F284" s="2">
        <f ca="1">IFERROR(__xludf.DUMMYFUNCTION("""COMPUTED_VALUE"""),22296495)</f>
        <v>22296495</v>
      </c>
    </row>
    <row r="285" spans="1:6" ht="12.5" x14ac:dyDescent="0.25">
      <c r="A285" s="3">
        <f ca="1">IFERROR(__xludf.DUMMYFUNCTION("""COMPUTED_VALUE"""),45342.6666666666)</f>
        <v>45342.666666666599</v>
      </c>
      <c r="B285" s="2">
        <f ca="1">IFERROR(__xludf.DUMMYFUNCTION("""COMPUTED_VALUE"""),403.24)</f>
        <v>403.24</v>
      </c>
      <c r="C285" s="2">
        <f ca="1">IFERROR(__xludf.DUMMYFUNCTION("""COMPUTED_VALUE"""),404.49)</f>
        <v>404.49</v>
      </c>
      <c r="D285" s="2">
        <f ca="1">IFERROR(__xludf.DUMMYFUNCTION("""COMPUTED_VALUE"""),398.01)</f>
        <v>398.01</v>
      </c>
      <c r="E285" s="2">
        <f ca="1">IFERROR(__xludf.DUMMYFUNCTION("""COMPUTED_VALUE"""),402.79)</f>
        <v>402.79</v>
      </c>
      <c r="F285" s="2">
        <f ca="1">IFERROR(__xludf.DUMMYFUNCTION("""COMPUTED_VALUE"""),24307915)</f>
        <v>24307915</v>
      </c>
    </row>
    <row r="286" spans="1:6" ht="12.5" x14ac:dyDescent="0.25">
      <c r="A286" s="3">
        <f ca="1">IFERROR(__xludf.DUMMYFUNCTION("""COMPUTED_VALUE"""),45343.6666666666)</f>
        <v>45343.666666666599</v>
      </c>
      <c r="B286" s="2">
        <f ca="1">IFERROR(__xludf.DUMMYFUNCTION("""COMPUTED_VALUE"""),400.17)</f>
        <v>400.17</v>
      </c>
      <c r="C286" s="2">
        <f ca="1">IFERROR(__xludf.DUMMYFUNCTION("""COMPUTED_VALUE"""),402.29)</f>
        <v>402.29</v>
      </c>
      <c r="D286" s="2">
        <f ca="1">IFERROR(__xludf.DUMMYFUNCTION("""COMPUTED_VALUE"""),397.22)</f>
        <v>397.22</v>
      </c>
      <c r="E286" s="2">
        <f ca="1">IFERROR(__xludf.DUMMYFUNCTION("""COMPUTED_VALUE"""),402.18)</f>
        <v>402.18</v>
      </c>
      <c r="F286" s="2">
        <f ca="1">IFERROR(__xludf.DUMMYFUNCTION("""COMPUTED_VALUE"""),18631072)</f>
        <v>18631072</v>
      </c>
    </row>
    <row r="287" spans="1:6" ht="12.5" x14ac:dyDescent="0.25">
      <c r="A287" s="3">
        <f ca="1">IFERROR(__xludf.DUMMYFUNCTION("""COMPUTED_VALUE"""),45344.6666666666)</f>
        <v>45344.666666666599</v>
      </c>
      <c r="B287" s="2">
        <f ca="1">IFERROR(__xludf.DUMMYFUNCTION("""COMPUTED_VALUE"""),410.19)</f>
        <v>410.19</v>
      </c>
      <c r="C287" s="2">
        <f ca="1">IFERROR(__xludf.DUMMYFUNCTION("""COMPUTED_VALUE"""),412.83)</f>
        <v>412.83</v>
      </c>
      <c r="D287" s="2">
        <f ca="1">IFERROR(__xludf.DUMMYFUNCTION("""COMPUTED_VALUE"""),408.57)</f>
        <v>408.57</v>
      </c>
      <c r="E287" s="2">
        <f ca="1">IFERROR(__xludf.DUMMYFUNCTION("""COMPUTED_VALUE"""),411.65)</f>
        <v>411.65</v>
      </c>
      <c r="F287" s="2">
        <f ca="1">IFERROR(__xludf.DUMMYFUNCTION("""COMPUTED_VALUE"""),27009869)</f>
        <v>27009869</v>
      </c>
    </row>
    <row r="288" spans="1:6" ht="12.5" x14ac:dyDescent="0.25">
      <c r="A288" s="3">
        <f ca="1">IFERROR(__xludf.DUMMYFUNCTION("""COMPUTED_VALUE"""),45345.6666666666)</f>
        <v>45345.666666666599</v>
      </c>
      <c r="B288" s="2">
        <f ca="1">IFERROR(__xludf.DUMMYFUNCTION("""COMPUTED_VALUE"""),415.67)</f>
        <v>415.67</v>
      </c>
      <c r="C288" s="2">
        <f ca="1">IFERROR(__xludf.DUMMYFUNCTION("""COMPUTED_VALUE"""),415.86)</f>
        <v>415.86</v>
      </c>
      <c r="D288" s="2">
        <f ca="1">IFERROR(__xludf.DUMMYFUNCTION("""COMPUTED_VALUE"""),408.97)</f>
        <v>408.97</v>
      </c>
      <c r="E288" s="2">
        <f ca="1">IFERROR(__xludf.DUMMYFUNCTION("""COMPUTED_VALUE"""),410.34)</f>
        <v>410.34</v>
      </c>
      <c r="F288" s="2">
        <f ca="1">IFERROR(__xludf.DUMMYFUNCTION("""COMPUTED_VALUE"""),16295879)</f>
        <v>16295879</v>
      </c>
    </row>
    <row r="289" spans="1:6" ht="12.5" x14ac:dyDescent="0.25">
      <c r="A289" s="3">
        <f ca="1">IFERROR(__xludf.DUMMYFUNCTION("""COMPUTED_VALUE"""),45348.6666666666)</f>
        <v>45348.666666666599</v>
      </c>
      <c r="B289" s="2">
        <f ca="1">IFERROR(__xludf.DUMMYFUNCTION("""COMPUTED_VALUE"""),411.46)</f>
        <v>411.46</v>
      </c>
      <c r="C289" s="2">
        <f ca="1">IFERROR(__xludf.DUMMYFUNCTION("""COMPUTED_VALUE"""),412.16)</f>
        <v>412.16</v>
      </c>
      <c r="D289" s="2">
        <f ca="1">IFERROR(__xludf.DUMMYFUNCTION("""COMPUTED_VALUE"""),407.36)</f>
        <v>407.36</v>
      </c>
      <c r="E289" s="2">
        <f ca="1">IFERROR(__xludf.DUMMYFUNCTION("""COMPUTED_VALUE"""),407.54)</f>
        <v>407.54</v>
      </c>
      <c r="F289" s="2">
        <f ca="1">IFERROR(__xludf.DUMMYFUNCTION("""COMPUTED_VALUE"""),16193505)</f>
        <v>16193505</v>
      </c>
    </row>
    <row r="290" spans="1:6" ht="12.5" x14ac:dyDescent="0.25">
      <c r="A290" s="3">
        <f ca="1">IFERROR(__xludf.DUMMYFUNCTION("""COMPUTED_VALUE"""),45349.6666666666)</f>
        <v>45349.666666666599</v>
      </c>
      <c r="B290" s="2">
        <f ca="1">IFERROR(__xludf.DUMMYFUNCTION("""COMPUTED_VALUE"""),407.99)</f>
        <v>407.99</v>
      </c>
      <c r="C290" s="2">
        <f ca="1">IFERROR(__xludf.DUMMYFUNCTION("""COMPUTED_VALUE"""),408.32)</f>
        <v>408.32</v>
      </c>
      <c r="D290" s="2">
        <f ca="1">IFERROR(__xludf.DUMMYFUNCTION("""COMPUTED_VALUE"""),403.85)</f>
        <v>403.85</v>
      </c>
      <c r="E290" s="2">
        <f ca="1">IFERROR(__xludf.DUMMYFUNCTION("""COMPUTED_VALUE"""),407.48)</f>
        <v>407.48</v>
      </c>
      <c r="F290" s="2">
        <f ca="1">IFERROR(__xludf.DUMMYFUNCTION("""COMPUTED_VALUE"""),14835827)</f>
        <v>14835827</v>
      </c>
    </row>
    <row r="291" spans="1:6" ht="12.5" x14ac:dyDescent="0.25">
      <c r="A291" s="3">
        <f ca="1">IFERROR(__xludf.DUMMYFUNCTION("""COMPUTED_VALUE"""),45350.6666666666)</f>
        <v>45350.666666666599</v>
      </c>
      <c r="B291" s="2">
        <f ca="1">IFERROR(__xludf.DUMMYFUNCTION("""COMPUTED_VALUE"""),408.18)</f>
        <v>408.18</v>
      </c>
      <c r="C291" s="2">
        <f ca="1">IFERROR(__xludf.DUMMYFUNCTION("""COMPUTED_VALUE"""),409.3)</f>
        <v>409.3</v>
      </c>
      <c r="D291" s="2">
        <f ca="1">IFERROR(__xludf.DUMMYFUNCTION("""COMPUTED_VALUE"""),405.32)</f>
        <v>405.32</v>
      </c>
      <c r="E291" s="2">
        <f ca="1">IFERROR(__xludf.DUMMYFUNCTION("""COMPUTED_VALUE"""),407.72)</f>
        <v>407.72</v>
      </c>
      <c r="F291" s="2">
        <f ca="1">IFERROR(__xludf.DUMMYFUNCTION("""COMPUTED_VALUE"""),13183125)</f>
        <v>13183125</v>
      </c>
    </row>
    <row r="292" spans="1:6" ht="12.5" x14ac:dyDescent="0.25">
      <c r="A292" s="3">
        <f ca="1">IFERROR(__xludf.DUMMYFUNCTION("""COMPUTED_VALUE"""),45351.6666666666)</f>
        <v>45351.666666666599</v>
      </c>
      <c r="B292" s="2">
        <f ca="1">IFERROR(__xludf.DUMMYFUNCTION("""COMPUTED_VALUE"""),408.64)</f>
        <v>408.64</v>
      </c>
      <c r="C292" s="2">
        <f ca="1">IFERROR(__xludf.DUMMYFUNCTION("""COMPUTED_VALUE"""),414.2)</f>
        <v>414.2</v>
      </c>
      <c r="D292" s="2">
        <f ca="1">IFERROR(__xludf.DUMMYFUNCTION("""COMPUTED_VALUE"""),405.92)</f>
        <v>405.92</v>
      </c>
      <c r="E292" s="2">
        <f ca="1">IFERROR(__xludf.DUMMYFUNCTION("""COMPUTED_VALUE"""),413.64)</f>
        <v>413.64</v>
      </c>
      <c r="F292" s="2">
        <f ca="1">IFERROR(__xludf.DUMMYFUNCTION("""COMPUTED_VALUE"""),31947263)</f>
        <v>31947263</v>
      </c>
    </row>
    <row r="293" spans="1:6" ht="12.5" x14ac:dyDescent="0.25">
      <c r="A293" s="3">
        <f ca="1">IFERROR(__xludf.DUMMYFUNCTION("""COMPUTED_VALUE"""),45352.6666666666)</f>
        <v>45352.666666666599</v>
      </c>
      <c r="B293" s="2">
        <f ca="1">IFERROR(__xludf.DUMMYFUNCTION("""COMPUTED_VALUE"""),411.27)</f>
        <v>411.27</v>
      </c>
      <c r="C293" s="2">
        <f ca="1">IFERROR(__xludf.DUMMYFUNCTION("""COMPUTED_VALUE"""),415.87)</f>
        <v>415.87</v>
      </c>
      <c r="D293" s="2">
        <f ca="1">IFERROR(__xludf.DUMMYFUNCTION("""COMPUTED_VALUE"""),410.88)</f>
        <v>410.88</v>
      </c>
      <c r="E293" s="2">
        <f ca="1">IFERROR(__xludf.DUMMYFUNCTION("""COMPUTED_VALUE"""),415.5)</f>
        <v>415.5</v>
      </c>
      <c r="F293" s="2">
        <f ca="1">IFERROR(__xludf.DUMMYFUNCTION("""COMPUTED_VALUE"""),17823445)</f>
        <v>17823445</v>
      </c>
    </row>
    <row r="294" spans="1:6" ht="12.5" x14ac:dyDescent="0.25">
      <c r="A294" s="3">
        <f ca="1">IFERROR(__xludf.DUMMYFUNCTION("""COMPUTED_VALUE"""),45355.6666666666)</f>
        <v>45355.666666666599</v>
      </c>
      <c r="B294" s="2">
        <f ca="1">IFERROR(__xludf.DUMMYFUNCTION("""COMPUTED_VALUE"""),413.44)</f>
        <v>413.44</v>
      </c>
      <c r="C294" s="2">
        <f ca="1">IFERROR(__xludf.DUMMYFUNCTION("""COMPUTED_VALUE"""),417.35)</f>
        <v>417.35</v>
      </c>
      <c r="D294" s="2">
        <f ca="1">IFERROR(__xludf.DUMMYFUNCTION("""COMPUTED_VALUE"""),412.32)</f>
        <v>412.32</v>
      </c>
      <c r="E294" s="2">
        <f ca="1">IFERROR(__xludf.DUMMYFUNCTION("""COMPUTED_VALUE"""),414.92)</f>
        <v>414.92</v>
      </c>
      <c r="F294" s="2">
        <f ca="1">IFERROR(__xludf.DUMMYFUNCTION("""COMPUTED_VALUE"""),17595956)</f>
        <v>17595956</v>
      </c>
    </row>
    <row r="295" spans="1:6" ht="12.5" x14ac:dyDescent="0.25">
      <c r="A295" s="3">
        <f ca="1">IFERROR(__xludf.DUMMYFUNCTION("""COMPUTED_VALUE"""),45356.6666666666)</f>
        <v>45356.666666666599</v>
      </c>
      <c r="B295" s="2">
        <f ca="1">IFERROR(__xludf.DUMMYFUNCTION("""COMPUTED_VALUE"""),413.96)</f>
        <v>413.96</v>
      </c>
      <c r="C295" s="2">
        <f ca="1">IFERROR(__xludf.DUMMYFUNCTION("""COMPUTED_VALUE"""),414.25)</f>
        <v>414.25</v>
      </c>
      <c r="D295" s="2">
        <f ca="1">IFERROR(__xludf.DUMMYFUNCTION("""COMPUTED_VALUE"""),400.64)</f>
        <v>400.64</v>
      </c>
      <c r="E295" s="2">
        <f ca="1">IFERROR(__xludf.DUMMYFUNCTION("""COMPUTED_VALUE"""),402.65)</f>
        <v>402.65</v>
      </c>
      <c r="F295" s="2">
        <f ca="1">IFERROR(__xludf.DUMMYFUNCTION("""COMPUTED_VALUE"""),26919177)</f>
        <v>26919177</v>
      </c>
    </row>
    <row r="296" spans="1:6" ht="12.5" x14ac:dyDescent="0.25">
      <c r="A296" s="3">
        <f ca="1">IFERROR(__xludf.DUMMYFUNCTION("""COMPUTED_VALUE"""),45357.6666666666)</f>
        <v>45357.666666666599</v>
      </c>
      <c r="B296" s="2">
        <f ca="1">IFERROR(__xludf.DUMMYFUNCTION("""COMPUTED_VALUE"""),402.97)</f>
        <v>402.97</v>
      </c>
      <c r="C296" s="2">
        <f ca="1">IFERROR(__xludf.DUMMYFUNCTION("""COMPUTED_VALUE"""),405.16)</f>
        <v>405.16</v>
      </c>
      <c r="D296" s="2">
        <f ca="1">IFERROR(__xludf.DUMMYFUNCTION("""COMPUTED_VALUE"""),398.39)</f>
        <v>398.39</v>
      </c>
      <c r="E296" s="2">
        <f ca="1">IFERROR(__xludf.DUMMYFUNCTION("""COMPUTED_VALUE"""),402.09)</f>
        <v>402.09</v>
      </c>
      <c r="F296" s="2">
        <f ca="1">IFERROR(__xludf.DUMMYFUNCTION("""COMPUTED_VALUE"""),22344149)</f>
        <v>22344149</v>
      </c>
    </row>
    <row r="297" spans="1:6" ht="12.5" x14ac:dyDescent="0.25">
      <c r="A297" s="3">
        <f ca="1">IFERROR(__xludf.DUMMYFUNCTION("""COMPUTED_VALUE"""),45358.6666666666)</f>
        <v>45358.666666666599</v>
      </c>
      <c r="B297" s="2">
        <f ca="1">IFERROR(__xludf.DUMMYFUNCTION("""COMPUTED_VALUE"""),406.12)</f>
        <v>406.12</v>
      </c>
      <c r="C297" s="2">
        <f ca="1">IFERROR(__xludf.DUMMYFUNCTION("""COMPUTED_VALUE"""),409.78)</f>
        <v>409.78</v>
      </c>
      <c r="D297" s="2">
        <f ca="1">IFERROR(__xludf.DUMMYFUNCTION("""COMPUTED_VALUE"""),402.24)</f>
        <v>402.24</v>
      </c>
      <c r="E297" s="2">
        <f ca="1">IFERROR(__xludf.DUMMYFUNCTION("""COMPUTED_VALUE"""),409.14)</f>
        <v>409.14</v>
      </c>
      <c r="F297" s="2">
        <f ca="1">IFERROR(__xludf.DUMMYFUNCTION("""COMPUTED_VALUE"""),18718479)</f>
        <v>18718479</v>
      </c>
    </row>
    <row r="298" spans="1:6" ht="12.5" x14ac:dyDescent="0.25">
      <c r="A298" s="3">
        <f ca="1">IFERROR(__xludf.DUMMYFUNCTION("""COMPUTED_VALUE"""),45359.6666666666)</f>
        <v>45359.666666666599</v>
      </c>
      <c r="B298" s="2">
        <f ca="1">IFERROR(__xludf.DUMMYFUNCTION("""COMPUTED_VALUE"""),407.96)</f>
        <v>407.96</v>
      </c>
      <c r="C298" s="2">
        <f ca="1">IFERROR(__xludf.DUMMYFUNCTION("""COMPUTED_VALUE"""),410.42)</f>
        <v>410.42</v>
      </c>
      <c r="D298" s="2">
        <f ca="1">IFERROR(__xludf.DUMMYFUNCTION("""COMPUTED_VALUE"""),404.33)</f>
        <v>404.33</v>
      </c>
      <c r="E298" s="2">
        <f ca="1">IFERROR(__xludf.DUMMYFUNCTION("""COMPUTED_VALUE"""),406.22)</f>
        <v>406.22</v>
      </c>
      <c r="F298" s="2">
        <f ca="1">IFERROR(__xludf.DUMMYFUNCTION("""COMPUTED_VALUE"""),18002186)</f>
        <v>18002186</v>
      </c>
    </row>
    <row r="299" spans="1:6" ht="12.5" x14ac:dyDescent="0.25">
      <c r="A299" s="3">
        <f ca="1">IFERROR(__xludf.DUMMYFUNCTION("""COMPUTED_VALUE"""),45362.6666666666)</f>
        <v>45362.666666666599</v>
      </c>
      <c r="B299" s="2">
        <f ca="1">IFERROR(__xludf.DUMMYFUNCTION("""COMPUTED_VALUE"""),403.76)</f>
        <v>403.76</v>
      </c>
      <c r="C299" s="2">
        <f ca="1">IFERROR(__xludf.DUMMYFUNCTION("""COMPUTED_VALUE"""),405.68)</f>
        <v>405.68</v>
      </c>
      <c r="D299" s="2">
        <f ca="1">IFERROR(__xludf.DUMMYFUNCTION("""COMPUTED_VALUE"""),401.26)</f>
        <v>401.26</v>
      </c>
      <c r="E299" s="2">
        <f ca="1">IFERROR(__xludf.DUMMYFUNCTION("""COMPUTED_VALUE"""),404.52)</f>
        <v>404.52</v>
      </c>
      <c r="F299" s="2">
        <f ca="1">IFERROR(__xludf.DUMMYFUNCTION("""COMPUTED_VALUE"""),16120752)</f>
        <v>16120752</v>
      </c>
    </row>
    <row r="300" spans="1:6" ht="12.5" x14ac:dyDescent="0.25">
      <c r="A300" s="3">
        <f ca="1">IFERROR(__xludf.DUMMYFUNCTION("""COMPUTED_VALUE"""),45363.6666666666)</f>
        <v>45363.666666666599</v>
      </c>
      <c r="B300" s="2">
        <f ca="1">IFERROR(__xludf.DUMMYFUNCTION("""COMPUTED_VALUE"""),407.62)</f>
        <v>407.62</v>
      </c>
      <c r="C300" s="2">
        <f ca="1">IFERROR(__xludf.DUMMYFUNCTION("""COMPUTED_VALUE"""),415.57)</f>
        <v>415.57</v>
      </c>
      <c r="D300" s="2">
        <f ca="1">IFERROR(__xludf.DUMMYFUNCTION("""COMPUTED_VALUE"""),406.79)</f>
        <v>406.79</v>
      </c>
      <c r="E300" s="2">
        <f ca="1">IFERROR(__xludf.DUMMYFUNCTION("""COMPUTED_VALUE"""),415.28)</f>
        <v>415.28</v>
      </c>
      <c r="F300" s="2">
        <f ca="1">IFERROR(__xludf.DUMMYFUNCTION("""COMPUTED_VALUE"""),22457003)</f>
        <v>22457003</v>
      </c>
    </row>
    <row r="301" spans="1:6" ht="12.5" x14ac:dyDescent="0.25">
      <c r="A301" s="3">
        <f ca="1">IFERROR(__xludf.DUMMYFUNCTION("""COMPUTED_VALUE"""),45364.6666666666)</f>
        <v>45364.666666666599</v>
      </c>
      <c r="B301" s="2">
        <f ca="1">IFERROR(__xludf.DUMMYFUNCTION("""COMPUTED_VALUE"""),418.1)</f>
        <v>418.1</v>
      </c>
      <c r="C301" s="2">
        <f ca="1">IFERROR(__xludf.DUMMYFUNCTION("""COMPUTED_VALUE"""),418.18)</f>
        <v>418.18</v>
      </c>
      <c r="D301" s="2">
        <f ca="1">IFERROR(__xludf.DUMMYFUNCTION("""COMPUTED_VALUE"""),411.45)</f>
        <v>411.45</v>
      </c>
      <c r="E301" s="2">
        <f ca="1">IFERROR(__xludf.DUMMYFUNCTION("""COMPUTED_VALUE"""),415.1)</f>
        <v>415.1</v>
      </c>
      <c r="F301" s="2">
        <f ca="1">IFERROR(__xludf.DUMMYFUNCTION("""COMPUTED_VALUE"""),17115931)</f>
        <v>17115931</v>
      </c>
    </row>
    <row r="302" spans="1:6" ht="12.5" x14ac:dyDescent="0.25">
      <c r="A302" s="3">
        <f ca="1">IFERROR(__xludf.DUMMYFUNCTION("""COMPUTED_VALUE"""),45365.6666666666)</f>
        <v>45365.666666666599</v>
      </c>
      <c r="B302" s="2">
        <f ca="1">IFERROR(__xludf.DUMMYFUNCTION("""COMPUTED_VALUE"""),420.24)</f>
        <v>420.24</v>
      </c>
      <c r="C302" s="2">
        <f ca="1">IFERROR(__xludf.DUMMYFUNCTION("""COMPUTED_VALUE"""),427.82)</f>
        <v>427.82</v>
      </c>
      <c r="D302" s="2">
        <f ca="1">IFERROR(__xludf.DUMMYFUNCTION("""COMPUTED_VALUE"""),417.99)</f>
        <v>417.99</v>
      </c>
      <c r="E302" s="2">
        <f ca="1">IFERROR(__xludf.DUMMYFUNCTION("""COMPUTED_VALUE"""),425.22)</f>
        <v>425.22</v>
      </c>
      <c r="F302" s="2">
        <f ca="1">IFERROR(__xludf.DUMMYFUNCTION("""COMPUTED_VALUE"""),34157299)</f>
        <v>34157299</v>
      </c>
    </row>
    <row r="303" spans="1:6" ht="12.5" x14ac:dyDescent="0.25">
      <c r="A303" s="3">
        <f ca="1">IFERROR(__xludf.DUMMYFUNCTION("""COMPUTED_VALUE"""),45366.6666666666)</f>
        <v>45366.666666666599</v>
      </c>
      <c r="B303" s="2">
        <f ca="1">IFERROR(__xludf.DUMMYFUNCTION("""COMPUTED_VALUE"""),419.29)</f>
        <v>419.29</v>
      </c>
      <c r="C303" s="2">
        <f ca="1">IFERROR(__xludf.DUMMYFUNCTION("""COMPUTED_VALUE"""),422.6)</f>
        <v>422.6</v>
      </c>
      <c r="D303" s="2">
        <f ca="1">IFERROR(__xludf.DUMMYFUNCTION("""COMPUTED_VALUE"""),412.79)</f>
        <v>412.79</v>
      </c>
      <c r="E303" s="2">
        <f ca="1">IFERROR(__xludf.DUMMYFUNCTION("""COMPUTED_VALUE"""),416.42)</f>
        <v>416.42</v>
      </c>
      <c r="F303" s="2">
        <f ca="1">IFERROR(__xludf.DUMMYFUNCTION("""COMPUTED_VALUE"""),45079903)</f>
        <v>45079903</v>
      </c>
    </row>
    <row r="304" spans="1:6" ht="12.5" x14ac:dyDescent="0.25">
      <c r="A304" s="3">
        <f ca="1">IFERROR(__xludf.DUMMYFUNCTION("""COMPUTED_VALUE"""),45369.6666666666)</f>
        <v>45369.666666666599</v>
      </c>
      <c r="B304" s="2">
        <f ca="1">IFERROR(__xludf.DUMMYFUNCTION("""COMPUTED_VALUE"""),414.25)</f>
        <v>414.25</v>
      </c>
      <c r="C304" s="2">
        <f ca="1">IFERROR(__xludf.DUMMYFUNCTION("""COMPUTED_VALUE"""),420.73)</f>
        <v>420.73</v>
      </c>
      <c r="D304" s="2">
        <f ca="1">IFERROR(__xludf.DUMMYFUNCTION("""COMPUTED_VALUE"""),413.78)</f>
        <v>413.78</v>
      </c>
      <c r="E304" s="2">
        <f ca="1">IFERROR(__xludf.DUMMYFUNCTION("""COMPUTED_VALUE"""),417.32)</f>
        <v>417.32</v>
      </c>
      <c r="F304" s="2">
        <f ca="1">IFERROR(__xludf.DUMMYFUNCTION("""COMPUTED_VALUE"""),20105977)</f>
        <v>20105977</v>
      </c>
    </row>
    <row r="305" spans="1:6" ht="12.5" x14ac:dyDescent="0.25">
      <c r="A305" s="3">
        <f ca="1">IFERROR(__xludf.DUMMYFUNCTION("""COMPUTED_VALUE"""),45370.6666666666)</f>
        <v>45370.666666666599</v>
      </c>
      <c r="B305" s="2">
        <f ca="1">IFERROR(__xludf.DUMMYFUNCTION("""COMPUTED_VALUE"""),417.83)</f>
        <v>417.83</v>
      </c>
      <c r="C305" s="2">
        <f ca="1">IFERROR(__xludf.DUMMYFUNCTION("""COMPUTED_VALUE"""),421.67)</f>
        <v>421.67</v>
      </c>
      <c r="D305" s="2">
        <f ca="1">IFERROR(__xludf.DUMMYFUNCTION("""COMPUTED_VALUE"""),415.55)</f>
        <v>415.55</v>
      </c>
      <c r="E305" s="2">
        <f ca="1">IFERROR(__xludf.DUMMYFUNCTION("""COMPUTED_VALUE"""),421.41)</f>
        <v>421.41</v>
      </c>
      <c r="F305" s="2">
        <f ca="1">IFERROR(__xludf.DUMMYFUNCTION("""COMPUTED_VALUE"""),19837915)</f>
        <v>19837915</v>
      </c>
    </row>
    <row r="306" spans="1:6" ht="12.5" x14ac:dyDescent="0.25">
      <c r="A306" s="3">
        <f ca="1">IFERROR(__xludf.DUMMYFUNCTION("""COMPUTED_VALUE"""),45371.6666666666)</f>
        <v>45371.666666666599</v>
      </c>
      <c r="B306" s="2">
        <f ca="1">IFERROR(__xludf.DUMMYFUNCTION("""COMPUTED_VALUE"""),422)</f>
        <v>422</v>
      </c>
      <c r="C306" s="2">
        <f ca="1">IFERROR(__xludf.DUMMYFUNCTION("""COMPUTED_VALUE"""),425.96)</f>
        <v>425.96</v>
      </c>
      <c r="D306" s="2">
        <f ca="1">IFERROR(__xludf.DUMMYFUNCTION("""COMPUTED_VALUE"""),420.66)</f>
        <v>420.66</v>
      </c>
      <c r="E306" s="2">
        <f ca="1">IFERROR(__xludf.DUMMYFUNCTION("""COMPUTED_VALUE"""),425.23)</f>
        <v>425.23</v>
      </c>
      <c r="F306" s="2">
        <f ca="1">IFERROR(__xludf.DUMMYFUNCTION("""COMPUTED_VALUE"""),17860085)</f>
        <v>17860085</v>
      </c>
    </row>
    <row r="307" spans="1:6" ht="12.5" x14ac:dyDescent="0.25">
      <c r="A307" s="3">
        <f ca="1">IFERROR(__xludf.DUMMYFUNCTION("""COMPUTED_VALUE"""),45372.6666666666)</f>
        <v>45372.666666666599</v>
      </c>
      <c r="B307" s="2">
        <f ca="1">IFERROR(__xludf.DUMMYFUNCTION("""COMPUTED_VALUE"""),429.83)</f>
        <v>429.83</v>
      </c>
      <c r="C307" s="2">
        <f ca="1">IFERROR(__xludf.DUMMYFUNCTION("""COMPUTED_VALUE"""),430.82)</f>
        <v>430.82</v>
      </c>
      <c r="D307" s="2">
        <f ca="1">IFERROR(__xludf.DUMMYFUNCTION("""COMPUTED_VALUE"""),427.16)</f>
        <v>427.16</v>
      </c>
      <c r="E307" s="2">
        <f ca="1">IFERROR(__xludf.DUMMYFUNCTION("""COMPUTED_VALUE"""),429.37)</f>
        <v>429.37</v>
      </c>
      <c r="F307" s="2">
        <f ca="1">IFERROR(__xludf.DUMMYFUNCTION("""COMPUTED_VALUE"""),21296222)</f>
        <v>21296222</v>
      </c>
    </row>
    <row r="308" spans="1:6" ht="12.5" x14ac:dyDescent="0.25">
      <c r="A308" s="3">
        <f ca="1">IFERROR(__xludf.DUMMYFUNCTION("""COMPUTED_VALUE"""),45373.6666666666)</f>
        <v>45373.666666666599</v>
      </c>
      <c r="B308" s="2">
        <f ca="1">IFERROR(__xludf.DUMMYFUNCTION("""COMPUTED_VALUE"""),429.7)</f>
        <v>429.7</v>
      </c>
      <c r="C308" s="2">
        <f ca="1">IFERROR(__xludf.DUMMYFUNCTION("""COMPUTED_VALUE"""),429.86)</f>
        <v>429.86</v>
      </c>
      <c r="D308" s="2">
        <f ca="1">IFERROR(__xludf.DUMMYFUNCTION("""COMPUTED_VALUE"""),426.07)</f>
        <v>426.07</v>
      </c>
      <c r="E308" s="2">
        <f ca="1">IFERROR(__xludf.DUMMYFUNCTION("""COMPUTED_VALUE"""),428.74)</f>
        <v>428.74</v>
      </c>
      <c r="F308" s="2">
        <f ca="1">IFERROR(__xludf.DUMMYFUNCTION("""COMPUTED_VALUE"""),17648473)</f>
        <v>17648473</v>
      </c>
    </row>
    <row r="309" spans="1:6" ht="12.5" x14ac:dyDescent="0.25">
      <c r="A309" s="3">
        <f ca="1">IFERROR(__xludf.DUMMYFUNCTION("""COMPUTED_VALUE"""),45376.6666666666)</f>
        <v>45376.666666666599</v>
      </c>
      <c r="B309" s="2">
        <f ca="1">IFERROR(__xludf.DUMMYFUNCTION("""COMPUTED_VALUE"""),425.24)</f>
        <v>425.24</v>
      </c>
      <c r="C309" s="2">
        <f ca="1">IFERROR(__xludf.DUMMYFUNCTION("""COMPUTED_VALUE"""),427.41)</f>
        <v>427.41</v>
      </c>
      <c r="D309" s="2">
        <f ca="1">IFERROR(__xludf.DUMMYFUNCTION("""COMPUTED_VALUE"""),421.61)</f>
        <v>421.61</v>
      </c>
      <c r="E309" s="2">
        <f ca="1">IFERROR(__xludf.DUMMYFUNCTION("""COMPUTED_VALUE"""),422.86)</f>
        <v>422.86</v>
      </c>
      <c r="F309" s="2">
        <f ca="1">IFERROR(__xludf.DUMMYFUNCTION("""COMPUTED_VALUE"""),18060450)</f>
        <v>18060450</v>
      </c>
    </row>
    <row r="310" spans="1:6" ht="12.5" x14ac:dyDescent="0.25">
      <c r="A310" s="3">
        <f ca="1">IFERROR(__xludf.DUMMYFUNCTION("""COMPUTED_VALUE"""),45377.6666666666)</f>
        <v>45377.666666666599</v>
      </c>
      <c r="B310" s="2">
        <f ca="1">IFERROR(__xludf.DUMMYFUNCTION("""COMPUTED_VALUE"""),425.61)</f>
        <v>425.61</v>
      </c>
      <c r="C310" s="2">
        <f ca="1">IFERROR(__xludf.DUMMYFUNCTION("""COMPUTED_VALUE"""),425.99)</f>
        <v>425.99</v>
      </c>
      <c r="D310" s="2">
        <f ca="1">IFERROR(__xludf.DUMMYFUNCTION("""COMPUTED_VALUE"""),421.35)</f>
        <v>421.35</v>
      </c>
      <c r="E310" s="2">
        <f ca="1">IFERROR(__xludf.DUMMYFUNCTION("""COMPUTED_VALUE"""),421.65)</f>
        <v>421.65</v>
      </c>
      <c r="F310" s="2">
        <f ca="1">IFERROR(__xludf.DUMMYFUNCTION("""COMPUTED_VALUE"""),16725647)</f>
        <v>16725647</v>
      </c>
    </row>
    <row r="311" spans="1:6" ht="12.5" x14ac:dyDescent="0.25">
      <c r="A311" s="3">
        <f ca="1">IFERROR(__xludf.DUMMYFUNCTION("""COMPUTED_VALUE"""),45378.6666666666)</f>
        <v>45378.666666666599</v>
      </c>
      <c r="B311" s="2">
        <f ca="1">IFERROR(__xludf.DUMMYFUNCTION("""COMPUTED_VALUE"""),424.44)</f>
        <v>424.44</v>
      </c>
      <c r="C311" s="2">
        <f ca="1">IFERROR(__xludf.DUMMYFUNCTION("""COMPUTED_VALUE"""),424.45)</f>
        <v>424.45</v>
      </c>
      <c r="D311" s="2">
        <f ca="1">IFERROR(__xludf.DUMMYFUNCTION("""COMPUTED_VALUE"""),419.01)</f>
        <v>419.01</v>
      </c>
      <c r="E311" s="2">
        <f ca="1">IFERROR(__xludf.DUMMYFUNCTION("""COMPUTED_VALUE"""),421.43)</f>
        <v>421.43</v>
      </c>
      <c r="F311" s="2">
        <f ca="1">IFERROR(__xludf.DUMMYFUNCTION("""COMPUTED_VALUE"""),16704978)</f>
        <v>16704978</v>
      </c>
    </row>
    <row r="312" spans="1:6" ht="12.5" x14ac:dyDescent="0.25">
      <c r="A312" s="3">
        <f ca="1">IFERROR(__xludf.DUMMYFUNCTION("""COMPUTED_VALUE"""),45379.6666666666)</f>
        <v>45379.666666666599</v>
      </c>
      <c r="B312" s="2">
        <f ca="1">IFERROR(__xludf.DUMMYFUNCTION("""COMPUTED_VALUE"""),420.96)</f>
        <v>420.96</v>
      </c>
      <c r="C312" s="2">
        <f ca="1">IFERROR(__xludf.DUMMYFUNCTION("""COMPUTED_VALUE"""),421.87)</f>
        <v>421.87</v>
      </c>
      <c r="D312" s="2">
        <f ca="1">IFERROR(__xludf.DUMMYFUNCTION("""COMPUTED_VALUE"""),419.12)</f>
        <v>419.12</v>
      </c>
      <c r="E312" s="2">
        <f ca="1">IFERROR(__xludf.DUMMYFUNCTION("""COMPUTED_VALUE"""),420.72)</f>
        <v>420.72</v>
      </c>
      <c r="F312" s="2">
        <f ca="1">IFERROR(__xludf.DUMMYFUNCTION("""COMPUTED_VALUE"""),21871161)</f>
        <v>21871161</v>
      </c>
    </row>
    <row r="313" spans="1:6" ht="12.5" x14ac:dyDescent="0.25">
      <c r="A313" s="3">
        <f ca="1">IFERROR(__xludf.DUMMYFUNCTION("""COMPUTED_VALUE"""),45383.6666666666)</f>
        <v>45383.666666666599</v>
      </c>
      <c r="B313" s="2">
        <f ca="1">IFERROR(__xludf.DUMMYFUNCTION("""COMPUTED_VALUE"""),423.95)</f>
        <v>423.95</v>
      </c>
      <c r="C313" s="2">
        <f ca="1">IFERROR(__xludf.DUMMYFUNCTION("""COMPUTED_VALUE"""),427.89)</f>
        <v>427.89</v>
      </c>
      <c r="D313" s="2">
        <f ca="1">IFERROR(__xludf.DUMMYFUNCTION("""COMPUTED_VALUE"""),422.22)</f>
        <v>422.22</v>
      </c>
      <c r="E313" s="2">
        <f ca="1">IFERROR(__xludf.DUMMYFUNCTION("""COMPUTED_VALUE"""),424.57)</f>
        <v>424.57</v>
      </c>
      <c r="F313" s="2">
        <f ca="1">IFERROR(__xludf.DUMMYFUNCTION("""COMPUTED_VALUE"""),16315961)</f>
        <v>16315961</v>
      </c>
    </row>
    <row r="314" spans="1:6" ht="12.5" x14ac:dyDescent="0.25">
      <c r="A314" s="3">
        <f ca="1">IFERROR(__xludf.DUMMYFUNCTION("""COMPUTED_VALUE"""),45384.6666666666)</f>
        <v>45384.666666666599</v>
      </c>
      <c r="B314" s="2">
        <f ca="1">IFERROR(__xludf.DUMMYFUNCTION("""COMPUTED_VALUE"""),420.11)</f>
        <v>420.11</v>
      </c>
      <c r="C314" s="2">
        <f ca="1">IFERROR(__xludf.DUMMYFUNCTION("""COMPUTED_VALUE"""),422.38)</f>
        <v>422.38</v>
      </c>
      <c r="D314" s="2">
        <f ca="1">IFERROR(__xludf.DUMMYFUNCTION("""COMPUTED_VALUE"""),417.84)</f>
        <v>417.84</v>
      </c>
      <c r="E314" s="2">
        <f ca="1">IFERROR(__xludf.DUMMYFUNCTION("""COMPUTED_VALUE"""),421.44)</f>
        <v>421.44</v>
      </c>
      <c r="F314" s="2">
        <f ca="1">IFERROR(__xludf.DUMMYFUNCTION("""COMPUTED_VALUE"""),17911992)</f>
        <v>17911992</v>
      </c>
    </row>
    <row r="315" spans="1:6" ht="12.5" x14ac:dyDescent="0.25">
      <c r="A315" s="3">
        <f ca="1">IFERROR(__xludf.DUMMYFUNCTION("""COMPUTED_VALUE"""),45385.6666666666)</f>
        <v>45385.666666666599</v>
      </c>
      <c r="B315" s="2">
        <f ca="1">IFERROR(__xludf.DUMMYFUNCTION("""COMPUTED_VALUE"""),419.73)</f>
        <v>419.73</v>
      </c>
      <c r="C315" s="2">
        <f ca="1">IFERROR(__xludf.DUMMYFUNCTION("""COMPUTED_VALUE"""),423.26)</f>
        <v>423.26</v>
      </c>
      <c r="D315" s="2">
        <f ca="1">IFERROR(__xludf.DUMMYFUNCTION("""COMPUTED_VALUE"""),419.09)</f>
        <v>419.09</v>
      </c>
      <c r="E315" s="2">
        <f ca="1">IFERROR(__xludf.DUMMYFUNCTION("""COMPUTED_VALUE"""),420.45)</f>
        <v>420.45</v>
      </c>
      <c r="F315" s="2">
        <f ca="1">IFERROR(__xludf.DUMMYFUNCTION("""COMPUTED_VALUE"""),16502264)</f>
        <v>16502264</v>
      </c>
    </row>
    <row r="316" spans="1:6" ht="12.5" x14ac:dyDescent="0.25">
      <c r="A316" s="3">
        <f ca="1">IFERROR(__xludf.DUMMYFUNCTION("""COMPUTED_VALUE"""),45386.6666666666)</f>
        <v>45386.666666666599</v>
      </c>
      <c r="B316" s="2">
        <f ca="1">IFERROR(__xludf.DUMMYFUNCTION("""COMPUTED_VALUE"""),424.99)</f>
        <v>424.99</v>
      </c>
      <c r="C316" s="2">
        <f ca="1">IFERROR(__xludf.DUMMYFUNCTION("""COMPUTED_VALUE"""),428.67)</f>
        <v>428.67</v>
      </c>
      <c r="D316" s="2">
        <f ca="1">IFERROR(__xludf.DUMMYFUNCTION("""COMPUTED_VALUE"""),417.57)</f>
        <v>417.57</v>
      </c>
      <c r="E316" s="2">
        <f ca="1">IFERROR(__xludf.DUMMYFUNCTION("""COMPUTED_VALUE"""),417.88)</f>
        <v>417.88</v>
      </c>
      <c r="F316" s="2">
        <f ca="1">IFERROR(__xludf.DUMMYFUNCTION("""COMPUTED_VALUE"""),19370875)</f>
        <v>19370875</v>
      </c>
    </row>
    <row r="317" spans="1:6" ht="12.5" x14ac:dyDescent="0.25">
      <c r="A317" s="3">
        <f ca="1">IFERROR(__xludf.DUMMYFUNCTION("""COMPUTED_VALUE"""),45387.6666666666)</f>
        <v>45387.666666666599</v>
      </c>
      <c r="B317" s="2">
        <f ca="1">IFERROR(__xludf.DUMMYFUNCTION("""COMPUTED_VALUE"""),420.01)</f>
        <v>420.01</v>
      </c>
      <c r="C317" s="2">
        <f ca="1">IFERROR(__xludf.DUMMYFUNCTION("""COMPUTED_VALUE"""),426.51)</f>
        <v>426.51</v>
      </c>
      <c r="D317" s="2">
        <f ca="1">IFERROR(__xludf.DUMMYFUNCTION("""COMPUTED_VALUE"""),418.32)</f>
        <v>418.32</v>
      </c>
      <c r="E317" s="2">
        <f ca="1">IFERROR(__xludf.DUMMYFUNCTION("""COMPUTED_VALUE"""),425.52)</f>
        <v>425.52</v>
      </c>
      <c r="F317" s="2">
        <f ca="1">IFERROR(__xludf.DUMMYFUNCTION("""COMPUTED_VALUE"""),16554761)</f>
        <v>16554761</v>
      </c>
    </row>
    <row r="318" spans="1:6" ht="12.5" x14ac:dyDescent="0.25">
      <c r="A318" s="3">
        <f ca="1">IFERROR(__xludf.DUMMYFUNCTION("""COMPUTED_VALUE"""),45390.6666666666)</f>
        <v>45390.666666666599</v>
      </c>
      <c r="B318" s="2">
        <f ca="1">IFERROR(__xludf.DUMMYFUNCTION("""COMPUTED_VALUE"""),425.17)</f>
        <v>425.17</v>
      </c>
      <c r="C318" s="2">
        <f ca="1">IFERROR(__xludf.DUMMYFUNCTION("""COMPUTED_VALUE"""),427.28)</f>
        <v>427.28</v>
      </c>
      <c r="D318" s="2">
        <f ca="1">IFERROR(__xludf.DUMMYFUNCTION("""COMPUTED_VALUE"""),423.3)</f>
        <v>423.3</v>
      </c>
      <c r="E318" s="2">
        <f ca="1">IFERROR(__xludf.DUMMYFUNCTION("""COMPUTED_VALUE"""),424.59)</f>
        <v>424.59</v>
      </c>
      <c r="F318" s="2">
        <f ca="1">IFERROR(__xludf.DUMMYFUNCTION("""COMPUTED_VALUE"""),14272387)</f>
        <v>14272387</v>
      </c>
    </row>
    <row r="319" spans="1:6" ht="12.5" x14ac:dyDescent="0.25">
      <c r="A319" s="3">
        <f ca="1">IFERROR(__xludf.DUMMYFUNCTION("""COMPUTED_VALUE"""),45391.6666666666)</f>
        <v>45391.666666666599</v>
      </c>
      <c r="B319" s="2">
        <f ca="1">IFERROR(__xludf.DUMMYFUNCTION("""COMPUTED_VALUE"""),426.44)</f>
        <v>426.44</v>
      </c>
      <c r="C319" s="2">
        <f ca="1">IFERROR(__xludf.DUMMYFUNCTION("""COMPUTED_VALUE"""),427.74)</f>
        <v>427.74</v>
      </c>
      <c r="D319" s="2">
        <f ca="1">IFERROR(__xludf.DUMMYFUNCTION("""COMPUTED_VALUE"""),421.62)</f>
        <v>421.62</v>
      </c>
      <c r="E319" s="2">
        <f ca="1">IFERROR(__xludf.DUMMYFUNCTION("""COMPUTED_VALUE"""),426.28)</f>
        <v>426.28</v>
      </c>
      <c r="F319" s="2">
        <f ca="1">IFERROR(__xludf.DUMMYFUNCTION("""COMPUTED_VALUE"""),12512289)</f>
        <v>12512289</v>
      </c>
    </row>
    <row r="320" spans="1:6" ht="12.5" x14ac:dyDescent="0.25">
      <c r="A320" s="3">
        <f ca="1">IFERROR(__xludf.DUMMYFUNCTION("""COMPUTED_VALUE"""),45392.6666666666)</f>
        <v>45392.666666666599</v>
      </c>
      <c r="B320" s="2">
        <f ca="1">IFERROR(__xludf.DUMMYFUNCTION("""COMPUTED_VALUE"""),422.19)</f>
        <v>422.19</v>
      </c>
      <c r="C320" s="2">
        <f ca="1">IFERROR(__xludf.DUMMYFUNCTION("""COMPUTED_VALUE"""),424.03)</f>
        <v>424.03</v>
      </c>
      <c r="D320" s="2">
        <f ca="1">IFERROR(__xludf.DUMMYFUNCTION("""COMPUTED_VALUE"""),419.7)</f>
        <v>419.7</v>
      </c>
      <c r="E320" s="2">
        <f ca="1">IFERROR(__xludf.DUMMYFUNCTION("""COMPUTED_VALUE"""),423.26)</f>
        <v>423.26</v>
      </c>
      <c r="F320" s="2">
        <f ca="1">IFERROR(__xludf.DUMMYFUNCTION("""COMPUTED_VALUE"""),16216581)</f>
        <v>16216581</v>
      </c>
    </row>
    <row r="321" spans="1:6" ht="12.5" x14ac:dyDescent="0.25">
      <c r="A321" s="3">
        <f ca="1">IFERROR(__xludf.DUMMYFUNCTION("""COMPUTED_VALUE"""),45393.6666666666)</f>
        <v>45393.666666666599</v>
      </c>
      <c r="B321" s="2">
        <f ca="1">IFERROR(__xludf.DUMMYFUNCTION("""COMPUTED_VALUE"""),425.82)</f>
        <v>425.82</v>
      </c>
      <c r="C321" s="2">
        <f ca="1">IFERROR(__xludf.DUMMYFUNCTION("""COMPUTED_VALUE"""),429.37)</f>
        <v>429.37</v>
      </c>
      <c r="D321" s="2">
        <f ca="1">IFERROR(__xludf.DUMMYFUNCTION("""COMPUTED_VALUE"""),422.36)</f>
        <v>422.36</v>
      </c>
      <c r="E321" s="2">
        <f ca="1">IFERROR(__xludf.DUMMYFUNCTION("""COMPUTED_VALUE"""),427.93)</f>
        <v>427.93</v>
      </c>
      <c r="F321" s="2">
        <f ca="1">IFERROR(__xludf.DUMMYFUNCTION("""COMPUTED_VALUE"""),17966423)</f>
        <v>17966423</v>
      </c>
    </row>
    <row r="322" spans="1:6" ht="12.5" x14ac:dyDescent="0.25">
      <c r="A322" s="3">
        <f ca="1">IFERROR(__xludf.DUMMYFUNCTION("""COMPUTED_VALUE"""),45394.6666666666)</f>
        <v>45394.666666666599</v>
      </c>
      <c r="B322" s="2">
        <f ca="1">IFERROR(__xludf.DUMMYFUNCTION("""COMPUTED_VALUE"""),424.05)</f>
        <v>424.05</v>
      </c>
      <c r="C322" s="2">
        <f ca="1">IFERROR(__xludf.DUMMYFUNCTION("""COMPUTED_VALUE"""),425.18)</f>
        <v>425.18</v>
      </c>
      <c r="D322" s="2">
        <f ca="1">IFERROR(__xludf.DUMMYFUNCTION("""COMPUTED_VALUE"""),419.77)</f>
        <v>419.77</v>
      </c>
      <c r="E322" s="2">
        <f ca="1">IFERROR(__xludf.DUMMYFUNCTION("""COMPUTED_VALUE"""),421.9)</f>
        <v>421.9</v>
      </c>
      <c r="F322" s="2">
        <f ca="1">IFERROR(__xludf.DUMMYFUNCTION("""COMPUTED_VALUE"""),19253750)</f>
        <v>19253750</v>
      </c>
    </row>
    <row r="323" spans="1:6" ht="12.5" x14ac:dyDescent="0.25">
      <c r="A323" s="3">
        <f ca="1">IFERROR(__xludf.DUMMYFUNCTION("""COMPUTED_VALUE"""),45397.6666666666)</f>
        <v>45397.666666666599</v>
      </c>
      <c r="B323" s="2">
        <f ca="1">IFERROR(__xludf.DUMMYFUNCTION("""COMPUTED_VALUE"""),426.6)</f>
        <v>426.6</v>
      </c>
      <c r="C323" s="2">
        <f ca="1">IFERROR(__xludf.DUMMYFUNCTION("""COMPUTED_VALUE"""),426.82)</f>
        <v>426.82</v>
      </c>
      <c r="D323" s="2">
        <f ca="1">IFERROR(__xludf.DUMMYFUNCTION("""COMPUTED_VALUE"""),413.43)</f>
        <v>413.43</v>
      </c>
      <c r="E323" s="2">
        <f ca="1">IFERROR(__xludf.DUMMYFUNCTION("""COMPUTED_VALUE"""),413.64)</f>
        <v>413.64</v>
      </c>
      <c r="F323" s="2">
        <f ca="1">IFERROR(__xludf.DUMMYFUNCTION("""COMPUTED_VALUE"""),20273538)</f>
        <v>20273538</v>
      </c>
    </row>
    <row r="324" spans="1:6" ht="12.5" x14ac:dyDescent="0.25">
      <c r="A324" s="3">
        <f ca="1">IFERROR(__xludf.DUMMYFUNCTION("""COMPUTED_VALUE"""),45398.6666666666)</f>
        <v>45398.666666666599</v>
      </c>
      <c r="B324" s="2">
        <f ca="1">IFERROR(__xludf.DUMMYFUNCTION("""COMPUTED_VALUE"""),414.57)</f>
        <v>414.57</v>
      </c>
      <c r="C324" s="2">
        <f ca="1">IFERROR(__xludf.DUMMYFUNCTION("""COMPUTED_VALUE"""),418.4)</f>
        <v>418.4</v>
      </c>
      <c r="D324" s="2">
        <f ca="1">IFERROR(__xludf.DUMMYFUNCTION("""COMPUTED_VALUE"""),413.73)</f>
        <v>413.73</v>
      </c>
      <c r="E324" s="2">
        <f ca="1">IFERROR(__xludf.DUMMYFUNCTION("""COMPUTED_VALUE"""),414.58)</f>
        <v>414.58</v>
      </c>
      <c r="F324" s="2">
        <f ca="1">IFERROR(__xludf.DUMMYFUNCTION("""COMPUTED_VALUE"""),16765616)</f>
        <v>16765616</v>
      </c>
    </row>
    <row r="325" spans="1:6" ht="12.5" x14ac:dyDescent="0.25">
      <c r="A325" s="3">
        <f ca="1">IFERROR(__xludf.DUMMYFUNCTION("""COMPUTED_VALUE"""),45399.6666666666)</f>
        <v>45399.666666666599</v>
      </c>
      <c r="B325" s="2">
        <f ca="1">IFERROR(__xludf.DUMMYFUNCTION("""COMPUTED_VALUE"""),417.25)</f>
        <v>417.25</v>
      </c>
      <c r="C325" s="2">
        <f ca="1">IFERROR(__xludf.DUMMYFUNCTION("""COMPUTED_VALUE"""),418.88)</f>
        <v>418.88</v>
      </c>
      <c r="D325" s="2">
        <f ca="1">IFERROR(__xludf.DUMMYFUNCTION("""COMPUTED_VALUE"""),410.33)</f>
        <v>410.33</v>
      </c>
      <c r="E325" s="2">
        <f ca="1">IFERROR(__xludf.DUMMYFUNCTION("""COMPUTED_VALUE"""),411.84)</f>
        <v>411.84</v>
      </c>
      <c r="F325" s="2">
        <f ca="1">IFERROR(__xludf.DUMMYFUNCTION("""COMPUTED_VALUE"""),15855485)</f>
        <v>15855485</v>
      </c>
    </row>
    <row r="326" spans="1:6" ht="12.5" x14ac:dyDescent="0.25">
      <c r="A326" s="3">
        <f ca="1">IFERROR(__xludf.DUMMYFUNCTION("""COMPUTED_VALUE"""),45400.6666666666)</f>
        <v>45400.666666666599</v>
      </c>
      <c r="B326" s="2">
        <f ca="1">IFERROR(__xludf.DUMMYFUNCTION("""COMPUTED_VALUE"""),410.63)</f>
        <v>410.63</v>
      </c>
      <c r="C326" s="2">
        <f ca="1">IFERROR(__xludf.DUMMYFUNCTION("""COMPUTED_VALUE"""),411.89)</f>
        <v>411.89</v>
      </c>
      <c r="D326" s="2">
        <f ca="1">IFERROR(__xludf.DUMMYFUNCTION("""COMPUTED_VALUE"""),403.95)</f>
        <v>403.95</v>
      </c>
      <c r="E326" s="2">
        <f ca="1">IFERROR(__xludf.DUMMYFUNCTION("""COMPUTED_VALUE"""),404.27)</f>
        <v>404.27</v>
      </c>
      <c r="F326" s="2">
        <f ca="1">IFERROR(__xludf.DUMMYFUNCTION("""COMPUTED_VALUE"""),21029917)</f>
        <v>21029917</v>
      </c>
    </row>
    <row r="327" spans="1:6" ht="12.5" x14ac:dyDescent="0.25">
      <c r="A327" s="3">
        <f ca="1">IFERROR(__xludf.DUMMYFUNCTION("""COMPUTED_VALUE"""),45401.6666666666)</f>
        <v>45401.666666666599</v>
      </c>
      <c r="B327" s="2">
        <f ca="1">IFERROR(__xludf.DUMMYFUNCTION("""COMPUTED_VALUE"""),404.03)</f>
        <v>404.03</v>
      </c>
      <c r="C327" s="2">
        <f ca="1">IFERROR(__xludf.DUMMYFUNCTION("""COMPUTED_VALUE"""),405.48)</f>
        <v>405.48</v>
      </c>
      <c r="D327" s="2">
        <f ca="1">IFERROR(__xludf.DUMMYFUNCTION("""COMPUTED_VALUE"""),397.77)</f>
        <v>397.77</v>
      </c>
      <c r="E327" s="2">
        <f ca="1">IFERROR(__xludf.DUMMYFUNCTION("""COMPUTED_VALUE"""),399.12)</f>
        <v>399.12</v>
      </c>
      <c r="F327" s="2">
        <f ca="1">IFERROR(__xludf.DUMMYFUNCTION("""COMPUTED_VALUE"""),30565789)</f>
        <v>30565789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327"/>
  <sheetViews>
    <sheetView workbookViewId="0"/>
  </sheetViews>
  <sheetFormatPr defaultColWidth="12.6328125" defaultRowHeight="15.75" customHeight="1" x14ac:dyDescent="0.25"/>
  <sheetData>
    <row r="1" spans="1:6" ht="15.75" customHeight="1" x14ac:dyDescent="0.25">
      <c r="A1" s="2" t="str">
        <f ca="1">IFERROR(__xludf.DUMMYFUNCTION("GOOGLEFINANCE(""GOOG"",""all"",DATE(2023,1,1), today())"),"Date")</f>
        <v>Date</v>
      </c>
      <c r="B1" s="2" t="str">
        <f ca="1">IFERROR(__xludf.DUMMYFUNCTION("""COMPUTED_VALUE"""),"Open")</f>
        <v>Open</v>
      </c>
      <c r="C1" s="2" t="str">
        <f ca="1">IFERROR(__xludf.DUMMYFUNCTION("""COMPUTED_VALUE"""),"High")</f>
        <v>High</v>
      </c>
      <c r="D1" s="2" t="str">
        <f ca="1">IFERROR(__xludf.DUMMYFUNCTION("""COMPUTED_VALUE"""),"Low")</f>
        <v>Low</v>
      </c>
      <c r="E1" s="2" t="str">
        <f ca="1">IFERROR(__xludf.DUMMYFUNCTION("""COMPUTED_VALUE"""),"Close")</f>
        <v>Close</v>
      </c>
      <c r="F1" s="2" t="str">
        <f ca="1">IFERROR(__xludf.DUMMYFUNCTION("""COMPUTED_VALUE"""),"Volume")</f>
        <v>Volume</v>
      </c>
    </row>
    <row r="2" spans="1:6" ht="15.75" customHeight="1" x14ac:dyDescent="0.25">
      <c r="A2" s="3">
        <f ca="1">IFERROR(__xludf.DUMMYFUNCTION("""COMPUTED_VALUE"""),44929.6666666666)</f>
        <v>44929.666666666599</v>
      </c>
      <c r="B2" s="2">
        <f ca="1">IFERROR(__xludf.DUMMYFUNCTION("""COMPUTED_VALUE"""),89.83)</f>
        <v>89.83</v>
      </c>
      <c r="C2" s="2">
        <f ca="1">IFERROR(__xludf.DUMMYFUNCTION("""COMPUTED_VALUE"""),91.55)</f>
        <v>91.55</v>
      </c>
      <c r="D2" s="2">
        <f ca="1">IFERROR(__xludf.DUMMYFUNCTION("""COMPUTED_VALUE"""),89.02)</f>
        <v>89.02</v>
      </c>
      <c r="E2" s="2">
        <f ca="1">IFERROR(__xludf.DUMMYFUNCTION("""COMPUTED_VALUE"""),89.7)</f>
        <v>89.7</v>
      </c>
      <c r="F2" s="2">
        <f ca="1">IFERROR(__xludf.DUMMYFUNCTION("""COMPUTED_VALUE"""),20738457)</f>
        <v>20738457</v>
      </c>
    </row>
    <row r="3" spans="1:6" ht="15.75" customHeight="1" x14ac:dyDescent="0.25">
      <c r="A3" s="3">
        <f ca="1">IFERROR(__xludf.DUMMYFUNCTION("""COMPUTED_VALUE"""),44930.6666666666)</f>
        <v>44930.666666666599</v>
      </c>
      <c r="B3" s="2">
        <f ca="1">IFERROR(__xludf.DUMMYFUNCTION("""COMPUTED_VALUE"""),91.01)</f>
        <v>91.01</v>
      </c>
      <c r="C3" s="2">
        <f ca="1">IFERROR(__xludf.DUMMYFUNCTION("""COMPUTED_VALUE"""),91.24)</f>
        <v>91.24</v>
      </c>
      <c r="D3" s="2">
        <f ca="1">IFERROR(__xludf.DUMMYFUNCTION("""COMPUTED_VALUE"""),87.8)</f>
        <v>87.8</v>
      </c>
      <c r="E3" s="2">
        <f ca="1">IFERROR(__xludf.DUMMYFUNCTION("""COMPUTED_VALUE"""),88.71)</f>
        <v>88.71</v>
      </c>
      <c r="F3" s="2">
        <f ca="1">IFERROR(__xludf.DUMMYFUNCTION("""COMPUTED_VALUE"""),27046483)</f>
        <v>27046483</v>
      </c>
    </row>
    <row r="4" spans="1:6" ht="15.75" customHeight="1" x14ac:dyDescent="0.25">
      <c r="A4" s="3">
        <f ca="1">IFERROR(__xludf.DUMMYFUNCTION("""COMPUTED_VALUE"""),44931.6666666666)</f>
        <v>44931.666666666599</v>
      </c>
      <c r="B4" s="2">
        <f ca="1">IFERROR(__xludf.DUMMYFUNCTION("""COMPUTED_VALUE"""),88.07)</f>
        <v>88.07</v>
      </c>
      <c r="C4" s="2">
        <f ca="1">IFERROR(__xludf.DUMMYFUNCTION("""COMPUTED_VALUE"""),88.21)</f>
        <v>88.21</v>
      </c>
      <c r="D4" s="2">
        <f ca="1">IFERROR(__xludf.DUMMYFUNCTION("""COMPUTED_VALUE"""),86.56)</f>
        <v>86.56</v>
      </c>
      <c r="E4" s="2">
        <f ca="1">IFERROR(__xludf.DUMMYFUNCTION("""COMPUTED_VALUE"""),86.77)</f>
        <v>86.77</v>
      </c>
      <c r="F4" s="2">
        <f ca="1">IFERROR(__xludf.DUMMYFUNCTION("""COMPUTED_VALUE"""),23136084)</f>
        <v>23136084</v>
      </c>
    </row>
    <row r="5" spans="1:6" ht="15.75" customHeight="1" x14ac:dyDescent="0.25">
      <c r="A5" s="3">
        <f ca="1">IFERROR(__xludf.DUMMYFUNCTION("""COMPUTED_VALUE"""),44932.6666666666)</f>
        <v>44932.666666666599</v>
      </c>
      <c r="B5" s="2">
        <f ca="1">IFERROR(__xludf.DUMMYFUNCTION("""COMPUTED_VALUE"""),87.36)</f>
        <v>87.36</v>
      </c>
      <c r="C5" s="2">
        <f ca="1">IFERROR(__xludf.DUMMYFUNCTION("""COMPUTED_VALUE"""),88.47)</f>
        <v>88.47</v>
      </c>
      <c r="D5" s="2">
        <f ca="1">IFERROR(__xludf.DUMMYFUNCTION("""COMPUTED_VALUE"""),85.57)</f>
        <v>85.57</v>
      </c>
      <c r="E5" s="2">
        <f ca="1">IFERROR(__xludf.DUMMYFUNCTION("""COMPUTED_VALUE"""),88.16)</f>
        <v>88.16</v>
      </c>
      <c r="F5" s="2">
        <f ca="1">IFERROR(__xludf.DUMMYFUNCTION("""COMPUTED_VALUE"""),26612628)</f>
        <v>26612628</v>
      </c>
    </row>
    <row r="6" spans="1:6" ht="15.75" customHeight="1" x14ac:dyDescent="0.25">
      <c r="A6" s="3">
        <f ca="1">IFERROR(__xludf.DUMMYFUNCTION("""COMPUTED_VALUE"""),44935.6666666666)</f>
        <v>44935.666666666599</v>
      </c>
      <c r="B6" s="2">
        <f ca="1">IFERROR(__xludf.DUMMYFUNCTION("""COMPUTED_VALUE"""),89.2)</f>
        <v>89.2</v>
      </c>
      <c r="C6" s="2">
        <f ca="1">IFERROR(__xludf.DUMMYFUNCTION("""COMPUTED_VALUE"""),90.83)</f>
        <v>90.83</v>
      </c>
      <c r="D6" s="2">
        <f ca="1">IFERROR(__xludf.DUMMYFUNCTION("""COMPUTED_VALUE"""),88.58)</f>
        <v>88.58</v>
      </c>
      <c r="E6" s="2">
        <f ca="1">IFERROR(__xludf.DUMMYFUNCTION("""COMPUTED_VALUE"""),88.8)</f>
        <v>88.8</v>
      </c>
      <c r="F6" s="2">
        <f ca="1">IFERROR(__xludf.DUMMYFUNCTION("""COMPUTED_VALUE"""),22996681)</f>
        <v>22996681</v>
      </c>
    </row>
    <row r="7" spans="1:6" ht="15.75" customHeight="1" x14ac:dyDescent="0.25">
      <c r="A7" s="3">
        <f ca="1">IFERROR(__xludf.DUMMYFUNCTION("""COMPUTED_VALUE"""),44936.6666666666)</f>
        <v>44936.666666666599</v>
      </c>
      <c r="B7" s="2">
        <f ca="1">IFERROR(__xludf.DUMMYFUNCTION("""COMPUTED_VALUE"""),86.72)</f>
        <v>86.72</v>
      </c>
      <c r="C7" s="2">
        <f ca="1">IFERROR(__xludf.DUMMYFUNCTION("""COMPUTED_VALUE"""),89.48)</f>
        <v>89.48</v>
      </c>
      <c r="D7" s="2">
        <f ca="1">IFERROR(__xludf.DUMMYFUNCTION("""COMPUTED_VALUE"""),86.7)</f>
        <v>86.7</v>
      </c>
      <c r="E7" s="2">
        <f ca="1">IFERROR(__xludf.DUMMYFUNCTION("""COMPUTED_VALUE"""),89.24)</f>
        <v>89.24</v>
      </c>
      <c r="F7" s="2">
        <f ca="1">IFERROR(__xludf.DUMMYFUNCTION("""COMPUTED_VALUE"""),22855590)</f>
        <v>22855590</v>
      </c>
    </row>
    <row r="8" spans="1:6" ht="15.75" customHeight="1" x14ac:dyDescent="0.25">
      <c r="A8" s="3">
        <f ca="1">IFERROR(__xludf.DUMMYFUNCTION("""COMPUTED_VALUE"""),44937.6666666666)</f>
        <v>44937.666666666599</v>
      </c>
      <c r="B8" s="2">
        <f ca="1">IFERROR(__xludf.DUMMYFUNCTION("""COMPUTED_VALUE"""),90.06)</f>
        <v>90.06</v>
      </c>
      <c r="C8" s="2">
        <f ca="1">IFERROR(__xludf.DUMMYFUNCTION("""COMPUTED_VALUE"""),92.45)</f>
        <v>92.45</v>
      </c>
      <c r="D8" s="2">
        <f ca="1">IFERROR(__xludf.DUMMYFUNCTION("""COMPUTED_VALUE"""),89.74)</f>
        <v>89.74</v>
      </c>
      <c r="E8" s="2">
        <f ca="1">IFERROR(__xludf.DUMMYFUNCTION("""COMPUTED_VALUE"""),92.26)</f>
        <v>92.26</v>
      </c>
      <c r="F8" s="2">
        <f ca="1">IFERROR(__xludf.DUMMYFUNCTION("""COMPUTED_VALUE"""),25998844)</f>
        <v>25998844</v>
      </c>
    </row>
    <row r="9" spans="1:6" ht="15.75" customHeight="1" x14ac:dyDescent="0.25">
      <c r="A9" s="3">
        <f ca="1">IFERROR(__xludf.DUMMYFUNCTION("""COMPUTED_VALUE"""),44938.6666666666)</f>
        <v>44938.666666666599</v>
      </c>
      <c r="B9" s="2">
        <f ca="1">IFERROR(__xludf.DUMMYFUNCTION("""COMPUTED_VALUE"""),92.4)</f>
        <v>92.4</v>
      </c>
      <c r="C9" s="2">
        <f ca="1">IFERROR(__xludf.DUMMYFUNCTION("""COMPUTED_VALUE"""),92.62)</f>
        <v>92.62</v>
      </c>
      <c r="D9" s="2">
        <f ca="1">IFERROR(__xludf.DUMMYFUNCTION("""COMPUTED_VALUE"""),90.57)</f>
        <v>90.57</v>
      </c>
      <c r="E9" s="2">
        <f ca="1">IFERROR(__xludf.DUMMYFUNCTION("""COMPUTED_VALUE"""),91.91)</f>
        <v>91.91</v>
      </c>
      <c r="F9" s="2">
        <f ca="1">IFERROR(__xludf.DUMMYFUNCTION("""COMPUTED_VALUE"""),22754216)</f>
        <v>22754216</v>
      </c>
    </row>
    <row r="10" spans="1:6" ht="15.75" customHeight="1" x14ac:dyDescent="0.25">
      <c r="A10" s="3">
        <f ca="1">IFERROR(__xludf.DUMMYFUNCTION("""COMPUTED_VALUE"""),44939.6666666666)</f>
        <v>44939.666666666599</v>
      </c>
      <c r="B10" s="2">
        <f ca="1">IFERROR(__xludf.DUMMYFUNCTION("""COMPUTED_VALUE"""),91.53)</f>
        <v>91.53</v>
      </c>
      <c r="C10" s="2">
        <f ca="1">IFERROR(__xludf.DUMMYFUNCTION("""COMPUTED_VALUE"""),92.98)</f>
        <v>92.98</v>
      </c>
      <c r="D10" s="2">
        <f ca="1">IFERROR(__xludf.DUMMYFUNCTION("""COMPUTED_VALUE"""),90.93)</f>
        <v>90.93</v>
      </c>
      <c r="E10" s="2">
        <f ca="1">IFERROR(__xludf.DUMMYFUNCTION("""COMPUTED_VALUE"""),92.8)</f>
        <v>92.8</v>
      </c>
      <c r="F10" s="2">
        <f ca="1">IFERROR(__xludf.DUMMYFUNCTION("""COMPUTED_VALUE"""),18630709)</f>
        <v>18630709</v>
      </c>
    </row>
    <row r="11" spans="1:6" ht="15.75" customHeight="1" x14ac:dyDescent="0.25">
      <c r="A11" s="3">
        <f ca="1">IFERROR(__xludf.DUMMYFUNCTION("""COMPUTED_VALUE"""),44943.6666666666)</f>
        <v>44943.666666666599</v>
      </c>
      <c r="B11" s="2">
        <f ca="1">IFERROR(__xludf.DUMMYFUNCTION("""COMPUTED_VALUE"""),92.78)</f>
        <v>92.78</v>
      </c>
      <c r="C11" s="2">
        <f ca="1">IFERROR(__xludf.DUMMYFUNCTION("""COMPUTED_VALUE"""),92.97)</f>
        <v>92.97</v>
      </c>
      <c r="D11" s="2">
        <f ca="1">IFERROR(__xludf.DUMMYFUNCTION("""COMPUTED_VALUE"""),90.84)</f>
        <v>90.84</v>
      </c>
      <c r="E11" s="2">
        <f ca="1">IFERROR(__xludf.DUMMYFUNCTION("""COMPUTED_VALUE"""),92.16)</f>
        <v>92.16</v>
      </c>
      <c r="F11" s="2">
        <f ca="1">IFERROR(__xludf.DUMMYFUNCTION("""COMPUTED_VALUE"""),22935823)</f>
        <v>22935823</v>
      </c>
    </row>
    <row r="12" spans="1:6" ht="15.75" customHeight="1" x14ac:dyDescent="0.25">
      <c r="A12" s="3">
        <f ca="1">IFERROR(__xludf.DUMMYFUNCTION("""COMPUTED_VALUE"""),44944.6666666666)</f>
        <v>44944.666666666599</v>
      </c>
      <c r="B12" s="2">
        <f ca="1">IFERROR(__xludf.DUMMYFUNCTION("""COMPUTED_VALUE"""),92.94)</f>
        <v>92.94</v>
      </c>
      <c r="C12" s="2">
        <f ca="1">IFERROR(__xludf.DUMMYFUNCTION("""COMPUTED_VALUE"""),93.59)</f>
        <v>93.59</v>
      </c>
      <c r="D12" s="2">
        <f ca="1">IFERROR(__xludf.DUMMYFUNCTION("""COMPUTED_VALUE"""),91.4)</f>
        <v>91.4</v>
      </c>
      <c r="E12" s="2">
        <f ca="1">IFERROR(__xludf.DUMMYFUNCTION("""COMPUTED_VALUE"""),91.78)</f>
        <v>91.78</v>
      </c>
      <c r="F12" s="2">
        <f ca="1">IFERROR(__xludf.DUMMYFUNCTION("""COMPUTED_VALUE"""),19641622)</f>
        <v>19641622</v>
      </c>
    </row>
    <row r="13" spans="1:6" ht="15.75" customHeight="1" x14ac:dyDescent="0.25">
      <c r="A13" s="3">
        <f ca="1">IFERROR(__xludf.DUMMYFUNCTION("""COMPUTED_VALUE"""),44945.6666666666)</f>
        <v>44945.666666666599</v>
      </c>
      <c r="B13" s="2">
        <f ca="1">IFERROR(__xludf.DUMMYFUNCTION("""COMPUTED_VALUE"""),91.39)</f>
        <v>91.39</v>
      </c>
      <c r="C13" s="2">
        <f ca="1">IFERROR(__xludf.DUMMYFUNCTION("""COMPUTED_VALUE"""),94.4)</f>
        <v>94.4</v>
      </c>
      <c r="D13" s="2">
        <f ca="1">IFERROR(__xludf.DUMMYFUNCTION("""COMPUTED_VALUE"""),91.38)</f>
        <v>91.38</v>
      </c>
      <c r="E13" s="2">
        <f ca="1">IFERROR(__xludf.DUMMYFUNCTION("""COMPUTED_VALUE"""),93.91)</f>
        <v>93.91</v>
      </c>
      <c r="F13" s="2">
        <f ca="1">IFERROR(__xludf.DUMMYFUNCTION("""COMPUTED_VALUE"""),28707653)</f>
        <v>28707653</v>
      </c>
    </row>
    <row r="14" spans="1:6" ht="15.75" customHeight="1" x14ac:dyDescent="0.25">
      <c r="A14" s="3">
        <f ca="1">IFERROR(__xludf.DUMMYFUNCTION("""COMPUTED_VALUE"""),44946.6666666666)</f>
        <v>44946.666666666599</v>
      </c>
      <c r="B14" s="2">
        <f ca="1">IFERROR(__xludf.DUMMYFUNCTION("""COMPUTED_VALUE"""),95.95)</f>
        <v>95.95</v>
      </c>
      <c r="C14" s="2">
        <f ca="1">IFERROR(__xludf.DUMMYFUNCTION("""COMPUTED_VALUE"""),99.42)</f>
        <v>99.42</v>
      </c>
      <c r="D14" s="2">
        <f ca="1">IFERROR(__xludf.DUMMYFUNCTION("""COMPUTED_VALUE"""),95.91)</f>
        <v>95.91</v>
      </c>
      <c r="E14" s="2">
        <f ca="1">IFERROR(__xludf.DUMMYFUNCTION("""COMPUTED_VALUE"""),99.28)</f>
        <v>99.28</v>
      </c>
      <c r="F14" s="2">
        <f ca="1">IFERROR(__xludf.DUMMYFUNCTION("""COMPUTED_VALUE"""),53704763)</f>
        <v>53704763</v>
      </c>
    </row>
    <row r="15" spans="1:6" ht="15.75" customHeight="1" x14ac:dyDescent="0.25">
      <c r="A15" s="3">
        <f ca="1">IFERROR(__xludf.DUMMYFUNCTION("""COMPUTED_VALUE"""),44949.6666666666)</f>
        <v>44949.666666666599</v>
      </c>
      <c r="B15" s="2">
        <f ca="1">IFERROR(__xludf.DUMMYFUNCTION("""COMPUTED_VALUE"""),99.13)</f>
        <v>99.13</v>
      </c>
      <c r="C15" s="2">
        <f ca="1">IFERROR(__xludf.DUMMYFUNCTION("""COMPUTED_VALUE"""),101.4)</f>
        <v>101.4</v>
      </c>
      <c r="D15" s="2">
        <f ca="1">IFERROR(__xludf.DUMMYFUNCTION("""COMPUTED_VALUE"""),98.75)</f>
        <v>98.75</v>
      </c>
      <c r="E15" s="2">
        <f ca="1">IFERROR(__xludf.DUMMYFUNCTION("""COMPUTED_VALUE"""),101.21)</f>
        <v>101.21</v>
      </c>
      <c r="F15" s="2">
        <f ca="1">IFERROR(__xludf.DUMMYFUNCTION("""COMPUTED_VALUE"""),31791782)</f>
        <v>31791782</v>
      </c>
    </row>
    <row r="16" spans="1:6" ht="15.75" customHeight="1" x14ac:dyDescent="0.25">
      <c r="A16" s="3">
        <f ca="1">IFERROR(__xludf.DUMMYFUNCTION("""COMPUTED_VALUE"""),44950.6666666666)</f>
        <v>44950.666666666599</v>
      </c>
      <c r="B16" s="2">
        <f ca="1">IFERROR(__xludf.DUMMYFUNCTION("""COMPUTED_VALUE"""),99.55)</f>
        <v>99.55</v>
      </c>
      <c r="C16" s="2">
        <f ca="1">IFERROR(__xludf.DUMMYFUNCTION("""COMPUTED_VALUE"""),101.09)</f>
        <v>101.09</v>
      </c>
      <c r="D16" s="2">
        <f ca="1">IFERROR(__xludf.DUMMYFUNCTION("""COMPUTED_VALUE"""),98.7)</f>
        <v>98.7</v>
      </c>
      <c r="E16" s="2">
        <f ca="1">IFERROR(__xludf.DUMMYFUNCTION("""COMPUTED_VALUE"""),99.21)</f>
        <v>99.21</v>
      </c>
      <c r="F16" s="2">
        <f ca="1">IFERROR(__xludf.DUMMYFUNCTION("""COMPUTED_VALUE"""),27391372)</f>
        <v>27391372</v>
      </c>
    </row>
    <row r="17" spans="1:6" ht="15.75" customHeight="1" x14ac:dyDescent="0.25">
      <c r="A17" s="3">
        <f ca="1">IFERROR(__xludf.DUMMYFUNCTION("""COMPUTED_VALUE"""),44951.6666666666)</f>
        <v>44951.666666666599</v>
      </c>
      <c r="B17" s="2">
        <f ca="1">IFERROR(__xludf.DUMMYFUNCTION("""COMPUTED_VALUE"""),97.2)</f>
        <v>97.2</v>
      </c>
      <c r="C17" s="2">
        <f ca="1">IFERROR(__xludf.DUMMYFUNCTION("""COMPUTED_VALUE"""),97.72)</f>
        <v>97.72</v>
      </c>
      <c r="D17" s="2">
        <f ca="1">IFERROR(__xludf.DUMMYFUNCTION("""COMPUTED_VALUE"""),95.26)</f>
        <v>95.26</v>
      </c>
      <c r="E17" s="2">
        <f ca="1">IFERROR(__xludf.DUMMYFUNCTION("""COMPUTED_VALUE"""),96.73)</f>
        <v>96.73</v>
      </c>
      <c r="F17" s="2">
        <f ca="1">IFERROR(__xludf.DUMMYFUNCTION("""COMPUTED_VALUE"""),31000850)</f>
        <v>31000850</v>
      </c>
    </row>
    <row r="18" spans="1:6" ht="15.75" customHeight="1" x14ac:dyDescent="0.25">
      <c r="A18" s="3">
        <f ca="1">IFERROR(__xludf.DUMMYFUNCTION("""COMPUTED_VALUE"""),44952.6666666666)</f>
        <v>44952.666666666599</v>
      </c>
      <c r="B18" s="2">
        <f ca="1">IFERROR(__xludf.DUMMYFUNCTION("""COMPUTED_VALUE"""),98.28)</f>
        <v>98.28</v>
      </c>
      <c r="C18" s="2">
        <f ca="1">IFERROR(__xludf.DUMMYFUNCTION("""COMPUTED_VALUE"""),99.21)</f>
        <v>99.21</v>
      </c>
      <c r="D18" s="2">
        <f ca="1">IFERROR(__xludf.DUMMYFUNCTION("""COMPUTED_VALUE"""),96.82)</f>
        <v>96.82</v>
      </c>
      <c r="E18" s="2">
        <f ca="1">IFERROR(__xludf.DUMMYFUNCTION("""COMPUTED_VALUE"""),99.16)</f>
        <v>99.16</v>
      </c>
      <c r="F18" s="2">
        <f ca="1">IFERROR(__xludf.DUMMYFUNCTION("""COMPUTED_VALUE"""),24542060)</f>
        <v>24542060</v>
      </c>
    </row>
    <row r="19" spans="1:6" ht="15.75" customHeight="1" x14ac:dyDescent="0.25">
      <c r="A19" s="3">
        <f ca="1">IFERROR(__xludf.DUMMYFUNCTION("""COMPUTED_VALUE"""),44953.6666666666)</f>
        <v>44953.666666666599</v>
      </c>
      <c r="B19" s="2">
        <f ca="1">IFERROR(__xludf.DUMMYFUNCTION("""COMPUTED_VALUE"""),99.05)</f>
        <v>99.05</v>
      </c>
      <c r="C19" s="2">
        <f ca="1">IFERROR(__xludf.DUMMYFUNCTION("""COMPUTED_VALUE"""),101.58)</f>
        <v>101.58</v>
      </c>
      <c r="D19" s="2">
        <f ca="1">IFERROR(__xludf.DUMMYFUNCTION("""COMPUTED_VALUE"""),98.97)</f>
        <v>98.97</v>
      </c>
      <c r="E19" s="2">
        <f ca="1">IFERROR(__xludf.DUMMYFUNCTION("""COMPUTED_VALUE"""),100.71)</f>
        <v>100.71</v>
      </c>
      <c r="F19" s="2">
        <f ca="1">IFERROR(__xludf.DUMMYFUNCTION("""COMPUTED_VALUE"""),29020354)</f>
        <v>29020354</v>
      </c>
    </row>
    <row r="20" spans="1:6" ht="15.75" customHeight="1" x14ac:dyDescent="0.25">
      <c r="A20" s="3">
        <f ca="1">IFERROR(__xludf.DUMMYFUNCTION("""COMPUTED_VALUE"""),44956.6666666666)</f>
        <v>44956.666666666599</v>
      </c>
      <c r="B20" s="2">
        <f ca="1">IFERROR(__xludf.DUMMYFUNCTION("""COMPUTED_VALUE"""),98.75)</f>
        <v>98.75</v>
      </c>
      <c r="C20" s="2">
        <f ca="1">IFERROR(__xludf.DUMMYFUNCTION("""COMPUTED_VALUE"""),99.41)</f>
        <v>99.41</v>
      </c>
      <c r="D20" s="2">
        <f ca="1">IFERROR(__xludf.DUMMYFUNCTION("""COMPUTED_VALUE"""),97.52)</f>
        <v>97.52</v>
      </c>
      <c r="E20" s="2">
        <f ca="1">IFERROR(__xludf.DUMMYFUNCTION("""COMPUTED_VALUE"""),97.95)</f>
        <v>97.95</v>
      </c>
      <c r="F20" s="2">
        <f ca="1">IFERROR(__xludf.DUMMYFUNCTION("""COMPUTED_VALUE"""),24365142)</f>
        <v>24365142</v>
      </c>
    </row>
    <row r="21" spans="1:6" ht="15.75" customHeight="1" x14ac:dyDescent="0.25">
      <c r="A21" s="3">
        <f ca="1">IFERROR(__xludf.DUMMYFUNCTION("""COMPUTED_VALUE"""),44957.6666666666)</f>
        <v>44957.666666666599</v>
      </c>
      <c r="B21" s="2">
        <f ca="1">IFERROR(__xludf.DUMMYFUNCTION("""COMPUTED_VALUE"""),97.86)</f>
        <v>97.86</v>
      </c>
      <c r="C21" s="2">
        <f ca="1">IFERROR(__xludf.DUMMYFUNCTION("""COMPUTED_VALUE"""),99.91)</f>
        <v>99.91</v>
      </c>
      <c r="D21" s="2">
        <f ca="1">IFERROR(__xludf.DUMMYFUNCTION("""COMPUTED_VALUE"""),97.79)</f>
        <v>97.79</v>
      </c>
      <c r="E21" s="2">
        <f ca="1">IFERROR(__xludf.DUMMYFUNCTION("""COMPUTED_VALUE"""),99.87)</f>
        <v>99.87</v>
      </c>
      <c r="F21" s="2">
        <f ca="1">IFERROR(__xludf.DUMMYFUNCTION("""COMPUTED_VALUE"""),22306778)</f>
        <v>22306778</v>
      </c>
    </row>
    <row r="22" spans="1:6" ht="15.75" customHeight="1" x14ac:dyDescent="0.25">
      <c r="A22" s="3">
        <f ca="1">IFERROR(__xludf.DUMMYFUNCTION("""COMPUTED_VALUE"""),44958.6666666666)</f>
        <v>44958.666666666599</v>
      </c>
      <c r="B22" s="2">
        <f ca="1">IFERROR(__xludf.DUMMYFUNCTION("""COMPUTED_VALUE"""),99.74)</f>
        <v>99.74</v>
      </c>
      <c r="C22" s="2">
        <f ca="1">IFERROR(__xludf.DUMMYFUNCTION("""COMPUTED_VALUE"""),102.19)</f>
        <v>102.19</v>
      </c>
      <c r="D22" s="2">
        <f ca="1">IFERROR(__xludf.DUMMYFUNCTION("""COMPUTED_VALUE"""),98.42)</f>
        <v>98.42</v>
      </c>
      <c r="E22" s="2">
        <f ca="1">IFERROR(__xludf.DUMMYFUNCTION("""COMPUTED_VALUE"""),101.43)</f>
        <v>101.43</v>
      </c>
      <c r="F22" s="2">
        <f ca="1">IFERROR(__xludf.DUMMYFUNCTION("""COMPUTED_VALUE"""),26392568)</f>
        <v>26392568</v>
      </c>
    </row>
    <row r="23" spans="1:6" ht="15.75" customHeight="1" x14ac:dyDescent="0.25">
      <c r="A23" s="3">
        <f ca="1">IFERROR(__xludf.DUMMYFUNCTION("""COMPUTED_VALUE"""),44959.6666666666)</f>
        <v>44959.666666666599</v>
      </c>
      <c r="B23" s="2">
        <f ca="1">IFERROR(__xludf.DUMMYFUNCTION("""COMPUTED_VALUE"""),106.79)</f>
        <v>106.79</v>
      </c>
      <c r="C23" s="2">
        <f ca="1">IFERROR(__xludf.DUMMYFUNCTION("""COMPUTED_VALUE"""),108.82)</f>
        <v>108.82</v>
      </c>
      <c r="D23" s="2">
        <f ca="1">IFERROR(__xludf.DUMMYFUNCTION("""COMPUTED_VALUE"""),106.54)</f>
        <v>106.54</v>
      </c>
      <c r="E23" s="2">
        <f ca="1">IFERROR(__xludf.DUMMYFUNCTION("""COMPUTED_VALUE"""),108.8)</f>
        <v>108.8</v>
      </c>
      <c r="F23" s="2">
        <f ca="1">IFERROR(__xludf.DUMMYFUNCTION("""COMPUTED_VALUE"""),46622627)</f>
        <v>46622627</v>
      </c>
    </row>
    <row r="24" spans="1:6" ht="15.75" customHeight="1" x14ac:dyDescent="0.25">
      <c r="A24" s="3">
        <f ca="1">IFERROR(__xludf.DUMMYFUNCTION("""COMPUTED_VALUE"""),44960.6666666666)</f>
        <v>44960.666666666599</v>
      </c>
      <c r="B24" s="2">
        <f ca="1">IFERROR(__xludf.DUMMYFUNCTION("""COMPUTED_VALUE"""),103.51)</f>
        <v>103.51</v>
      </c>
      <c r="C24" s="2">
        <f ca="1">IFERROR(__xludf.DUMMYFUNCTION("""COMPUTED_VALUE"""),108.02)</f>
        <v>108.02</v>
      </c>
      <c r="D24" s="2">
        <f ca="1">IFERROR(__xludf.DUMMYFUNCTION("""COMPUTED_VALUE"""),103.3)</f>
        <v>103.3</v>
      </c>
      <c r="E24" s="2">
        <f ca="1">IFERROR(__xludf.DUMMYFUNCTION("""COMPUTED_VALUE"""),105.22)</f>
        <v>105.22</v>
      </c>
      <c r="F24" s="2">
        <f ca="1">IFERROR(__xludf.DUMMYFUNCTION("""COMPUTED_VALUE"""),36823421)</f>
        <v>36823421</v>
      </c>
    </row>
    <row r="25" spans="1:6" ht="15.75" customHeight="1" x14ac:dyDescent="0.25">
      <c r="A25" s="3">
        <f ca="1">IFERROR(__xludf.DUMMYFUNCTION("""COMPUTED_VALUE"""),44963.6666666666)</f>
        <v>44963.666666666599</v>
      </c>
      <c r="B25" s="2">
        <f ca="1">IFERROR(__xludf.DUMMYFUNCTION("""COMPUTED_VALUE"""),102.69)</f>
        <v>102.69</v>
      </c>
      <c r="C25" s="2">
        <f ca="1">IFERROR(__xludf.DUMMYFUNCTION("""COMPUTED_VALUE"""),104.7)</f>
        <v>104.7</v>
      </c>
      <c r="D25" s="2">
        <f ca="1">IFERROR(__xludf.DUMMYFUNCTION("""COMPUTED_VALUE"""),102.21)</f>
        <v>102.21</v>
      </c>
      <c r="E25" s="2">
        <f ca="1">IFERROR(__xludf.DUMMYFUNCTION("""COMPUTED_VALUE"""),103.47)</f>
        <v>103.47</v>
      </c>
      <c r="F25" s="2">
        <f ca="1">IFERROR(__xludf.DUMMYFUNCTION("""COMPUTED_VALUE"""),25573046)</f>
        <v>25573046</v>
      </c>
    </row>
    <row r="26" spans="1:6" ht="15.75" customHeight="1" x14ac:dyDescent="0.25">
      <c r="A26" s="3">
        <f ca="1">IFERROR(__xludf.DUMMYFUNCTION("""COMPUTED_VALUE"""),44964.6666666666)</f>
        <v>44964.666666666599</v>
      </c>
      <c r="B26" s="2">
        <f ca="1">IFERROR(__xludf.DUMMYFUNCTION("""COMPUTED_VALUE"""),103.63)</f>
        <v>103.63</v>
      </c>
      <c r="C26" s="2">
        <f ca="1">IFERROR(__xludf.DUMMYFUNCTION("""COMPUTED_VALUE"""),108.67)</f>
        <v>108.67</v>
      </c>
      <c r="D26" s="2">
        <f ca="1">IFERROR(__xludf.DUMMYFUNCTION("""COMPUTED_VALUE"""),103.55)</f>
        <v>103.55</v>
      </c>
      <c r="E26" s="2">
        <f ca="1">IFERROR(__xludf.DUMMYFUNCTION("""COMPUTED_VALUE"""),108.04)</f>
        <v>108.04</v>
      </c>
      <c r="F26" s="2">
        <f ca="1">IFERROR(__xludf.DUMMYFUNCTION("""COMPUTED_VALUE"""),33738828)</f>
        <v>33738828</v>
      </c>
    </row>
    <row r="27" spans="1:6" ht="15.75" customHeight="1" x14ac:dyDescent="0.25">
      <c r="A27" s="3">
        <f ca="1">IFERROR(__xludf.DUMMYFUNCTION("""COMPUTED_VALUE"""),44965.6666666666)</f>
        <v>44965.666666666599</v>
      </c>
      <c r="B27" s="2">
        <f ca="1">IFERROR(__xludf.DUMMYFUNCTION("""COMPUTED_VALUE"""),102.69)</f>
        <v>102.69</v>
      </c>
      <c r="C27" s="2">
        <f ca="1">IFERROR(__xludf.DUMMYFUNCTION("""COMPUTED_VALUE"""),103.58)</f>
        <v>103.58</v>
      </c>
      <c r="D27" s="2">
        <f ca="1">IFERROR(__xludf.DUMMYFUNCTION("""COMPUTED_VALUE"""),98.46)</f>
        <v>98.46</v>
      </c>
      <c r="E27" s="2">
        <f ca="1">IFERROR(__xludf.DUMMYFUNCTION("""COMPUTED_VALUE"""),100)</f>
        <v>100</v>
      </c>
      <c r="F27" s="2">
        <f ca="1">IFERROR(__xludf.DUMMYFUNCTION("""COMPUTED_VALUE"""),73546029)</f>
        <v>73546029</v>
      </c>
    </row>
    <row r="28" spans="1:6" ht="15.75" customHeight="1" x14ac:dyDescent="0.25">
      <c r="A28" s="3">
        <f ca="1">IFERROR(__xludf.DUMMYFUNCTION("""COMPUTED_VALUE"""),44966.6666666666)</f>
        <v>44966.666666666599</v>
      </c>
      <c r="B28" s="2">
        <f ca="1">IFERROR(__xludf.DUMMYFUNCTION("""COMPUTED_VALUE"""),100.54)</f>
        <v>100.54</v>
      </c>
      <c r="C28" s="2">
        <f ca="1">IFERROR(__xludf.DUMMYFUNCTION("""COMPUTED_VALUE"""),100.61)</f>
        <v>100.61</v>
      </c>
      <c r="D28" s="2">
        <f ca="1">IFERROR(__xludf.DUMMYFUNCTION("""COMPUTED_VALUE"""),93.86)</f>
        <v>93.86</v>
      </c>
      <c r="E28" s="2">
        <f ca="1">IFERROR(__xludf.DUMMYFUNCTION("""COMPUTED_VALUE"""),95.46)</f>
        <v>95.46</v>
      </c>
      <c r="F28" s="2">
        <f ca="1">IFERROR(__xludf.DUMMYFUNCTION("""COMPUTED_VALUE"""),97798573)</f>
        <v>97798573</v>
      </c>
    </row>
    <row r="29" spans="1:6" ht="15.75" customHeight="1" x14ac:dyDescent="0.25">
      <c r="A29" s="3">
        <f ca="1">IFERROR(__xludf.DUMMYFUNCTION("""COMPUTED_VALUE"""),44967.6666666666)</f>
        <v>44967.666666666599</v>
      </c>
      <c r="B29" s="2">
        <f ca="1">IFERROR(__xludf.DUMMYFUNCTION("""COMPUTED_VALUE"""),95.74)</f>
        <v>95.74</v>
      </c>
      <c r="C29" s="2">
        <f ca="1">IFERROR(__xludf.DUMMYFUNCTION("""COMPUTED_VALUE"""),97.02)</f>
        <v>97.02</v>
      </c>
      <c r="D29" s="2">
        <f ca="1">IFERROR(__xludf.DUMMYFUNCTION("""COMPUTED_VALUE"""),94.53)</f>
        <v>94.53</v>
      </c>
      <c r="E29" s="2">
        <f ca="1">IFERROR(__xludf.DUMMYFUNCTION("""COMPUTED_VALUE"""),94.86)</f>
        <v>94.86</v>
      </c>
      <c r="F29" s="2">
        <f ca="1">IFERROR(__xludf.DUMMYFUNCTION("""COMPUTED_VALUE"""),49325275)</f>
        <v>49325275</v>
      </c>
    </row>
    <row r="30" spans="1:6" ht="15.75" customHeight="1" x14ac:dyDescent="0.25">
      <c r="A30" s="3">
        <f ca="1">IFERROR(__xludf.DUMMYFUNCTION("""COMPUTED_VALUE"""),44970.6666666666)</f>
        <v>44970.666666666599</v>
      </c>
      <c r="B30" s="2">
        <f ca="1">IFERROR(__xludf.DUMMYFUNCTION("""COMPUTED_VALUE"""),95.01)</f>
        <v>95.01</v>
      </c>
      <c r="C30" s="2">
        <f ca="1">IFERROR(__xludf.DUMMYFUNCTION("""COMPUTED_VALUE"""),95.35)</f>
        <v>95.35</v>
      </c>
      <c r="D30" s="2">
        <f ca="1">IFERROR(__xludf.DUMMYFUNCTION("""COMPUTED_VALUE"""),94.05)</f>
        <v>94.05</v>
      </c>
      <c r="E30" s="2">
        <f ca="1">IFERROR(__xludf.DUMMYFUNCTION("""COMPUTED_VALUE"""),95)</f>
        <v>95</v>
      </c>
      <c r="F30" s="2">
        <f ca="1">IFERROR(__xludf.DUMMYFUNCTION("""COMPUTED_VALUE"""),43116559)</f>
        <v>43116559</v>
      </c>
    </row>
    <row r="31" spans="1:6" ht="15.75" customHeight="1" x14ac:dyDescent="0.25">
      <c r="A31" s="3">
        <f ca="1">IFERROR(__xludf.DUMMYFUNCTION("""COMPUTED_VALUE"""),44971.6666666666)</f>
        <v>44971.666666666599</v>
      </c>
      <c r="B31" s="2">
        <f ca="1">IFERROR(__xludf.DUMMYFUNCTION("""COMPUTED_VALUE"""),94.66)</f>
        <v>94.66</v>
      </c>
      <c r="C31" s="2">
        <f ca="1">IFERROR(__xludf.DUMMYFUNCTION("""COMPUTED_VALUE"""),95.18)</f>
        <v>95.18</v>
      </c>
      <c r="D31" s="2">
        <f ca="1">IFERROR(__xludf.DUMMYFUNCTION("""COMPUTED_VALUE"""),92.65)</f>
        <v>92.65</v>
      </c>
      <c r="E31" s="2">
        <f ca="1">IFERROR(__xludf.DUMMYFUNCTION("""COMPUTED_VALUE"""),94.95)</f>
        <v>94.95</v>
      </c>
      <c r="F31" s="2">
        <f ca="1">IFERROR(__xludf.DUMMYFUNCTION("""COMPUTED_VALUE"""),42513079)</f>
        <v>42513079</v>
      </c>
    </row>
    <row r="32" spans="1:6" ht="15.75" customHeight="1" x14ac:dyDescent="0.25">
      <c r="A32" s="3">
        <f ca="1">IFERROR(__xludf.DUMMYFUNCTION("""COMPUTED_VALUE"""),44972.6666666666)</f>
        <v>44972.666666666599</v>
      </c>
      <c r="B32" s="2">
        <f ca="1">IFERROR(__xludf.DUMMYFUNCTION("""COMPUTED_VALUE"""),94.74)</f>
        <v>94.74</v>
      </c>
      <c r="C32" s="2">
        <f ca="1">IFERROR(__xludf.DUMMYFUNCTION("""COMPUTED_VALUE"""),97.34)</f>
        <v>97.34</v>
      </c>
      <c r="D32" s="2">
        <f ca="1">IFERROR(__xludf.DUMMYFUNCTION("""COMPUTED_VALUE"""),94.36)</f>
        <v>94.36</v>
      </c>
      <c r="E32" s="2">
        <f ca="1">IFERROR(__xludf.DUMMYFUNCTION("""COMPUTED_VALUE"""),97.1)</f>
        <v>97.1</v>
      </c>
      <c r="F32" s="2">
        <f ca="1">IFERROR(__xludf.DUMMYFUNCTION("""COMPUTED_VALUE"""),37029885)</f>
        <v>37029885</v>
      </c>
    </row>
    <row r="33" spans="1:6" ht="15.75" customHeight="1" x14ac:dyDescent="0.25">
      <c r="A33" s="3">
        <f ca="1">IFERROR(__xludf.DUMMYFUNCTION("""COMPUTED_VALUE"""),44973.6666666666)</f>
        <v>44973.666666666599</v>
      </c>
      <c r="B33" s="2">
        <f ca="1">IFERROR(__xludf.DUMMYFUNCTION("""COMPUTED_VALUE"""),95.54)</f>
        <v>95.54</v>
      </c>
      <c r="C33" s="2">
        <f ca="1">IFERROR(__xludf.DUMMYFUNCTION("""COMPUTED_VALUE"""),97.88)</f>
        <v>97.88</v>
      </c>
      <c r="D33" s="2">
        <f ca="1">IFERROR(__xludf.DUMMYFUNCTION("""COMPUTED_VALUE"""),94.97)</f>
        <v>94.97</v>
      </c>
      <c r="E33" s="2">
        <f ca="1">IFERROR(__xludf.DUMMYFUNCTION("""COMPUTED_VALUE"""),95.78)</f>
        <v>95.78</v>
      </c>
      <c r="F33" s="2">
        <f ca="1">IFERROR(__xludf.DUMMYFUNCTION("""COMPUTED_VALUE"""),35642106)</f>
        <v>35642106</v>
      </c>
    </row>
    <row r="34" spans="1:6" ht="15.75" customHeight="1" x14ac:dyDescent="0.25">
      <c r="A34" s="3">
        <f ca="1">IFERROR(__xludf.DUMMYFUNCTION("""COMPUTED_VALUE"""),44974.6666666666)</f>
        <v>44974.666666666599</v>
      </c>
      <c r="B34" s="2">
        <f ca="1">IFERROR(__xludf.DUMMYFUNCTION("""COMPUTED_VALUE"""),95.07)</f>
        <v>95.07</v>
      </c>
      <c r="C34" s="2">
        <f ca="1">IFERROR(__xludf.DUMMYFUNCTION("""COMPUTED_VALUE"""),95.75)</f>
        <v>95.75</v>
      </c>
      <c r="D34" s="2">
        <f ca="1">IFERROR(__xludf.DUMMYFUNCTION("""COMPUTED_VALUE"""),93.45)</f>
        <v>93.45</v>
      </c>
      <c r="E34" s="2">
        <f ca="1">IFERROR(__xludf.DUMMYFUNCTION("""COMPUTED_VALUE"""),94.59)</f>
        <v>94.59</v>
      </c>
      <c r="F34" s="2">
        <f ca="1">IFERROR(__xludf.DUMMYFUNCTION("""COMPUTED_VALUE"""),31095067)</f>
        <v>31095067</v>
      </c>
    </row>
    <row r="35" spans="1:6" ht="15.75" customHeight="1" x14ac:dyDescent="0.25">
      <c r="A35" s="3">
        <f ca="1">IFERROR(__xludf.DUMMYFUNCTION("""COMPUTED_VALUE"""),44978.6666666666)</f>
        <v>44978.666666666599</v>
      </c>
      <c r="B35" s="2">
        <f ca="1">IFERROR(__xludf.DUMMYFUNCTION("""COMPUTED_VALUE"""),93.24)</f>
        <v>93.24</v>
      </c>
      <c r="C35" s="2">
        <f ca="1">IFERROR(__xludf.DUMMYFUNCTION("""COMPUTED_VALUE"""),93.41)</f>
        <v>93.41</v>
      </c>
      <c r="D35" s="2">
        <f ca="1">IFERROR(__xludf.DUMMYFUNCTION("""COMPUTED_VALUE"""),92)</f>
        <v>92</v>
      </c>
      <c r="E35" s="2">
        <f ca="1">IFERROR(__xludf.DUMMYFUNCTION("""COMPUTED_VALUE"""),92.05)</f>
        <v>92.05</v>
      </c>
      <c r="F35" s="2">
        <f ca="1">IFERROR(__xludf.DUMMYFUNCTION("""COMPUTED_VALUE"""),28367198)</f>
        <v>28367198</v>
      </c>
    </row>
    <row r="36" spans="1:6" ht="15.75" customHeight="1" x14ac:dyDescent="0.25">
      <c r="A36" s="3">
        <f ca="1">IFERROR(__xludf.DUMMYFUNCTION("""COMPUTED_VALUE"""),44979.6666666666)</f>
        <v>44979.666666666599</v>
      </c>
      <c r="B36" s="2">
        <f ca="1">IFERROR(__xludf.DUMMYFUNCTION("""COMPUTED_VALUE"""),91.93)</f>
        <v>91.93</v>
      </c>
      <c r="C36" s="2">
        <f ca="1">IFERROR(__xludf.DUMMYFUNCTION("""COMPUTED_VALUE"""),92.36)</f>
        <v>92.36</v>
      </c>
      <c r="D36" s="2">
        <f ca="1">IFERROR(__xludf.DUMMYFUNCTION("""COMPUTED_VALUE"""),90.87)</f>
        <v>90.87</v>
      </c>
      <c r="E36" s="2">
        <f ca="1">IFERROR(__xludf.DUMMYFUNCTION("""COMPUTED_VALUE"""),91.8)</f>
        <v>91.8</v>
      </c>
      <c r="F36" s="2">
        <f ca="1">IFERROR(__xludf.DUMMYFUNCTION("""COMPUTED_VALUE"""),29891135)</f>
        <v>29891135</v>
      </c>
    </row>
    <row r="37" spans="1:6" ht="15.75" customHeight="1" x14ac:dyDescent="0.25">
      <c r="A37" s="3">
        <f ca="1">IFERROR(__xludf.DUMMYFUNCTION("""COMPUTED_VALUE"""),44980.6666666666)</f>
        <v>44980.666666666599</v>
      </c>
      <c r="B37" s="2">
        <f ca="1">IFERROR(__xludf.DUMMYFUNCTION("""COMPUTED_VALUE"""),92.13)</f>
        <v>92.13</v>
      </c>
      <c r="C37" s="2">
        <f ca="1">IFERROR(__xludf.DUMMYFUNCTION("""COMPUTED_VALUE"""),92.13)</f>
        <v>92.13</v>
      </c>
      <c r="D37" s="2">
        <f ca="1">IFERROR(__xludf.DUMMYFUNCTION("""COMPUTED_VALUE"""),90.01)</f>
        <v>90.01</v>
      </c>
      <c r="E37" s="2">
        <f ca="1">IFERROR(__xludf.DUMMYFUNCTION("""COMPUTED_VALUE"""),91.07)</f>
        <v>91.07</v>
      </c>
      <c r="F37" s="2">
        <f ca="1">IFERROR(__xludf.DUMMYFUNCTION("""COMPUTED_VALUE"""),32423720)</f>
        <v>32423720</v>
      </c>
    </row>
    <row r="38" spans="1:6" ht="15.75" customHeight="1" x14ac:dyDescent="0.25">
      <c r="A38" s="3">
        <f ca="1">IFERROR(__xludf.DUMMYFUNCTION("""COMPUTED_VALUE"""),44981.6666666666)</f>
        <v>44981.666666666599</v>
      </c>
      <c r="B38" s="2">
        <f ca="1">IFERROR(__xludf.DUMMYFUNCTION("""COMPUTED_VALUE"""),89.63)</f>
        <v>89.63</v>
      </c>
      <c r="C38" s="2">
        <f ca="1">IFERROR(__xludf.DUMMYFUNCTION("""COMPUTED_VALUE"""),90.13)</f>
        <v>90.13</v>
      </c>
      <c r="D38" s="2">
        <f ca="1">IFERROR(__xludf.DUMMYFUNCTION("""COMPUTED_VALUE"""),88.86)</f>
        <v>88.86</v>
      </c>
      <c r="E38" s="2">
        <f ca="1">IFERROR(__xludf.DUMMYFUNCTION("""COMPUTED_VALUE"""),89.35)</f>
        <v>89.35</v>
      </c>
      <c r="F38" s="2">
        <f ca="1">IFERROR(__xludf.DUMMYFUNCTION("""COMPUTED_VALUE"""),31295619)</f>
        <v>31295619</v>
      </c>
    </row>
    <row r="39" spans="1:6" ht="15.75" customHeight="1" x14ac:dyDescent="0.25">
      <c r="A39" s="3">
        <f ca="1">IFERROR(__xludf.DUMMYFUNCTION("""COMPUTED_VALUE"""),44984.6666666666)</f>
        <v>44984.666666666599</v>
      </c>
      <c r="B39" s="2">
        <f ca="1">IFERROR(__xludf.DUMMYFUNCTION("""COMPUTED_VALUE"""),90.09)</f>
        <v>90.09</v>
      </c>
      <c r="C39" s="2">
        <f ca="1">IFERROR(__xludf.DUMMYFUNCTION("""COMPUTED_VALUE"""),90.45)</f>
        <v>90.45</v>
      </c>
      <c r="D39" s="2">
        <f ca="1">IFERROR(__xludf.DUMMYFUNCTION("""COMPUTED_VALUE"""),89.61)</f>
        <v>89.61</v>
      </c>
      <c r="E39" s="2">
        <f ca="1">IFERROR(__xludf.DUMMYFUNCTION("""COMPUTED_VALUE"""),90.1)</f>
        <v>90.1</v>
      </c>
      <c r="F39" s="2">
        <f ca="1">IFERROR(__xludf.DUMMYFUNCTION("""COMPUTED_VALUE"""),22724262)</f>
        <v>22724262</v>
      </c>
    </row>
    <row r="40" spans="1:6" ht="12.5" x14ac:dyDescent="0.25">
      <c r="A40" s="3">
        <f ca="1">IFERROR(__xludf.DUMMYFUNCTION("""COMPUTED_VALUE"""),44985.6666666666)</f>
        <v>44985.666666666599</v>
      </c>
      <c r="B40" s="2">
        <f ca="1">IFERROR(__xludf.DUMMYFUNCTION("""COMPUTED_VALUE"""),89.54)</f>
        <v>89.54</v>
      </c>
      <c r="C40" s="2">
        <f ca="1">IFERROR(__xludf.DUMMYFUNCTION("""COMPUTED_VALUE"""),91.45)</f>
        <v>91.45</v>
      </c>
      <c r="D40" s="2">
        <f ca="1">IFERROR(__xludf.DUMMYFUNCTION("""COMPUTED_VALUE"""),89.52)</f>
        <v>89.52</v>
      </c>
      <c r="E40" s="2">
        <f ca="1">IFERROR(__xludf.DUMMYFUNCTION("""COMPUTED_VALUE"""),90.3)</f>
        <v>90.3</v>
      </c>
      <c r="F40" s="2">
        <f ca="1">IFERROR(__xludf.DUMMYFUNCTION("""COMPUTED_VALUE"""),30546912)</f>
        <v>30546912</v>
      </c>
    </row>
    <row r="41" spans="1:6" ht="12.5" x14ac:dyDescent="0.25">
      <c r="A41" s="3">
        <f ca="1">IFERROR(__xludf.DUMMYFUNCTION("""COMPUTED_VALUE"""),44986.6666666666)</f>
        <v>44986.666666666599</v>
      </c>
      <c r="B41" s="2">
        <f ca="1">IFERROR(__xludf.DUMMYFUNCTION("""COMPUTED_VALUE"""),90.16)</f>
        <v>90.16</v>
      </c>
      <c r="C41" s="2">
        <f ca="1">IFERROR(__xludf.DUMMYFUNCTION("""COMPUTED_VALUE"""),91.2)</f>
        <v>91.2</v>
      </c>
      <c r="D41" s="2">
        <f ca="1">IFERROR(__xludf.DUMMYFUNCTION("""COMPUTED_VALUE"""),89.85)</f>
        <v>89.85</v>
      </c>
      <c r="E41" s="2">
        <f ca="1">IFERROR(__xludf.DUMMYFUNCTION("""COMPUTED_VALUE"""),90.51)</f>
        <v>90.51</v>
      </c>
      <c r="F41" s="2">
        <f ca="1">IFERROR(__xludf.DUMMYFUNCTION("""COMPUTED_VALUE"""),26323876)</f>
        <v>26323876</v>
      </c>
    </row>
    <row r="42" spans="1:6" ht="12.5" x14ac:dyDescent="0.25">
      <c r="A42" s="3">
        <f ca="1">IFERROR(__xludf.DUMMYFUNCTION("""COMPUTED_VALUE"""),44987.6666666666)</f>
        <v>44987.666666666599</v>
      </c>
      <c r="B42" s="2">
        <f ca="1">IFERROR(__xludf.DUMMYFUNCTION("""COMPUTED_VALUE"""),89.86)</f>
        <v>89.86</v>
      </c>
      <c r="C42" s="2">
        <f ca="1">IFERROR(__xludf.DUMMYFUNCTION("""COMPUTED_VALUE"""),92.48)</f>
        <v>92.48</v>
      </c>
      <c r="D42" s="2">
        <f ca="1">IFERROR(__xludf.DUMMYFUNCTION("""COMPUTED_VALUE"""),89.77)</f>
        <v>89.77</v>
      </c>
      <c r="E42" s="2">
        <f ca="1">IFERROR(__xludf.DUMMYFUNCTION("""COMPUTED_VALUE"""),92.31)</f>
        <v>92.31</v>
      </c>
      <c r="F42" s="2">
        <f ca="1">IFERROR(__xludf.DUMMYFUNCTION("""COMPUTED_VALUE"""),23344562)</f>
        <v>23344562</v>
      </c>
    </row>
    <row r="43" spans="1:6" ht="12.5" x14ac:dyDescent="0.25">
      <c r="A43" s="3">
        <f ca="1">IFERROR(__xludf.DUMMYFUNCTION("""COMPUTED_VALUE"""),44988.6666666666)</f>
        <v>44988.666666666599</v>
      </c>
      <c r="B43" s="2">
        <f ca="1">IFERROR(__xludf.DUMMYFUNCTION("""COMPUTED_VALUE"""),92.74)</f>
        <v>92.74</v>
      </c>
      <c r="C43" s="2">
        <f ca="1">IFERROR(__xludf.DUMMYFUNCTION("""COMPUTED_VALUE"""),94.11)</f>
        <v>94.11</v>
      </c>
      <c r="D43" s="2">
        <f ca="1">IFERROR(__xludf.DUMMYFUNCTION("""COMPUTED_VALUE"""),92.66)</f>
        <v>92.66</v>
      </c>
      <c r="E43" s="2">
        <f ca="1">IFERROR(__xludf.DUMMYFUNCTION("""COMPUTED_VALUE"""),94.02)</f>
        <v>94.02</v>
      </c>
      <c r="F43" s="2">
        <f ca="1">IFERROR(__xludf.DUMMYFUNCTION("""COMPUTED_VALUE"""),30242538)</f>
        <v>30242538</v>
      </c>
    </row>
    <row r="44" spans="1:6" ht="12.5" x14ac:dyDescent="0.25">
      <c r="A44" s="3">
        <f ca="1">IFERROR(__xludf.DUMMYFUNCTION("""COMPUTED_VALUE"""),44991.6666666666)</f>
        <v>44991.666666666599</v>
      </c>
      <c r="B44" s="2">
        <f ca="1">IFERROR(__xludf.DUMMYFUNCTION("""COMPUTED_VALUE"""),94.36)</f>
        <v>94.36</v>
      </c>
      <c r="C44" s="2">
        <f ca="1">IFERROR(__xludf.DUMMYFUNCTION("""COMPUTED_VALUE"""),96.3)</f>
        <v>96.3</v>
      </c>
      <c r="D44" s="2">
        <f ca="1">IFERROR(__xludf.DUMMYFUNCTION("""COMPUTED_VALUE"""),94.3)</f>
        <v>94.3</v>
      </c>
      <c r="E44" s="2">
        <f ca="1">IFERROR(__xludf.DUMMYFUNCTION("""COMPUTED_VALUE"""),95.58)</f>
        <v>95.58</v>
      </c>
      <c r="F44" s="2">
        <f ca="1">IFERROR(__xludf.DUMMYFUNCTION("""COMPUTED_VALUE"""),28288206)</f>
        <v>28288206</v>
      </c>
    </row>
    <row r="45" spans="1:6" ht="12.5" x14ac:dyDescent="0.25">
      <c r="A45" s="3">
        <f ca="1">IFERROR(__xludf.DUMMYFUNCTION("""COMPUTED_VALUE"""),44992.6666666666)</f>
        <v>44992.666666666599</v>
      </c>
      <c r="B45" s="2">
        <f ca="1">IFERROR(__xludf.DUMMYFUNCTION("""COMPUTED_VALUE"""),95.42)</f>
        <v>95.42</v>
      </c>
      <c r="C45" s="2">
        <f ca="1">IFERROR(__xludf.DUMMYFUNCTION("""COMPUTED_VALUE"""),96.09)</f>
        <v>96.09</v>
      </c>
      <c r="D45" s="2">
        <f ca="1">IFERROR(__xludf.DUMMYFUNCTION("""COMPUTED_VALUE"""),93.84)</f>
        <v>93.84</v>
      </c>
      <c r="E45" s="2">
        <f ca="1">IFERROR(__xludf.DUMMYFUNCTION("""COMPUTED_VALUE"""),94.17)</f>
        <v>94.17</v>
      </c>
      <c r="F45" s="2">
        <f ca="1">IFERROR(__xludf.DUMMYFUNCTION("""COMPUTED_VALUE"""),24101536)</f>
        <v>24101536</v>
      </c>
    </row>
    <row r="46" spans="1:6" ht="12.5" x14ac:dyDescent="0.25">
      <c r="A46" s="3">
        <f ca="1">IFERROR(__xludf.DUMMYFUNCTION("""COMPUTED_VALUE"""),44993.6666666666)</f>
        <v>44993.666666666599</v>
      </c>
      <c r="B46" s="2">
        <f ca="1">IFERROR(__xludf.DUMMYFUNCTION("""COMPUTED_VALUE"""),94.41)</f>
        <v>94.41</v>
      </c>
      <c r="C46" s="2">
        <f ca="1">IFERROR(__xludf.DUMMYFUNCTION("""COMPUTED_VALUE"""),96.24)</f>
        <v>96.24</v>
      </c>
      <c r="D46" s="2">
        <f ca="1">IFERROR(__xludf.DUMMYFUNCTION("""COMPUTED_VALUE"""),94.41)</f>
        <v>94.41</v>
      </c>
      <c r="E46" s="2">
        <f ca="1">IFERROR(__xludf.DUMMYFUNCTION("""COMPUTED_VALUE"""),94.65)</f>
        <v>94.65</v>
      </c>
      <c r="F46" s="2">
        <f ca="1">IFERROR(__xludf.DUMMYFUNCTION("""COMPUTED_VALUE"""),25395200)</f>
        <v>25395200</v>
      </c>
    </row>
    <row r="47" spans="1:6" ht="12.5" x14ac:dyDescent="0.25">
      <c r="A47" s="3">
        <f ca="1">IFERROR(__xludf.DUMMYFUNCTION("""COMPUTED_VALUE"""),44994.6666666666)</f>
        <v>44994.666666666599</v>
      </c>
      <c r="B47" s="2">
        <f ca="1">IFERROR(__xludf.DUMMYFUNCTION("""COMPUTED_VALUE"""),94.49)</f>
        <v>94.49</v>
      </c>
      <c r="C47" s="2">
        <f ca="1">IFERROR(__xludf.DUMMYFUNCTION("""COMPUTED_VALUE"""),95.92)</f>
        <v>95.92</v>
      </c>
      <c r="D47" s="2">
        <f ca="1">IFERROR(__xludf.DUMMYFUNCTION("""COMPUTED_VALUE"""),92.36)</f>
        <v>92.36</v>
      </c>
      <c r="E47" s="2">
        <f ca="1">IFERROR(__xludf.DUMMYFUNCTION("""COMPUTED_VALUE"""),92.66)</f>
        <v>92.66</v>
      </c>
      <c r="F47" s="2">
        <f ca="1">IFERROR(__xludf.DUMMYFUNCTION("""COMPUTED_VALUE"""),24438890)</f>
        <v>24438890</v>
      </c>
    </row>
    <row r="48" spans="1:6" ht="12.5" x14ac:dyDescent="0.25">
      <c r="A48" s="3">
        <f ca="1">IFERROR(__xludf.DUMMYFUNCTION("""COMPUTED_VALUE"""),44995.6666666666)</f>
        <v>44995.666666666599</v>
      </c>
      <c r="B48" s="2">
        <f ca="1">IFERROR(__xludf.DUMMYFUNCTION("""COMPUTED_VALUE"""),92.5)</f>
        <v>92.5</v>
      </c>
      <c r="C48" s="2">
        <f ca="1">IFERROR(__xludf.DUMMYFUNCTION("""COMPUTED_VALUE"""),93.18)</f>
        <v>93.18</v>
      </c>
      <c r="D48" s="2">
        <f ca="1">IFERROR(__xludf.DUMMYFUNCTION("""COMPUTED_VALUE"""),90.8)</f>
        <v>90.8</v>
      </c>
      <c r="E48" s="2">
        <f ca="1">IFERROR(__xludf.DUMMYFUNCTION("""COMPUTED_VALUE"""),91.01)</f>
        <v>91.01</v>
      </c>
      <c r="F48" s="2">
        <f ca="1">IFERROR(__xludf.DUMMYFUNCTION("""COMPUTED_VALUE"""),32850092)</f>
        <v>32850092</v>
      </c>
    </row>
    <row r="49" spans="1:6" ht="12.5" x14ac:dyDescent="0.25">
      <c r="A49" s="3">
        <f ca="1">IFERROR(__xludf.DUMMYFUNCTION("""COMPUTED_VALUE"""),44998.6666666666)</f>
        <v>44998.666666666599</v>
      </c>
      <c r="B49" s="2">
        <f ca="1">IFERROR(__xludf.DUMMYFUNCTION("""COMPUTED_VALUE"""),90.57)</f>
        <v>90.57</v>
      </c>
      <c r="C49" s="2">
        <f ca="1">IFERROR(__xludf.DUMMYFUNCTION("""COMPUTED_VALUE"""),93.08)</f>
        <v>93.08</v>
      </c>
      <c r="D49" s="2">
        <f ca="1">IFERROR(__xludf.DUMMYFUNCTION("""COMPUTED_VALUE"""),89.94)</f>
        <v>89.94</v>
      </c>
      <c r="E49" s="2">
        <f ca="1">IFERROR(__xludf.DUMMYFUNCTION("""COMPUTED_VALUE"""),91.66)</f>
        <v>91.66</v>
      </c>
      <c r="F49" s="2">
        <f ca="1">IFERROR(__xludf.DUMMYFUNCTION("""COMPUTED_VALUE"""),31508570)</f>
        <v>31508570</v>
      </c>
    </row>
    <row r="50" spans="1:6" ht="12.5" x14ac:dyDescent="0.25">
      <c r="A50" s="3">
        <f ca="1">IFERROR(__xludf.DUMMYFUNCTION("""COMPUTED_VALUE"""),44999.6666666666)</f>
        <v>44999.666666666599</v>
      </c>
      <c r="B50" s="2">
        <f ca="1">IFERROR(__xludf.DUMMYFUNCTION("""COMPUTED_VALUE"""),93.07)</f>
        <v>93.07</v>
      </c>
      <c r="C50" s="2">
        <f ca="1">IFERROR(__xludf.DUMMYFUNCTION("""COMPUTED_VALUE"""),94.83)</f>
        <v>94.83</v>
      </c>
      <c r="D50" s="2">
        <f ca="1">IFERROR(__xludf.DUMMYFUNCTION("""COMPUTED_VALUE"""),92.78)</f>
        <v>92.78</v>
      </c>
      <c r="E50" s="2">
        <f ca="1">IFERROR(__xludf.DUMMYFUNCTION("""COMPUTED_VALUE"""),94.25)</f>
        <v>94.25</v>
      </c>
      <c r="F50" s="2">
        <f ca="1">IFERROR(__xludf.DUMMYFUNCTION("""COMPUTED_VALUE"""),32303881)</f>
        <v>32303881</v>
      </c>
    </row>
    <row r="51" spans="1:6" ht="12.5" x14ac:dyDescent="0.25">
      <c r="A51" s="3">
        <f ca="1">IFERROR(__xludf.DUMMYFUNCTION("""COMPUTED_VALUE"""),45000.6666666666)</f>
        <v>45000.666666666599</v>
      </c>
      <c r="B51" s="2">
        <f ca="1">IFERROR(__xludf.DUMMYFUNCTION("""COMPUTED_VALUE"""),93.54)</f>
        <v>93.54</v>
      </c>
      <c r="C51" s="2">
        <f ca="1">IFERROR(__xludf.DUMMYFUNCTION("""COMPUTED_VALUE"""),97.25)</f>
        <v>97.25</v>
      </c>
      <c r="D51" s="2">
        <f ca="1">IFERROR(__xludf.DUMMYFUNCTION("""COMPUTED_VALUE"""),93.04)</f>
        <v>93.04</v>
      </c>
      <c r="E51" s="2">
        <f ca="1">IFERROR(__xludf.DUMMYFUNCTION("""COMPUTED_VALUE"""),96.55)</f>
        <v>96.55</v>
      </c>
      <c r="F51" s="2">
        <f ca="1">IFERROR(__xludf.DUMMYFUNCTION("""COMPUTED_VALUE"""),38367334)</f>
        <v>38367334</v>
      </c>
    </row>
    <row r="52" spans="1:6" ht="12.5" x14ac:dyDescent="0.25">
      <c r="A52" s="3">
        <f ca="1">IFERROR(__xludf.DUMMYFUNCTION("""COMPUTED_VALUE"""),45001.6666666666)</f>
        <v>45001.666666666599</v>
      </c>
      <c r="B52" s="2">
        <f ca="1">IFERROR(__xludf.DUMMYFUNCTION("""COMPUTED_VALUE"""),96.57)</f>
        <v>96.57</v>
      </c>
      <c r="C52" s="2">
        <f ca="1">IFERROR(__xludf.DUMMYFUNCTION("""COMPUTED_VALUE"""),101.97)</f>
        <v>101.97</v>
      </c>
      <c r="D52" s="2">
        <f ca="1">IFERROR(__xludf.DUMMYFUNCTION("""COMPUTED_VALUE"""),95.87)</f>
        <v>95.87</v>
      </c>
      <c r="E52" s="2">
        <f ca="1">IFERROR(__xludf.DUMMYFUNCTION("""COMPUTED_VALUE"""),101.07)</f>
        <v>101.07</v>
      </c>
      <c r="F52" s="2">
        <f ca="1">IFERROR(__xludf.DUMMYFUNCTION("""COMPUTED_VALUE"""),54588200)</f>
        <v>54588200</v>
      </c>
    </row>
    <row r="53" spans="1:6" ht="12.5" x14ac:dyDescent="0.25">
      <c r="A53" s="3">
        <f ca="1">IFERROR(__xludf.DUMMYFUNCTION("""COMPUTED_VALUE"""),45002.6666666666)</f>
        <v>45002.666666666599</v>
      </c>
      <c r="B53" s="2">
        <f ca="1">IFERROR(__xludf.DUMMYFUNCTION("""COMPUTED_VALUE"""),100.84)</f>
        <v>100.84</v>
      </c>
      <c r="C53" s="2">
        <f ca="1">IFERROR(__xludf.DUMMYFUNCTION("""COMPUTED_VALUE"""),103.49)</f>
        <v>103.49</v>
      </c>
      <c r="D53" s="2">
        <f ca="1">IFERROR(__xludf.DUMMYFUNCTION("""COMPUTED_VALUE"""),100.75)</f>
        <v>100.75</v>
      </c>
      <c r="E53" s="2">
        <f ca="1">IFERROR(__xludf.DUMMYFUNCTION("""COMPUTED_VALUE"""),102.46)</f>
        <v>102.46</v>
      </c>
      <c r="F53" s="2">
        <f ca="1">IFERROR(__xludf.DUMMYFUNCTION("""COMPUTED_VALUE"""),76140310)</f>
        <v>76140310</v>
      </c>
    </row>
    <row r="54" spans="1:6" ht="12.5" x14ac:dyDescent="0.25">
      <c r="A54" s="3">
        <f ca="1">IFERROR(__xludf.DUMMYFUNCTION("""COMPUTED_VALUE"""),45005.6666666666)</f>
        <v>45005.666666666599</v>
      </c>
      <c r="B54" s="2">
        <f ca="1">IFERROR(__xludf.DUMMYFUNCTION("""COMPUTED_VALUE"""),101.06)</f>
        <v>101.06</v>
      </c>
      <c r="C54" s="2">
        <f ca="1">IFERROR(__xludf.DUMMYFUNCTION("""COMPUTED_VALUE"""),102.58)</f>
        <v>102.58</v>
      </c>
      <c r="D54" s="2">
        <f ca="1">IFERROR(__xludf.DUMMYFUNCTION("""COMPUTED_VALUE"""),100.79)</f>
        <v>100.79</v>
      </c>
      <c r="E54" s="2">
        <f ca="1">IFERROR(__xludf.DUMMYFUNCTION("""COMPUTED_VALUE"""),101.93)</f>
        <v>101.93</v>
      </c>
      <c r="F54" s="2">
        <f ca="1">IFERROR(__xludf.DUMMYFUNCTION("""COMPUTED_VALUE"""),26033916)</f>
        <v>26033916</v>
      </c>
    </row>
    <row r="55" spans="1:6" ht="12.5" x14ac:dyDescent="0.25">
      <c r="A55" s="3">
        <f ca="1">IFERROR(__xludf.DUMMYFUNCTION("""COMPUTED_VALUE"""),45006.6666666666)</f>
        <v>45006.666666666599</v>
      </c>
      <c r="B55" s="2">
        <f ca="1">IFERROR(__xludf.DUMMYFUNCTION("""COMPUTED_VALUE"""),101.98)</f>
        <v>101.98</v>
      </c>
      <c r="C55" s="2">
        <f ca="1">IFERROR(__xludf.DUMMYFUNCTION("""COMPUTED_VALUE"""),105.96)</f>
        <v>105.96</v>
      </c>
      <c r="D55" s="2">
        <f ca="1">IFERROR(__xludf.DUMMYFUNCTION("""COMPUTED_VALUE"""),101.86)</f>
        <v>101.86</v>
      </c>
      <c r="E55" s="2">
        <f ca="1">IFERROR(__xludf.DUMMYFUNCTION("""COMPUTED_VALUE"""),105.84)</f>
        <v>105.84</v>
      </c>
      <c r="F55" s="2">
        <f ca="1">IFERROR(__xludf.DUMMYFUNCTION("""COMPUTED_VALUE"""),33122800)</f>
        <v>33122800</v>
      </c>
    </row>
    <row r="56" spans="1:6" ht="12.5" x14ac:dyDescent="0.25">
      <c r="A56" s="3">
        <f ca="1">IFERROR(__xludf.DUMMYFUNCTION("""COMPUTED_VALUE"""),45007.6666666666)</f>
        <v>45007.666666666599</v>
      </c>
      <c r="B56" s="2">
        <f ca="1">IFERROR(__xludf.DUMMYFUNCTION("""COMPUTED_VALUE"""),105.14)</f>
        <v>105.14</v>
      </c>
      <c r="C56" s="2">
        <f ca="1">IFERROR(__xludf.DUMMYFUNCTION("""COMPUTED_VALUE"""),107.51)</f>
        <v>107.51</v>
      </c>
      <c r="D56" s="2">
        <f ca="1">IFERROR(__xludf.DUMMYFUNCTION("""COMPUTED_VALUE"""),104.21)</f>
        <v>104.21</v>
      </c>
      <c r="E56" s="2">
        <f ca="1">IFERROR(__xludf.DUMMYFUNCTION("""COMPUTED_VALUE"""),104.22)</f>
        <v>104.22</v>
      </c>
      <c r="F56" s="2">
        <f ca="1">IFERROR(__xludf.DUMMYFUNCTION("""COMPUTED_VALUE"""),32336877)</f>
        <v>32336877</v>
      </c>
    </row>
    <row r="57" spans="1:6" ht="12.5" x14ac:dyDescent="0.25">
      <c r="A57" s="3">
        <f ca="1">IFERROR(__xludf.DUMMYFUNCTION("""COMPUTED_VALUE"""),45008.6666666666)</f>
        <v>45008.666666666599</v>
      </c>
      <c r="B57" s="2">
        <f ca="1">IFERROR(__xludf.DUMMYFUNCTION("""COMPUTED_VALUE"""),105.89)</f>
        <v>105.89</v>
      </c>
      <c r="C57" s="2">
        <f ca="1">IFERROR(__xludf.DUMMYFUNCTION("""COMPUTED_VALUE"""),107.1)</f>
        <v>107.1</v>
      </c>
      <c r="D57" s="2">
        <f ca="1">IFERROR(__xludf.DUMMYFUNCTION("""COMPUTED_VALUE"""),105.41)</f>
        <v>105.41</v>
      </c>
      <c r="E57" s="2">
        <f ca="1">IFERROR(__xludf.DUMMYFUNCTION("""COMPUTED_VALUE"""),106.26)</f>
        <v>106.26</v>
      </c>
      <c r="F57" s="2">
        <f ca="1">IFERROR(__xludf.DUMMYFUNCTION("""COMPUTED_VALUE"""),31385817)</f>
        <v>31385817</v>
      </c>
    </row>
    <row r="58" spans="1:6" ht="12.5" x14ac:dyDescent="0.25">
      <c r="A58" s="3">
        <f ca="1">IFERROR(__xludf.DUMMYFUNCTION("""COMPUTED_VALUE"""),45009.6666666666)</f>
        <v>45009.666666666599</v>
      </c>
      <c r="B58" s="2">
        <f ca="1">IFERROR(__xludf.DUMMYFUNCTION("""COMPUTED_VALUE"""),105.74)</f>
        <v>105.74</v>
      </c>
      <c r="C58" s="2">
        <f ca="1">IFERROR(__xludf.DUMMYFUNCTION("""COMPUTED_VALUE"""),106.16)</f>
        <v>106.16</v>
      </c>
      <c r="D58" s="2">
        <f ca="1">IFERROR(__xludf.DUMMYFUNCTION("""COMPUTED_VALUE"""),104.74)</f>
        <v>104.74</v>
      </c>
      <c r="E58" s="2">
        <f ca="1">IFERROR(__xludf.DUMMYFUNCTION("""COMPUTED_VALUE"""),106.06)</f>
        <v>106.06</v>
      </c>
      <c r="F58" s="2">
        <f ca="1">IFERROR(__xludf.DUMMYFUNCTION("""COMPUTED_VALUE"""),25245010)</f>
        <v>25245010</v>
      </c>
    </row>
    <row r="59" spans="1:6" ht="12.5" x14ac:dyDescent="0.25">
      <c r="A59" s="3">
        <f ca="1">IFERROR(__xludf.DUMMYFUNCTION("""COMPUTED_VALUE"""),45012.6666666666)</f>
        <v>45012.666666666599</v>
      </c>
      <c r="B59" s="2">
        <f ca="1">IFERROR(__xludf.DUMMYFUNCTION("""COMPUTED_VALUE"""),105.32)</f>
        <v>105.32</v>
      </c>
      <c r="C59" s="2">
        <f ca="1">IFERROR(__xludf.DUMMYFUNCTION("""COMPUTED_VALUE"""),105.4)</f>
        <v>105.4</v>
      </c>
      <c r="D59" s="2">
        <f ca="1">IFERROR(__xludf.DUMMYFUNCTION("""COMPUTED_VALUE"""),102.63)</f>
        <v>102.63</v>
      </c>
      <c r="E59" s="2">
        <f ca="1">IFERROR(__xludf.DUMMYFUNCTION("""COMPUTED_VALUE"""),103.06)</f>
        <v>103.06</v>
      </c>
      <c r="F59" s="2">
        <f ca="1">IFERROR(__xludf.DUMMYFUNCTION("""COMPUTED_VALUE"""),25393417)</f>
        <v>25393417</v>
      </c>
    </row>
    <row r="60" spans="1:6" ht="12.5" x14ac:dyDescent="0.25">
      <c r="A60" s="3">
        <f ca="1">IFERROR(__xludf.DUMMYFUNCTION("""COMPUTED_VALUE"""),45013.6666666666)</f>
        <v>45013.666666666599</v>
      </c>
      <c r="B60" s="2">
        <f ca="1">IFERROR(__xludf.DUMMYFUNCTION("""COMPUTED_VALUE"""),103)</f>
        <v>103</v>
      </c>
      <c r="C60" s="2">
        <f ca="1">IFERROR(__xludf.DUMMYFUNCTION("""COMPUTED_VALUE"""),103)</f>
        <v>103</v>
      </c>
      <c r="D60" s="2">
        <f ca="1">IFERROR(__xludf.DUMMYFUNCTION("""COMPUTED_VALUE"""),100.28)</f>
        <v>100.28</v>
      </c>
      <c r="E60" s="2">
        <f ca="1">IFERROR(__xludf.DUMMYFUNCTION("""COMPUTED_VALUE"""),101.36)</f>
        <v>101.36</v>
      </c>
      <c r="F60" s="2">
        <f ca="1">IFERROR(__xludf.DUMMYFUNCTION("""COMPUTED_VALUE"""),24913480)</f>
        <v>24913480</v>
      </c>
    </row>
    <row r="61" spans="1:6" ht="12.5" x14ac:dyDescent="0.25">
      <c r="A61" s="3">
        <f ca="1">IFERROR(__xludf.DUMMYFUNCTION("""COMPUTED_VALUE"""),45014.6666666666)</f>
        <v>45014.666666666599</v>
      </c>
      <c r="B61" s="2">
        <f ca="1">IFERROR(__xludf.DUMMYFUNCTION("""COMPUTED_VALUE"""),102.72)</f>
        <v>102.72</v>
      </c>
      <c r="C61" s="2">
        <f ca="1">IFERROR(__xludf.DUMMYFUNCTION("""COMPUTED_VALUE"""),102.82)</f>
        <v>102.82</v>
      </c>
      <c r="D61" s="2">
        <f ca="1">IFERROR(__xludf.DUMMYFUNCTION("""COMPUTED_VALUE"""),101.03)</f>
        <v>101.03</v>
      </c>
      <c r="E61" s="2">
        <f ca="1">IFERROR(__xludf.DUMMYFUNCTION("""COMPUTED_VALUE"""),101.9)</f>
        <v>101.9</v>
      </c>
      <c r="F61" s="2">
        <f ca="1">IFERROR(__xludf.DUMMYFUNCTION("""COMPUTED_VALUE"""),26148300)</f>
        <v>26148300</v>
      </c>
    </row>
    <row r="62" spans="1:6" ht="12.5" x14ac:dyDescent="0.25">
      <c r="A62" s="3">
        <f ca="1">IFERROR(__xludf.DUMMYFUNCTION("""COMPUTED_VALUE"""),45015.6666666666)</f>
        <v>45015.666666666599</v>
      </c>
      <c r="B62" s="2">
        <f ca="1">IFERROR(__xludf.DUMMYFUNCTION("""COMPUTED_VALUE"""),101.44)</f>
        <v>101.44</v>
      </c>
      <c r="C62" s="2">
        <f ca="1">IFERROR(__xludf.DUMMYFUNCTION("""COMPUTED_VALUE"""),101.61)</f>
        <v>101.61</v>
      </c>
      <c r="D62" s="2">
        <f ca="1">IFERROR(__xludf.DUMMYFUNCTION("""COMPUTED_VALUE"""),100.29)</f>
        <v>100.29</v>
      </c>
      <c r="E62" s="2">
        <f ca="1">IFERROR(__xludf.DUMMYFUNCTION("""COMPUTED_VALUE"""),101.32)</f>
        <v>101.32</v>
      </c>
      <c r="F62" s="2">
        <f ca="1">IFERROR(__xludf.DUMMYFUNCTION("""COMPUTED_VALUE"""),25009829)</f>
        <v>25009829</v>
      </c>
    </row>
    <row r="63" spans="1:6" ht="12.5" x14ac:dyDescent="0.25">
      <c r="A63" s="3">
        <f ca="1">IFERROR(__xludf.DUMMYFUNCTION("""COMPUTED_VALUE"""),45016.6666666666)</f>
        <v>45016.666666666599</v>
      </c>
      <c r="B63" s="2">
        <f ca="1">IFERROR(__xludf.DUMMYFUNCTION("""COMPUTED_VALUE"""),101.71)</f>
        <v>101.71</v>
      </c>
      <c r="C63" s="2">
        <f ca="1">IFERROR(__xludf.DUMMYFUNCTION("""COMPUTED_VALUE"""),104.19)</f>
        <v>104.19</v>
      </c>
      <c r="D63" s="2">
        <f ca="1">IFERROR(__xludf.DUMMYFUNCTION("""COMPUTED_VALUE"""),101.44)</f>
        <v>101.44</v>
      </c>
      <c r="E63" s="2">
        <f ca="1">IFERROR(__xludf.DUMMYFUNCTION("""COMPUTED_VALUE"""),104)</f>
        <v>104</v>
      </c>
      <c r="F63" s="2">
        <f ca="1">IFERROR(__xludf.DUMMYFUNCTION("""COMPUTED_VALUE"""),28107953)</f>
        <v>28107953</v>
      </c>
    </row>
    <row r="64" spans="1:6" ht="12.5" x14ac:dyDescent="0.25">
      <c r="A64" s="3">
        <f ca="1">IFERROR(__xludf.DUMMYFUNCTION("""COMPUTED_VALUE"""),45019.6666666666)</f>
        <v>45019.666666666599</v>
      </c>
      <c r="B64" s="2">
        <f ca="1">IFERROR(__xludf.DUMMYFUNCTION("""COMPUTED_VALUE"""),102.67)</f>
        <v>102.67</v>
      </c>
      <c r="C64" s="2">
        <f ca="1">IFERROR(__xludf.DUMMYFUNCTION("""COMPUTED_VALUE"""),104.95)</f>
        <v>104.95</v>
      </c>
      <c r="D64" s="2">
        <f ca="1">IFERROR(__xludf.DUMMYFUNCTION("""COMPUTED_VALUE"""),102.38)</f>
        <v>102.38</v>
      </c>
      <c r="E64" s="2">
        <f ca="1">IFERROR(__xludf.DUMMYFUNCTION("""COMPUTED_VALUE"""),104.91)</f>
        <v>104.91</v>
      </c>
      <c r="F64" s="2">
        <f ca="1">IFERROR(__xludf.DUMMYFUNCTION("""COMPUTED_VALUE"""),20719861)</f>
        <v>20719861</v>
      </c>
    </row>
    <row r="65" spans="1:6" ht="12.5" x14ac:dyDescent="0.25">
      <c r="A65" s="3">
        <f ca="1">IFERROR(__xludf.DUMMYFUNCTION("""COMPUTED_VALUE"""),45020.6666666666)</f>
        <v>45020.666666666599</v>
      </c>
      <c r="B65" s="2">
        <f ca="1">IFERROR(__xludf.DUMMYFUNCTION("""COMPUTED_VALUE"""),104.84)</f>
        <v>104.84</v>
      </c>
      <c r="C65" s="2">
        <f ca="1">IFERROR(__xludf.DUMMYFUNCTION("""COMPUTED_VALUE"""),106.1)</f>
        <v>106.1</v>
      </c>
      <c r="D65" s="2">
        <f ca="1">IFERROR(__xludf.DUMMYFUNCTION("""COMPUTED_VALUE"""),104.6)</f>
        <v>104.6</v>
      </c>
      <c r="E65" s="2">
        <f ca="1">IFERROR(__xludf.DUMMYFUNCTION("""COMPUTED_VALUE"""),105.12)</f>
        <v>105.12</v>
      </c>
      <c r="F65" s="2">
        <f ca="1">IFERROR(__xludf.DUMMYFUNCTION("""COMPUTED_VALUE"""),20377231)</f>
        <v>20377231</v>
      </c>
    </row>
    <row r="66" spans="1:6" ht="12.5" x14ac:dyDescent="0.25">
      <c r="A66" s="3">
        <f ca="1">IFERROR(__xludf.DUMMYFUNCTION("""COMPUTED_VALUE"""),45021.6666666666)</f>
        <v>45021.666666666599</v>
      </c>
      <c r="B66" s="2">
        <f ca="1">IFERROR(__xludf.DUMMYFUNCTION("""COMPUTED_VALUE"""),106.12)</f>
        <v>106.12</v>
      </c>
      <c r="C66" s="2">
        <f ca="1">IFERROR(__xludf.DUMMYFUNCTION("""COMPUTED_VALUE"""),106.54)</f>
        <v>106.54</v>
      </c>
      <c r="D66" s="2">
        <f ca="1">IFERROR(__xludf.DUMMYFUNCTION("""COMPUTED_VALUE"""),104.1)</f>
        <v>104.1</v>
      </c>
      <c r="E66" s="2">
        <f ca="1">IFERROR(__xludf.DUMMYFUNCTION("""COMPUTED_VALUE"""),104.95)</f>
        <v>104.95</v>
      </c>
      <c r="F66" s="2">
        <f ca="1">IFERROR(__xludf.DUMMYFUNCTION("""COMPUTED_VALUE"""),21864200)</f>
        <v>21864200</v>
      </c>
    </row>
    <row r="67" spans="1:6" ht="12.5" x14ac:dyDescent="0.25">
      <c r="A67" s="3">
        <f ca="1">IFERROR(__xludf.DUMMYFUNCTION("""COMPUTED_VALUE"""),45022.6666666666)</f>
        <v>45022.666666666599</v>
      </c>
      <c r="B67" s="2">
        <f ca="1">IFERROR(__xludf.DUMMYFUNCTION("""COMPUTED_VALUE"""),105.77)</f>
        <v>105.77</v>
      </c>
      <c r="C67" s="2">
        <f ca="1">IFERROR(__xludf.DUMMYFUNCTION("""COMPUTED_VALUE"""),109.63)</f>
        <v>109.63</v>
      </c>
      <c r="D67" s="2">
        <f ca="1">IFERROR(__xludf.DUMMYFUNCTION("""COMPUTED_VALUE"""),104.82)</f>
        <v>104.82</v>
      </c>
      <c r="E67" s="2">
        <f ca="1">IFERROR(__xludf.DUMMYFUNCTION("""COMPUTED_VALUE"""),108.9)</f>
        <v>108.9</v>
      </c>
      <c r="F67" s="2">
        <f ca="1">IFERROR(__xludf.DUMMYFUNCTION("""COMPUTED_VALUE"""),34684150)</f>
        <v>34684150</v>
      </c>
    </row>
    <row r="68" spans="1:6" ht="12.5" x14ac:dyDescent="0.25">
      <c r="A68" s="3">
        <f ca="1">IFERROR(__xludf.DUMMYFUNCTION("""COMPUTED_VALUE"""),45026.6666666666)</f>
        <v>45026.666666666599</v>
      </c>
      <c r="B68" s="2">
        <f ca="1">IFERROR(__xludf.DUMMYFUNCTION("""COMPUTED_VALUE"""),107.39)</f>
        <v>107.39</v>
      </c>
      <c r="C68" s="2">
        <f ca="1">IFERROR(__xludf.DUMMYFUNCTION("""COMPUTED_VALUE"""),107.97)</f>
        <v>107.97</v>
      </c>
      <c r="D68" s="2">
        <f ca="1">IFERROR(__xludf.DUMMYFUNCTION("""COMPUTED_VALUE"""),105.6)</f>
        <v>105.6</v>
      </c>
      <c r="E68" s="2">
        <f ca="1">IFERROR(__xludf.DUMMYFUNCTION("""COMPUTED_VALUE"""),106.95)</f>
        <v>106.95</v>
      </c>
      <c r="F68" s="2">
        <f ca="1">IFERROR(__xludf.DUMMYFUNCTION("""COMPUTED_VALUE"""),19741517)</f>
        <v>19741517</v>
      </c>
    </row>
    <row r="69" spans="1:6" ht="12.5" x14ac:dyDescent="0.25">
      <c r="A69" s="3">
        <f ca="1">IFERROR(__xludf.DUMMYFUNCTION("""COMPUTED_VALUE"""),45027.6666666666)</f>
        <v>45027.666666666599</v>
      </c>
      <c r="B69" s="2">
        <f ca="1">IFERROR(__xludf.DUMMYFUNCTION("""COMPUTED_VALUE"""),106.92)</f>
        <v>106.92</v>
      </c>
      <c r="C69" s="2">
        <f ca="1">IFERROR(__xludf.DUMMYFUNCTION("""COMPUTED_VALUE"""),107.22)</f>
        <v>107.22</v>
      </c>
      <c r="D69" s="2">
        <f ca="1">IFERROR(__xludf.DUMMYFUNCTION("""COMPUTED_VALUE"""),105.28)</f>
        <v>105.28</v>
      </c>
      <c r="E69" s="2">
        <f ca="1">IFERROR(__xludf.DUMMYFUNCTION("""COMPUTED_VALUE"""),106.12)</f>
        <v>106.12</v>
      </c>
      <c r="F69" s="2">
        <f ca="1">IFERROR(__xludf.DUMMYFUNCTION("""COMPUTED_VALUE"""),18721278)</f>
        <v>18721278</v>
      </c>
    </row>
    <row r="70" spans="1:6" ht="12.5" x14ac:dyDescent="0.25">
      <c r="A70" s="3">
        <f ca="1">IFERROR(__xludf.DUMMYFUNCTION("""COMPUTED_VALUE"""),45028.6666666666)</f>
        <v>45028.666666666599</v>
      </c>
      <c r="B70" s="2">
        <f ca="1">IFERROR(__xludf.DUMMYFUNCTION("""COMPUTED_VALUE"""),107.39)</f>
        <v>107.39</v>
      </c>
      <c r="C70" s="2">
        <f ca="1">IFERROR(__xludf.DUMMYFUNCTION("""COMPUTED_VALUE"""),107.59)</f>
        <v>107.59</v>
      </c>
      <c r="D70" s="2">
        <f ca="1">IFERROR(__xludf.DUMMYFUNCTION("""COMPUTED_VALUE"""),104.97)</f>
        <v>104.97</v>
      </c>
      <c r="E70" s="2">
        <f ca="1">IFERROR(__xludf.DUMMYFUNCTION("""COMPUTED_VALUE"""),105.22)</f>
        <v>105.22</v>
      </c>
      <c r="F70" s="2">
        <f ca="1">IFERROR(__xludf.DUMMYFUNCTION("""COMPUTED_VALUE"""),22761569)</f>
        <v>22761569</v>
      </c>
    </row>
    <row r="71" spans="1:6" ht="12.5" x14ac:dyDescent="0.25">
      <c r="A71" s="3">
        <f ca="1">IFERROR(__xludf.DUMMYFUNCTION("""COMPUTED_VALUE"""),45029.6666666666)</f>
        <v>45029.666666666599</v>
      </c>
      <c r="B71" s="2">
        <f ca="1">IFERROR(__xludf.DUMMYFUNCTION("""COMPUTED_VALUE"""),106.47)</f>
        <v>106.47</v>
      </c>
      <c r="C71" s="2">
        <f ca="1">IFERROR(__xludf.DUMMYFUNCTION("""COMPUTED_VALUE"""),108.27)</f>
        <v>108.27</v>
      </c>
      <c r="D71" s="2">
        <f ca="1">IFERROR(__xludf.DUMMYFUNCTION("""COMPUTED_VALUE"""),106.44)</f>
        <v>106.44</v>
      </c>
      <c r="E71" s="2">
        <f ca="1">IFERROR(__xludf.DUMMYFUNCTION("""COMPUTED_VALUE"""),108.19)</f>
        <v>108.19</v>
      </c>
      <c r="F71" s="2">
        <f ca="1">IFERROR(__xludf.DUMMYFUNCTION("""COMPUTED_VALUE"""),21650747)</f>
        <v>21650747</v>
      </c>
    </row>
    <row r="72" spans="1:6" ht="12.5" x14ac:dyDescent="0.25">
      <c r="A72" s="3">
        <f ca="1">IFERROR(__xludf.DUMMYFUNCTION("""COMPUTED_VALUE"""),45030.6666666666)</f>
        <v>45030.666666666599</v>
      </c>
      <c r="B72" s="2">
        <f ca="1">IFERROR(__xludf.DUMMYFUNCTION("""COMPUTED_VALUE"""),107.69)</f>
        <v>107.69</v>
      </c>
      <c r="C72" s="2">
        <f ca="1">IFERROR(__xludf.DUMMYFUNCTION("""COMPUTED_VALUE"""),109.58)</f>
        <v>109.58</v>
      </c>
      <c r="D72" s="2">
        <f ca="1">IFERROR(__xludf.DUMMYFUNCTION("""COMPUTED_VALUE"""),107.59)</f>
        <v>107.59</v>
      </c>
      <c r="E72" s="2">
        <f ca="1">IFERROR(__xludf.DUMMYFUNCTION("""COMPUTED_VALUE"""),109.46)</f>
        <v>109.46</v>
      </c>
      <c r="F72" s="2">
        <f ca="1">IFERROR(__xludf.DUMMYFUNCTION("""COMPUTED_VALUE"""),20758686)</f>
        <v>20758686</v>
      </c>
    </row>
    <row r="73" spans="1:6" ht="12.5" x14ac:dyDescent="0.25">
      <c r="A73" s="3">
        <f ca="1">IFERROR(__xludf.DUMMYFUNCTION("""COMPUTED_VALUE"""),45033.6666666666)</f>
        <v>45033.666666666599</v>
      </c>
      <c r="B73" s="2">
        <f ca="1">IFERROR(__xludf.DUMMYFUNCTION("""COMPUTED_VALUE"""),105.43)</f>
        <v>105.43</v>
      </c>
      <c r="C73" s="2">
        <f ca="1">IFERROR(__xludf.DUMMYFUNCTION("""COMPUTED_VALUE"""),106.71)</f>
        <v>106.71</v>
      </c>
      <c r="D73" s="2">
        <f ca="1">IFERROR(__xludf.DUMMYFUNCTION("""COMPUTED_VALUE"""),105.32)</f>
        <v>105.32</v>
      </c>
      <c r="E73" s="2">
        <f ca="1">IFERROR(__xludf.DUMMYFUNCTION("""COMPUTED_VALUE"""),106.42)</f>
        <v>106.42</v>
      </c>
      <c r="F73" s="2">
        <f ca="1">IFERROR(__xludf.DUMMYFUNCTION("""COMPUTED_VALUE"""),29043443)</f>
        <v>29043443</v>
      </c>
    </row>
    <row r="74" spans="1:6" ht="12.5" x14ac:dyDescent="0.25">
      <c r="A74" s="3">
        <f ca="1">IFERROR(__xludf.DUMMYFUNCTION("""COMPUTED_VALUE"""),45034.6666666666)</f>
        <v>45034.666666666599</v>
      </c>
      <c r="B74" s="2">
        <f ca="1">IFERROR(__xludf.DUMMYFUNCTION("""COMPUTED_VALUE"""),107)</f>
        <v>107</v>
      </c>
      <c r="C74" s="2">
        <f ca="1">IFERROR(__xludf.DUMMYFUNCTION("""COMPUTED_VALUE"""),107.05)</f>
        <v>107.05</v>
      </c>
      <c r="D74" s="2">
        <f ca="1">IFERROR(__xludf.DUMMYFUNCTION("""COMPUTED_VALUE"""),104.78)</f>
        <v>104.78</v>
      </c>
      <c r="E74" s="2">
        <f ca="1">IFERROR(__xludf.DUMMYFUNCTION("""COMPUTED_VALUE"""),105.12)</f>
        <v>105.12</v>
      </c>
      <c r="F74" s="2">
        <f ca="1">IFERROR(__xludf.DUMMYFUNCTION("""COMPUTED_VALUE"""),17641369)</f>
        <v>17641369</v>
      </c>
    </row>
    <row r="75" spans="1:6" ht="12.5" x14ac:dyDescent="0.25">
      <c r="A75" s="3">
        <f ca="1">IFERROR(__xludf.DUMMYFUNCTION("""COMPUTED_VALUE"""),45035.6666666666)</f>
        <v>45035.666666666599</v>
      </c>
      <c r="B75" s="2">
        <f ca="1">IFERROR(__xludf.DUMMYFUNCTION("""COMPUTED_VALUE"""),104.22)</f>
        <v>104.22</v>
      </c>
      <c r="C75" s="2">
        <f ca="1">IFERROR(__xludf.DUMMYFUNCTION("""COMPUTED_VALUE"""),105.73)</f>
        <v>105.73</v>
      </c>
      <c r="D75" s="2">
        <f ca="1">IFERROR(__xludf.DUMMYFUNCTION("""COMPUTED_VALUE"""),103.8)</f>
        <v>103.8</v>
      </c>
      <c r="E75" s="2">
        <f ca="1">IFERROR(__xludf.DUMMYFUNCTION("""COMPUTED_VALUE"""),105.02)</f>
        <v>105.02</v>
      </c>
      <c r="F75" s="2">
        <f ca="1">IFERROR(__xludf.DUMMYFUNCTION("""COMPUTED_VALUE"""),16732016)</f>
        <v>16732016</v>
      </c>
    </row>
    <row r="76" spans="1:6" ht="12.5" x14ac:dyDescent="0.25">
      <c r="A76" s="3">
        <f ca="1">IFERROR(__xludf.DUMMYFUNCTION("""COMPUTED_VALUE"""),45036.6666666666)</f>
        <v>45036.666666666599</v>
      </c>
      <c r="B76" s="2">
        <f ca="1">IFERROR(__xludf.DUMMYFUNCTION("""COMPUTED_VALUE"""),104.65)</f>
        <v>104.65</v>
      </c>
      <c r="C76" s="2">
        <f ca="1">IFERROR(__xludf.DUMMYFUNCTION("""COMPUTED_VALUE"""),106.89)</f>
        <v>106.89</v>
      </c>
      <c r="D76" s="2">
        <f ca="1">IFERROR(__xludf.DUMMYFUNCTION("""COMPUTED_VALUE"""),104.64)</f>
        <v>104.64</v>
      </c>
      <c r="E76" s="2">
        <f ca="1">IFERROR(__xludf.DUMMYFUNCTION("""COMPUTED_VALUE"""),105.9)</f>
        <v>105.9</v>
      </c>
      <c r="F76" s="2">
        <f ca="1">IFERROR(__xludf.DUMMYFUNCTION("""COMPUTED_VALUE"""),22515331)</f>
        <v>22515331</v>
      </c>
    </row>
    <row r="77" spans="1:6" ht="12.5" x14ac:dyDescent="0.25">
      <c r="A77" s="3">
        <f ca="1">IFERROR(__xludf.DUMMYFUNCTION("""COMPUTED_VALUE"""),45037.6666666666)</f>
        <v>45037.666666666599</v>
      </c>
      <c r="B77" s="2">
        <f ca="1">IFERROR(__xludf.DUMMYFUNCTION("""COMPUTED_VALUE"""),106.09)</f>
        <v>106.09</v>
      </c>
      <c r="C77" s="2">
        <f ca="1">IFERROR(__xludf.DUMMYFUNCTION("""COMPUTED_VALUE"""),106.64)</f>
        <v>106.64</v>
      </c>
      <c r="D77" s="2">
        <f ca="1">IFERROR(__xludf.DUMMYFUNCTION("""COMPUTED_VALUE"""),105.49)</f>
        <v>105.49</v>
      </c>
      <c r="E77" s="2">
        <f ca="1">IFERROR(__xludf.DUMMYFUNCTION("""COMPUTED_VALUE"""),105.91)</f>
        <v>105.91</v>
      </c>
      <c r="F77" s="2">
        <f ca="1">IFERROR(__xludf.DUMMYFUNCTION("""COMPUTED_VALUE"""),22379018)</f>
        <v>22379018</v>
      </c>
    </row>
    <row r="78" spans="1:6" ht="12.5" x14ac:dyDescent="0.25">
      <c r="A78" s="3">
        <f ca="1">IFERROR(__xludf.DUMMYFUNCTION("""COMPUTED_VALUE"""),45040.6666666666)</f>
        <v>45040.666666666599</v>
      </c>
      <c r="B78" s="2">
        <f ca="1">IFERROR(__xludf.DUMMYFUNCTION("""COMPUTED_VALUE"""),106.05)</f>
        <v>106.05</v>
      </c>
      <c r="C78" s="2">
        <f ca="1">IFERROR(__xludf.DUMMYFUNCTION("""COMPUTED_VALUE"""),107.32)</f>
        <v>107.32</v>
      </c>
      <c r="D78" s="2">
        <f ca="1">IFERROR(__xludf.DUMMYFUNCTION("""COMPUTED_VALUE"""),105.36)</f>
        <v>105.36</v>
      </c>
      <c r="E78" s="2">
        <f ca="1">IFERROR(__xludf.DUMMYFUNCTION("""COMPUTED_VALUE"""),106.78)</f>
        <v>106.78</v>
      </c>
      <c r="F78" s="2">
        <f ca="1">IFERROR(__xludf.DUMMYFUNCTION("""COMPUTED_VALUE"""),21410908)</f>
        <v>21410908</v>
      </c>
    </row>
    <row r="79" spans="1:6" ht="12.5" x14ac:dyDescent="0.25">
      <c r="A79" s="3">
        <f ca="1">IFERROR(__xludf.DUMMYFUNCTION("""COMPUTED_VALUE"""),45041.6666666666)</f>
        <v>45041.666666666599</v>
      </c>
      <c r="B79" s="2">
        <f ca="1">IFERROR(__xludf.DUMMYFUNCTION("""COMPUTED_VALUE"""),106.61)</f>
        <v>106.61</v>
      </c>
      <c r="C79" s="2">
        <f ca="1">IFERROR(__xludf.DUMMYFUNCTION("""COMPUTED_VALUE"""),107.44)</f>
        <v>107.44</v>
      </c>
      <c r="D79" s="2">
        <f ca="1">IFERROR(__xludf.DUMMYFUNCTION("""COMPUTED_VALUE"""),104.56)</f>
        <v>104.56</v>
      </c>
      <c r="E79" s="2">
        <f ca="1">IFERROR(__xludf.DUMMYFUNCTION("""COMPUTED_VALUE"""),104.61)</f>
        <v>104.61</v>
      </c>
      <c r="F79" s="2">
        <f ca="1">IFERROR(__xludf.DUMMYFUNCTION("""COMPUTED_VALUE"""),31408119)</f>
        <v>31408119</v>
      </c>
    </row>
    <row r="80" spans="1:6" ht="12.5" x14ac:dyDescent="0.25">
      <c r="A80" s="3">
        <f ca="1">IFERROR(__xludf.DUMMYFUNCTION("""COMPUTED_VALUE"""),45042.6666666666)</f>
        <v>45042.666666666599</v>
      </c>
      <c r="B80" s="2">
        <f ca="1">IFERROR(__xludf.DUMMYFUNCTION("""COMPUTED_VALUE"""),105.56)</f>
        <v>105.56</v>
      </c>
      <c r="C80" s="2">
        <f ca="1">IFERROR(__xludf.DUMMYFUNCTION("""COMPUTED_VALUE"""),107.02)</f>
        <v>107.02</v>
      </c>
      <c r="D80" s="2">
        <f ca="1">IFERROR(__xludf.DUMMYFUNCTION("""COMPUTED_VALUE"""),103.27)</f>
        <v>103.27</v>
      </c>
      <c r="E80" s="2">
        <f ca="1">IFERROR(__xludf.DUMMYFUNCTION("""COMPUTED_VALUE"""),104.45)</f>
        <v>104.45</v>
      </c>
      <c r="F80" s="2">
        <f ca="1">IFERROR(__xludf.DUMMYFUNCTION("""COMPUTED_VALUE"""),37068168)</f>
        <v>37068168</v>
      </c>
    </row>
    <row r="81" spans="1:6" ht="12.5" x14ac:dyDescent="0.25">
      <c r="A81" s="3">
        <f ca="1">IFERROR(__xludf.DUMMYFUNCTION("""COMPUTED_VALUE"""),45043.6666666666)</f>
        <v>45043.666666666599</v>
      </c>
      <c r="B81" s="2">
        <f ca="1">IFERROR(__xludf.DUMMYFUNCTION("""COMPUTED_VALUE"""),105.23)</f>
        <v>105.23</v>
      </c>
      <c r="C81" s="2">
        <f ca="1">IFERROR(__xludf.DUMMYFUNCTION("""COMPUTED_VALUE"""),109.15)</f>
        <v>109.15</v>
      </c>
      <c r="D81" s="2">
        <f ca="1">IFERROR(__xludf.DUMMYFUNCTION("""COMPUTED_VALUE"""),104.42)</f>
        <v>104.42</v>
      </c>
      <c r="E81" s="2">
        <f ca="1">IFERROR(__xludf.DUMMYFUNCTION("""COMPUTED_VALUE"""),108.37)</f>
        <v>108.37</v>
      </c>
      <c r="F81" s="2">
        <f ca="1">IFERROR(__xludf.DUMMYFUNCTION("""COMPUTED_VALUE"""),38235220)</f>
        <v>38235220</v>
      </c>
    </row>
    <row r="82" spans="1:6" ht="12.5" x14ac:dyDescent="0.25">
      <c r="A82" s="3">
        <f ca="1">IFERROR(__xludf.DUMMYFUNCTION("""COMPUTED_VALUE"""),45044.6666666666)</f>
        <v>45044.666666666599</v>
      </c>
      <c r="B82" s="2">
        <f ca="1">IFERROR(__xludf.DUMMYFUNCTION("""COMPUTED_VALUE"""),107.8)</f>
        <v>107.8</v>
      </c>
      <c r="C82" s="2">
        <f ca="1">IFERROR(__xludf.DUMMYFUNCTION("""COMPUTED_VALUE"""),108.29)</f>
        <v>108.29</v>
      </c>
      <c r="D82" s="2">
        <f ca="1">IFERROR(__xludf.DUMMYFUNCTION("""COMPUTED_VALUE"""),106.04)</f>
        <v>106.04</v>
      </c>
      <c r="E82" s="2">
        <f ca="1">IFERROR(__xludf.DUMMYFUNCTION("""COMPUTED_VALUE"""),108.22)</f>
        <v>108.22</v>
      </c>
      <c r="F82" s="2">
        <f ca="1">IFERROR(__xludf.DUMMYFUNCTION("""COMPUTED_VALUE"""),23957872)</f>
        <v>23957872</v>
      </c>
    </row>
    <row r="83" spans="1:6" ht="12.5" x14ac:dyDescent="0.25">
      <c r="A83" s="3">
        <f ca="1">IFERROR(__xludf.DUMMYFUNCTION("""COMPUTED_VALUE"""),45047.6666666666)</f>
        <v>45047.666666666599</v>
      </c>
      <c r="B83" s="2">
        <f ca="1">IFERROR(__xludf.DUMMYFUNCTION("""COMPUTED_VALUE"""),107.72)</f>
        <v>107.72</v>
      </c>
      <c r="C83" s="2">
        <f ca="1">IFERROR(__xludf.DUMMYFUNCTION("""COMPUTED_VALUE"""),108.68)</f>
        <v>108.68</v>
      </c>
      <c r="D83" s="2">
        <f ca="1">IFERROR(__xludf.DUMMYFUNCTION("""COMPUTED_VALUE"""),107.5)</f>
        <v>107.5</v>
      </c>
      <c r="E83" s="2">
        <f ca="1">IFERROR(__xludf.DUMMYFUNCTION("""COMPUTED_VALUE"""),107.71)</f>
        <v>107.71</v>
      </c>
      <c r="F83" s="2">
        <f ca="1">IFERROR(__xludf.DUMMYFUNCTION("""COMPUTED_VALUE"""),20926259)</f>
        <v>20926259</v>
      </c>
    </row>
    <row r="84" spans="1:6" ht="12.5" x14ac:dyDescent="0.25">
      <c r="A84" s="3">
        <f ca="1">IFERROR(__xludf.DUMMYFUNCTION("""COMPUTED_VALUE"""),45048.6666666666)</f>
        <v>45048.666666666599</v>
      </c>
      <c r="B84" s="2">
        <f ca="1">IFERROR(__xludf.DUMMYFUNCTION("""COMPUTED_VALUE"""),107.66)</f>
        <v>107.66</v>
      </c>
      <c r="C84" s="2">
        <f ca="1">IFERROR(__xludf.DUMMYFUNCTION("""COMPUTED_VALUE"""),107.73)</f>
        <v>107.73</v>
      </c>
      <c r="D84" s="2">
        <f ca="1">IFERROR(__xludf.DUMMYFUNCTION("""COMPUTED_VALUE"""),104.5)</f>
        <v>104.5</v>
      </c>
      <c r="E84" s="2">
        <f ca="1">IFERROR(__xludf.DUMMYFUNCTION("""COMPUTED_VALUE"""),105.98)</f>
        <v>105.98</v>
      </c>
      <c r="F84" s="2">
        <f ca="1">IFERROR(__xludf.DUMMYFUNCTION("""COMPUTED_VALUE"""),20343116)</f>
        <v>20343116</v>
      </c>
    </row>
    <row r="85" spans="1:6" ht="12.5" x14ac:dyDescent="0.25">
      <c r="A85" s="3">
        <f ca="1">IFERROR(__xludf.DUMMYFUNCTION("""COMPUTED_VALUE"""),45049.6666666666)</f>
        <v>45049.666666666599</v>
      </c>
      <c r="B85" s="2">
        <f ca="1">IFERROR(__xludf.DUMMYFUNCTION("""COMPUTED_VALUE"""),106.22)</f>
        <v>106.22</v>
      </c>
      <c r="C85" s="2">
        <f ca="1">IFERROR(__xludf.DUMMYFUNCTION("""COMPUTED_VALUE"""),108.13)</f>
        <v>108.13</v>
      </c>
      <c r="D85" s="2">
        <f ca="1">IFERROR(__xludf.DUMMYFUNCTION("""COMPUTED_VALUE"""),105.62)</f>
        <v>105.62</v>
      </c>
      <c r="E85" s="2">
        <f ca="1">IFERROR(__xludf.DUMMYFUNCTION("""COMPUTED_VALUE"""),106.12)</f>
        <v>106.12</v>
      </c>
      <c r="F85" s="2">
        <f ca="1">IFERROR(__xludf.DUMMYFUNCTION("""COMPUTED_VALUE"""),17116333)</f>
        <v>17116333</v>
      </c>
    </row>
    <row r="86" spans="1:6" ht="12.5" x14ac:dyDescent="0.25">
      <c r="A86" s="3">
        <f ca="1">IFERROR(__xludf.DUMMYFUNCTION("""COMPUTED_VALUE"""),45050.6666666666)</f>
        <v>45050.666666666599</v>
      </c>
      <c r="B86" s="2">
        <f ca="1">IFERROR(__xludf.DUMMYFUNCTION("""COMPUTED_VALUE"""),106.16)</f>
        <v>106.16</v>
      </c>
      <c r="C86" s="2">
        <f ca="1">IFERROR(__xludf.DUMMYFUNCTION("""COMPUTED_VALUE"""),106.3)</f>
        <v>106.3</v>
      </c>
      <c r="D86" s="2">
        <f ca="1">IFERROR(__xludf.DUMMYFUNCTION("""COMPUTED_VALUE"""),104.7)</f>
        <v>104.7</v>
      </c>
      <c r="E86" s="2">
        <f ca="1">IFERROR(__xludf.DUMMYFUNCTION("""COMPUTED_VALUE"""),105.21)</f>
        <v>105.21</v>
      </c>
      <c r="F86" s="2">
        <f ca="1">IFERROR(__xludf.DUMMYFUNCTION("""COMPUTED_VALUE"""),19780637)</f>
        <v>19780637</v>
      </c>
    </row>
    <row r="87" spans="1:6" ht="12.5" x14ac:dyDescent="0.25">
      <c r="A87" s="3">
        <f ca="1">IFERROR(__xludf.DUMMYFUNCTION("""COMPUTED_VALUE"""),45051.6666666666)</f>
        <v>45051.666666666599</v>
      </c>
      <c r="B87" s="2">
        <f ca="1">IFERROR(__xludf.DUMMYFUNCTION("""COMPUTED_VALUE"""),105.32)</f>
        <v>105.32</v>
      </c>
      <c r="C87" s="2">
        <f ca="1">IFERROR(__xludf.DUMMYFUNCTION("""COMPUTED_VALUE"""),106.44)</f>
        <v>106.44</v>
      </c>
      <c r="D87" s="2">
        <f ca="1">IFERROR(__xludf.DUMMYFUNCTION("""COMPUTED_VALUE"""),104.74)</f>
        <v>104.74</v>
      </c>
      <c r="E87" s="2">
        <f ca="1">IFERROR(__xludf.DUMMYFUNCTION("""COMPUTED_VALUE"""),106.22)</f>
        <v>106.22</v>
      </c>
      <c r="F87" s="2">
        <f ca="1">IFERROR(__xludf.DUMMYFUNCTION("""COMPUTED_VALUE"""),20710627)</f>
        <v>20710627</v>
      </c>
    </row>
    <row r="88" spans="1:6" ht="12.5" x14ac:dyDescent="0.25">
      <c r="A88" s="3">
        <f ca="1">IFERROR(__xludf.DUMMYFUNCTION("""COMPUTED_VALUE"""),45054.6666666666)</f>
        <v>45054.666666666599</v>
      </c>
      <c r="B88" s="2">
        <f ca="1">IFERROR(__xludf.DUMMYFUNCTION("""COMPUTED_VALUE"""),105.8)</f>
        <v>105.8</v>
      </c>
      <c r="C88" s="2">
        <f ca="1">IFERROR(__xludf.DUMMYFUNCTION("""COMPUTED_VALUE"""),108.42)</f>
        <v>108.42</v>
      </c>
      <c r="D88" s="2">
        <f ca="1">IFERROR(__xludf.DUMMYFUNCTION("""COMPUTED_VALUE"""),105.79)</f>
        <v>105.79</v>
      </c>
      <c r="E88" s="2">
        <f ca="1">IFERROR(__xludf.DUMMYFUNCTION("""COMPUTED_VALUE"""),108.24)</f>
        <v>108.24</v>
      </c>
      <c r="F88" s="2">
        <f ca="1">IFERROR(__xludf.DUMMYFUNCTION("""COMPUTED_VALUE"""),17266021)</f>
        <v>17266021</v>
      </c>
    </row>
    <row r="89" spans="1:6" ht="12.5" x14ac:dyDescent="0.25">
      <c r="A89" s="3">
        <f ca="1">IFERROR(__xludf.DUMMYFUNCTION("""COMPUTED_VALUE"""),45055.6666666666)</f>
        <v>45055.666666666599</v>
      </c>
      <c r="B89" s="2">
        <f ca="1">IFERROR(__xludf.DUMMYFUNCTION("""COMPUTED_VALUE"""),108.78)</f>
        <v>108.78</v>
      </c>
      <c r="C89" s="2">
        <f ca="1">IFERROR(__xludf.DUMMYFUNCTION("""COMPUTED_VALUE"""),110.6)</f>
        <v>110.6</v>
      </c>
      <c r="D89" s="2">
        <f ca="1">IFERROR(__xludf.DUMMYFUNCTION("""COMPUTED_VALUE"""),107.73)</f>
        <v>107.73</v>
      </c>
      <c r="E89" s="2">
        <f ca="1">IFERROR(__xludf.DUMMYFUNCTION("""COMPUTED_VALUE"""),107.94)</f>
        <v>107.94</v>
      </c>
      <c r="F89" s="2">
        <f ca="1">IFERROR(__xludf.DUMMYFUNCTION("""COMPUTED_VALUE"""),24782442)</f>
        <v>24782442</v>
      </c>
    </row>
    <row r="90" spans="1:6" ht="12.5" x14ac:dyDescent="0.25">
      <c r="A90" s="3">
        <f ca="1">IFERROR(__xludf.DUMMYFUNCTION("""COMPUTED_VALUE"""),45056.6666666666)</f>
        <v>45056.666666666599</v>
      </c>
      <c r="B90" s="2">
        <f ca="1">IFERROR(__xludf.DUMMYFUNCTION("""COMPUTED_VALUE"""),108.55)</f>
        <v>108.55</v>
      </c>
      <c r="C90" s="2">
        <f ca="1">IFERROR(__xludf.DUMMYFUNCTION("""COMPUTED_VALUE"""),113.51)</f>
        <v>113.51</v>
      </c>
      <c r="D90" s="2">
        <f ca="1">IFERROR(__xludf.DUMMYFUNCTION("""COMPUTED_VALUE"""),108.48)</f>
        <v>108.48</v>
      </c>
      <c r="E90" s="2">
        <f ca="1">IFERROR(__xludf.DUMMYFUNCTION("""COMPUTED_VALUE"""),112.28)</f>
        <v>112.28</v>
      </c>
      <c r="F90" s="2">
        <f ca="1">IFERROR(__xludf.DUMMYFUNCTION("""COMPUTED_VALUE"""),47533463)</f>
        <v>47533463</v>
      </c>
    </row>
    <row r="91" spans="1:6" ht="12.5" x14ac:dyDescent="0.25">
      <c r="A91" s="3">
        <f ca="1">IFERROR(__xludf.DUMMYFUNCTION("""COMPUTED_VALUE"""),45057.6666666666)</f>
        <v>45057.666666666599</v>
      </c>
      <c r="B91" s="2">
        <f ca="1">IFERROR(__xludf.DUMMYFUNCTION("""COMPUTED_VALUE"""),115.86)</f>
        <v>115.86</v>
      </c>
      <c r="C91" s="2">
        <f ca="1">IFERROR(__xludf.DUMMYFUNCTION("""COMPUTED_VALUE"""),118.44)</f>
        <v>118.44</v>
      </c>
      <c r="D91" s="2">
        <f ca="1">IFERROR(__xludf.DUMMYFUNCTION("""COMPUTED_VALUE"""),114.93)</f>
        <v>114.93</v>
      </c>
      <c r="E91" s="2">
        <f ca="1">IFERROR(__xludf.DUMMYFUNCTION("""COMPUTED_VALUE"""),116.9)</f>
        <v>116.9</v>
      </c>
      <c r="F91" s="2">
        <f ca="1">IFERROR(__xludf.DUMMYFUNCTION("""COMPUTED_VALUE"""),57115075)</f>
        <v>57115075</v>
      </c>
    </row>
    <row r="92" spans="1:6" ht="12.5" x14ac:dyDescent="0.25">
      <c r="A92" s="3">
        <f ca="1">IFERROR(__xludf.DUMMYFUNCTION("""COMPUTED_VALUE"""),45058.6666666666)</f>
        <v>45058.666666666599</v>
      </c>
      <c r="B92" s="2">
        <f ca="1">IFERROR(__xludf.DUMMYFUNCTION("""COMPUTED_VALUE"""),117)</f>
        <v>117</v>
      </c>
      <c r="C92" s="2">
        <f ca="1">IFERROR(__xludf.DUMMYFUNCTION("""COMPUTED_VALUE"""),118.26)</f>
        <v>118.26</v>
      </c>
      <c r="D92" s="2">
        <f ca="1">IFERROR(__xludf.DUMMYFUNCTION("""COMPUTED_VALUE"""),116.55)</f>
        <v>116.55</v>
      </c>
      <c r="E92" s="2">
        <f ca="1">IFERROR(__xludf.DUMMYFUNCTION("""COMPUTED_VALUE"""),117.92)</f>
        <v>117.92</v>
      </c>
      <c r="F92" s="2">
        <f ca="1">IFERROR(__xludf.DUMMYFUNCTION("""COMPUTED_VALUE"""),31293778)</f>
        <v>31293778</v>
      </c>
    </row>
    <row r="93" spans="1:6" ht="12.5" x14ac:dyDescent="0.25">
      <c r="A93" s="3">
        <f ca="1">IFERROR(__xludf.DUMMYFUNCTION("""COMPUTED_VALUE"""),45061.6666666666)</f>
        <v>45061.666666666599</v>
      </c>
      <c r="B93" s="2">
        <f ca="1">IFERROR(__xludf.DUMMYFUNCTION("""COMPUTED_VALUE"""),116.49)</f>
        <v>116.49</v>
      </c>
      <c r="C93" s="2">
        <f ca="1">IFERROR(__xludf.DUMMYFUNCTION("""COMPUTED_VALUE"""),118.8)</f>
        <v>118.8</v>
      </c>
      <c r="D93" s="2">
        <f ca="1">IFERROR(__xludf.DUMMYFUNCTION("""COMPUTED_VALUE"""),116.48)</f>
        <v>116.48</v>
      </c>
      <c r="E93" s="2">
        <f ca="1">IFERROR(__xludf.DUMMYFUNCTION("""COMPUTED_VALUE"""),116.96)</f>
        <v>116.96</v>
      </c>
      <c r="F93" s="2">
        <f ca="1">IFERROR(__xludf.DUMMYFUNCTION("""COMPUTED_VALUE"""),22107865)</f>
        <v>22107865</v>
      </c>
    </row>
    <row r="94" spans="1:6" ht="12.5" x14ac:dyDescent="0.25">
      <c r="A94" s="3">
        <f ca="1">IFERROR(__xludf.DUMMYFUNCTION("""COMPUTED_VALUE"""),45062.6666666666)</f>
        <v>45062.666666666599</v>
      </c>
      <c r="B94" s="2">
        <f ca="1">IFERROR(__xludf.DUMMYFUNCTION("""COMPUTED_VALUE"""),116.83)</f>
        <v>116.83</v>
      </c>
      <c r="C94" s="2">
        <f ca="1">IFERROR(__xludf.DUMMYFUNCTION("""COMPUTED_VALUE"""),121.2)</f>
        <v>121.2</v>
      </c>
      <c r="D94" s="2">
        <f ca="1">IFERROR(__xludf.DUMMYFUNCTION("""COMPUTED_VALUE"""),116.83)</f>
        <v>116.83</v>
      </c>
      <c r="E94" s="2">
        <f ca="1">IFERROR(__xludf.DUMMYFUNCTION("""COMPUTED_VALUE"""),120.09)</f>
        <v>120.09</v>
      </c>
      <c r="F94" s="2">
        <f ca="1">IFERROR(__xludf.DUMMYFUNCTION("""COMPUTED_VALUE"""),32370113)</f>
        <v>32370113</v>
      </c>
    </row>
    <row r="95" spans="1:6" ht="12.5" x14ac:dyDescent="0.25">
      <c r="A95" s="3">
        <f ca="1">IFERROR(__xludf.DUMMYFUNCTION("""COMPUTED_VALUE"""),45063.6666666666)</f>
        <v>45063.666666666599</v>
      </c>
      <c r="B95" s="2">
        <f ca="1">IFERROR(__xludf.DUMMYFUNCTION("""COMPUTED_VALUE"""),120.18)</f>
        <v>120.18</v>
      </c>
      <c r="C95" s="2">
        <f ca="1">IFERROR(__xludf.DUMMYFUNCTION("""COMPUTED_VALUE"""),122.28)</f>
        <v>122.28</v>
      </c>
      <c r="D95" s="2">
        <f ca="1">IFERROR(__xludf.DUMMYFUNCTION("""COMPUTED_VALUE"""),119.46)</f>
        <v>119.46</v>
      </c>
      <c r="E95" s="2">
        <f ca="1">IFERROR(__xludf.DUMMYFUNCTION("""COMPUTED_VALUE"""),121.48)</f>
        <v>121.48</v>
      </c>
      <c r="F95" s="2">
        <f ca="1">IFERROR(__xludf.DUMMYFUNCTION("""COMPUTED_VALUE"""),26659564)</f>
        <v>26659564</v>
      </c>
    </row>
    <row r="96" spans="1:6" ht="12.5" x14ac:dyDescent="0.25">
      <c r="A96" s="3">
        <f ca="1">IFERROR(__xludf.DUMMYFUNCTION("""COMPUTED_VALUE"""),45064.6666666666)</f>
        <v>45064.666666666599</v>
      </c>
      <c r="B96" s="2">
        <f ca="1">IFERROR(__xludf.DUMMYFUNCTION("""COMPUTED_VALUE"""),121.56)</f>
        <v>121.56</v>
      </c>
      <c r="C96" s="2">
        <f ca="1">IFERROR(__xludf.DUMMYFUNCTION("""COMPUTED_VALUE"""),123.9)</f>
        <v>123.9</v>
      </c>
      <c r="D96" s="2">
        <f ca="1">IFERROR(__xludf.DUMMYFUNCTION("""COMPUTED_VALUE"""),121.49)</f>
        <v>121.49</v>
      </c>
      <c r="E96" s="2">
        <f ca="1">IFERROR(__xludf.DUMMYFUNCTION("""COMPUTED_VALUE"""),123.52)</f>
        <v>123.52</v>
      </c>
      <c r="F96" s="2">
        <f ca="1">IFERROR(__xludf.DUMMYFUNCTION("""COMPUTED_VALUE"""),27014468)</f>
        <v>27014468</v>
      </c>
    </row>
    <row r="97" spans="1:6" ht="12.5" x14ac:dyDescent="0.25">
      <c r="A97" s="3">
        <f ca="1">IFERROR(__xludf.DUMMYFUNCTION("""COMPUTED_VALUE"""),45065.6666666666)</f>
        <v>45065.666666666599</v>
      </c>
      <c r="B97" s="2">
        <f ca="1">IFERROR(__xludf.DUMMYFUNCTION("""COMPUTED_VALUE"""),124.2)</f>
        <v>124.2</v>
      </c>
      <c r="C97" s="2">
        <f ca="1">IFERROR(__xludf.DUMMYFUNCTION("""COMPUTED_VALUE"""),126.48)</f>
        <v>126.48</v>
      </c>
      <c r="D97" s="2">
        <f ca="1">IFERROR(__xludf.DUMMYFUNCTION("""COMPUTED_VALUE"""),122.72)</f>
        <v>122.72</v>
      </c>
      <c r="E97" s="2">
        <f ca="1">IFERROR(__xludf.DUMMYFUNCTION("""COMPUTED_VALUE"""),123.25)</f>
        <v>123.25</v>
      </c>
      <c r="F97" s="2">
        <f ca="1">IFERROR(__xludf.DUMMYFUNCTION("""COMPUTED_VALUE"""),30268864)</f>
        <v>30268864</v>
      </c>
    </row>
    <row r="98" spans="1:6" ht="12.5" x14ac:dyDescent="0.25">
      <c r="A98" s="3">
        <f ca="1">IFERROR(__xludf.DUMMYFUNCTION("""COMPUTED_VALUE"""),45068.6666666666)</f>
        <v>45068.666666666599</v>
      </c>
      <c r="B98" s="2">
        <f ca="1">IFERROR(__xludf.DUMMYFUNCTION("""COMPUTED_VALUE"""),123.51)</f>
        <v>123.51</v>
      </c>
      <c r="C98" s="2">
        <f ca="1">IFERROR(__xludf.DUMMYFUNCTION("""COMPUTED_VALUE"""),127.05)</f>
        <v>127.05</v>
      </c>
      <c r="D98" s="2">
        <f ca="1">IFERROR(__xludf.DUMMYFUNCTION("""COMPUTED_VALUE"""),123.45)</f>
        <v>123.45</v>
      </c>
      <c r="E98" s="2">
        <f ca="1">IFERROR(__xludf.DUMMYFUNCTION("""COMPUTED_VALUE"""),125.87)</f>
        <v>125.87</v>
      </c>
      <c r="F98" s="2">
        <f ca="1">IFERROR(__xludf.DUMMYFUNCTION("""COMPUTED_VALUE"""),29760236)</f>
        <v>29760236</v>
      </c>
    </row>
    <row r="99" spans="1:6" ht="12.5" x14ac:dyDescent="0.25">
      <c r="A99" s="3">
        <f ca="1">IFERROR(__xludf.DUMMYFUNCTION("""COMPUTED_VALUE"""),45069.6666666666)</f>
        <v>45069.666666666599</v>
      </c>
      <c r="B99" s="2">
        <f ca="1">IFERROR(__xludf.DUMMYFUNCTION("""COMPUTED_VALUE"""),124.93)</f>
        <v>124.93</v>
      </c>
      <c r="C99" s="2">
        <f ca="1">IFERROR(__xludf.DUMMYFUNCTION("""COMPUTED_VALUE"""),125.42)</f>
        <v>125.42</v>
      </c>
      <c r="D99" s="2">
        <f ca="1">IFERROR(__xludf.DUMMYFUNCTION("""COMPUTED_VALUE"""),123.05)</f>
        <v>123.05</v>
      </c>
      <c r="E99" s="2">
        <f ca="1">IFERROR(__xludf.DUMMYFUNCTION("""COMPUTED_VALUE"""),123.29)</f>
        <v>123.29</v>
      </c>
      <c r="F99" s="2">
        <f ca="1">IFERROR(__xludf.DUMMYFUNCTION("""COMPUTED_VALUE"""),24477945)</f>
        <v>24477945</v>
      </c>
    </row>
    <row r="100" spans="1:6" ht="12.5" x14ac:dyDescent="0.25">
      <c r="A100" s="3">
        <f ca="1">IFERROR(__xludf.DUMMYFUNCTION("""COMPUTED_VALUE"""),45070.6666666666)</f>
        <v>45070.666666666599</v>
      </c>
      <c r="B100" s="2">
        <f ca="1">IFERROR(__xludf.DUMMYFUNCTION("""COMPUTED_VALUE"""),121.88)</f>
        <v>121.88</v>
      </c>
      <c r="C100" s="2">
        <f ca="1">IFERROR(__xludf.DUMMYFUNCTION("""COMPUTED_VALUE"""),122.75)</f>
        <v>122.75</v>
      </c>
      <c r="D100" s="2">
        <f ca="1">IFERROR(__xludf.DUMMYFUNCTION("""COMPUTED_VALUE"""),120.75)</f>
        <v>120.75</v>
      </c>
      <c r="E100" s="2">
        <f ca="1">IFERROR(__xludf.DUMMYFUNCTION("""COMPUTED_VALUE"""),121.64)</f>
        <v>121.64</v>
      </c>
      <c r="F100" s="2">
        <f ca="1">IFERROR(__xludf.DUMMYFUNCTION("""COMPUTED_VALUE"""),23087925)</f>
        <v>23087925</v>
      </c>
    </row>
    <row r="101" spans="1:6" ht="12.5" x14ac:dyDescent="0.25">
      <c r="A101" s="3">
        <f ca="1">IFERROR(__xludf.DUMMYFUNCTION("""COMPUTED_VALUE"""),45071.6666666666)</f>
        <v>45071.666666666599</v>
      </c>
      <c r="B101" s="2">
        <f ca="1">IFERROR(__xludf.DUMMYFUNCTION("""COMPUTED_VALUE"""),125.21)</f>
        <v>125.21</v>
      </c>
      <c r="C101" s="2">
        <f ca="1">IFERROR(__xludf.DUMMYFUNCTION("""COMPUTED_VALUE"""),125.98)</f>
        <v>125.98</v>
      </c>
      <c r="D101" s="2">
        <f ca="1">IFERROR(__xludf.DUMMYFUNCTION("""COMPUTED_VALUE"""),122.9)</f>
        <v>122.9</v>
      </c>
      <c r="E101" s="2">
        <f ca="1">IFERROR(__xludf.DUMMYFUNCTION("""COMPUTED_VALUE"""),124.35)</f>
        <v>124.35</v>
      </c>
      <c r="F101" s="2">
        <f ca="1">IFERROR(__xludf.DUMMYFUNCTION("""COMPUTED_VALUE"""),33812730)</f>
        <v>33812730</v>
      </c>
    </row>
    <row r="102" spans="1:6" ht="12.5" x14ac:dyDescent="0.25">
      <c r="A102" s="3">
        <f ca="1">IFERROR(__xludf.DUMMYFUNCTION("""COMPUTED_VALUE"""),45072.6666666666)</f>
        <v>45072.666666666599</v>
      </c>
      <c r="B102" s="2">
        <f ca="1">IFERROR(__xludf.DUMMYFUNCTION("""COMPUTED_VALUE"""),124.07)</f>
        <v>124.07</v>
      </c>
      <c r="C102" s="2">
        <f ca="1">IFERROR(__xludf.DUMMYFUNCTION("""COMPUTED_VALUE"""),126)</f>
        <v>126</v>
      </c>
      <c r="D102" s="2">
        <f ca="1">IFERROR(__xludf.DUMMYFUNCTION("""COMPUTED_VALUE"""),123.29)</f>
        <v>123.29</v>
      </c>
      <c r="E102" s="2">
        <f ca="1">IFERROR(__xludf.DUMMYFUNCTION("""COMPUTED_VALUE"""),125.43)</f>
        <v>125.43</v>
      </c>
      <c r="F102" s="2">
        <f ca="1">IFERROR(__xludf.DUMMYFUNCTION("""COMPUTED_VALUE"""),25169036)</f>
        <v>25169036</v>
      </c>
    </row>
    <row r="103" spans="1:6" ht="12.5" x14ac:dyDescent="0.25">
      <c r="A103" s="3">
        <f ca="1">IFERROR(__xludf.DUMMYFUNCTION("""COMPUTED_VALUE"""),45076.6666666666)</f>
        <v>45076.666666666599</v>
      </c>
      <c r="B103" s="2">
        <f ca="1">IFERROR(__xludf.DUMMYFUNCTION("""COMPUTED_VALUE"""),126.29)</f>
        <v>126.29</v>
      </c>
      <c r="C103" s="2">
        <f ca="1">IFERROR(__xludf.DUMMYFUNCTION("""COMPUTED_VALUE"""),126.38)</f>
        <v>126.38</v>
      </c>
      <c r="D103" s="2">
        <f ca="1">IFERROR(__xludf.DUMMYFUNCTION("""COMPUTED_VALUE"""),122.89)</f>
        <v>122.89</v>
      </c>
      <c r="E103" s="2">
        <f ca="1">IFERROR(__xludf.DUMMYFUNCTION("""COMPUTED_VALUE"""),124.64)</f>
        <v>124.64</v>
      </c>
      <c r="F103" s="2">
        <f ca="1">IFERROR(__xludf.DUMMYFUNCTION("""COMPUTED_VALUE"""),27230726)</f>
        <v>27230726</v>
      </c>
    </row>
    <row r="104" spans="1:6" ht="12.5" x14ac:dyDescent="0.25">
      <c r="A104" s="3">
        <f ca="1">IFERROR(__xludf.DUMMYFUNCTION("""COMPUTED_VALUE"""),45077.6666666666)</f>
        <v>45077.666666666599</v>
      </c>
      <c r="B104" s="2">
        <f ca="1">IFERROR(__xludf.DUMMYFUNCTION("""COMPUTED_VALUE"""),123.7)</f>
        <v>123.7</v>
      </c>
      <c r="C104" s="2">
        <f ca="1">IFERROR(__xludf.DUMMYFUNCTION("""COMPUTED_VALUE"""),124.9)</f>
        <v>124.9</v>
      </c>
      <c r="D104" s="2">
        <f ca="1">IFERROR(__xludf.DUMMYFUNCTION("""COMPUTED_VALUE"""),123.1)</f>
        <v>123.1</v>
      </c>
      <c r="E104" s="2">
        <f ca="1">IFERROR(__xludf.DUMMYFUNCTION("""COMPUTED_VALUE"""),123.37)</f>
        <v>123.37</v>
      </c>
      <c r="F104" s="2">
        <f ca="1">IFERROR(__xludf.DUMMYFUNCTION("""COMPUTED_VALUE"""),41548759)</f>
        <v>41548759</v>
      </c>
    </row>
    <row r="105" spans="1:6" ht="12.5" x14ac:dyDescent="0.25">
      <c r="A105" s="3">
        <f ca="1">IFERROR(__xludf.DUMMYFUNCTION("""COMPUTED_VALUE"""),45078.6666666666)</f>
        <v>45078.666666666599</v>
      </c>
      <c r="B105" s="2">
        <f ca="1">IFERROR(__xludf.DUMMYFUNCTION("""COMPUTED_VALUE"""),123.5)</f>
        <v>123.5</v>
      </c>
      <c r="C105" s="2">
        <f ca="1">IFERROR(__xludf.DUMMYFUNCTION("""COMPUTED_VALUE"""),125.04)</f>
        <v>125.04</v>
      </c>
      <c r="D105" s="2">
        <f ca="1">IFERROR(__xludf.DUMMYFUNCTION("""COMPUTED_VALUE"""),123.3)</f>
        <v>123.3</v>
      </c>
      <c r="E105" s="2">
        <f ca="1">IFERROR(__xludf.DUMMYFUNCTION("""COMPUTED_VALUE"""),124.37)</f>
        <v>124.37</v>
      </c>
      <c r="F105" s="2">
        <f ca="1">IFERROR(__xludf.DUMMYFUNCTION("""COMPUTED_VALUE"""),25017674)</f>
        <v>25017674</v>
      </c>
    </row>
    <row r="106" spans="1:6" ht="12.5" x14ac:dyDescent="0.25">
      <c r="A106" s="3">
        <f ca="1">IFERROR(__xludf.DUMMYFUNCTION("""COMPUTED_VALUE"""),45079.6666666666)</f>
        <v>45079.666666666599</v>
      </c>
      <c r="B106" s="2">
        <f ca="1">IFERROR(__xludf.DUMMYFUNCTION("""COMPUTED_VALUE"""),124.49)</f>
        <v>124.49</v>
      </c>
      <c r="C106" s="2">
        <f ca="1">IFERROR(__xludf.DUMMYFUNCTION("""COMPUTED_VALUE"""),126.75)</f>
        <v>126.75</v>
      </c>
      <c r="D106" s="2">
        <f ca="1">IFERROR(__xludf.DUMMYFUNCTION("""COMPUTED_VALUE"""),124.35)</f>
        <v>124.35</v>
      </c>
      <c r="E106" s="2">
        <f ca="1">IFERROR(__xludf.DUMMYFUNCTION("""COMPUTED_VALUE"""),125.23)</f>
        <v>125.23</v>
      </c>
      <c r="F106" s="2">
        <f ca="1">IFERROR(__xludf.DUMMYFUNCTION("""COMPUTED_VALUE"""),19367453)</f>
        <v>19367453</v>
      </c>
    </row>
    <row r="107" spans="1:6" ht="12.5" x14ac:dyDescent="0.25">
      <c r="A107" s="3">
        <f ca="1">IFERROR(__xludf.DUMMYFUNCTION("""COMPUTED_VALUE"""),45082.6666666666)</f>
        <v>45082.666666666599</v>
      </c>
      <c r="B107" s="2">
        <f ca="1">IFERROR(__xludf.DUMMYFUNCTION("""COMPUTED_VALUE"""),124.61)</f>
        <v>124.61</v>
      </c>
      <c r="C107" s="2">
        <f ca="1">IFERROR(__xludf.DUMMYFUNCTION("""COMPUTED_VALUE"""),127.99)</f>
        <v>127.99</v>
      </c>
      <c r="D107" s="2">
        <f ca="1">IFERROR(__xludf.DUMMYFUNCTION("""COMPUTED_VALUE"""),124.38)</f>
        <v>124.38</v>
      </c>
      <c r="E107" s="2">
        <f ca="1">IFERROR(__xludf.DUMMYFUNCTION("""COMPUTED_VALUE"""),126.63)</f>
        <v>126.63</v>
      </c>
      <c r="F107" s="2">
        <f ca="1">IFERROR(__xludf.DUMMYFUNCTION("""COMPUTED_VALUE"""),22672516)</f>
        <v>22672516</v>
      </c>
    </row>
    <row r="108" spans="1:6" ht="12.5" x14ac:dyDescent="0.25">
      <c r="A108" s="3">
        <f ca="1">IFERROR(__xludf.DUMMYFUNCTION("""COMPUTED_VALUE"""),45083.6666666666)</f>
        <v>45083.666666666599</v>
      </c>
      <c r="B108" s="2">
        <f ca="1">IFERROR(__xludf.DUMMYFUNCTION("""COMPUTED_VALUE"""),126.6)</f>
        <v>126.6</v>
      </c>
      <c r="C108" s="2">
        <f ca="1">IFERROR(__xludf.DUMMYFUNCTION("""COMPUTED_VALUE"""),128.88)</f>
        <v>128.88</v>
      </c>
      <c r="D108" s="2">
        <f ca="1">IFERROR(__xludf.DUMMYFUNCTION("""COMPUTED_VALUE"""),125.97)</f>
        <v>125.97</v>
      </c>
      <c r="E108" s="2">
        <f ca="1">IFERROR(__xludf.DUMMYFUNCTION("""COMPUTED_VALUE"""),127.91)</f>
        <v>127.91</v>
      </c>
      <c r="F108" s="2">
        <f ca="1">IFERROR(__xludf.DUMMYFUNCTION("""COMPUTED_VALUE"""),19450128)</f>
        <v>19450128</v>
      </c>
    </row>
    <row r="109" spans="1:6" ht="12.5" x14ac:dyDescent="0.25">
      <c r="A109" s="3">
        <f ca="1">IFERROR(__xludf.DUMMYFUNCTION("""COMPUTED_VALUE"""),45084.6666666666)</f>
        <v>45084.666666666599</v>
      </c>
      <c r="B109" s="2">
        <f ca="1">IFERROR(__xludf.DUMMYFUNCTION("""COMPUTED_VALUE"""),127.58)</f>
        <v>127.58</v>
      </c>
      <c r="C109" s="2">
        <f ca="1">IFERROR(__xludf.DUMMYFUNCTION("""COMPUTED_VALUE"""),129.55)</f>
        <v>129.55000000000001</v>
      </c>
      <c r="D109" s="2">
        <f ca="1">IFERROR(__xludf.DUMMYFUNCTION("""COMPUTED_VALUE"""),122.63)</f>
        <v>122.63</v>
      </c>
      <c r="E109" s="2">
        <f ca="1">IFERROR(__xludf.DUMMYFUNCTION("""COMPUTED_VALUE"""),122.94)</f>
        <v>122.94</v>
      </c>
      <c r="F109" s="2">
        <f ca="1">IFERROR(__xludf.DUMMYFUNCTION("""COMPUTED_VALUE"""),34179348)</f>
        <v>34179348</v>
      </c>
    </row>
    <row r="110" spans="1:6" ht="12.5" x14ac:dyDescent="0.25">
      <c r="A110" s="3">
        <f ca="1">IFERROR(__xludf.DUMMYFUNCTION("""COMPUTED_VALUE"""),45085.6666666666)</f>
        <v>45085.666666666599</v>
      </c>
      <c r="B110" s="2">
        <f ca="1">IFERROR(__xludf.DUMMYFUNCTION("""COMPUTED_VALUE"""),122.59)</f>
        <v>122.59</v>
      </c>
      <c r="C110" s="2">
        <f ca="1">IFERROR(__xludf.DUMMYFUNCTION("""COMPUTED_VALUE"""),123.73)</f>
        <v>123.73</v>
      </c>
      <c r="D110" s="2">
        <f ca="1">IFERROR(__xludf.DUMMYFUNCTION("""COMPUTED_VALUE"""),122.01)</f>
        <v>122.01</v>
      </c>
      <c r="E110" s="2">
        <f ca="1">IFERROR(__xludf.DUMMYFUNCTION("""COMPUTED_VALUE"""),122.67)</f>
        <v>122.67</v>
      </c>
      <c r="F110" s="2">
        <f ca="1">IFERROR(__xludf.DUMMYFUNCTION("""COMPUTED_VALUE"""),24814996)</f>
        <v>24814996</v>
      </c>
    </row>
    <row r="111" spans="1:6" ht="12.5" x14ac:dyDescent="0.25">
      <c r="A111" s="3">
        <f ca="1">IFERROR(__xludf.DUMMYFUNCTION("""COMPUTED_VALUE"""),45086.6666666666)</f>
        <v>45086.666666666599</v>
      </c>
      <c r="B111" s="2">
        <f ca="1">IFERROR(__xludf.DUMMYFUNCTION("""COMPUTED_VALUE"""),122.56)</f>
        <v>122.56</v>
      </c>
      <c r="C111" s="2">
        <f ca="1">IFERROR(__xludf.DUMMYFUNCTION("""COMPUTED_VALUE"""),124.29)</f>
        <v>124.29</v>
      </c>
      <c r="D111" s="2">
        <f ca="1">IFERROR(__xludf.DUMMYFUNCTION("""COMPUTED_VALUE"""),122.42)</f>
        <v>122.42</v>
      </c>
      <c r="E111" s="2">
        <f ca="1">IFERROR(__xludf.DUMMYFUNCTION("""COMPUTED_VALUE"""),122.87)</f>
        <v>122.87</v>
      </c>
      <c r="F111" s="2">
        <f ca="1">IFERROR(__xludf.DUMMYFUNCTION("""COMPUTED_VALUE"""),20313676)</f>
        <v>20313676</v>
      </c>
    </row>
    <row r="112" spans="1:6" ht="12.5" x14ac:dyDescent="0.25">
      <c r="A112" s="3">
        <f ca="1">IFERROR(__xludf.DUMMYFUNCTION("""COMPUTED_VALUE"""),45089.6666666666)</f>
        <v>45089.666666666599</v>
      </c>
      <c r="B112" s="2">
        <f ca="1">IFERROR(__xludf.DUMMYFUNCTION("""COMPUTED_VALUE"""),123.4)</f>
        <v>123.4</v>
      </c>
      <c r="C112" s="2">
        <f ca="1">IFERROR(__xludf.DUMMYFUNCTION("""COMPUTED_VALUE"""),124.75)</f>
        <v>124.75</v>
      </c>
      <c r="D112" s="2">
        <f ca="1">IFERROR(__xludf.DUMMYFUNCTION("""COMPUTED_VALUE"""),122.35)</f>
        <v>122.35</v>
      </c>
      <c r="E112" s="2">
        <f ca="1">IFERROR(__xludf.DUMMYFUNCTION("""COMPUTED_VALUE"""),124.35)</f>
        <v>124.35</v>
      </c>
      <c r="F112" s="2">
        <f ca="1">IFERROR(__xludf.DUMMYFUNCTION("""COMPUTED_VALUE"""),22289632)</f>
        <v>22289632</v>
      </c>
    </row>
    <row r="113" spans="1:6" ht="12.5" x14ac:dyDescent="0.25">
      <c r="A113" s="3">
        <f ca="1">IFERROR(__xludf.DUMMYFUNCTION("""COMPUTED_VALUE"""),45090.6666666666)</f>
        <v>45090.666666666599</v>
      </c>
      <c r="B113" s="2">
        <f ca="1">IFERROR(__xludf.DUMMYFUNCTION("""COMPUTED_VALUE"""),125.65)</f>
        <v>125.65</v>
      </c>
      <c r="C113" s="2">
        <f ca="1">IFERROR(__xludf.DUMMYFUNCTION("""COMPUTED_VALUE"""),125.86)</f>
        <v>125.86</v>
      </c>
      <c r="D113" s="2">
        <f ca="1">IFERROR(__xludf.DUMMYFUNCTION("""COMPUTED_VALUE"""),123.85)</f>
        <v>123.85</v>
      </c>
      <c r="E113" s="2">
        <f ca="1">IFERROR(__xludf.DUMMYFUNCTION("""COMPUTED_VALUE"""),124.43)</f>
        <v>124.43</v>
      </c>
      <c r="F113" s="2">
        <f ca="1">IFERROR(__xludf.DUMMYFUNCTION("""COMPUTED_VALUE"""),19287650)</f>
        <v>19287650</v>
      </c>
    </row>
    <row r="114" spans="1:6" ht="12.5" x14ac:dyDescent="0.25">
      <c r="A114" s="3">
        <f ca="1">IFERROR(__xludf.DUMMYFUNCTION("""COMPUTED_VALUE"""),45091.6666666666)</f>
        <v>45091.666666666599</v>
      </c>
      <c r="B114" s="2">
        <f ca="1">IFERROR(__xludf.DUMMYFUNCTION("""COMPUTED_VALUE"""),123.8)</f>
        <v>123.8</v>
      </c>
      <c r="C114" s="2">
        <f ca="1">IFERROR(__xludf.DUMMYFUNCTION("""COMPUTED_VALUE"""),124.79)</f>
        <v>124.79</v>
      </c>
      <c r="D114" s="2">
        <f ca="1">IFERROR(__xludf.DUMMYFUNCTION("""COMPUTED_VALUE"""),122.16)</f>
        <v>122.16</v>
      </c>
      <c r="E114" s="2">
        <f ca="1">IFERROR(__xludf.DUMMYFUNCTION("""COMPUTED_VALUE"""),124.38)</f>
        <v>124.38</v>
      </c>
      <c r="F114" s="2">
        <f ca="1">IFERROR(__xludf.DUMMYFUNCTION("""COMPUTED_VALUE"""),24659620)</f>
        <v>24659620</v>
      </c>
    </row>
    <row r="115" spans="1:6" ht="12.5" x14ac:dyDescent="0.25">
      <c r="A115" s="3">
        <f ca="1">IFERROR(__xludf.DUMMYFUNCTION("""COMPUTED_VALUE"""),45092.6666666666)</f>
        <v>45092.666666666599</v>
      </c>
      <c r="B115" s="2">
        <f ca="1">IFERROR(__xludf.DUMMYFUNCTION("""COMPUTED_VALUE"""),123.88)</f>
        <v>123.88</v>
      </c>
      <c r="C115" s="2">
        <f ca="1">IFERROR(__xludf.DUMMYFUNCTION("""COMPUTED_VALUE"""),126.16)</f>
        <v>126.16</v>
      </c>
      <c r="D115" s="2">
        <f ca="1">IFERROR(__xludf.DUMMYFUNCTION("""COMPUTED_VALUE"""),123.14)</f>
        <v>123.14</v>
      </c>
      <c r="E115" s="2">
        <f ca="1">IFERROR(__xludf.DUMMYFUNCTION("""COMPUTED_VALUE"""),125.79)</f>
        <v>125.79</v>
      </c>
      <c r="F115" s="2">
        <f ca="1">IFERROR(__xludf.DUMMYFUNCTION("""COMPUTED_VALUE"""),24517071)</f>
        <v>24517071</v>
      </c>
    </row>
    <row r="116" spans="1:6" ht="12.5" x14ac:dyDescent="0.25">
      <c r="A116" s="3">
        <f ca="1">IFERROR(__xludf.DUMMYFUNCTION("""COMPUTED_VALUE"""),45093.6666666666)</f>
        <v>45093.666666666599</v>
      </c>
      <c r="B116" s="2">
        <f ca="1">IFERROR(__xludf.DUMMYFUNCTION("""COMPUTED_VALUE"""),126.7)</f>
        <v>126.7</v>
      </c>
      <c r="C116" s="2">
        <f ca="1">IFERROR(__xludf.DUMMYFUNCTION("""COMPUTED_VALUE"""),126.7)</f>
        <v>126.7</v>
      </c>
      <c r="D116" s="2">
        <f ca="1">IFERROR(__xludf.DUMMYFUNCTION("""COMPUTED_VALUE"""),123.79)</f>
        <v>123.79</v>
      </c>
      <c r="E116" s="2">
        <f ca="1">IFERROR(__xludf.DUMMYFUNCTION("""COMPUTED_VALUE"""),124.06)</f>
        <v>124.06</v>
      </c>
      <c r="F116" s="2">
        <f ca="1">IFERROR(__xludf.DUMMYFUNCTION("""COMPUTED_VALUE"""),56699200)</f>
        <v>56699200</v>
      </c>
    </row>
    <row r="117" spans="1:6" ht="12.5" x14ac:dyDescent="0.25">
      <c r="A117" s="3">
        <f ca="1">IFERROR(__xludf.DUMMYFUNCTION("""COMPUTED_VALUE"""),45097.6666666666)</f>
        <v>45097.666666666599</v>
      </c>
      <c r="B117" s="2">
        <f ca="1">IFERROR(__xludf.DUMMYFUNCTION("""COMPUTED_VALUE"""),123.54)</f>
        <v>123.54</v>
      </c>
      <c r="C117" s="2">
        <f ca="1">IFERROR(__xludf.DUMMYFUNCTION("""COMPUTED_VALUE"""),125.18)</f>
        <v>125.18</v>
      </c>
      <c r="D117" s="2">
        <f ca="1">IFERROR(__xludf.DUMMYFUNCTION("""COMPUTED_VALUE"""),122.83)</f>
        <v>122.83</v>
      </c>
      <c r="E117" s="2">
        <f ca="1">IFERROR(__xludf.DUMMYFUNCTION("""COMPUTED_VALUE"""),123.85)</f>
        <v>123.85</v>
      </c>
      <c r="F117" s="2">
        <f ca="1">IFERROR(__xludf.DUMMYFUNCTION("""COMPUTED_VALUE"""),22698028)</f>
        <v>22698028</v>
      </c>
    </row>
    <row r="118" spans="1:6" ht="12.5" x14ac:dyDescent="0.25">
      <c r="A118" s="3">
        <f ca="1">IFERROR(__xludf.DUMMYFUNCTION("""COMPUTED_VALUE"""),45098.6666666666)</f>
        <v>45098.666666666599</v>
      </c>
      <c r="B118" s="2">
        <f ca="1">IFERROR(__xludf.DUMMYFUNCTION("""COMPUTED_VALUE"""),123.24)</f>
        <v>123.24</v>
      </c>
      <c r="C118" s="2">
        <f ca="1">IFERROR(__xludf.DUMMYFUNCTION("""COMPUTED_VALUE"""),123.41)</f>
        <v>123.41</v>
      </c>
      <c r="D118" s="2">
        <f ca="1">IFERROR(__xludf.DUMMYFUNCTION("""COMPUTED_VALUE"""),120.86)</f>
        <v>120.86</v>
      </c>
      <c r="E118" s="2">
        <f ca="1">IFERROR(__xludf.DUMMYFUNCTION("""COMPUTED_VALUE"""),121.26)</f>
        <v>121.26</v>
      </c>
      <c r="F118" s="2">
        <f ca="1">IFERROR(__xludf.DUMMYFUNCTION("""COMPUTED_VALUE"""),22612002)</f>
        <v>22612002</v>
      </c>
    </row>
    <row r="119" spans="1:6" ht="12.5" x14ac:dyDescent="0.25">
      <c r="A119" s="3">
        <f ca="1">IFERROR(__xludf.DUMMYFUNCTION("""COMPUTED_VALUE"""),45099.6666666666)</f>
        <v>45099.666666666599</v>
      </c>
      <c r="B119" s="2">
        <f ca="1">IFERROR(__xludf.DUMMYFUNCTION("""COMPUTED_VALUE"""),120.66)</f>
        <v>120.66</v>
      </c>
      <c r="C119" s="2">
        <f ca="1">IFERROR(__xludf.DUMMYFUNCTION("""COMPUTED_VALUE"""),123.94)</f>
        <v>123.94</v>
      </c>
      <c r="D119" s="2">
        <f ca="1">IFERROR(__xludf.DUMMYFUNCTION("""COMPUTED_VALUE"""),119.6)</f>
        <v>119.6</v>
      </c>
      <c r="E119" s="2">
        <f ca="1">IFERROR(__xludf.DUMMYFUNCTION("""COMPUTED_VALUE"""),123.87)</f>
        <v>123.87</v>
      </c>
      <c r="F119" s="2">
        <f ca="1">IFERROR(__xludf.DUMMYFUNCTION("""COMPUTED_VALUE"""),20781888)</f>
        <v>20781888</v>
      </c>
    </row>
    <row r="120" spans="1:6" ht="12.5" x14ac:dyDescent="0.25">
      <c r="A120" s="3">
        <f ca="1">IFERROR(__xludf.DUMMYFUNCTION("""COMPUTED_VALUE"""),45100.6666666666)</f>
        <v>45100.666666666599</v>
      </c>
      <c r="B120" s="2">
        <f ca="1">IFERROR(__xludf.DUMMYFUNCTION("""COMPUTED_VALUE"""),122.04)</f>
        <v>122.04</v>
      </c>
      <c r="C120" s="2">
        <f ca="1">IFERROR(__xludf.DUMMYFUNCTION("""COMPUTED_VALUE"""),123.44)</f>
        <v>123.44</v>
      </c>
      <c r="D120" s="2">
        <f ca="1">IFERROR(__xludf.DUMMYFUNCTION("""COMPUTED_VALUE"""),121.86)</f>
        <v>121.86</v>
      </c>
      <c r="E120" s="2">
        <f ca="1">IFERROR(__xludf.DUMMYFUNCTION("""COMPUTED_VALUE"""),123.02)</f>
        <v>123.02</v>
      </c>
      <c r="F120" s="2">
        <f ca="1">IFERROR(__xludf.DUMMYFUNCTION("""COMPUTED_VALUE"""),29573123)</f>
        <v>29573123</v>
      </c>
    </row>
    <row r="121" spans="1:6" ht="12.5" x14ac:dyDescent="0.25">
      <c r="A121" s="3">
        <f ca="1">IFERROR(__xludf.DUMMYFUNCTION("""COMPUTED_VALUE"""),45103.6666666666)</f>
        <v>45103.666666666599</v>
      </c>
      <c r="B121" s="2">
        <f ca="1">IFERROR(__xludf.DUMMYFUNCTION("""COMPUTED_VALUE"""),121.47)</f>
        <v>121.47</v>
      </c>
      <c r="C121" s="2">
        <f ca="1">IFERROR(__xludf.DUMMYFUNCTION("""COMPUTED_VALUE"""),122.72)</f>
        <v>122.72</v>
      </c>
      <c r="D121" s="2">
        <f ca="1">IFERROR(__xludf.DUMMYFUNCTION("""COMPUTED_VALUE"""),118.99)</f>
        <v>118.99</v>
      </c>
      <c r="E121" s="2">
        <f ca="1">IFERROR(__xludf.DUMMYFUNCTION("""COMPUTED_VALUE"""),119.09)</f>
        <v>119.09</v>
      </c>
      <c r="F121" s="2">
        <f ca="1">IFERROR(__xludf.DUMMYFUNCTION("""COMPUTED_VALUE"""),23184961)</f>
        <v>23184961</v>
      </c>
    </row>
    <row r="122" spans="1:6" ht="12.5" x14ac:dyDescent="0.25">
      <c r="A122" s="3">
        <f ca="1">IFERROR(__xludf.DUMMYFUNCTION("""COMPUTED_VALUE"""),45104.6666666666)</f>
        <v>45104.666666666599</v>
      </c>
      <c r="B122" s="2">
        <f ca="1">IFERROR(__xludf.DUMMYFUNCTION("""COMPUTED_VALUE"""),117.84)</f>
        <v>117.84</v>
      </c>
      <c r="C122" s="2">
        <f ca="1">IFERROR(__xludf.DUMMYFUNCTION("""COMPUTED_VALUE"""),119.9)</f>
        <v>119.9</v>
      </c>
      <c r="D122" s="2">
        <f ca="1">IFERROR(__xludf.DUMMYFUNCTION("""COMPUTED_VALUE"""),116.91)</f>
        <v>116.91</v>
      </c>
      <c r="E122" s="2">
        <f ca="1">IFERROR(__xludf.DUMMYFUNCTION("""COMPUTED_VALUE"""),119.01)</f>
        <v>119.01</v>
      </c>
      <c r="F122" s="2">
        <f ca="1">IFERROR(__xludf.DUMMYFUNCTION("""COMPUTED_VALUE"""),27221714)</f>
        <v>27221714</v>
      </c>
    </row>
    <row r="123" spans="1:6" ht="12.5" x14ac:dyDescent="0.25">
      <c r="A123" s="3">
        <f ca="1">IFERROR(__xludf.DUMMYFUNCTION("""COMPUTED_VALUE"""),45105.6666666666)</f>
        <v>45105.666666666599</v>
      </c>
      <c r="B123" s="2">
        <f ca="1">IFERROR(__xludf.DUMMYFUNCTION("""COMPUTED_VALUE"""),117.96)</f>
        <v>117.96</v>
      </c>
      <c r="C123" s="2">
        <f ca="1">IFERROR(__xludf.DUMMYFUNCTION("""COMPUTED_VALUE"""),121.27)</f>
        <v>121.27</v>
      </c>
      <c r="D123" s="2">
        <f ca="1">IFERROR(__xludf.DUMMYFUNCTION("""COMPUTED_VALUE"""),117.6)</f>
        <v>117.6</v>
      </c>
      <c r="E123" s="2">
        <f ca="1">IFERROR(__xludf.DUMMYFUNCTION("""COMPUTED_VALUE"""),121.08)</f>
        <v>121.08</v>
      </c>
      <c r="F123" s="2">
        <f ca="1">IFERROR(__xludf.DUMMYFUNCTION("""COMPUTED_VALUE"""),19753145)</f>
        <v>19753145</v>
      </c>
    </row>
    <row r="124" spans="1:6" ht="12.5" x14ac:dyDescent="0.25">
      <c r="A124" s="3">
        <f ca="1">IFERROR(__xludf.DUMMYFUNCTION("""COMPUTED_VALUE"""),45106.6666666666)</f>
        <v>45106.666666666599</v>
      </c>
      <c r="B124" s="2">
        <f ca="1">IFERROR(__xludf.DUMMYFUNCTION("""COMPUTED_VALUE"""),120.09)</f>
        <v>120.09</v>
      </c>
      <c r="C124" s="2">
        <f ca="1">IFERROR(__xludf.DUMMYFUNCTION("""COMPUTED_VALUE"""),120.91)</f>
        <v>120.91</v>
      </c>
      <c r="D124" s="2">
        <f ca="1">IFERROR(__xludf.DUMMYFUNCTION("""COMPUTED_VALUE"""),119.21)</f>
        <v>119.21</v>
      </c>
      <c r="E124" s="2">
        <f ca="1">IFERROR(__xludf.DUMMYFUNCTION("""COMPUTED_VALUE"""),120.01)</f>
        <v>120.01</v>
      </c>
      <c r="F124" s="2">
        <f ca="1">IFERROR(__xludf.DUMMYFUNCTION("""COMPUTED_VALUE"""),18517458)</f>
        <v>18517458</v>
      </c>
    </row>
    <row r="125" spans="1:6" ht="12.5" x14ac:dyDescent="0.25">
      <c r="A125" s="3">
        <f ca="1">IFERROR(__xludf.DUMMYFUNCTION("""COMPUTED_VALUE"""),45107.6666666666)</f>
        <v>45107.666666666599</v>
      </c>
      <c r="B125" s="2">
        <f ca="1">IFERROR(__xludf.DUMMYFUNCTION("""COMPUTED_VALUE"""),121.1)</f>
        <v>121.1</v>
      </c>
      <c r="C125" s="2">
        <f ca="1">IFERROR(__xludf.DUMMYFUNCTION("""COMPUTED_VALUE"""),122.03)</f>
        <v>122.03</v>
      </c>
      <c r="D125" s="2">
        <f ca="1">IFERROR(__xludf.DUMMYFUNCTION("""COMPUTED_VALUE"""),120.88)</f>
        <v>120.88</v>
      </c>
      <c r="E125" s="2">
        <f ca="1">IFERROR(__xludf.DUMMYFUNCTION("""COMPUTED_VALUE"""),120.97)</f>
        <v>120.97</v>
      </c>
      <c r="F125" s="2">
        <f ca="1">IFERROR(__xludf.DUMMYFUNCTION("""COMPUTED_VALUE"""),23871764)</f>
        <v>23871764</v>
      </c>
    </row>
    <row r="126" spans="1:6" ht="12.5" x14ac:dyDescent="0.25">
      <c r="A126" s="3">
        <f ca="1">IFERROR(__xludf.DUMMYFUNCTION("""COMPUTED_VALUE"""),45110.5451388888)</f>
        <v>45110.545138888803</v>
      </c>
      <c r="B126" s="2">
        <f ca="1">IFERROR(__xludf.DUMMYFUNCTION("""COMPUTED_VALUE"""),120.32)</f>
        <v>120.32</v>
      </c>
      <c r="C126" s="2">
        <f ca="1">IFERROR(__xludf.DUMMYFUNCTION("""COMPUTED_VALUE"""),121.02)</f>
        <v>121.02</v>
      </c>
      <c r="D126" s="2">
        <f ca="1">IFERROR(__xludf.DUMMYFUNCTION("""COMPUTED_VALUE"""),119.71)</f>
        <v>119.71</v>
      </c>
      <c r="E126" s="2">
        <f ca="1">IFERROR(__xludf.DUMMYFUNCTION("""COMPUTED_VALUE"""),120.56)</f>
        <v>120.56</v>
      </c>
      <c r="F126" s="2">
        <f ca="1">IFERROR(__xludf.DUMMYFUNCTION("""COMPUTED_VALUE"""),13888262)</f>
        <v>13888262</v>
      </c>
    </row>
    <row r="127" spans="1:6" ht="12.5" x14ac:dyDescent="0.25">
      <c r="A127" s="3">
        <f ca="1">IFERROR(__xludf.DUMMYFUNCTION("""COMPUTED_VALUE"""),45112.6666666666)</f>
        <v>45112.666666666599</v>
      </c>
      <c r="B127" s="2">
        <f ca="1">IFERROR(__xludf.DUMMYFUNCTION("""COMPUTED_VALUE"""),120.06)</f>
        <v>120.06</v>
      </c>
      <c r="C127" s="2">
        <f ca="1">IFERROR(__xludf.DUMMYFUNCTION("""COMPUTED_VALUE"""),123.37)</f>
        <v>123.37</v>
      </c>
      <c r="D127" s="2">
        <f ca="1">IFERROR(__xludf.DUMMYFUNCTION("""COMPUTED_VALUE"""),120.06)</f>
        <v>120.06</v>
      </c>
      <c r="E127" s="2">
        <f ca="1">IFERROR(__xludf.DUMMYFUNCTION("""COMPUTED_VALUE"""),122.63)</f>
        <v>122.63</v>
      </c>
      <c r="F127" s="2">
        <f ca="1">IFERROR(__xludf.DUMMYFUNCTION("""COMPUTED_VALUE"""),17830347)</f>
        <v>17830347</v>
      </c>
    </row>
    <row r="128" spans="1:6" ht="12.5" x14ac:dyDescent="0.25">
      <c r="A128" s="3">
        <f ca="1">IFERROR(__xludf.DUMMYFUNCTION("""COMPUTED_VALUE"""),45113.6666666666)</f>
        <v>45113.666666666599</v>
      </c>
      <c r="B128" s="2">
        <f ca="1">IFERROR(__xludf.DUMMYFUNCTION("""COMPUTED_VALUE"""),120.64)</f>
        <v>120.64</v>
      </c>
      <c r="C128" s="2">
        <f ca="1">IFERROR(__xludf.DUMMYFUNCTION("""COMPUTED_VALUE"""),121.15)</f>
        <v>121.15</v>
      </c>
      <c r="D128" s="2">
        <f ca="1">IFERROR(__xludf.DUMMYFUNCTION("""COMPUTED_VALUE"""),119.25)</f>
        <v>119.25</v>
      </c>
      <c r="E128" s="2">
        <f ca="1">IFERROR(__xludf.DUMMYFUNCTION("""COMPUTED_VALUE"""),120.93)</f>
        <v>120.93</v>
      </c>
      <c r="F128" s="2">
        <f ca="1">IFERROR(__xludf.DUMMYFUNCTION("""COMPUTED_VALUE"""),17750181)</f>
        <v>17750181</v>
      </c>
    </row>
    <row r="129" spans="1:6" ht="12.5" x14ac:dyDescent="0.25">
      <c r="A129" s="3">
        <f ca="1">IFERROR(__xludf.DUMMYFUNCTION("""COMPUTED_VALUE"""),45114.6666666666)</f>
        <v>45114.666666666599</v>
      </c>
      <c r="B129" s="2">
        <f ca="1">IFERROR(__xludf.DUMMYFUNCTION("""COMPUTED_VALUE"""),120.89)</f>
        <v>120.89</v>
      </c>
      <c r="C129" s="2">
        <f ca="1">IFERROR(__xludf.DUMMYFUNCTION("""COMPUTED_VALUE"""),121.75)</f>
        <v>121.75</v>
      </c>
      <c r="D129" s="2">
        <f ca="1">IFERROR(__xludf.DUMMYFUNCTION("""COMPUTED_VALUE"""),120.09)</f>
        <v>120.09</v>
      </c>
      <c r="E129" s="2">
        <f ca="1">IFERROR(__xludf.DUMMYFUNCTION("""COMPUTED_VALUE"""),120.14)</f>
        <v>120.14</v>
      </c>
      <c r="F129" s="2">
        <f ca="1">IFERROR(__xludf.DUMMYFUNCTION("""COMPUTED_VALUE"""),20997665)</f>
        <v>20997665</v>
      </c>
    </row>
    <row r="130" spans="1:6" ht="12.5" x14ac:dyDescent="0.25">
      <c r="A130" s="3">
        <f ca="1">IFERROR(__xludf.DUMMYFUNCTION("""COMPUTED_VALUE"""),45117.6666666666)</f>
        <v>45117.666666666599</v>
      </c>
      <c r="B130" s="2">
        <f ca="1">IFERROR(__xludf.DUMMYFUNCTION("""COMPUTED_VALUE"""),119.07)</f>
        <v>119.07</v>
      </c>
      <c r="C130" s="2">
        <f ca="1">IFERROR(__xludf.DUMMYFUNCTION("""COMPUTED_VALUE"""),119.07)</f>
        <v>119.07</v>
      </c>
      <c r="D130" s="2">
        <f ca="1">IFERROR(__xludf.DUMMYFUNCTION("""COMPUTED_VALUE"""),116.64)</f>
        <v>116.64</v>
      </c>
      <c r="E130" s="2">
        <f ca="1">IFERROR(__xludf.DUMMYFUNCTION("""COMPUTED_VALUE"""),116.87)</f>
        <v>116.87</v>
      </c>
      <c r="F130" s="2">
        <f ca="1">IFERROR(__xludf.DUMMYFUNCTION("""COMPUTED_VALUE"""),32960078)</f>
        <v>32960078</v>
      </c>
    </row>
    <row r="131" spans="1:6" ht="12.5" x14ac:dyDescent="0.25">
      <c r="A131" s="3">
        <f ca="1">IFERROR(__xludf.DUMMYFUNCTION("""COMPUTED_VALUE"""),45118.6666666666)</f>
        <v>45118.666666666599</v>
      </c>
      <c r="B131" s="2">
        <f ca="1">IFERROR(__xludf.DUMMYFUNCTION("""COMPUTED_VALUE"""),116.76)</f>
        <v>116.76</v>
      </c>
      <c r="C131" s="2">
        <f ca="1">IFERROR(__xludf.DUMMYFUNCTION("""COMPUTED_VALUE"""),118.23)</f>
        <v>118.23</v>
      </c>
      <c r="D131" s="2">
        <f ca="1">IFERROR(__xludf.DUMMYFUNCTION("""COMPUTED_VALUE"""),115.83)</f>
        <v>115.83</v>
      </c>
      <c r="E131" s="2">
        <f ca="1">IFERROR(__xludf.DUMMYFUNCTION("""COMPUTED_VALUE"""),117.71)</f>
        <v>117.71</v>
      </c>
      <c r="F131" s="2">
        <f ca="1">IFERROR(__xludf.DUMMYFUNCTION("""COMPUTED_VALUE"""),18286571)</f>
        <v>18286571</v>
      </c>
    </row>
    <row r="132" spans="1:6" ht="12.5" x14ac:dyDescent="0.25">
      <c r="A132" s="3">
        <f ca="1">IFERROR(__xludf.DUMMYFUNCTION("""COMPUTED_VALUE"""),45119.6666666666)</f>
        <v>45119.666666666599</v>
      </c>
      <c r="B132" s="2">
        <f ca="1">IFERROR(__xludf.DUMMYFUNCTION("""COMPUTED_VALUE"""),119.3)</f>
        <v>119.3</v>
      </c>
      <c r="C132" s="2">
        <f ca="1">IFERROR(__xludf.DUMMYFUNCTION("""COMPUTED_VALUE"""),120.96)</f>
        <v>120.96</v>
      </c>
      <c r="D132" s="2">
        <f ca="1">IFERROR(__xludf.DUMMYFUNCTION("""COMPUTED_VALUE"""),119)</f>
        <v>119</v>
      </c>
      <c r="E132" s="2">
        <f ca="1">IFERROR(__xludf.DUMMYFUNCTION("""COMPUTED_VALUE"""),119.62)</f>
        <v>119.62</v>
      </c>
      <c r="F132" s="2">
        <f ca="1">IFERROR(__xludf.DUMMYFUNCTION("""COMPUTED_VALUE"""),22059611)</f>
        <v>22059611</v>
      </c>
    </row>
    <row r="133" spans="1:6" ht="12.5" x14ac:dyDescent="0.25">
      <c r="A133" s="3">
        <f ca="1">IFERROR(__xludf.DUMMYFUNCTION("""COMPUTED_VALUE"""),45120.6666666666)</f>
        <v>45120.666666666599</v>
      </c>
      <c r="B133" s="2">
        <f ca="1">IFERROR(__xludf.DUMMYFUNCTION("""COMPUTED_VALUE"""),121.54)</f>
        <v>121.54</v>
      </c>
      <c r="C133" s="2">
        <f ca="1">IFERROR(__xludf.DUMMYFUNCTION("""COMPUTED_VALUE"""),125.34)</f>
        <v>125.34</v>
      </c>
      <c r="D133" s="2">
        <f ca="1">IFERROR(__xludf.DUMMYFUNCTION("""COMPUTED_VALUE"""),121.06)</f>
        <v>121.06</v>
      </c>
      <c r="E133" s="2">
        <f ca="1">IFERROR(__xludf.DUMMYFUNCTION("""COMPUTED_VALUE"""),124.83)</f>
        <v>124.83</v>
      </c>
      <c r="F133" s="2">
        <f ca="1">IFERROR(__xludf.DUMMYFUNCTION("""COMPUTED_VALUE"""),31535853)</f>
        <v>31535853</v>
      </c>
    </row>
    <row r="134" spans="1:6" ht="12.5" x14ac:dyDescent="0.25">
      <c r="A134" s="3">
        <f ca="1">IFERROR(__xludf.DUMMYFUNCTION("""COMPUTED_VALUE"""),45121.6666666666)</f>
        <v>45121.666666666599</v>
      </c>
      <c r="B134" s="2">
        <f ca="1">IFERROR(__xludf.DUMMYFUNCTION("""COMPUTED_VALUE"""),125.13)</f>
        <v>125.13</v>
      </c>
      <c r="C134" s="2">
        <f ca="1">IFERROR(__xludf.DUMMYFUNCTION("""COMPUTED_VALUE"""),127.09)</f>
        <v>127.09</v>
      </c>
      <c r="D134" s="2">
        <f ca="1">IFERROR(__xludf.DUMMYFUNCTION("""COMPUTED_VALUE"""),124.9)</f>
        <v>124.9</v>
      </c>
      <c r="E134" s="2">
        <f ca="1">IFERROR(__xludf.DUMMYFUNCTION("""COMPUTED_VALUE"""),125.7)</f>
        <v>125.7</v>
      </c>
      <c r="F134" s="2">
        <f ca="1">IFERROR(__xludf.DUMMYFUNCTION("""COMPUTED_VALUE"""),20499780)</f>
        <v>20499780</v>
      </c>
    </row>
    <row r="135" spans="1:6" ht="12.5" x14ac:dyDescent="0.25">
      <c r="A135" s="3">
        <f ca="1">IFERROR(__xludf.DUMMYFUNCTION("""COMPUTED_VALUE"""),45124.6666666666)</f>
        <v>45124.666666666599</v>
      </c>
      <c r="B135" s="2">
        <f ca="1">IFERROR(__xludf.DUMMYFUNCTION("""COMPUTED_VALUE"""),126.06)</f>
        <v>126.06</v>
      </c>
      <c r="C135" s="2">
        <f ca="1">IFERROR(__xludf.DUMMYFUNCTION("""COMPUTED_VALUE"""),127.28)</f>
        <v>127.28</v>
      </c>
      <c r="D135" s="2">
        <f ca="1">IFERROR(__xludf.DUMMYFUNCTION("""COMPUTED_VALUE"""),124.5)</f>
        <v>124.5</v>
      </c>
      <c r="E135" s="2">
        <f ca="1">IFERROR(__xludf.DUMMYFUNCTION("""COMPUTED_VALUE"""),125.06)</f>
        <v>125.06</v>
      </c>
      <c r="F135" s="2">
        <f ca="1">IFERROR(__xludf.DUMMYFUNCTION("""COMPUTED_VALUE"""),20675297)</f>
        <v>20675297</v>
      </c>
    </row>
    <row r="136" spans="1:6" ht="12.5" x14ac:dyDescent="0.25">
      <c r="A136" s="3">
        <f ca="1">IFERROR(__xludf.DUMMYFUNCTION("""COMPUTED_VALUE"""),45125.6666666666)</f>
        <v>45125.666666666599</v>
      </c>
      <c r="B136" s="2">
        <f ca="1">IFERROR(__xludf.DUMMYFUNCTION("""COMPUTED_VALUE"""),124.91)</f>
        <v>124.91</v>
      </c>
      <c r="C136" s="2">
        <f ca="1">IFERROR(__xludf.DUMMYFUNCTION("""COMPUTED_VALUE"""),124.99)</f>
        <v>124.99</v>
      </c>
      <c r="D136" s="2">
        <f ca="1">IFERROR(__xludf.DUMMYFUNCTION("""COMPUTED_VALUE"""),123.3)</f>
        <v>123.3</v>
      </c>
      <c r="E136" s="2">
        <f ca="1">IFERROR(__xludf.DUMMYFUNCTION("""COMPUTED_VALUE"""),124.08)</f>
        <v>124.08</v>
      </c>
      <c r="F136" s="2">
        <f ca="1">IFERROR(__xludf.DUMMYFUNCTION("""COMPUTED_VALUE"""),21071248)</f>
        <v>21071248</v>
      </c>
    </row>
    <row r="137" spans="1:6" ht="12.5" x14ac:dyDescent="0.25">
      <c r="A137" s="3">
        <f ca="1">IFERROR(__xludf.DUMMYFUNCTION("""COMPUTED_VALUE"""),45126.6666666666)</f>
        <v>45126.666666666599</v>
      </c>
      <c r="B137" s="2">
        <f ca="1">IFERROR(__xludf.DUMMYFUNCTION("""COMPUTED_VALUE"""),124.79)</f>
        <v>124.79</v>
      </c>
      <c r="C137" s="2">
        <f ca="1">IFERROR(__xludf.DUMMYFUNCTION("""COMPUTED_VALUE"""),125.47)</f>
        <v>125.47</v>
      </c>
      <c r="D137" s="2">
        <f ca="1">IFERROR(__xludf.DUMMYFUNCTION("""COMPUTED_VALUE"""),122.47)</f>
        <v>122.47</v>
      </c>
      <c r="E137" s="2">
        <f ca="1">IFERROR(__xludf.DUMMYFUNCTION("""COMPUTED_VALUE"""),122.78)</f>
        <v>122.78</v>
      </c>
      <c r="F137" s="2">
        <f ca="1">IFERROR(__xludf.DUMMYFUNCTION("""COMPUTED_VALUE"""),22313803)</f>
        <v>22313803</v>
      </c>
    </row>
    <row r="138" spans="1:6" ht="12.5" x14ac:dyDescent="0.25">
      <c r="A138" s="3">
        <f ca="1">IFERROR(__xludf.DUMMYFUNCTION("""COMPUTED_VALUE"""),45127.6666666666)</f>
        <v>45127.666666666599</v>
      </c>
      <c r="B138" s="2">
        <f ca="1">IFERROR(__xludf.DUMMYFUNCTION("""COMPUTED_VALUE"""),122.12)</f>
        <v>122.12</v>
      </c>
      <c r="C138" s="2">
        <f ca="1">IFERROR(__xludf.DUMMYFUNCTION("""COMPUTED_VALUE"""),124.7)</f>
        <v>124.7</v>
      </c>
      <c r="D138" s="2">
        <f ca="1">IFERROR(__xludf.DUMMYFUNCTION("""COMPUTED_VALUE"""),118.69)</f>
        <v>118.69</v>
      </c>
      <c r="E138" s="2">
        <f ca="1">IFERROR(__xludf.DUMMYFUNCTION("""COMPUTED_VALUE"""),119.53)</f>
        <v>119.53</v>
      </c>
      <c r="F138" s="2">
        <f ca="1">IFERROR(__xludf.DUMMYFUNCTION("""COMPUTED_VALUE"""),27541711)</f>
        <v>27541711</v>
      </c>
    </row>
    <row r="139" spans="1:6" ht="12.5" x14ac:dyDescent="0.25">
      <c r="A139" s="3">
        <f ca="1">IFERROR(__xludf.DUMMYFUNCTION("""COMPUTED_VALUE"""),45128.6666666666)</f>
        <v>45128.666666666599</v>
      </c>
      <c r="B139" s="2">
        <f ca="1">IFERROR(__xludf.DUMMYFUNCTION("""COMPUTED_VALUE"""),120.87)</f>
        <v>120.87</v>
      </c>
      <c r="C139" s="2">
        <f ca="1">IFERROR(__xludf.DUMMYFUNCTION("""COMPUTED_VALUE"""),121.3)</f>
        <v>121.3</v>
      </c>
      <c r="D139" s="2">
        <f ca="1">IFERROR(__xludf.DUMMYFUNCTION("""COMPUTED_VALUE"""),119.07)</f>
        <v>119.07</v>
      </c>
      <c r="E139" s="2">
        <f ca="1">IFERROR(__xludf.DUMMYFUNCTION("""COMPUTED_VALUE"""),120.31)</f>
        <v>120.31</v>
      </c>
      <c r="F139" s="2">
        <f ca="1">IFERROR(__xludf.DUMMYFUNCTION("""COMPUTED_VALUE"""),56514645)</f>
        <v>56514645</v>
      </c>
    </row>
    <row r="140" spans="1:6" ht="12.5" x14ac:dyDescent="0.25">
      <c r="A140" s="3">
        <f ca="1">IFERROR(__xludf.DUMMYFUNCTION("""COMPUTED_VALUE"""),45131.6666666666)</f>
        <v>45131.666666666599</v>
      </c>
      <c r="B140" s="2">
        <f ca="1">IFERROR(__xludf.DUMMYFUNCTION("""COMPUTED_VALUE"""),121.93)</f>
        <v>121.93</v>
      </c>
      <c r="C140" s="2">
        <f ca="1">IFERROR(__xludf.DUMMYFUNCTION("""COMPUTED_VALUE"""),123.35)</f>
        <v>123.35</v>
      </c>
      <c r="D140" s="2">
        <f ca="1">IFERROR(__xludf.DUMMYFUNCTION("""COMPUTED_VALUE"""),121.38)</f>
        <v>121.38</v>
      </c>
      <c r="E140" s="2">
        <f ca="1">IFERROR(__xludf.DUMMYFUNCTION("""COMPUTED_VALUE"""),121.88)</f>
        <v>121.88</v>
      </c>
      <c r="F140" s="2">
        <f ca="1">IFERROR(__xludf.DUMMYFUNCTION("""COMPUTED_VALUE"""),22312220)</f>
        <v>22312220</v>
      </c>
    </row>
    <row r="141" spans="1:6" ht="12.5" x14ac:dyDescent="0.25">
      <c r="A141" s="3">
        <f ca="1">IFERROR(__xludf.DUMMYFUNCTION("""COMPUTED_VALUE"""),45132.6666666666)</f>
        <v>45132.666666666599</v>
      </c>
      <c r="B141" s="2">
        <f ca="1">IFERROR(__xludf.DUMMYFUNCTION("""COMPUTED_VALUE"""),121.88)</f>
        <v>121.88</v>
      </c>
      <c r="C141" s="2">
        <f ca="1">IFERROR(__xludf.DUMMYFUNCTION("""COMPUTED_VALUE"""),123.69)</f>
        <v>123.69</v>
      </c>
      <c r="D141" s="2">
        <f ca="1">IFERROR(__xludf.DUMMYFUNCTION("""COMPUTED_VALUE"""),121.53)</f>
        <v>121.53</v>
      </c>
      <c r="E141" s="2">
        <f ca="1">IFERROR(__xludf.DUMMYFUNCTION("""COMPUTED_VALUE"""),122.79)</f>
        <v>122.79</v>
      </c>
      <c r="F141" s="2">
        <f ca="1">IFERROR(__xludf.DUMMYFUNCTION("""COMPUTED_VALUE"""),31820846)</f>
        <v>31820846</v>
      </c>
    </row>
    <row r="142" spans="1:6" ht="12.5" x14ac:dyDescent="0.25">
      <c r="A142" s="3">
        <f ca="1">IFERROR(__xludf.DUMMYFUNCTION("""COMPUTED_VALUE"""),45133.6666666666)</f>
        <v>45133.666666666599</v>
      </c>
      <c r="B142" s="2">
        <f ca="1">IFERROR(__xludf.DUMMYFUNCTION("""COMPUTED_VALUE"""),130.36)</f>
        <v>130.36000000000001</v>
      </c>
      <c r="C142" s="2">
        <f ca="1">IFERROR(__xludf.DUMMYFUNCTION("""COMPUTED_VALUE"""),131.37)</f>
        <v>131.37</v>
      </c>
      <c r="D142" s="2">
        <f ca="1">IFERROR(__xludf.DUMMYFUNCTION("""COMPUTED_VALUE"""),128.71)</f>
        <v>128.71</v>
      </c>
      <c r="E142" s="2">
        <f ca="1">IFERROR(__xludf.DUMMYFUNCTION("""COMPUTED_VALUE"""),129.66)</f>
        <v>129.66</v>
      </c>
      <c r="F142" s="2">
        <f ca="1">IFERROR(__xludf.DUMMYFUNCTION("""COMPUTED_VALUE"""),46216895)</f>
        <v>46216895</v>
      </c>
    </row>
    <row r="143" spans="1:6" ht="12.5" x14ac:dyDescent="0.25">
      <c r="A143" s="3">
        <f ca="1">IFERROR(__xludf.DUMMYFUNCTION("""COMPUTED_VALUE"""),45134.6666666666)</f>
        <v>45134.666666666599</v>
      </c>
      <c r="B143" s="2">
        <f ca="1">IFERROR(__xludf.DUMMYFUNCTION("""COMPUTED_VALUE"""),131.8)</f>
        <v>131.80000000000001</v>
      </c>
      <c r="C143" s="2">
        <f ca="1">IFERROR(__xludf.DUMMYFUNCTION("""COMPUTED_VALUE"""),133.6)</f>
        <v>133.6</v>
      </c>
      <c r="D143" s="2">
        <f ca="1">IFERROR(__xludf.DUMMYFUNCTION("""COMPUTED_VALUE"""),129.18)</f>
        <v>129.18</v>
      </c>
      <c r="E143" s="2">
        <f ca="1">IFERROR(__xludf.DUMMYFUNCTION("""COMPUTED_VALUE"""),129.87)</f>
        <v>129.87</v>
      </c>
      <c r="F143" s="2">
        <f ca="1">IFERROR(__xludf.DUMMYFUNCTION("""COMPUTED_VALUE"""),35931612)</f>
        <v>35931612</v>
      </c>
    </row>
    <row r="144" spans="1:6" ht="12.5" x14ac:dyDescent="0.25">
      <c r="A144" s="3">
        <f ca="1">IFERROR(__xludf.DUMMYFUNCTION("""COMPUTED_VALUE"""),45135.6666666666)</f>
        <v>45135.666666666599</v>
      </c>
      <c r="B144" s="2">
        <f ca="1">IFERROR(__xludf.DUMMYFUNCTION("""COMPUTED_VALUE"""),130.97)</f>
        <v>130.97</v>
      </c>
      <c r="C144" s="2">
        <f ca="1">IFERROR(__xludf.DUMMYFUNCTION("""COMPUTED_VALUE"""),134.07)</f>
        <v>134.07</v>
      </c>
      <c r="D144" s="2">
        <f ca="1">IFERROR(__xludf.DUMMYFUNCTION("""COMPUTED_VALUE"""),130.92)</f>
        <v>130.91999999999999</v>
      </c>
      <c r="E144" s="2">
        <f ca="1">IFERROR(__xludf.DUMMYFUNCTION("""COMPUTED_VALUE"""),133.01)</f>
        <v>133.01</v>
      </c>
      <c r="F144" s="2">
        <f ca="1">IFERROR(__xludf.DUMMYFUNCTION("""COMPUTED_VALUE"""),26971011)</f>
        <v>26971011</v>
      </c>
    </row>
    <row r="145" spans="1:6" ht="12.5" x14ac:dyDescent="0.25">
      <c r="A145" s="3">
        <f ca="1">IFERROR(__xludf.DUMMYFUNCTION("""COMPUTED_VALUE"""),45138.6666666666)</f>
        <v>45138.666666666599</v>
      </c>
      <c r="B145" s="2">
        <f ca="1">IFERROR(__xludf.DUMMYFUNCTION("""COMPUTED_VALUE"""),133.01)</f>
        <v>133.01</v>
      </c>
      <c r="C145" s="2">
        <f ca="1">IFERROR(__xludf.DUMMYFUNCTION("""COMPUTED_VALUE"""),133.83)</f>
        <v>133.83000000000001</v>
      </c>
      <c r="D145" s="2">
        <f ca="1">IFERROR(__xludf.DUMMYFUNCTION("""COMPUTED_VALUE"""),132.13)</f>
        <v>132.13</v>
      </c>
      <c r="E145" s="2">
        <f ca="1">IFERROR(__xludf.DUMMYFUNCTION("""COMPUTED_VALUE"""),133.11)</f>
        <v>133.11000000000001</v>
      </c>
      <c r="F145" s="2">
        <f ca="1">IFERROR(__xludf.DUMMYFUNCTION("""COMPUTED_VALUE"""),18381891)</f>
        <v>18381891</v>
      </c>
    </row>
    <row r="146" spans="1:6" ht="12.5" x14ac:dyDescent="0.25">
      <c r="A146" s="3">
        <f ca="1">IFERROR(__xludf.DUMMYFUNCTION("""COMPUTED_VALUE"""),45139.6666666666)</f>
        <v>45139.666666666599</v>
      </c>
      <c r="B146" s="2">
        <f ca="1">IFERROR(__xludf.DUMMYFUNCTION("""COMPUTED_VALUE"""),130.85)</f>
        <v>130.85</v>
      </c>
      <c r="C146" s="2">
        <f ca="1">IFERROR(__xludf.DUMMYFUNCTION("""COMPUTED_VALUE"""),132.92)</f>
        <v>132.91999999999999</v>
      </c>
      <c r="D146" s="2">
        <f ca="1">IFERROR(__xludf.DUMMYFUNCTION("""COMPUTED_VALUE"""),130.75)</f>
        <v>130.75</v>
      </c>
      <c r="E146" s="2">
        <f ca="1">IFERROR(__xludf.DUMMYFUNCTION("""COMPUTED_VALUE"""),131.89)</f>
        <v>131.88999999999999</v>
      </c>
      <c r="F146" s="2">
        <f ca="1">IFERROR(__xludf.DUMMYFUNCTION("""COMPUTED_VALUE"""),22219012)</f>
        <v>22219012</v>
      </c>
    </row>
    <row r="147" spans="1:6" ht="12.5" x14ac:dyDescent="0.25">
      <c r="A147" s="3">
        <f ca="1">IFERROR(__xludf.DUMMYFUNCTION("""COMPUTED_VALUE"""),45140.6666666666)</f>
        <v>45140.666666666599</v>
      </c>
      <c r="B147" s="2">
        <f ca="1">IFERROR(__xludf.DUMMYFUNCTION("""COMPUTED_VALUE"""),129.84)</f>
        <v>129.84</v>
      </c>
      <c r="C147" s="2">
        <f ca="1">IFERROR(__xludf.DUMMYFUNCTION("""COMPUTED_VALUE"""),130.42)</f>
        <v>130.41999999999999</v>
      </c>
      <c r="D147" s="2">
        <f ca="1">IFERROR(__xludf.DUMMYFUNCTION("""COMPUTED_VALUE"""),127.85)</f>
        <v>127.85</v>
      </c>
      <c r="E147" s="2">
        <f ca="1">IFERROR(__xludf.DUMMYFUNCTION("""COMPUTED_VALUE"""),128.64)</f>
        <v>128.63999999999999</v>
      </c>
      <c r="F147" s="2">
        <f ca="1">IFERROR(__xludf.DUMMYFUNCTION("""COMPUTED_VALUE"""),22705778)</f>
        <v>22705778</v>
      </c>
    </row>
    <row r="148" spans="1:6" ht="12.5" x14ac:dyDescent="0.25">
      <c r="A148" s="3">
        <f ca="1">IFERROR(__xludf.DUMMYFUNCTION("""COMPUTED_VALUE"""),45141.6666666666)</f>
        <v>45141.666666666599</v>
      </c>
      <c r="B148" s="2">
        <f ca="1">IFERROR(__xludf.DUMMYFUNCTION("""COMPUTED_VALUE"""),128.37)</f>
        <v>128.37</v>
      </c>
      <c r="C148" s="2">
        <f ca="1">IFERROR(__xludf.DUMMYFUNCTION("""COMPUTED_VALUE"""),129.77)</f>
        <v>129.77000000000001</v>
      </c>
      <c r="D148" s="2">
        <f ca="1">IFERROR(__xludf.DUMMYFUNCTION("""COMPUTED_VALUE"""),127.78)</f>
        <v>127.78</v>
      </c>
      <c r="E148" s="2">
        <f ca="1">IFERROR(__xludf.DUMMYFUNCTION("""COMPUTED_VALUE"""),128.77)</f>
        <v>128.77000000000001</v>
      </c>
      <c r="F148" s="2">
        <f ca="1">IFERROR(__xludf.DUMMYFUNCTION("""COMPUTED_VALUE"""),15086132)</f>
        <v>15086132</v>
      </c>
    </row>
    <row r="149" spans="1:6" ht="12.5" x14ac:dyDescent="0.25">
      <c r="A149" s="3">
        <f ca="1">IFERROR(__xludf.DUMMYFUNCTION("""COMPUTED_VALUE"""),45142.6666666666)</f>
        <v>45142.666666666599</v>
      </c>
      <c r="B149" s="2">
        <f ca="1">IFERROR(__xludf.DUMMYFUNCTION("""COMPUTED_VALUE"""),129.6)</f>
        <v>129.6</v>
      </c>
      <c r="C149" s="2">
        <f ca="1">IFERROR(__xludf.DUMMYFUNCTION("""COMPUTED_VALUE"""),131.93)</f>
        <v>131.93</v>
      </c>
      <c r="D149" s="2">
        <f ca="1">IFERROR(__xludf.DUMMYFUNCTION("""COMPUTED_VALUE"""),128.32)</f>
        <v>128.32</v>
      </c>
      <c r="E149" s="2">
        <f ca="1">IFERROR(__xludf.DUMMYFUNCTION("""COMPUTED_VALUE"""),128.54)</f>
        <v>128.54</v>
      </c>
      <c r="F149" s="2">
        <f ca="1">IFERROR(__xludf.DUMMYFUNCTION("""COMPUTED_VALUE"""),20521852)</f>
        <v>20521852</v>
      </c>
    </row>
    <row r="150" spans="1:6" ht="12.5" x14ac:dyDescent="0.25">
      <c r="A150" s="3">
        <f ca="1">IFERROR(__xludf.DUMMYFUNCTION("""COMPUTED_VALUE"""),45145.6666666666)</f>
        <v>45145.666666666599</v>
      </c>
      <c r="B150" s="2">
        <f ca="1">IFERROR(__xludf.DUMMYFUNCTION("""COMPUTED_VALUE"""),129.51)</f>
        <v>129.51</v>
      </c>
      <c r="C150" s="2">
        <f ca="1">IFERROR(__xludf.DUMMYFUNCTION("""COMPUTED_VALUE"""),132.06)</f>
        <v>132.06</v>
      </c>
      <c r="D150" s="2">
        <f ca="1">IFERROR(__xludf.DUMMYFUNCTION("""COMPUTED_VALUE"""),129.43)</f>
        <v>129.43</v>
      </c>
      <c r="E150" s="2">
        <f ca="1">IFERROR(__xludf.DUMMYFUNCTION("""COMPUTED_VALUE"""),131.94)</f>
        <v>131.94</v>
      </c>
      <c r="F150" s="2">
        <f ca="1">IFERROR(__xludf.DUMMYFUNCTION("""COMPUTED_VALUE"""),17621041)</f>
        <v>17621041</v>
      </c>
    </row>
    <row r="151" spans="1:6" ht="12.5" x14ac:dyDescent="0.25">
      <c r="A151" s="3">
        <f ca="1">IFERROR(__xludf.DUMMYFUNCTION("""COMPUTED_VALUE"""),45146.6666666666)</f>
        <v>45146.666666666599</v>
      </c>
      <c r="B151" s="2">
        <f ca="1">IFERROR(__xludf.DUMMYFUNCTION("""COMPUTED_VALUE"""),130.98)</f>
        <v>130.97999999999999</v>
      </c>
      <c r="C151" s="2">
        <f ca="1">IFERROR(__xludf.DUMMYFUNCTION("""COMPUTED_VALUE"""),131.94)</f>
        <v>131.94</v>
      </c>
      <c r="D151" s="2">
        <f ca="1">IFERROR(__xludf.DUMMYFUNCTION("""COMPUTED_VALUE"""),130.13)</f>
        <v>130.13</v>
      </c>
      <c r="E151" s="2">
        <f ca="1">IFERROR(__xludf.DUMMYFUNCTION("""COMPUTED_VALUE"""),131.84)</f>
        <v>131.84</v>
      </c>
      <c r="F151" s="2">
        <f ca="1">IFERROR(__xludf.DUMMYFUNCTION("""COMPUTED_VALUE"""),16835952)</f>
        <v>16835952</v>
      </c>
    </row>
    <row r="152" spans="1:6" ht="12.5" x14ac:dyDescent="0.25">
      <c r="A152" s="3">
        <f ca="1">IFERROR(__xludf.DUMMYFUNCTION("""COMPUTED_VALUE"""),45147.6666666666)</f>
        <v>45147.666666666599</v>
      </c>
      <c r="B152" s="2">
        <f ca="1">IFERROR(__xludf.DUMMYFUNCTION("""COMPUTED_VALUE"""),132.19)</f>
        <v>132.19</v>
      </c>
      <c r="C152" s="2">
        <f ca="1">IFERROR(__xludf.DUMMYFUNCTION("""COMPUTED_VALUE"""),132.47)</f>
        <v>132.47</v>
      </c>
      <c r="D152" s="2">
        <f ca="1">IFERROR(__xludf.DUMMYFUNCTION("""COMPUTED_VALUE"""),129.51)</f>
        <v>129.51</v>
      </c>
      <c r="E152" s="2">
        <f ca="1">IFERROR(__xludf.DUMMYFUNCTION("""COMPUTED_VALUE"""),130.15)</f>
        <v>130.15</v>
      </c>
      <c r="F152" s="2">
        <f ca="1">IFERROR(__xludf.DUMMYFUNCTION("""COMPUTED_VALUE"""),17745218)</f>
        <v>17745218</v>
      </c>
    </row>
    <row r="153" spans="1:6" ht="12.5" x14ac:dyDescent="0.25">
      <c r="A153" s="3">
        <f ca="1">IFERROR(__xludf.DUMMYFUNCTION("""COMPUTED_VALUE"""),45148.6666666666)</f>
        <v>45148.666666666599</v>
      </c>
      <c r="B153" s="2">
        <f ca="1">IFERROR(__xludf.DUMMYFUNCTION("""COMPUTED_VALUE"""),131.97)</f>
        <v>131.97</v>
      </c>
      <c r="C153" s="2">
        <f ca="1">IFERROR(__xludf.DUMMYFUNCTION("""COMPUTED_VALUE"""),132.65)</f>
        <v>132.65</v>
      </c>
      <c r="D153" s="2">
        <f ca="1">IFERROR(__xludf.DUMMYFUNCTION("""COMPUTED_VALUE"""),130.04)</f>
        <v>130.04</v>
      </c>
      <c r="E153" s="2">
        <f ca="1">IFERROR(__xludf.DUMMYFUNCTION("""COMPUTED_VALUE"""),130.21)</f>
        <v>130.21</v>
      </c>
      <c r="F153" s="2">
        <f ca="1">IFERROR(__xludf.DUMMYFUNCTION("""COMPUTED_VALUE"""),17855681)</f>
        <v>17855681</v>
      </c>
    </row>
    <row r="154" spans="1:6" ht="12.5" x14ac:dyDescent="0.25">
      <c r="A154" s="3">
        <f ca="1">IFERROR(__xludf.DUMMYFUNCTION("""COMPUTED_VALUE"""),45149.6666666666)</f>
        <v>45149.666666666599</v>
      </c>
      <c r="B154" s="2">
        <f ca="1">IFERROR(__xludf.DUMMYFUNCTION("""COMPUTED_VALUE"""),129.2)</f>
        <v>129.19999999999999</v>
      </c>
      <c r="C154" s="2">
        <f ca="1">IFERROR(__xludf.DUMMYFUNCTION("""COMPUTED_VALUE"""),130.44)</f>
        <v>130.44</v>
      </c>
      <c r="D154" s="2">
        <f ca="1">IFERROR(__xludf.DUMMYFUNCTION("""COMPUTED_VALUE"""),128.75)</f>
        <v>128.75</v>
      </c>
      <c r="E154" s="2">
        <f ca="1">IFERROR(__xludf.DUMMYFUNCTION("""COMPUTED_VALUE"""),130.17)</f>
        <v>130.16999999999999</v>
      </c>
      <c r="F154" s="2">
        <f ca="1">IFERROR(__xludf.DUMMYFUNCTION("""COMPUTED_VALUE"""),15205465)</f>
        <v>15205465</v>
      </c>
    </row>
    <row r="155" spans="1:6" ht="12.5" x14ac:dyDescent="0.25">
      <c r="A155" s="3">
        <f ca="1">IFERROR(__xludf.DUMMYFUNCTION("""COMPUTED_VALUE"""),45152.6666666666)</f>
        <v>45152.666666666599</v>
      </c>
      <c r="B155" s="2">
        <f ca="1">IFERROR(__xludf.DUMMYFUNCTION("""COMPUTED_VALUE"""),129.85)</f>
        <v>129.85</v>
      </c>
      <c r="C155" s="2">
        <f ca="1">IFERROR(__xludf.DUMMYFUNCTION("""COMPUTED_VALUE"""),131.91)</f>
        <v>131.91</v>
      </c>
      <c r="D155" s="2">
        <f ca="1">IFERROR(__xludf.DUMMYFUNCTION("""COMPUTED_VALUE"""),129.59)</f>
        <v>129.59</v>
      </c>
      <c r="E155" s="2">
        <f ca="1">IFERROR(__xludf.DUMMYFUNCTION("""COMPUTED_VALUE"""),131.83)</f>
        <v>131.83000000000001</v>
      </c>
      <c r="F155" s="2">
        <f ca="1">IFERROR(__xludf.DUMMYFUNCTION("""COMPUTED_VALUE"""),17526195)</f>
        <v>17526195</v>
      </c>
    </row>
    <row r="156" spans="1:6" ht="12.5" x14ac:dyDescent="0.25">
      <c r="A156" s="3">
        <f ca="1">IFERROR(__xludf.DUMMYFUNCTION("""COMPUTED_VALUE"""),45153.6666666666)</f>
        <v>45153.666666666599</v>
      </c>
      <c r="B156" s="2">
        <f ca="1">IFERROR(__xludf.DUMMYFUNCTION("""COMPUTED_VALUE"""),131.59)</f>
        <v>131.59</v>
      </c>
      <c r="C156" s="2">
        <f ca="1">IFERROR(__xludf.DUMMYFUNCTION("""COMPUTED_VALUE"""),131.99)</f>
        <v>131.99</v>
      </c>
      <c r="D156" s="2">
        <f ca="1">IFERROR(__xludf.DUMMYFUNCTION("""COMPUTED_VALUE"""),129.82)</f>
        <v>129.82</v>
      </c>
      <c r="E156" s="2">
        <f ca="1">IFERROR(__xludf.DUMMYFUNCTION("""COMPUTED_VALUE"""),130.27)</f>
        <v>130.27000000000001</v>
      </c>
      <c r="F156" s="2">
        <f ca="1">IFERROR(__xludf.DUMMYFUNCTION("""COMPUTED_VALUE"""),14769173)</f>
        <v>14769173</v>
      </c>
    </row>
    <row r="157" spans="1:6" ht="12.5" x14ac:dyDescent="0.25">
      <c r="A157" s="3">
        <f ca="1">IFERROR(__xludf.DUMMYFUNCTION("""COMPUTED_VALUE"""),45154.6666666666)</f>
        <v>45154.666666666599</v>
      </c>
      <c r="B157" s="2">
        <f ca="1">IFERROR(__xludf.DUMMYFUNCTION("""COMPUTED_VALUE"""),129.28)</f>
        <v>129.28</v>
      </c>
      <c r="C157" s="2">
        <f ca="1">IFERROR(__xludf.DUMMYFUNCTION("""COMPUTED_VALUE"""),130.9)</f>
        <v>130.9</v>
      </c>
      <c r="D157" s="2">
        <f ca="1">IFERROR(__xludf.DUMMYFUNCTION("""COMPUTED_VALUE"""),128.46)</f>
        <v>128.46</v>
      </c>
      <c r="E157" s="2">
        <f ca="1">IFERROR(__xludf.DUMMYFUNCTION("""COMPUTED_VALUE"""),129.11)</f>
        <v>129.11000000000001</v>
      </c>
      <c r="F157" s="2">
        <f ca="1">IFERROR(__xludf.DUMMYFUNCTION("""COMPUTED_VALUE"""),17548355)</f>
        <v>17548355</v>
      </c>
    </row>
    <row r="158" spans="1:6" ht="12.5" x14ac:dyDescent="0.25">
      <c r="A158" s="3">
        <f ca="1">IFERROR(__xludf.DUMMYFUNCTION("""COMPUTED_VALUE"""),45155.6666666666)</f>
        <v>45155.666666666599</v>
      </c>
      <c r="B158" s="2">
        <f ca="1">IFERROR(__xludf.DUMMYFUNCTION("""COMPUTED_VALUE"""),130.45)</f>
        <v>130.44999999999999</v>
      </c>
      <c r="C158" s="2">
        <f ca="1">IFERROR(__xludf.DUMMYFUNCTION("""COMPUTED_VALUE"""),132.49)</f>
        <v>132.49</v>
      </c>
      <c r="D158" s="2">
        <f ca="1">IFERROR(__xludf.DUMMYFUNCTION("""COMPUTED_VALUE"""),129.85)</f>
        <v>129.85</v>
      </c>
      <c r="E158" s="2">
        <f ca="1">IFERROR(__xludf.DUMMYFUNCTION("""COMPUTED_VALUE"""),130.46)</f>
        <v>130.46</v>
      </c>
      <c r="F158" s="2">
        <f ca="1">IFERROR(__xludf.DUMMYFUNCTION("""COMPUTED_VALUE"""),23665562)</f>
        <v>23665562</v>
      </c>
    </row>
    <row r="159" spans="1:6" ht="12.5" x14ac:dyDescent="0.25">
      <c r="A159" s="3">
        <f ca="1">IFERROR(__xludf.DUMMYFUNCTION("""COMPUTED_VALUE"""),45156.6666666666)</f>
        <v>45156.666666666599</v>
      </c>
      <c r="B159" s="2">
        <f ca="1">IFERROR(__xludf.DUMMYFUNCTION("""COMPUTED_VALUE"""),129.06)</f>
        <v>129.06</v>
      </c>
      <c r="C159" s="2">
        <f ca="1">IFERROR(__xludf.DUMMYFUNCTION("""COMPUTED_VALUE"""),129.83)</f>
        <v>129.83000000000001</v>
      </c>
      <c r="D159" s="2">
        <f ca="1">IFERROR(__xludf.DUMMYFUNCTION("""COMPUTED_VALUE"""),127)</f>
        <v>127</v>
      </c>
      <c r="E159" s="2">
        <f ca="1">IFERROR(__xludf.DUMMYFUNCTION("""COMPUTED_VALUE"""),128.11)</f>
        <v>128.11000000000001</v>
      </c>
      <c r="F159" s="2">
        <f ca="1">IFERROR(__xludf.DUMMYFUNCTION("""COMPUTED_VALUE"""),23627202)</f>
        <v>23627202</v>
      </c>
    </row>
    <row r="160" spans="1:6" ht="12.5" x14ac:dyDescent="0.25">
      <c r="A160" s="3">
        <f ca="1">IFERROR(__xludf.DUMMYFUNCTION("""COMPUTED_VALUE"""),45159.6666666666)</f>
        <v>45159.666666666599</v>
      </c>
      <c r="B160" s="2">
        <f ca="1">IFERROR(__xludf.DUMMYFUNCTION("""COMPUTED_VALUE"""),127.85)</f>
        <v>127.85</v>
      </c>
      <c r="C160" s="2">
        <f ca="1">IFERROR(__xludf.DUMMYFUNCTION("""COMPUTED_VALUE"""),129.26)</f>
        <v>129.26</v>
      </c>
      <c r="D160" s="2">
        <f ca="1">IFERROR(__xludf.DUMMYFUNCTION("""COMPUTED_VALUE"""),127.16)</f>
        <v>127.16</v>
      </c>
      <c r="E160" s="2">
        <f ca="1">IFERROR(__xludf.DUMMYFUNCTION("""COMPUTED_VALUE"""),128.93)</f>
        <v>128.93</v>
      </c>
      <c r="F160" s="2">
        <f ca="1">IFERROR(__xludf.DUMMYFUNCTION("""COMPUTED_VALUE"""),21851070)</f>
        <v>21851070</v>
      </c>
    </row>
    <row r="161" spans="1:6" ht="12.5" x14ac:dyDescent="0.25">
      <c r="A161" s="3">
        <f ca="1">IFERROR(__xludf.DUMMYFUNCTION("""COMPUTED_VALUE"""),45160.6666666666)</f>
        <v>45160.666666666599</v>
      </c>
      <c r="B161" s="2">
        <f ca="1">IFERROR(__xludf.DUMMYFUNCTION("""COMPUTED_VALUE"""),129.13)</f>
        <v>129.13</v>
      </c>
      <c r="C161" s="2">
        <f ca="1">IFERROR(__xludf.DUMMYFUNCTION("""COMPUTED_VALUE"""),130.95)</f>
        <v>130.94999999999999</v>
      </c>
      <c r="D161" s="2">
        <f ca="1">IFERROR(__xludf.DUMMYFUNCTION("""COMPUTED_VALUE"""),128.93)</f>
        <v>128.93</v>
      </c>
      <c r="E161" s="2">
        <f ca="1">IFERROR(__xludf.DUMMYFUNCTION("""COMPUTED_VALUE"""),129.69)</f>
        <v>129.69</v>
      </c>
      <c r="F161" s="2">
        <f ca="1">IFERROR(__xludf.DUMMYFUNCTION("""COMPUTED_VALUE"""),15569373)</f>
        <v>15569373</v>
      </c>
    </row>
    <row r="162" spans="1:6" ht="12.5" x14ac:dyDescent="0.25">
      <c r="A162" s="3">
        <f ca="1">IFERROR(__xludf.DUMMYFUNCTION("""COMPUTED_VALUE"""),45161.6666666666)</f>
        <v>45161.666666666599</v>
      </c>
      <c r="B162" s="2">
        <f ca="1">IFERROR(__xludf.DUMMYFUNCTION("""COMPUTED_VALUE"""),130.85)</f>
        <v>130.85</v>
      </c>
      <c r="C162" s="2">
        <f ca="1">IFERROR(__xludf.DUMMYFUNCTION("""COMPUTED_VALUE"""),134.07)</f>
        <v>134.07</v>
      </c>
      <c r="D162" s="2">
        <f ca="1">IFERROR(__xludf.DUMMYFUNCTION("""COMPUTED_VALUE"""),130.51)</f>
        <v>130.51</v>
      </c>
      <c r="E162" s="2">
        <f ca="1">IFERROR(__xludf.DUMMYFUNCTION("""COMPUTED_VALUE"""),133.21)</f>
        <v>133.21</v>
      </c>
      <c r="F162" s="2">
        <f ca="1">IFERROR(__xludf.DUMMYFUNCTION("""COMPUTED_VALUE"""),26497027)</f>
        <v>26497027</v>
      </c>
    </row>
    <row r="163" spans="1:6" ht="12.5" x14ac:dyDescent="0.25">
      <c r="A163" s="3">
        <f ca="1">IFERROR(__xludf.DUMMYFUNCTION("""COMPUTED_VALUE"""),45162.6666666666)</f>
        <v>45162.666666666599</v>
      </c>
      <c r="B163" s="2">
        <f ca="1">IFERROR(__xludf.DUMMYFUNCTION("""COMPUTED_VALUE"""),134.73)</f>
        <v>134.72999999999999</v>
      </c>
      <c r="C163" s="2">
        <f ca="1">IFERROR(__xludf.DUMMYFUNCTION("""COMPUTED_VALUE"""),134.97)</f>
        <v>134.97</v>
      </c>
      <c r="D163" s="2">
        <f ca="1">IFERROR(__xludf.DUMMYFUNCTION("""COMPUTED_VALUE"""),130.3)</f>
        <v>130.30000000000001</v>
      </c>
      <c r="E163" s="2">
        <f ca="1">IFERROR(__xludf.DUMMYFUNCTION("""COMPUTED_VALUE"""),130.42)</f>
        <v>130.41999999999999</v>
      </c>
      <c r="F163" s="2">
        <f ca="1">IFERROR(__xludf.DUMMYFUNCTION("""COMPUTED_VALUE"""),18680381)</f>
        <v>18680381</v>
      </c>
    </row>
    <row r="164" spans="1:6" ht="12.5" x14ac:dyDescent="0.25">
      <c r="A164" s="3">
        <f ca="1">IFERROR(__xludf.DUMMYFUNCTION("""COMPUTED_VALUE"""),45163.6666666666)</f>
        <v>45163.666666666599</v>
      </c>
      <c r="B164" s="2">
        <f ca="1">IFERROR(__xludf.DUMMYFUNCTION("""COMPUTED_VALUE"""),130.14)</f>
        <v>130.13999999999999</v>
      </c>
      <c r="C164" s="2">
        <f ca="1">IFERROR(__xludf.DUMMYFUNCTION("""COMPUTED_VALUE"""),131.4)</f>
        <v>131.4</v>
      </c>
      <c r="D164" s="2">
        <f ca="1">IFERROR(__xludf.DUMMYFUNCTION("""COMPUTED_VALUE"""),128.04)</f>
        <v>128.04</v>
      </c>
      <c r="E164" s="2">
        <f ca="1">IFERROR(__xludf.DUMMYFUNCTION("""COMPUTED_VALUE"""),130.69)</f>
        <v>130.69</v>
      </c>
      <c r="F164" s="2">
        <f ca="1">IFERROR(__xludf.DUMMYFUNCTION("""COMPUTED_VALUE"""),20678096)</f>
        <v>20678096</v>
      </c>
    </row>
    <row r="165" spans="1:6" ht="12.5" x14ac:dyDescent="0.25">
      <c r="A165" s="3">
        <f ca="1">IFERROR(__xludf.DUMMYFUNCTION("""COMPUTED_VALUE"""),45166.6666666666)</f>
        <v>45166.666666666599</v>
      </c>
      <c r="B165" s="2">
        <f ca="1">IFERROR(__xludf.DUMMYFUNCTION("""COMPUTED_VALUE"""),132.08)</f>
        <v>132.08000000000001</v>
      </c>
      <c r="C165" s="2">
        <f ca="1">IFERROR(__xludf.DUMMYFUNCTION("""COMPUTED_VALUE"""),133.24)</f>
        <v>133.24</v>
      </c>
      <c r="D165" s="2">
        <f ca="1">IFERROR(__xludf.DUMMYFUNCTION("""COMPUTED_VALUE"""),130.85)</f>
        <v>130.85</v>
      </c>
      <c r="E165" s="2">
        <f ca="1">IFERROR(__xludf.DUMMYFUNCTION("""COMPUTED_VALUE"""),131.79)</f>
        <v>131.79</v>
      </c>
      <c r="F165" s="2">
        <f ca="1">IFERROR(__xludf.DUMMYFUNCTION("""COMPUTED_VALUE"""),16715467)</f>
        <v>16715467</v>
      </c>
    </row>
    <row r="166" spans="1:6" ht="12.5" x14ac:dyDescent="0.25">
      <c r="A166" s="3">
        <f ca="1">IFERROR(__xludf.DUMMYFUNCTION("""COMPUTED_VALUE"""),45167.6666666666)</f>
        <v>45167.666666666599</v>
      </c>
      <c r="B166" s="2">
        <f ca="1">IFERROR(__xludf.DUMMYFUNCTION("""COMPUTED_VALUE"""),133)</f>
        <v>133</v>
      </c>
      <c r="C166" s="2">
        <f ca="1">IFERROR(__xludf.DUMMYFUNCTION("""COMPUTED_VALUE"""),137.29)</f>
        <v>137.29</v>
      </c>
      <c r="D166" s="2">
        <f ca="1">IFERROR(__xludf.DUMMYFUNCTION("""COMPUTED_VALUE"""),132.98)</f>
        <v>132.97999999999999</v>
      </c>
      <c r="E166" s="2">
        <f ca="1">IFERROR(__xludf.DUMMYFUNCTION("""COMPUTED_VALUE"""),135.49)</f>
        <v>135.49</v>
      </c>
      <c r="F166" s="2">
        <f ca="1">IFERROR(__xludf.DUMMYFUNCTION("""COMPUTED_VALUE"""),30803265)</f>
        <v>30803265</v>
      </c>
    </row>
    <row r="167" spans="1:6" ht="12.5" x14ac:dyDescent="0.25">
      <c r="A167" s="3">
        <f ca="1">IFERROR(__xludf.DUMMYFUNCTION("""COMPUTED_VALUE"""),45168.6666666666)</f>
        <v>45168.666666666599</v>
      </c>
      <c r="B167" s="2">
        <f ca="1">IFERROR(__xludf.DUMMYFUNCTION("""COMPUTED_VALUE"""),135.57)</f>
        <v>135.57</v>
      </c>
      <c r="C167" s="2">
        <f ca="1">IFERROR(__xludf.DUMMYFUNCTION("""COMPUTED_VALUE"""),137.25)</f>
        <v>137.25</v>
      </c>
      <c r="D167" s="2">
        <f ca="1">IFERROR(__xludf.DUMMYFUNCTION("""COMPUTED_VALUE"""),135.02)</f>
        <v>135.02000000000001</v>
      </c>
      <c r="E167" s="2">
        <f ca="1">IFERROR(__xludf.DUMMYFUNCTION("""COMPUTED_VALUE"""),136.93)</f>
        <v>136.93</v>
      </c>
      <c r="F167" s="2">
        <f ca="1">IFERROR(__xludf.DUMMYFUNCTION("""COMPUTED_VALUE"""),21773356)</f>
        <v>21773356</v>
      </c>
    </row>
    <row r="168" spans="1:6" ht="12.5" x14ac:dyDescent="0.25">
      <c r="A168" s="3">
        <f ca="1">IFERROR(__xludf.DUMMYFUNCTION("""COMPUTED_VALUE"""),45169.6666666666)</f>
        <v>45169.666666666599</v>
      </c>
      <c r="B168" s="2">
        <f ca="1">IFERROR(__xludf.DUMMYFUNCTION("""COMPUTED_VALUE"""),137.05)</f>
        <v>137.05000000000001</v>
      </c>
      <c r="C168" s="2">
        <f ca="1">IFERROR(__xludf.DUMMYFUNCTION("""COMPUTED_VALUE"""),138.4)</f>
        <v>138.4</v>
      </c>
      <c r="D168" s="2">
        <f ca="1">IFERROR(__xludf.DUMMYFUNCTION("""COMPUTED_VALUE"""),136.82)</f>
        <v>136.82</v>
      </c>
      <c r="E168" s="2">
        <f ca="1">IFERROR(__xludf.DUMMYFUNCTION("""COMPUTED_VALUE"""),137.35)</f>
        <v>137.35</v>
      </c>
      <c r="F168" s="2">
        <f ca="1">IFERROR(__xludf.DUMMYFUNCTION("""COMPUTED_VALUE"""),28147850)</f>
        <v>28147850</v>
      </c>
    </row>
    <row r="169" spans="1:6" ht="12.5" x14ac:dyDescent="0.25">
      <c r="A169" s="3">
        <f ca="1">IFERROR(__xludf.DUMMYFUNCTION("""COMPUTED_VALUE"""),45170.6666666666)</f>
        <v>45170.666666666599</v>
      </c>
      <c r="B169" s="2">
        <f ca="1">IFERROR(__xludf.DUMMYFUNCTION("""COMPUTED_VALUE"""),138.43)</f>
        <v>138.43</v>
      </c>
      <c r="C169" s="2">
        <f ca="1">IFERROR(__xludf.DUMMYFUNCTION("""COMPUTED_VALUE"""),138.58)</f>
        <v>138.58000000000001</v>
      </c>
      <c r="D169" s="2">
        <f ca="1">IFERROR(__xludf.DUMMYFUNCTION("""COMPUTED_VALUE"""),135.94)</f>
        <v>135.94</v>
      </c>
      <c r="E169" s="2">
        <f ca="1">IFERROR(__xludf.DUMMYFUNCTION("""COMPUTED_VALUE"""),136.8)</f>
        <v>136.80000000000001</v>
      </c>
      <c r="F169" s="2">
        <f ca="1">IFERROR(__xludf.DUMMYFUNCTION("""COMPUTED_VALUE"""),16671647)</f>
        <v>16671647</v>
      </c>
    </row>
    <row r="170" spans="1:6" ht="12.5" x14ac:dyDescent="0.25">
      <c r="A170" s="3">
        <f ca="1">IFERROR(__xludf.DUMMYFUNCTION("""COMPUTED_VALUE"""),45174.6666666666)</f>
        <v>45174.666666666599</v>
      </c>
      <c r="B170" s="2">
        <f ca="1">IFERROR(__xludf.DUMMYFUNCTION("""COMPUTED_VALUE"""),136.44)</f>
        <v>136.44</v>
      </c>
      <c r="C170" s="2">
        <f ca="1">IFERROR(__xludf.DUMMYFUNCTION("""COMPUTED_VALUE"""),137.37)</f>
        <v>137.37</v>
      </c>
      <c r="D170" s="2">
        <f ca="1">IFERROR(__xludf.DUMMYFUNCTION("""COMPUTED_VALUE"""),135.56)</f>
        <v>135.56</v>
      </c>
      <c r="E170" s="2">
        <f ca="1">IFERROR(__xludf.DUMMYFUNCTION("""COMPUTED_VALUE"""),136.71)</f>
        <v>136.71</v>
      </c>
      <c r="F170" s="2">
        <f ca="1">IFERROR(__xludf.DUMMYFUNCTION("""COMPUTED_VALUE"""),17730218)</f>
        <v>17730218</v>
      </c>
    </row>
    <row r="171" spans="1:6" ht="12.5" x14ac:dyDescent="0.25">
      <c r="A171" s="3">
        <f ca="1">IFERROR(__xludf.DUMMYFUNCTION("""COMPUTED_VALUE"""),45175.6666666666)</f>
        <v>45175.666666666599</v>
      </c>
      <c r="B171" s="2">
        <f ca="1">IFERROR(__xludf.DUMMYFUNCTION("""COMPUTED_VALUE"""),137.01)</f>
        <v>137.01</v>
      </c>
      <c r="C171" s="2">
        <f ca="1">IFERROR(__xludf.DUMMYFUNCTION("""COMPUTED_VALUE"""),137.48)</f>
        <v>137.47999999999999</v>
      </c>
      <c r="D171" s="2">
        <f ca="1">IFERROR(__xludf.DUMMYFUNCTION("""COMPUTED_VALUE"""),134.69)</f>
        <v>134.69</v>
      </c>
      <c r="E171" s="2">
        <f ca="1">IFERROR(__xludf.DUMMYFUNCTION("""COMPUTED_VALUE"""),135.37)</f>
        <v>135.37</v>
      </c>
      <c r="F171" s="2">
        <f ca="1">IFERROR(__xludf.DUMMYFUNCTION("""COMPUTED_VALUE"""),15814327)</f>
        <v>15814327</v>
      </c>
    </row>
    <row r="172" spans="1:6" ht="12.5" x14ac:dyDescent="0.25">
      <c r="A172" s="3">
        <f ca="1">IFERROR(__xludf.DUMMYFUNCTION("""COMPUTED_VALUE"""),45176.6666666666)</f>
        <v>45176.666666666599</v>
      </c>
      <c r="B172" s="2">
        <f ca="1">IFERROR(__xludf.DUMMYFUNCTION("""COMPUTED_VALUE"""),134.6)</f>
        <v>134.6</v>
      </c>
      <c r="C172" s="2">
        <f ca="1">IFERROR(__xludf.DUMMYFUNCTION("""COMPUTED_VALUE"""),136.58)</f>
        <v>136.58000000000001</v>
      </c>
      <c r="D172" s="2">
        <f ca="1">IFERROR(__xludf.DUMMYFUNCTION("""COMPUTED_VALUE"""),133.96)</f>
        <v>133.96</v>
      </c>
      <c r="E172" s="2">
        <f ca="1">IFERROR(__xludf.DUMMYFUNCTION("""COMPUTED_VALUE"""),136.2)</f>
        <v>136.19999999999999</v>
      </c>
      <c r="F172" s="2">
        <f ca="1">IFERROR(__xludf.DUMMYFUNCTION("""COMPUTED_VALUE"""),16975956)</f>
        <v>16975956</v>
      </c>
    </row>
    <row r="173" spans="1:6" ht="12.5" x14ac:dyDescent="0.25">
      <c r="A173" s="3">
        <f ca="1">IFERROR(__xludf.DUMMYFUNCTION("""COMPUTED_VALUE"""),45177.6666666666)</f>
        <v>45177.666666666599</v>
      </c>
      <c r="B173" s="2">
        <f ca="1">IFERROR(__xludf.DUMMYFUNCTION("""COMPUTED_VALUE"""),135.87)</f>
        <v>135.87</v>
      </c>
      <c r="C173" s="2">
        <f ca="1">IFERROR(__xludf.DUMMYFUNCTION("""COMPUTED_VALUE"""),137.51)</f>
        <v>137.51</v>
      </c>
      <c r="D173" s="2">
        <f ca="1">IFERROR(__xludf.DUMMYFUNCTION("""COMPUTED_VALUE"""),135.87)</f>
        <v>135.87</v>
      </c>
      <c r="E173" s="2">
        <f ca="1">IFERROR(__xludf.DUMMYFUNCTION("""COMPUTED_VALUE"""),137.2)</f>
        <v>137.19999999999999</v>
      </c>
      <c r="F173" s="2">
        <f ca="1">IFERROR(__xludf.DUMMYFUNCTION("""COMPUTED_VALUE"""),17820005)</f>
        <v>17820005</v>
      </c>
    </row>
    <row r="174" spans="1:6" ht="12.5" x14ac:dyDescent="0.25">
      <c r="A174" s="3">
        <f ca="1">IFERROR(__xludf.DUMMYFUNCTION("""COMPUTED_VALUE"""),45180.6666666666)</f>
        <v>45180.666666666599</v>
      </c>
      <c r="B174" s="2">
        <f ca="1">IFERROR(__xludf.DUMMYFUNCTION("""COMPUTED_VALUE"""),137.38)</f>
        <v>137.38</v>
      </c>
      <c r="C174" s="2">
        <f ca="1">IFERROR(__xludf.DUMMYFUNCTION("""COMPUTED_VALUE"""),138.26)</f>
        <v>138.26</v>
      </c>
      <c r="D174" s="2">
        <f ca="1">IFERROR(__xludf.DUMMYFUNCTION("""COMPUTED_VALUE"""),136.55)</f>
        <v>136.55000000000001</v>
      </c>
      <c r="E174" s="2">
        <f ca="1">IFERROR(__xludf.DUMMYFUNCTION("""COMPUTED_VALUE"""),137.74)</f>
        <v>137.74</v>
      </c>
      <c r="F174" s="2">
        <f ca="1">IFERROR(__xludf.DUMMYFUNCTION("""COMPUTED_VALUE"""),17180755)</f>
        <v>17180755</v>
      </c>
    </row>
    <row r="175" spans="1:6" ht="12.5" x14ac:dyDescent="0.25">
      <c r="A175" s="3">
        <f ca="1">IFERROR(__xludf.DUMMYFUNCTION("""COMPUTED_VALUE"""),45181.6666666666)</f>
        <v>45181.666666666599</v>
      </c>
      <c r="B175" s="2">
        <f ca="1">IFERROR(__xludf.DUMMYFUNCTION("""COMPUTED_VALUE"""),137.13)</f>
        <v>137.13</v>
      </c>
      <c r="C175" s="2">
        <f ca="1">IFERROR(__xludf.DUMMYFUNCTION("""COMPUTED_VALUE"""),137.64)</f>
        <v>137.63999999999999</v>
      </c>
      <c r="D175" s="2">
        <f ca="1">IFERROR(__xludf.DUMMYFUNCTION("""COMPUTED_VALUE"""),135.93)</f>
        <v>135.93</v>
      </c>
      <c r="E175" s="2">
        <f ca="1">IFERROR(__xludf.DUMMYFUNCTION("""COMPUTED_VALUE"""),136.07)</f>
        <v>136.07</v>
      </c>
      <c r="F175" s="2">
        <f ca="1">IFERROR(__xludf.DUMMYFUNCTION("""COMPUTED_VALUE"""),15212934)</f>
        <v>15212934</v>
      </c>
    </row>
    <row r="176" spans="1:6" ht="12.5" x14ac:dyDescent="0.25">
      <c r="A176" s="3">
        <f ca="1">IFERROR(__xludf.DUMMYFUNCTION("""COMPUTED_VALUE"""),45182.6666666666)</f>
        <v>45182.666666666599</v>
      </c>
      <c r="B176" s="2">
        <f ca="1">IFERROR(__xludf.DUMMYFUNCTION("""COMPUTED_VALUE"""),135.9)</f>
        <v>135.9</v>
      </c>
      <c r="C176" s="2">
        <f ca="1">IFERROR(__xludf.DUMMYFUNCTION("""COMPUTED_VALUE"""),137.7)</f>
        <v>137.69999999999999</v>
      </c>
      <c r="D176" s="2">
        <f ca="1">IFERROR(__xludf.DUMMYFUNCTION("""COMPUTED_VALUE"""),134.93)</f>
        <v>134.93</v>
      </c>
      <c r="E176" s="2">
        <f ca="1">IFERROR(__xludf.DUMMYFUNCTION("""COMPUTED_VALUE"""),137.5)</f>
        <v>137.5</v>
      </c>
      <c r="F176" s="2">
        <f ca="1">IFERROR(__xludf.DUMMYFUNCTION("""COMPUTED_VALUE"""),16394915)</f>
        <v>16394915</v>
      </c>
    </row>
    <row r="177" spans="1:6" ht="12.5" x14ac:dyDescent="0.25">
      <c r="A177" s="3">
        <f ca="1">IFERROR(__xludf.DUMMYFUNCTION("""COMPUTED_VALUE"""),45183.6666666666)</f>
        <v>45183.666666666599</v>
      </c>
      <c r="B177" s="2">
        <f ca="1">IFERROR(__xludf.DUMMYFUNCTION("""COMPUTED_VALUE"""),138.39)</f>
        <v>138.38999999999999</v>
      </c>
      <c r="C177" s="2">
        <f ca="1">IFERROR(__xludf.DUMMYFUNCTION("""COMPUTED_VALUE"""),139.55)</f>
        <v>139.55000000000001</v>
      </c>
      <c r="D177" s="2">
        <f ca="1">IFERROR(__xludf.DUMMYFUNCTION("""COMPUTED_VALUE"""),137.06)</f>
        <v>137.06</v>
      </c>
      <c r="E177" s="2">
        <f ca="1">IFERROR(__xludf.DUMMYFUNCTION("""COMPUTED_VALUE"""),138.99)</f>
        <v>138.99</v>
      </c>
      <c r="F177" s="2">
        <f ca="1">IFERROR(__xludf.DUMMYFUNCTION("""COMPUTED_VALUE"""),19064607)</f>
        <v>19064607</v>
      </c>
    </row>
    <row r="178" spans="1:6" ht="12.5" x14ac:dyDescent="0.25">
      <c r="A178" s="3">
        <f ca="1">IFERROR(__xludf.DUMMYFUNCTION("""COMPUTED_VALUE"""),45184.6666666666)</f>
        <v>45184.666666666599</v>
      </c>
      <c r="B178" s="2">
        <f ca="1">IFERROR(__xludf.DUMMYFUNCTION("""COMPUTED_VALUE"""),138.8)</f>
        <v>138.80000000000001</v>
      </c>
      <c r="C178" s="2">
        <f ca="1">IFERROR(__xludf.DUMMYFUNCTION("""COMPUTED_VALUE"""),139.36)</f>
        <v>139.36000000000001</v>
      </c>
      <c r="D178" s="2">
        <f ca="1">IFERROR(__xludf.DUMMYFUNCTION("""COMPUTED_VALUE"""),137.18)</f>
        <v>137.18</v>
      </c>
      <c r="E178" s="2">
        <f ca="1">IFERROR(__xludf.DUMMYFUNCTION("""COMPUTED_VALUE"""),138.3)</f>
        <v>138.30000000000001</v>
      </c>
      <c r="F178" s="2">
        <f ca="1">IFERROR(__xludf.DUMMYFUNCTION("""COMPUTED_VALUE"""),48958837)</f>
        <v>48958837</v>
      </c>
    </row>
    <row r="179" spans="1:6" ht="12.5" x14ac:dyDescent="0.25">
      <c r="A179" s="3">
        <f ca="1">IFERROR(__xludf.DUMMYFUNCTION("""COMPUTED_VALUE"""),45187.6666666666)</f>
        <v>45187.666666666599</v>
      </c>
      <c r="B179" s="2">
        <f ca="1">IFERROR(__xludf.DUMMYFUNCTION("""COMPUTED_VALUE"""),137.63)</f>
        <v>137.63</v>
      </c>
      <c r="C179" s="2">
        <f ca="1">IFERROR(__xludf.DUMMYFUNCTION("""COMPUTED_VALUE"""),139.93)</f>
        <v>139.93</v>
      </c>
      <c r="D179" s="2">
        <f ca="1">IFERROR(__xludf.DUMMYFUNCTION("""COMPUTED_VALUE"""),137.63)</f>
        <v>137.63</v>
      </c>
      <c r="E179" s="2">
        <f ca="1">IFERROR(__xludf.DUMMYFUNCTION("""COMPUTED_VALUE"""),138.96)</f>
        <v>138.96</v>
      </c>
      <c r="F179" s="2">
        <f ca="1">IFERROR(__xludf.DUMMYFUNCTION("""COMPUTED_VALUE"""),16233590)</f>
        <v>16233590</v>
      </c>
    </row>
    <row r="180" spans="1:6" ht="12.5" x14ac:dyDescent="0.25">
      <c r="A180" s="3">
        <f ca="1">IFERROR(__xludf.DUMMYFUNCTION("""COMPUTED_VALUE"""),45188.6666666666)</f>
        <v>45188.666666666599</v>
      </c>
      <c r="B180" s="2">
        <f ca="1">IFERROR(__xludf.DUMMYFUNCTION("""COMPUTED_VALUE"""),138.25)</f>
        <v>138.25</v>
      </c>
      <c r="C180" s="2">
        <f ca="1">IFERROR(__xludf.DUMMYFUNCTION("""COMPUTED_VALUE"""),139.18)</f>
        <v>139.18</v>
      </c>
      <c r="D180" s="2">
        <f ca="1">IFERROR(__xludf.DUMMYFUNCTION("""COMPUTED_VALUE"""),137.5)</f>
        <v>137.5</v>
      </c>
      <c r="E180" s="2">
        <f ca="1">IFERROR(__xludf.DUMMYFUNCTION("""COMPUTED_VALUE"""),138.83)</f>
        <v>138.83000000000001</v>
      </c>
      <c r="F180" s="2">
        <f ca="1">IFERROR(__xludf.DUMMYFUNCTION("""COMPUTED_VALUE"""),15484644)</f>
        <v>15484644</v>
      </c>
    </row>
    <row r="181" spans="1:6" ht="12.5" x14ac:dyDescent="0.25">
      <c r="A181" s="3">
        <f ca="1">IFERROR(__xludf.DUMMYFUNCTION("""COMPUTED_VALUE"""),45189.6666666666)</f>
        <v>45189.666666666599</v>
      </c>
      <c r="B181" s="2">
        <f ca="1">IFERROR(__xludf.DUMMYFUNCTION("""COMPUTED_VALUE"""),138.83)</f>
        <v>138.83000000000001</v>
      </c>
      <c r="C181" s="2">
        <f ca="1">IFERROR(__xludf.DUMMYFUNCTION("""COMPUTED_VALUE"""),138.84)</f>
        <v>138.84</v>
      </c>
      <c r="D181" s="2">
        <f ca="1">IFERROR(__xludf.DUMMYFUNCTION("""COMPUTED_VALUE"""),134.52)</f>
        <v>134.52000000000001</v>
      </c>
      <c r="E181" s="2">
        <f ca="1">IFERROR(__xludf.DUMMYFUNCTION("""COMPUTED_VALUE"""),134.59)</f>
        <v>134.59</v>
      </c>
      <c r="F181" s="2">
        <f ca="1">IFERROR(__xludf.DUMMYFUNCTION("""COMPUTED_VALUE"""),21473533)</f>
        <v>21473533</v>
      </c>
    </row>
    <row r="182" spans="1:6" ht="12.5" x14ac:dyDescent="0.25">
      <c r="A182" s="3">
        <f ca="1">IFERROR(__xludf.DUMMYFUNCTION("""COMPUTED_VALUE"""),45190.6666666666)</f>
        <v>45190.666666666599</v>
      </c>
      <c r="B182" s="2">
        <f ca="1">IFERROR(__xludf.DUMMYFUNCTION("""COMPUTED_VALUE"""),132.39)</f>
        <v>132.38999999999999</v>
      </c>
      <c r="C182" s="2">
        <f ca="1">IFERROR(__xludf.DUMMYFUNCTION("""COMPUTED_VALUE"""),133.19)</f>
        <v>133.19</v>
      </c>
      <c r="D182" s="2">
        <f ca="1">IFERROR(__xludf.DUMMYFUNCTION("""COMPUTED_VALUE"""),131.09)</f>
        <v>131.09</v>
      </c>
      <c r="E182" s="2">
        <f ca="1">IFERROR(__xludf.DUMMYFUNCTION("""COMPUTED_VALUE"""),131.36)</f>
        <v>131.36000000000001</v>
      </c>
      <c r="F182" s="2">
        <f ca="1">IFERROR(__xludf.DUMMYFUNCTION("""COMPUTED_VALUE"""),22058375)</f>
        <v>22058375</v>
      </c>
    </row>
    <row r="183" spans="1:6" ht="12.5" x14ac:dyDescent="0.25">
      <c r="A183" s="3">
        <f ca="1">IFERROR(__xludf.DUMMYFUNCTION("""COMPUTED_VALUE"""),45191.6666666666)</f>
        <v>45191.666666666599</v>
      </c>
      <c r="B183" s="2">
        <f ca="1">IFERROR(__xludf.DUMMYFUNCTION("""COMPUTED_VALUE"""),131.68)</f>
        <v>131.68</v>
      </c>
      <c r="C183" s="2">
        <f ca="1">IFERROR(__xludf.DUMMYFUNCTION("""COMPUTED_VALUE"""),133.01)</f>
        <v>133.01</v>
      </c>
      <c r="D183" s="2">
        <f ca="1">IFERROR(__xludf.DUMMYFUNCTION("""COMPUTED_VALUE"""),130.51)</f>
        <v>130.51</v>
      </c>
      <c r="E183" s="2">
        <f ca="1">IFERROR(__xludf.DUMMYFUNCTION("""COMPUTED_VALUE"""),131.25)</f>
        <v>131.25</v>
      </c>
      <c r="F183" s="2">
        <f ca="1">IFERROR(__xludf.DUMMYFUNCTION("""COMPUTED_VALUE"""),17355284)</f>
        <v>17355284</v>
      </c>
    </row>
    <row r="184" spans="1:6" ht="12.5" x14ac:dyDescent="0.25">
      <c r="A184" s="3">
        <f ca="1">IFERROR(__xludf.DUMMYFUNCTION("""COMPUTED_VALUE"""),45194.6666666666)</f>
        <v>45194.666666666599</v>
      </c>
      <c r="B184" s="2">
        <f ca="1">IFERROR(__xludf.DUMMYFUNCTION("""COMPUTED_VALUE"""),130.77)</f>
        <v>130.77000000000001</v>
      </c>
      <c r="C184" s="2">
        <f ca="1">IFERROR(__xludf.DUMMYFUNCTION("""COMPUTED_VALUE"""),132.22)</f>
        <v>132.22</v>
      </c>
      <c r="D184" s="2">
        <f ca="1">IFERROR(__xludf.DUMMYFUNCTION("""COMPUTED_VALUE"""),130.03)</f>
        <v>130.03</v>
      </c>
      <c r="E184" s="2">
        <f ca="1">IFERROR(__xludf.DUMMYFUNCTION("""COMPUTED_VALUE"""),132.17)</f>
        <v>132.16999999999999</v>
      </c>
      <c r="F184" s="2">
        <f ca="1">IFERROR(__xludf.DUMMYFUNCTION("""COMPUTED_VALUE"""),14650032)</f>
        <v>14650032</v>
      </c>
    </row>
    <row r="185" spans="1:6" ht="12.5" x14ac:dyDescent="0.25">
      <c r="A185" s="3">
        <f ca="1">IFERROR(__xludf.DUMMYFUNCTION("""COMPUTED_VALUE"""),45195.6666666666)</f>
        <v>45195.666666666599</v>
      </c>
      <c r="B185" s="2">
        <f ca="1">IFERROR(__xludf.DUMMYFUNCTION("""COMPUTED_VALUE"""),130.91)</f>
        <v>130.91</v>
      </c>
      <c r="C185" s="2">
        <f ca="1">IFERROR(__xludf.DUMMYFUNCTION("""COMPUTED_VALUE"""),131.41)</f>
        <v>131.41</v>
      </c>
      <c r="D185" s="2">
        <f ca="1">IFERROR(__xludf.DUMMYFUNCTION("""COMPUTED_VALUE"""),128.19)</f>
        <v>128.19</v>
      </c>
      <c r="E185" s="2">
        <f ca="1">IFERROR(__xludf.DUMMYFUNCTION("""COMPUTED_VALUE"""),129.45)</f>
        <v>129.44999999999999</v>
      </c>
      <c r="F185" s="2">
        <f ca="1">IFERROR(__xludf.DUMMYFUNCTION("""COMPUTED_VALUE"""),20378789)</f>
        <v>20378789</v>
      </c>
    </row>
    <row r="186" spans="1:6" ht="12.5" x14ac:dyDescent="0.25">
      <c r="A186" s="3">
        <f ca="1">IFERROR(__xludf.DUMMYFUNCTION("""COMPUTED_VALUE"""),45196.6666666666)</f>
        <v>45196.666666666599</v>
      </c>
      <c r="B186" s="2">
        <f ca="1">IFERROR(__xludf.DUMMYFUNCTION("""COMPUTED_VALUE"""),129.44)</f>
        <v>129.44</v>
      </c>
      <c r="C186" s="2">
        <f ca="1">IFERROR(__xludf.DUMMYFUNCTION("""COMPUTED_VALUE"""),131.72)</f>
        <v>131.72</v>
      </c>
      <c r="D186" s="2">
        <f ca="1">IFERROR(__xludf.DUMMYFUNCTION("""COMPUTED_VALUE"""),129.38)</f>
        <v>129.38</v>
      </c>
      <c r="E186" s="2">
        <f ca="1">IFERROR(__xludf.DUMMYFUNCTION("""COMPUTED_VALUE"""),131.46)</f>
        <v>131.46</v>
      </c>
      <c r="F186" s="2">
        <f ca="1">IFERROR(__xludf.DUMMYFUNCTION("""COMPUTED_VALUE"""),18764201)</f>
        <v>18764201</v>
      </c>
    </row>
    <row r="187" spans="1:6" ht="12.5" x14ac:dyDescent="0.25">
      <c r="A187" s="3">
        <f ca="1">IFERROR(__xludf.DUMMYFUNCTION("""COMPUTED_VALUE"""),45197.6666666666)</f>
        <v>45197.666666666599</v>
      </c>
      <c r="B187" s="2">
        <f ca="1">IFERROR(__xludf.DUMMYFUNCTION("""COMPUTED_VALUE"""),130.69)</f>
        <v>130.69</v>
      </c>
      <c r="C187" s="2">
        <f ca="1">IFERROR(__xludf.DUMMYFUNCTION("""COMPUTED_VALUE"""),134.18)</f>
        <v>134.18</v>
      </c>
      <c r="D187" s="2">
        <f ca="1">IFERROR(__xludf.DUMMYFUNCTION("""COMPUTED_VALUE"""),130.69)</f>
        <v>130.69</v>
      </c>
      <c r="E187" s="2">
        <f ca="1">IFERROR(__xludf.DUMMYFUNCTION("""COMPUTED_VALUE"""),133.13)</f>
        <v>133.13</v>
      </c>
      <c r="F187" s="2">
        <f ca="1">IFERROR(__xludf.DUMMYFUNCTION("""COMPUTED_VALUE"""),18201389)</f>
        <v>18201389</v>
      </c>
    </row>
    <row r="188" spans="1:6" ht="12.5" x14ac:dyDescent="0.25">
      <c r="A188" s="3">
        <f ca="1">IFERROR(__xludf.DUMMYFUNCTION("""COMPUTED_VALUE"""),45198.6666666666)</f>
        <v>45198.666666666599</v>
      </c>
      <c r="B188" s="2">
        <f ca="1">IFERROR(__xludf.DUMMYFUNCTION("""COMPUTED_VALUE"""),134.08)</f>
        <v>134.08000000000001</v>
      </c>
      <c r="C188" s="2">
        <f ca="1">IFERROR(__xludf.DUMMYFUNCTION("""COMPUTED_VALUE"""),134.89)</f>
        <v>134.88999999999999</v>
      </c>
      <c r="D188" s="2">
        <f ca="1">IFERROR(__xludf.DUMMYFUNCTION("""COMPUTED_VALUE"""),131.32)</f>
        <v>131.32</v>
      </c>
      <c r="E188" s="2">
        <f ca="1">IFERROR(__xludf.DUMMYFUNCTION("""COMPUTED_VALUE"""),131.85)</f>
        <v>131.85</v>
      </c>
      <c r="F188" s="2">
        <f ca="1">IFERROR(__xludf.DUMMYFUNCTION("""COMPUTED_VALUE"""),23237336)</f>
        <v>23237336</v>
      </c>
    </row>
    <row r="189" spans="1:6" ht="12.5" x14ac:dyDescent="0.25">
      <c r="A189" s="3">
        <f ca="1">IFERROR(__xludf.DUMMYFUNCTION("""COMPUTED_VALUE"""),45201.6666666666)</f>
        <v>45201.666666666599</v>
      </c>
      <c r="B189" s="2">
        <f ca="1">IFERROR(__xludf.DUMMYFUNCTION("""COMPUTED_VALUE"""),132.16)</f>
        <v>132.16</v>
      </c>
      <c r="C189" s="2">
        <f ca="1">IFERROR(__xludf.DUMMYFUNCTION("""COMPUTED_VALUE"""),135.36)</f>
        <v>135.36000000000001</v>
      </c>
      <c r="D189" s="2">
        <f ca="1">IFERROR(__xludf.DUMMYFUNCTION("""COMPUTED_VALUE"""),132.07)</f>
        <v>132.07</v>
      </c>
      <c r="E189" s="2">
        <f ca="1">IFERROR(__xludf.DUMMYFUNCTION("""COMPUTED_VALUE"""),135.17)</f>
        <v>135.16999999999999</v>
      </c>
      <c r="F189" s="2">
        <f ca="1">IFERROR(__xludf.DUMMYFUNCTION("""COMPUTED_VALUE"""),19210394)</f>
        <v>19210394</v>
      </c>
    </row>
    <row r="190" spans="1:6" ht="12.5" x14ac:dyDescent="0.25">
      <c r="A190" s="3">
        <f ca="1">IFERROR(__xludf.DUMMYFUNCTION("""COMPUTED_VALUE"""),45202.6666666666)</f>
        <v>45202.666666666599</v>
      </c>
      <c r="B190" s="2">
        <f ca="1">IFERROR(__xludf.DUMMYFUNCTION("""COMPUTED_VALUE"""),134.93)</f>
        <v>134.93</v>
      </c>
      <c r="C190" s="2">
        <f ca="1">IFERROR(__xludf.DUMMYFUNCTION("""COMPUTED_VALUE"""),135.24)</f>
        <v>135.24</v>
      </c>
      <c r="D190" s="2">
        <f ca="1">IFERROR(__xludf.DUMMYFUNCTION("""COMPUTED_VALUE"""),132.82)</f>
        <v>132.82</v>
      </c>
      <c r="E190" s="2">
        <f ca="1">IFERROR(__xludf.DUMMYFUNCTION("""COMPUTED_VALUE"""),133.3)</f>
        <v>133.30000000000001</v>
      </c>
      <c r="F190" s="2">
        <f ca="1">IFERROR(__xludf.DUMMYFUNCTION("""COMPUTED_VALUE"""),19628736)</f>
        <v>19628736</v>
      </c>
    </row>
    <row r="191" spans="1:6" ht="12.5" x14ac:dyDescent="0.25">
      <c r="A191" s="3">
        <f ca="1">IFERROR(__xludf.DUMMYFUNCTION("""COMPUTED_VALUE"""),45203.6666666666)</f>
        <v>45203.666666666599</v>
      </c>
      <c r="B191" s="2">
        <f ca="1">IFERROR(__xludf.DUMMYFUNCTION("""COMPUTED_VALUE"""),133.66)</f>
        <v>133.66</v>
      </c>
      <c r="C191" s="2">
        <f ca="1">IFERROR(__xludf.DUMMYFUNCTION("""COMPUTED_VALUE"""),136.57)</f>
        <v>136.57</v>
      </c>
      <c r="D191" s="2">
        <f ca="1">IFERROR(__xludf.DUMMYFUNCTION("""COMPUTED_VALUE"""),133.43)</f>
        <v>133.43</v>
      </c>
      <c r="E191" s="2">
        <f ca="1">IFERROR(__xludf.DUMMYFUNCTION("""COMPUTED_VALUE"""),136.27)</f>
        <v>136.27000000000001</v>
      </c>
      <c r="F191" s="2">
        <f ca="1">IFERROR(__xludf.DUMMYFUNCTION("""COMPUTED_VALUE"""),22847987)</f>
        <v>22847987</v>
      </c>
    </row>
    <row r="192" spans="1:6" ht="12.5" x14ac:dyDescent="0.25">
      <c r="A192" s="3">
        <f ca="1">IFERROR(__xludf.DUMMYFUNCTION("""COMPUTED_VALUE"""),45204.6666666666)</f>
        <v>45204.666666666599</v>
      </c>
      <c r="B192" s="2">
        <f ca="1">IFERROR(__xludf.DUMMYFUNCTION("""COMPUTED_VALUE"""),136.13)</f>
        <v>136.13</v>
      </c>
      <c r="C192" s="2">
        <f ca="1">IFERROR(__xludf.DUMMYFUNCTION("""COMPUTED_VALUE"""),136.5)</f>
        <v>136.5</v>
      </c>
      <c r="D192" s="2">
        <f ca="1">IFERROR(__xludf.DUMMYFUNCTION("""COMPUTED_VALUE"""),134.46)</f>
        <v>134.46</v>
      </c>
      <c r="E192" s="2">
        <f ca="1">IFERROR(__xludf.DUMMYFUNCTION("""COMPUTED_VALUE"""),135.99)</f>
        <v>135.99</v>
      </c>
      <c r="F192" s="2">
        <f ca="1">IFERROR(__xludf.DUMMYFUNCTION("""COMPUTED_VALUE"""),15922944)</f>
        <v>15922944</v>
      </c>
    </row>
    <row r="193" spans="1:6" ht="12.5" x14ac:dyDescent="0.25">
      <c r="A193" s="3">
        <f ca="1">IFERROR(__xludf.DUMMYFUNCTION("""COMPUTED_VALUE"""),45205.6666666666)</f>
        <v>45205.666666666599</v>
      </c>
      <c r="B193" s="2">
        <f ca="1">IFERROR(__xludf.DUMMYFUNCTION("""COMPUTED_VALUE"""),134.94)</f>
        <v>134.94</v>
      </c>
      <c r="C193" s="2">
        <f ca="1">IFERROR(__xludf.DUMMYFUNCTION("""COMPUTED_VALUE"""),139.19)</f>
        <v>139.19</v>
      </c>
      <c r="D193" s="2">
        <f ca="1">IFERROR(__xludf.DUMMYFUNCTION("""COMPUTED_VALUE"""),134.94)</f>
        <v>134.94</v>
      </c>
      <c r="E193" s="2">
        <f ca="1">IFERROR(__xludf.DUMMYFUNCTION("""COMPUTED_VALUE"""),138.73)</f>
        <v>138.72999999999999</v>
      </c>
      <c r="F193" s="2">
        <f ca="1">IFERROR(__xludf.DUMMYFUNCTION("""COMPUTED_VALUE"""),20826683)</f>
        <v>20826683</v>
      </c>
    </row>
    <row r="194" spans="1:6" ht="12.5" x14ac:dyDescent="0.25">
      <c r="A194" s="3">
        <f ca="1">IFERROR(__xludf.DUMMYFUNCTION("""COMPUTED_VALUE"""),45208.6666666666)</f>
        <v>45208.666666666599</v>
      </c>
      <c r="B194" s="2">
        <f ca="1">IFERROR(__xludf.DUMMYFUNCTION("""COMPUTED_VALUE"""),137.99)</f>
        <v>137.99</v>
      </c>
      <c r="C194" s="2">
        <f ca="1">IFERROR(__xludf.DUMMYFUNCTION("""COMPUTED_VALUE"""),139.97)</f>
        <v>139.97</v>
      </c>
      <c r="D194" s="2">
        <f ca="1">IFERROR(__xludf.DUMMYFUNCTION("""COMPUTED_VALUE"""),136.7)</f>
        <v>136.69999999999999</v>
      </c>
      <c r="E194" s="2">
        <f ca="1">IFERROR(__xludf.DUMMYFUNCTION("""COMPUTED_VALUE"""),139.5)</f>
        <v>139.5</v>
      </c>
      <c r="F194" s="2">
        <f ca="1">IFERROR(__xludf.DUMMYFUNCTION("""COMPUTED_VALUE"""),16599099)</f>
        <v>16599099</v>
      </c>
    </row>
    <row r="195" spans="1:6" ht="12.5" x14ac:dyDescent="0.25">
      <c r="A195" s="3">
        <f ca="1">IFERROR(__xludf.DUMMYFUNCTION("""COMPUTED_VALUE"""),45209.6666666666)</f>
        <v>45209.666666666599</v>
      </c>
      <c r="B195" s="2">
        <f ca="1">IFERROR(__xludf.DUMMYFUNCTION("""COMPUTED_VALUE"""),139.51)</f>
        <v>139.51</v>
      </c>
      <c r="C195" s="2">
        <f ca="1">IFERROR(__xludf.DUMMYFUNCTION("""COMPUTED_VALUE"""),140.74)</f>
        <v>140.74</v>
      </c>
      <c r="D195" s="2">
        <f ca="1">IFERROR(__xludf.DUMMYFUNCTION("""COMPUTED_VALUE"""),138.43)</f>
        <v>138.43</v>
      </c>
      <c r="E195" s="2">
        <f ca="1">IFERROR(__xludf.DUMMYFUNCTION("""COMPUTED_VALUE"""),139.2)</f>
        <v>139.19999999999999</v>
      </c>
      <c r="F195" s="2">
        <f ca="1">IFERROR(__xludf.DUMMYFUNCTION("""COMPUTED_VALUE"""),19554916)</f>
        <v>19554916</v>
      </c>
    </row>
    <row r="196" spans="1:6" ht="12.5" x14ac:dyDescent="0.25">
      <c r="A196" s="3">
        <f ca="1">IFERROR(__xludf.DUMMYFUNCTION("""COMPUTED_VALUE"""),45210.6666666666)</f>
        <v>45210.666666666599</v>
      </c>
      <c r="B196" s="2">
        <f ca="1">IFERROR(__xludf.DUMMYFUNCTION("""COMPUTED_VALUE"""),139.85)</f>
        <v>139.85</v>
      </c>
      <c r="C196" s="2">
        <f ca="1">IFERROR(__xludf.DUMMYFUNCTION("""COMPUTED_VALUE"""),142.22)</f>
        <v>142.22</v>
      </c>
      <c r="D196" s="2">
        <f ca="1">IFERROR(__xludf.DUMMYFUNCTION("""COMPUTED_VALUE"""),139.84)</f>
        <v>139.84</v>
      </c>
      <c r="E196" s="2">
        <f ca="1">IFERROR(__xludf.DUMMYFUNCTION("""COMPUTED_VALUE"""),141.7)</f>
        <v>141.69999999999999</v>
      </c>
      <c r="F196" s="2">
        <f ca="1">IFERROR(__xludf.DUMMYFUNCTION("""COMPUTED_VALUE"""),20146341)</f>
        <v>20146341</v>
      </c>
    </row>
    <row r="197" spans="1:6" ht="12.5" x14ac:dyDescent="0.25">
      <c r="A197" s="3">
        <f ca="1">IFERROR(__xludf.DUMMYFUNCTION("""COMPUTED_VALUE"""),45211.6666666666)</f>
        <v>45211.666666666599</v>
      </c>
      <c r="B197" s="2">
        <f ca="1">IFERROR(__xludf.DUMMYFUNCTION("""COMPUTED_VALUE"""),142.16)</f>
        <v>142.16</v>
      </c>
      <c r="C197" s="2">
        <f ca="1">IFERROR(__xludf.DUMMYFUNCTION("""COMPUTED_VALUE"""),142.38)</f>
        <v>142.38</v>
      </c>
      <c r="D197" s="2">
        <f ca="1">IFERROR(__xludf.DUMMYFUNCTION("""COMPUTED_VALUE"""),139.45)</f>
        <v>139.44999999999999</v>
      </c>
      <c r="E197" s="2">
        <f ca="1">IFERROR(__xludf.DUMMYFUNCTION("""COMPUTED_VALUE"""),140.29)</f>
        <v>140.29</v>
      </c>
      <c r="F197" s="2">
        <f ca="1">IFERROR(__xludf.DUMMYFUNCTION("""COMPUTED_VALUE"""),18173107)</f>
        <v>18173107</v>
      </c>
    </row>
    <row r="198" spans="1:6" ht="12.5" x14ac:dyDescent="0.25">
      <c r="A198" s="3">
        <f ca="1">IFERROR(__xludf.DUMMYFUNCTION("""COMPUTED_VALUE"""),45212.6666666666)</f>
        <v>45212.666666666599</v>
      </c>
      <c r="B198" s="2">
        <f ca="1">IFERROR(__xludf.DUMMYFUNCTION("""COMPUTED_VALUE"""),140.65)</f>
        <v>140.65</v>
      </c>
      <c r="C198" s="2">
        <f ca="1">IFERROR(__xludf.DUMMYFUNCTION("""COMPUTED_VALUE"""),141.34)</f>
        <v>141.34</v>
      </c>
      <c r="D198" s="2">
        <f ca="1">IFERROR(__xludf.DUMMYFUNCTION("""COMPUTED_VALUE"""),137.97)</f>
        <v>137.97</v>
      </c>
      <c r="E198" s="2">
        <f ca="1">IFERROR(__xludf.DUMMYFUNCTION("""COMPUTED_VALUE"""),138.58)</f>
        <v>138.58000000000001</v>
      </c>
      <c r="F198" s="2">
        <f ca="1">IFERROR(__xludf.DUMMYFUNCTION("""COMPUTED_VALUE"""),19447565)</f>
        <v>19447565</v>
      </c>
    </row>
    <row r="199" spans="1:6" ht="12.5" x14ac:dyDescent="0.25">
      <c r="A199" s="3">
        <f ca="1">IFERROR(__xludf.DUMMYFUNCTION("""COMPUTED_VALUE"""),45215.6666666666)</f>
        <v>45215.666666666599</v>
      </c>
      <c r="B199" s="2">
        <f ca="1">IFERROR(__xludf.DUMMYFUNCTION("""COMPUTED_VALUE"""),139.73)</f>
        <v>139.72999999999999</v>
      </c>
      <c r="C199" s="2">
        <f ca="1">IFERROR(__xludf.DUMMYFUNCTION("""COMPUTED_VALUE"""),140.91)</f>
        <v>140.91</v>
      </c>
      <c r="D199" s="2">
        <f ca="1">IFERROR(__xludf.DUMMYFUNCTION("""COMPUTED_VALUE"""),139.32)</f>
        <v>139.32</v>
      </c>
      <c r="E199" s="2">
        <f ca="1">IFERROR(__xludf.DUMMYFUNCTION("""COMPUTED_VALUE"""),140.49)</f>
        <v>140.49</v>
      </c>
      <c r="F199" s="2">
        <f ca="1">IFERROR(__xludf.DUMMYFUNCTION("""COMPUTED_VALUE"""),17345556)</f>
        <v>17345556</v>
      </c>
    </row>
    <row r="200" spans="1:6" ht="12.5" x14ac:dyDescent="0.25">
      <c r="A200" s="3">
        <f ca="1">IFERROR(__xludf.DUMMYFUNCTION("""COMPUTED_VALUE"""),45216.6666666666)</f>
        <v>45216.666666666599</v>
      </c>
      <c r="B200" s="2">
        <f ca="1">IFERROR(__xludf.DUMMYFUNCTION("""COMPUTED_VALUE"""),140.03)</f>
        <v>140.03</v>
      </c>
      <c r="C200" s="2">
        <f ca="1">IFERROR(__xludf.DUMMYFUNCTION("""COMPUTED_VALUE"""),141.25)</f>
        <v>141.25</v>
      </c>
      <c r="D200" s="2">
        <f ca="1">IFERROR(__xludf.DUMMYFUNCTION("""COMPUTED_VALUE"""),138.53)</f>
        <v>138.53</v>
      </c>
      <c r="E200" s="2">
        <f ca="1">IFERROR(__xludf.DUMMYFUNCTION("""COMPUTED_VALUE"""),140.99)</f>
        <v>140.99</v>
      </c>
      <c r="F200" s="2">
        <f ca="1">IFERROR(__xludf.DUMMYFUNCTION("""COMPUTED_VALUE"""),17424024)</f>
        <v>17424024</v>
      </c>
    </row>
    <row r="201" spans="1:6" ht="12.5" x14ac:dyDescent="0.25">
      <c r="A201" s="3">
        <f ca="1">IFERROR(__xludf.DUMMYFUNCTION("""COMPUTED_VALUE"""),45217.6666666666)</f>
        <v>45217.666666666599</v>
      </c>
      <c r="B201" s="2">
        <f ca="1">IFERROR(__xludf.DUMMYFUNCTION("""COMPUTED_VALUE"""),140.75)</f>
        <v>140.75</v>
      </c>
      <c r="C201" s="2">
        <f ca="1">IFERROR(__xludf.DUMMYFUNCTION("""COMPUTED_VALUE"""),141.99)</f>
        <v>141.99</v>
      </c>
      <c r="D201" s="2">
        <f ca="1">IFERROR(__xludf.DUMMYFUNCTION("""COMPUTED_VALUE"""),138.71)</f>
        <v>138.71</v>
      </c>
      <c r="E201" s="2">
        <f ca="1">IFERROR(__xludf.DUMMYFUNCTION("""COMPUTED_VALUE"""),139.28)</f>
        <v>139.28</v>
      </c>
      <c r="F201" s="2">
        <f ca="1">IFERROR(__xludf.DUMMYFUNCTION("""COMPUTED_VALUE"""),18304869)</f>
        <v>18304869</v>
      </c>
    </row>
    <row r="202" spans="1:6" ht="12.5" x14ac:dyDescent="0.25">
      <c r="A202" s="3">
        <f ca="1">IFERROR(__xludf.DUMMYFUNCTION("""COMPUTED_VALUE"""),45218.6666666666)</f>
        <v>45218.666666666599</v>
      </c>
      <c r="B202" s="2">
        <f ca="1">IFERROR(__xludf.DUMMYFUNCTION("""COMPUTED_VALUE"""),139.8)</f>
        <v>139.80000000000001</v>
      </c>
      <c r="C202" s="2">
        <f ca="1">IFERROR(__xludf.DUMMYFUNCTION("""COMPUTED_VALUE"""),141.01)</f>
        <v>141.01</v>
      </c>
      <c r="D202" s="2">
        <f ca="1">IFERROR(__xludf.DUMMYFUNCTION("""COMPUTED_VALUE"""),138.6)</f>
        <v>138.6</v>
      </c>
      <c r="E202" s="2">
        <f ca="1">IFERROR(__xludf.DUMMYFUNCTION("""COMPUTED_VALUE"""),138.98)</f>
        <v>138.97999999999999</v>
      </c>
      <c r="F202" s="2">
        <f ca="1">IFERROR(__xludf.DUMMYFUNCTION("""COMPUTED_VALUE"""),21831181)</f>
        <v>21831181</v>
      </c>
    </row>
    <row r="203" spans="1:6" ht="12.5" x14ac:dyDescent="0.25">
      <c r="A203" s="3">
        <f ca="1">IFERROR(__xludf.DUMMYFUNCTION("""COMPUTED_VALUE"""),45219.6666666666)</f>
        <v>45219.666666666599</v>
      </c>
      <c r="B203" s="2">
        <f ca="1">IFERROR(__xludf.DUMMYFUNCTION("""COMPUTED_VALUE"""),138.59)</f>
        <v>138.59</v>
      </c>
      <c r="C203" s="2">
        <f ca="1">IFERROR(__xludf.DUMMYFUNCTION("""COMPUTED_VALUE"""),139.04)</f>
        <v>139.04</v>
      </c>
      <c r="D203" s="2">
        <f ca="1">IFERROR(__xludf.DUMMYFUNCTION("""COMPUTED_VALUE"""),136.25)</f>
        <v>136.25</v>
      </c>
      <c r="E203" s="2">
        <f ca="1">IFERROR(__xludf.DUMMYFUNCTION("""COMPUTED_VALUE"""),136.74)</f>
        <v>136.74</v>
      </c>
      <c r="F203" s="2">
        <f ca="1">IFERROR(__xludf.DUMMYFUNCTION("""COMPUTED_VALUE"""),24970263)</f>
        <v>24970263</v>
      </c>
    </row>
    <row r="204" spans="1:6" ht="12.5" x14ac:dyDescent="0.25">
      <c r="A204" s="3">
        <f ca="1">IFERROR(__xludf.DUMMYFUNCTION("""COMPUTED_VALUE"""),45222.6666666666)</f>
        <v>45222.666666666599</v>
      </c>
      <c r="B204" s="2">
        <f ca="1">IFERROR(__xludf.DUMMYFUNCTION("""COMPUTED_VALUE"""),136.23)</f>
        <v>136.22999999999999</v>
      </c>
      <c r="C204" s="2">
        <f ca="1">IFERROR(__xludf.DUMMYFUNCTION("""COMPUTED_VALUE"""),139.02)</f>
        <v>139.02000000000001</v>
      </c>
      <c r="D204" s="2">
        <f ca="1">IFERROR(__xludf.DUMMYFUNCTION("""COMPUTED_VALUE"""),135.11)</f>
        <v>135.11000000000001</v>
      </c>
      <c r="E204" s="2">
        <f ca="1">IFERROR(__xludf.DUMMYFUNCTION("""COMPUTED_VALUE"""),137.9)</f>
        <v>137.9</v>
      </c>
      <c r="F204" s="2">
        <f ca="1">IFERROR(__xludf.DUMMYFUNCTION("""COMPUTED_VALUE"""),20780665)</f>
        <v>20780665</v>
      </c>
    </row>
    <row r="205" spans="1:6" ht="12.5" x14ac:dyDescent="0.25">
      <c r="A205" s="3">
        <f ca="1">IFERROR(__xludf.DUMMYFUNCTION("""COMPUTED_VALUE"""),45223.6666666666)</f>
        <v>45223.666666666599</v>
      </c>
      <c r="B205" s="2">
        <f ca="1">IFERROR(__xludf.DUMMYFUNCTION("""COMPUTED_VALUE"""),139.16)</f>
        <v>139.16</v>
      </c>
      <c r="C205" s="2">
        <f ca="1">IFERROR(__xludf.DUMMYFUNCTION("""COMPUTED_VALUE"""),140.71)</f>
        <v>140.71</v>
      </c>
      <c r="D205" s="2">
        <f ca="1">IFERROR(__xludf.DUMMYFUNCTION("""COMPUTED_VALUE"""),138.75)</f>
        <v>138.75</v>
      </c>
      <c r="E205" s="2">
        <f ca="1">IFERROR(__xludf.DUMMYFUNCTION("""COMPUTED_VALUE"""),140.12)</f>
        <v>140.12</v>
      </c>
      <c r="F205" s="2">
        <f ca="1">IFERROR(__xludf.DUMMYFUNCTION("""COMPUTED_VALUE"""),26535198)</f>
        <v>26535198</v>
      </c>
    </row>
    <row r="206" spans="1:6" ht="12.5" x14ac:dyDescent="0.25">
      <c r="A206" s="3">
        <f ca="1">IFERROR(__xludf.DUMMYFUNCTION("""COMPUTED_VALUE"""),45224.6666666666)</f>
        <v>45224.666666666599</v>
      </c>
      <c r="B206" s="2">
        <f ca="1">IFERROR(__xludf.DUMMYFUNCTION("""COMPUTED_VALUE"""),129.77)</f>
        <v>129.77000000000001</v>
      </c>
      <c r="C206" s="2">
        <f ca="1">IFERROR(__xludf.DUMMYFUNCTION("""COMPUTED_VALUE"""),130.1)</f>
        <v>130.1</v>
      </c>
      <c r="D206" s="2">
        <f ca="1">IFERROR(__xludf.DUMMYFUNCTION("""COMPUTED_VALUE"""),126.09)</f>
        <v>126.09</v>
      </c>
      <c r="E206" s="2">
        <f ca="1">IFERROR(__xludf.DUMMYFUNCTION("""COMPUTED_VALUE"""),126.67)</f>
        <v>126.67</v>
      </c>
      <c r="F206" s="2">
        <f ca="1">IFERROR(__xludf.DUMMYFUNCTION("""COMPUTED_VALUE"""),58796067)</f>
        <v>58796067</v>
      </c>
    </row>
    <row r="207" spans="1:6" ht="12.5" x14ac:dyDescent="0.25">
      <c r="A207" s="3">
        <f ca="1">IFERROR(__xludf.DUMMYFUNCTION("""COMPUTED_VALUE"""),45225.6666666666)</f>
        <v>45225.666666666599</v>
      </c>
      <c r="B207" s="2">
        <f ca="1">IFERROR(__xludf.DUMMYFUNCTION("""COMPUTED_VALUE"""),124.47)</f>
        <v>124.47</v>
      </c>
      <c r="C207" s="2">
        <f ca="1">IFERROR(__xludf.DUMMYFUNCTION("""COMPUTED_VALUE"""),125.46)</f>
        <v>125.46</v>
      </c>
      <c r="D207" s="2">
        <f ca="1">IFERROR(__xludf.DUMMYFUNCTION("""COMPUTED_VALUE"""),122.32)</f>
        <v>122.32</v>
      </c>
      <c r="E207" s="2">
        <f ca="1">IFERROR(__xludf.DUMMYFUNCTION("""COMPUTED_VALUE"""),123.44)</f>
        <v>123.44</v>
      </c>
      <c r="F207" s="2">
        <f ca="1">IFERROR(__xludf.DUMMYFUNCTION("""COMPUTED_VALUE"""),33907363)</f>
        <v>33907363</v>
      </c>
    </row>
    <row r="208" spans="1:6" ht="12.5" x14ac:dyDescent="0.25">
      <c r="A208" s="3">
        <f ca="1">IFERROR(__xludf.DUMMYFUNCTION("""COMPUTED_VALUE"""),45226.6666666666)</f>
        <v>45226.666666666599</v>
      </c>
      <c r="B208" s="2">
        <f ca="1">IFERROR(__xludf.DUMMYFUNCTION("""COMPUTED_VALUE"""),124.03)</f>
        <v>124.03</v>
      </c>
      <c r="C208" s="2">
        <f ca="1">IFERROR(__xludf.DUMMYFUNCTION("""COMPUTED_VALUE"""),124.44)</f>
        <v>124.44</v>
      </c>
      <c r="D208" s="2">
        <f ca="1">IFERROR(__xludf.DUMMYFUNCTION("""COMPUTED_VALUE"""),121.46)</f>
        <v>121.46</v>
      </c>
      <c r="E208" s="2">
        <f ca="1">IFERROR(__xludf.DUMMYFUNCTION("""COMPUTED_VALUE"""),123.4)</f>
        <v>123.4</v>
      </c>
      <c r="F208" s="2">
        <f ca="1">IFERROR(__xludf.DUMMYFUNCTION("""COMPUTED_VALUE"""),37367673)</f>
        <v>37367673</v>
      </c>
    </row>
    <row r="209" spans="1:6" ht="12.5" x14ac:dyDescent="0.25">
      <c r="A209" s="3">
        <f ca="1">IFERROR(__xludf.DUMMYFUNCTION("""COMPUTED_VALUE"""),45229.6666666666)</f>
        <v>45229.666666666599</v>
      </c>
      <c r="B209" s="2">
        <f ca="1">IFERROR(__xludf.DUMMYFUNCTION("""COMPUTED_VALUE"""),124.46)</f>
        <v>124.46</v>
      </c>
      <c r="C209" s="2">
        <f ca="1">IFERROR(__xludf.DUMMYFUNCTION("""COMPUTED_VALUE"""),126.55)</f>
        <v>126.55</v>
      </c>
      <c r="D209" s="2">
        <f ca="1">IFERROR(__xludf.DUMMYFUNCTION("""COMPUTED_VALUE"""),123.88)</f>
        <v>123.88</v>
      </c>
      <c r="E209" s="2">
        <f ca="1">IFERROR(__xludf.DUMMYFUNCTION("""COMPUTED_VALUE"""),125.75)</f>
        <v>125.75</v>
      </c>
      <c r="F209" s="2">
        <f ca="1">IFERROR(__xludf.DUMMYFUNCTION("""COMPUTED_VALUE"""),24165631)</f>
        <v>24165631</v>
      </c>
    </row>
    <row r="210" spans="1:6" ht="12.5" x14ac:dyDescent="0.25">
      <c r="A210" s="3">
        <f ca="1">IFERROR(__xludf.DUMMYFUNCTION("""COMPUTED_VALUE"""),45230.6666666666)</f>
        <v>45230.666666666599</v>
      </c>
      <c r="B210" s="2">
        <f ca="1">IFERROR(__xludf.DUMMYFUNCTION("""COMPUTED_VALUE"""),126.27)</f>
        <v>126.27</v>
      </c>
      <c r="C210" s="2">
        <f ca="1">IFERROR(__xludf.DUMMYFUNCTION("""COMPUTED_VALUE"""),126.56)</f>
        <v>126.56</v>
      </c>
      <c r="D210" s="2">
        <f ca="1">IFERROR(__xludf.DUMMYFUNCTION("""COMPUTED_VALUE"""),123.93)</f>
        <v>123.93</v>
      </c>
      <c r="E210" s="2">
        <f ca="1">IFERROR(__xludf.DUMMYFUNCTION("""COMPUTED_VALUE"""),125.3)</f>
        <v>125.3</v>
      </c>
      <c r="F210" s="2">
        <f ca="1">IFERROR(__xludf.DUMMYFUNCTION("""COMPUTED_VALUE"""),21123418)</f>
        <v>21123418</v>
      </c>
    </row>
    <row r="211" spans="1:6" ht="12.5" x14ac:dyDescent="0.25">
      <c r="A211" s="3">
        <f ca="1">IFERROR(__xludf.DUMMYFUNCTION("""COMPUTED_VALUE"""),45231.6666666666)</f>
        <v>45231.666666666599</v>
      </c>
      <c r="B211" s="2">
        <f ca="1">IFERROR(__xludf.DUMMYFUNCTION("""COMPUTED_VALUE"""),125.34)</f>
        <v>125.34</v>
      </c>
      <c r="C211" s="2">
        <f ca="1">IFERROR(__xludf.DUMMYFUNCTION("""COMPUTED_VALUE"""),127.74)</f>
        <v>127.74</v>
      </c>
      <c r="D211" s="2">
        <f ca="1">IFERROR(__xludf.DUMMYFUNCTION("""COMPUTED_VALUE"""),124.93)</f>
        <v>124.93</v>
      </c>
      <c r="E211" s="2">
        <f ca="1">IFERROR(__xludf.DUMMYFUNCTION("""COMPUTED_VALUE"""),127.57)</f>
        <v>127.57</v>
      </c>
      <c r="F211" s="2">
        <f ca="1">IFERROR(__xludf.DUMMYFUNCTION("""COMPUTED_VALUE"""),26536604)</f>
        <v>26536604</v>
      </c>
    </row>
    <row r="212" spans="1:6" ht="12.5" x14ac:dyDescent="0.25">
      <c r="A212" s="3">
        <f ca="1">IFERROR(__xludf.DUMMYFUNCTION("""COMPUTED_VALUE"""),45232.6666666666)</f>
        <v>45232.666666666599</v>
      </c>
      <c r="B212" s="2">
        <f ca="1">IFERROR(__xludf.DUMMYFUNCTION("""COMPUTED_VALUE"""),129.56)</f>
        <v>129.56</v>
      </c>
      <c r="C212" s="2">
        <f ca="1">IFERROR(__xludf.DUMMYFUNCTION("""COMPUTED_VALUE"""),130.09)</f>
        <v>130.09</v>
      </c>
      <c r="D212" s="2">
        <f ca="1">IFERROR(__xludf.DUMMYFUNCTION("""COMPUTED_VALUE"""),128.11)</f>
        <v>128.11000000000001</v>
      </c>
      <c r="E212" s="2">
        <f ca="1">IFERROR(__xludf.DUMMYFUNCTION("""COMPUTED_VALUE"""),128.58)</f>
        <v>128.58000000000001</v>
      </c>
      <c r="F212" s="2">
        <f ca="1">IFERROR(__xludf.DUMMYFUNCTION("""COMPUTED_VALUE"""),24091672)</f>
        <v>24091672</v>
      </c>
    </row>
    <row r="213" spans="1:6" ht="12.5" x14ac:dyDescent="0.25">
      <c r="A213" s="3">
        <f ca="1">IFERROR(__xludf.DUMMYFUNCTION("""COMPUTED_VALUE"""),45233.6666666666)</f>
        <v>45233.666666666599</v>
      </c>
      <c r="B213" s="2">
        <f ca="1">IFERROR(__xludf.DUMMYFUNCTION("""COMPUTED_VALUE"""),129.09)</f>
        <v>129.09</v>
      </c>
      <c r="C213" s="2">
        <f ca="1">IFERROR(__xludf.DUMMYFUNCTION("""COMPUTED_VALUE"""),130.73)</f>
        <v>130.72999999999999</v>
      </c>
      <c r="D213" s="2">
        <f ca="1">IFERROR(__xludf.DUMMYFUNCTION("""COMPUTED_VALUE"""),129.01)</f>
        <v>129.01</v>
      </c>
      <c r="E213" s="2">
        <f ca="1">IFERROR(__xludf.DUMMYFUNCTION("""COMPUTED_VALUE"""),130.37)</f>
        <v>130.37</v>
      </c>
      <c r="F213" s="2">
        <f ca="1">IFERROR(__xludf.DUMMYFUNCTION("""COMPUTED_VALUE"""),19529448)</f>
        <v>19529448</v>
      </c>
    </row>
    <row r="214" spans="1:6" ht="12.5" x14ac:dyDescent="0.25">
      <c r="A214" s="3">
        <f ca="1">IFERROR(__xludf.DUMMYFUNCTION("""COMPUTED_VALUE"""),45236.6666666666)</f>
        <v>45236.666666666599</v>
      </c>
      <c r="B214" s="2">
        <f ca="1">IFERROR(__xludf.DUMMYFUNCTION("""COMPUTED_VALUE"""),130.22)</f>
        <v>130.22</v>
      </c>
      <c r="C214" s="2">
        <f ca="1">IFERROR(__xludf.DUMMYFUNCTION("""COMPUTED_VALUE"""),131.56)</f>
        <v>131.56</v>
      </c>
      <c r="D214" s="2">
        <f ca="1">IFERROR(__xludf.DUMMYFUNCTION("""COMPUTED_VALUE"""),129.93)</f>
        <v>129.93</v>
      </c>
      <c r="E214" s="2">
        <f ca="1">IFERROR(__xludf.DUMMYFUNCTION("""COMPUTED_VALUE"""),131.45)</f>
        <v>131.44999999999999</v>
      </c>
      <c r="F214" s="2">
        <f ca="1">IFERROR(__xludf.DUMMYFUNCTION("""COMPUTED_VALUE"""),15360362)</f>
        <v>15360362</v>
      </c>
    </row>
    <row r="215" spans="1:6" ht="12.5" x14ac:dyDescent="0.25">
      <c r="A215" s="3">
        <f ca="1">IFERROR(__xludf.DUMMYFUNCTION("""COMPUTED_VALUE"""),45237.6666666666)</f>
        <v>45237.666666666599</v>
      </c>
      <c r="B215" s="2">
        <f ca="1">IFERROR(__xludf.DUMMYFUNCTION("""COMPUTED_VALUE"""),131.98)</f>
        <v>131.97999999999999</v>
      </c>
      <c r="C215" s="2">
        <f ca="1">IFERROR(__xludf.DUMMYFUNCTION("""COMPUTED_VALUE"""),133.28)</f>
        <v>133.28</v>
      </c>
      <c r="D215" s="2">
        <f ca="1">IFERROR(__xludf.DUMMYFUNCTION("""COMPUTED_VALUE"""),131.14)</f>
        <v>131.13999999999999</v>
      </c>
      <c r="E215" s="2">
        <f ca="1">IFERROR(__xludf.DUMMYFUNCTION("""COMPUTED_VALUE"""),132.4)</f>
        <v>132.4</v>
      </c>
      <c r="F215" s="2">
        <f ca="1">IFERROR(__xludf.DUMMYFUNCTION("""COMPUTED_VALUE"""),19223786)</f>
        <v>19223786</v>
      </c>
    </row>
    <row r="216" spans="1:6" ht="12.5" x14ac:dyDescent="0.25">
      <c r="A216" s="3">
        <f ca="1">IFERROR(__xludf.DUMMYFUNCTION("""COMPUTED_VALUE"""),45238.6666666666)</f>
        <v>45238.666666666599</v>
      </c>
      <c r="B216" s="2">
        <f ca="1">IFERROR(__xludf.DUMMYFUNCTION("""COMPUTED_VALUE"""),132.36)</f>
        <v>132.36000000000001</v>
      </c>
      <c r="C216" s="2">
        <f ca="1">IFERROR(__xludf.DUMMYFUNCTION("""COMPUTED_VALUE"""),133.54)</f>
        <v>133.54</v>
      </c>
      <c r="D216" s="2">
        <f ca="1">IFERROR(__xludf.DUMMYFUNCTION("""COMPUTED_VALUE"""),132.16)</f>
        <v>132.16</v>
      </c>
      <c r="E216" s="2">
        <f ca="1">IFERROR(__xludf.DUMMYFUNCTION("""COMPUTED_VALUE"""),133.26)</f>
        <v>133.26</v>
      </c>
      <c r="F216" s="2">
        <f ca="1">IFERROR(__xludf.DUMMYFUNCTION("""COMPUTED_VALUE"""),15093598)</f>
        <v>15093598</v>
      </c>
    </row>
    <row r="217" spans="1:6" ht="12.5" x14ac:dyDescent="0.25">
      <c r="A217" s="3">
        <f ca="1">IFERROR(__xludf.DUMMYFUNCTION("""COMPUTED_VALUE"""),45239.6666666666)</f>
        <v>45239.666666666599</v>
      </c>
      <c r="B217" s="2">
        <f ca="1">IFERROR(__xludf.DUMMYFUNCTION("""COMPUTED_VALUE"""),133.36)</f>
        <v>133.36000000000001</v>
      </c>
      <c r="C217" s="2">
        <f ca="1">IFERROR(__xludf.DUMMYFUNCTION("""COMPUTED_VALUE"""),133.96)</f>
        <v>133.96</v>
      </c>
      <c r="D217" s="2">
        <f ca="1">IFERROR(__xludf.DUMMYFUNCTION("""COMPUTED_VALUE"""),131.51)</f>
        <v>131.51</v>
      </c>
      <c r="E217" s="2">
        <f ca="1">IFERROR(__xludf.DUMMYFUNCTION("""COMPUTED_VALUE"""),131.69)</f>
        <v>131.69</v>
      </c>
      <c r="F217" s="2">
        <f ca="1">IFERROR(__xludf.DUMMYFUNCTION("""COMPUTED_VALUE"""),17976533)</f>
        <v>17976533</v>
      </c>
    </row>
    <row r="218" spans="1:6" ht="12.5" x14ac:dyDescent="0.25">
      <c r="A218" s="3">
        <f ca="1">IFERROR(__xludf.DUMMYFUNCTION("""COMPUTED_VALUE"""),45240.6666666666)</f>
        <v>45240.666666666599</v>
      </c>
      <c r="B218" s="2">
        <f ca="1">IFERROR(__xludf.DUMMYFUNCTION("""COMPUTED_VALUE"""),131.53)</f>
        <v>131.53</v>
      </c>
      <c r="C218" s="2">
        <f ca="1">IFERROR(__xludf.DUMMYFUNCTION("""COMPUTED_VALUE"""),134.27)</f>
        <v>134.27000000000001</v>
      </c>
      <c r="D218" s="2">
        <f ca="1">IFERROR(__xludf.DUMMYFUNCTION("""COMPUTED_VALUE"""),130.87)</f>
        <v>130.87</v>
      </c>
      <c r="E218" s="2">
        <f ca="1">IFERROR(__xludf.DUMMYFUNCTION("""COMPUTED_VALUE"""),134.06)</f>
        <v>134.06</v>
      </c>
      <c r="F218" s="2">
        <f ca="1">IFERROR(__xludf.DUMMYFUNCTION("""COMPUTED_VALUE"""),20879838)</f>
        <v>20879838</v>
      </c>
    </row>
    <row r="219" spans="1:6" ht="12.5" x14ac:dyDescent="0.25">
      <c r="A219" s="3">
        <f ca="1">IFERROR(__xludf.DUMMYFUNCTION("""COMPUTED_VALUE"""),45243.6666666666)</f>
        <v>45243.666666666599</v>
      </c>
      <c r="B219" s="2">
        <f ca="1">IFERROR(__xludf.DUMMYFUNCTION("""COMPUTED_VALUE"""),133.36)</f>
        <v>133.36000000000001</v>
      </c>
      <c r="C219" s="2">
        <f ca="1">IFERROR(__xludf.DUMMYFUNCTION("""COMPUTED_VALUE"""),134.11)</f>
        <v>134.11000000000001</v>
      </c>
      <c r="D219" s="2">
        <f ca="1">IFERROR(__xludf.DUMMYFUNCTION("""COMPUTED_VALUE"""),132.77)</f>
        <v>132.77000000000001</v>
      </c>
      <c r="E219" s="2">
        <f ca="1">IFERROR(__xludf.DUMMYFUNCTION("""COMPUTED_VALUE"""),133.64)</f>
        <v>133.63999999999999</v>
      </c>
      <c r="F219" s="2">
        <f ca="1">IFERROR(__xludf.DUMMYFUNCTION("""COMPUTED_VALUE"""),16409856)</f>
        <v>16409856</v>
      </c>
    </row>
    <row r="220" spans="1:6" ht="12.5" x14ac:dyDescent="0.25">
      <c r="A220" s="3">
        <f ca="1">IFERROR(__xludf.DUMMYFUNCTION("""COMPUTED_VALUE"""),45244.6666666666)</f>
        <v>45244.666666666599</v>
      </c>
      <c r="B220" s="2">
        <f ca="1">IFERROR(__xludf.DUMMYFUNCTION("""COMPUTED_VALUE"""),135.65)</f>
        <v>135.65</v>
      </c>
      <c r="C220" s="2">
        <f ca="1">IFERROR(__xludf.DUMMYFUNCTION("""COMPUTED_VALUE"""),137.24)</f>
        <v>137.24</v>
      </c>
      <c r="D220" s="2">
        <f ca="1">IFERROR(__xludf.DUMMYFUNCTION("""COMPUTED_VALUE"""),135.1)</f>
        <v>135.1</v>
      </c>
      <c r="E220" s="2">
        <f ca="1">IFERROR(__xludf.DUMMYFUNCTION("""COMPUTED_VALUE"""),135.43)</f>
        <v>135.43</v>
      </c>
      <c r="F220" s="2">
        <f ca="1">IFERROR(__xludf.DUMMYFUNCTION("""COMPUTED_VALUE"""),22317345)</f>
        <v>22317345</v>
      </c>
    </row>
    <row r="221" spans="1:6" ht="12.5" x14ac:dyDescent="0.25">
      <c r="A221" s="3">
        <f ca="1">IFERROR(__xludf.DUMMYFUNCTION("""COMPUTED_VALUE"""),45245.6666666666)</f>
        <v>45245.666666666599</v>
      </c>
      <c r="B221" s="2">
        <f ca="1">IFERROR(__xludf.DUMMYFUNCTION("""COMPUTED_VALUE"""),136.64)</f>
        <v>136.63999999999999</v>
      </c>
      <c r="C221" s="2">
        <f ca="1">IFERROR(__xludf.DUMMYFUNCTION("""COMPUTED_VALUE"""),136.84)</f>
        <v>136.84</v>
      </c>
      <c r="D221" s="2">
        <f ca="1">IFERROR(__xludf.DUMMYFUNCTION("""COMPUTED_VALUE"""),135.33)</f>
        <v>135.33000000000001</v>
      </c>
      <c r="E221" s="2">
        <f ca="1">IFERROR(__xludf.DUMMYFUNCTION("""COMPUTED_VALUE"""),136.38)</f>
        <v>136.38</v>
      </c>
      <c r="F221" s="2">
        <f ca="1">IFERROR(__xludf.DUMMYFUNCTION("""COMPUTED_VALUE"""),15840883)</f>
        <v>15840883</v>
      </c>
    </row>
    <row r="222" spans="1:6" ht="12.5" x14ac:dyDescent="0.25">
      <c r="A222" s="3">
        <f ca="1">IFERROR(__xludf.DUMMYFUNCTION("""COMPUTED_VALUE"""),45246.6666666666)</f>
        <v>45246.666666666599</v>
      </c>
      <c r="B222" s="2">
        <f ca="1">IFERROR(__xludf.DUMMYFUNCTION("""COMPUTED_VALUE"""),136.96)</f>
        <v>136.96</v>
      </c>
      <c r="C222" s="2">
        <f ca="1">IFERROR(__xludf.DUMMYFUNCTION("""COMPUTED_VALUE"""),138.88)</f>
        <v>138.88</v>
      </c>
      <c r="D222" s="2">
        <f ca="1">IFERROR(__xludf.DUMMYFUNCTION("""COMPUTED_VALUE"""),136.08)</f>
        <v>136.08000000000001</v>
      </c>
      <c r="E222" s="2">
        <f ca="1">IFERROR(__xludf.DUMMYFUNCTION("""COMPUTED_VALUE"""),138.7)</f>
        <v>138.69999999999999</v>
      </c>
      <c r="F222" s="2">
        <f ca="1">IFERROR(__xludf.DUMMYFUNCTION("""COMPUTED_VALUE"""),17615068)</f>
        <v>17615068</v>
      </c>
    </row>
    <row r="223" spans="1:6" ht="12.5" x14ac:dyDescent="0.25">
      <c r="A223" s="3">
        <f ca="1">IFERROR(__xludf.DUMMYFUNCTION("""COMPUTED_VALUE"""),45247.6666666666)</f>
        <v>45247.666666666599</v>
      </c>
      <c r="B223" s="2">
        <f ca="1">IFERROR(__xludf.DUMMYFUNCTION("""COMPUTED_VALUE"""),137.82)</f>
        <v>137.82</v>
      </c>
      <c r="C223" s="2">
        <f ca="1">IFERROR(__xludf.DUMMYFUNCTION("""COMPUTED_VALUE"""),138)</f>
        <v>138</v>
      </c>
      <c r="D223" s="2">
        <f ca="1">IFERROR(__xludf.DUMMYFUNCTION("""COMPUTED_VALUE"""),135.48)</f>
        <v>135.47999999999999</v>
      </c>
      <c r="E223" s="2">
        <f ca="1">IFERROR(__xludf.DUMMYFUNCTION("""COMPUTED_VALUE"""),136.94)</f>
        <v>136.94</v>
      </c>
      <c r="F223" s="2">
        <f ca="1">IFERROR(__xludf.DUMMYFUNCTION("""COMPUTED_VALUE"""),25590191)</f>
        <v>25590191</v>
      </c>
    </row>
    <row r="224" spans="1:6" ht="12.5" x14ac:dyDescent="0.25">
      <c r="A224" s="3">
        <f ca="1">IFERROR(__xludf.DUMMYFUNCTION("""COMPUTED_VALUE"""),45250.6666666666)</f>
        <v>45250.666666666599</v>
      </c>
      <c r="B224" s="2">
        <f ca="1">IFERROR(__xludf.DUMMYFUNCTION("""COMPUTED_VALUE"""),135.5)</f>
        <v>135.5</v>
      </c>
      <c r="C224" s="2">
        <f ca="1">IFERROR(__xludf.DUMMYFUNCTION("""COMPUTED_VALUE"""),138.43)</f>
        <v>138.43</v>
      </c>
      <c r="D224" s="2">
        <f ca="1">IFERROR(__xludf.DUMMYFUNCTION("""COMPUTED_VALUE"""),135.49)</f>
        <v>135.49</v>
      </c>
      <c r="E224" s="2">
        <f ca="1">IFERROR(__xludf.DUMMYFUNCTION("""COMPUTED_VALUE"""),137.92)</f>
        <v>137.91999999999999</v>
      </c>
      <c r="F224" s="2">
        <f ca="1">IFERROR(__xludf.DUMMYFUNCTION("""COMPUTED_VALUE"""),19589006)</f>
        <v>19589006</v>
      </c>
    </row>
    <row r="225" spans="1:6" ht="12.5" x14ac:dyDescent="0.25">
      <c r="A225" s="3">
        <f ca="1">IFERROR(__xludf.DUMMYFUNCTION("""COMPUTED_VALUE"""),45251.6666666666)</f>
        <v>45251.666666666599</v>
      </c>
      <c r="B225" s="2">
        <f ca="1">IFERROR(__xludf.DUMMYFUNCTION("""COMPUTED_VALUE"""),137.94)</f>
        <v>137.94</v>
      </c>
      <c r="C225" s="2">
        <f ca="1">IFERROR(__xludf.DUMMYFUNCTION("""COMPUTED_VALUE"""),138.97)</f>
        <v>138.97</v>
      </c>
      <c r="D225" s="2">
        <f ca="1">IFERROR(__xludf.DUMMYFUNCTION("""COMPUTED_VALUE"""),137.71)</f>
        <v>137.71</v>
      </c>
      <c r="E225" s="2">
        <f ca="1">IFERROR(__xludf.DUMMYFUNCTION("""COMPUTED_VALUE"""),138.62)</f>
        <v>138.62</v>
      </c>
      <c r="F225" s="2">
        <f ca="1">IFERROR(__xludf.DUMMYFUNCTION("""COMPUTED_VALUE"""),17648067)</f>
        <v>17648067</v>
      </c>
    </row>
    <row r="226" spans="1:6" ht="12.5" x14ac:dyDescent="0.25">
      <c r="A226" s="3">
        <f ca="1">IFERROR(__xludf.DUMMYFUNCTION("""COMPUTED_VALUE"""),45252.6666666666)</f>
        <v>45252.666666666599</v>
      </c>
      <c r="B226" s="2">
        <f ca="1">IFERROR(__xludf.DUMMYFUNCTION("""COMPUTED_VALUE"""),139.1)</f>
        <v>139.1</v>
      </c>
      <c r="C226" s="2">
        <f ca="1">IFERROR(__xludf.DUMMYFUNCTION("""COMPUTED_VALUE"""),141.1)</f>
        <v>141.1</v>
      </c>
      <c r="D226" s="2">
        <f ca="1">IFERROR(__xludf.DUMMYFUNCTION("""COMPUTED_VALUE"""),139)</f>
        <v>139</v>
      </c>
      <c r="E226" s="2">
        <f ca="1">IFERROR(__xludf.DUMMYFUNCTION("""COMPUTED_VALUE"""),140.02)</f>
        <v>140.02000000000001</v>
      </c>
      <c r="F226" s="2">
        <f ca="1">IFERROR(__xludf.DUMMYFUNCTION("""COMPUTED_VALUE"""),17310209)</f>
        <v>17310209</v>
      </c>
    </row>
    <row r="227" spans="1:6" ht="12.5" x14ac:dyDescent="0.25">
      <c r="A227" s="3">
        <f ca="1">IFERROR(__xludf.DUMMYFUNCTION("""COMPUTED_VALUE"""),45254.5451388888)</f>
        <v>45254.545138888803</v>
      </c>
      <c r="B227" s="2">
        <f ca="1">IFERROR(__xludf.DUMMYFUNCTION("""COMPUTED_VALUE"""),139.54)</f>
        <v>139.54</v>
      </c>
      <c r="C227" s="2">
        <f ca="1">IFERROR(__xludf.DUMMYFUNCTION("""COMPUTED_VALUE"""),139.68)</f>
        <v>139.68</v>
      </c>
      <c r="D227" s="2">
        <f ca="1">IFERROR(__xludf.DUMMYFUNCTION("""COMPUTED_VALUE"""),137.47)</f>
        <v>137.47</v>
      </c>
      <c r="E227" s="2">
        <f ca="1">IFERROR(__xludf.DUMMYFUNCTION("""COMPUTED_VALUE"""),138.22)</f>
        <v>138.22</v>
      </c>
      <c r="F227" s="2">
        <f ca="1">IFERROR(__xludf.DUMMYFUNCTION("""COMPUTED_VALUE"""),8828640)</f>
        <v>8828640</v>
      </c>
    </row>
    <row r="228" spans="1:6" ht="12.5" x14ac:dyDescent="0.25">
      <c r="A228" s="3">
        <f ca="1">IFERROR(__xludf.DUMMYFUNCTION("""COMPUTED_VALUE"""),45257.6666666666)</f>
        <v>45257.666666666599</v>
      </c>
      <c r="B228" s="2">
        <f ca="1">IFERROR(__xludf.DUMMYFUNCTION("""COMPUTED_VALUE"""),137.57)</f>
        <v>137.57</v>
      </c>
      <c r="C228" s="2">
        <f ca="1">IFERROR(__xludf.DUMMYFUNCTION("""COMPUTED_VALUE"""),139.63)</f>
        <v>139.63</v>
      </c>
      <c r="D228" s="2">
        <f ca="1">IFERROR(__xludf.DUMMYFUNCTION("""COMPUTED_VALUE"""),137.54)</f>
        <v>137.54</v>
      </c>
      <c r="E228" s="2">
        <f ca="1">IFERROR(__xludf.DUMMYFUNCTION("""COMPUTED_VALUE"""),138.05)</f>
        <v>138.05000000000001</v>
      </c>
      <c r="F228" s="2">
        <f ca="1">IFERROR(__xludf.DUMMYFUNCTION("""COMPUTED_VALUE"""),17886389)</f>
        <v>17886389</v>
      </c>
    </row>
    <row r="229" spans="1:6" ht="12.5" x14ac:dyDescent="0.25">
      <c r="A229" s="3">
        <f ca="1">IFERROR(__xludf.DUMMYFUNCTION("""COMPUTED_VALUE"""),45258.6666666666)</f>
        <v>45258.666666666599</v>
      </c>
      <c r="B229" s="2">
        <f ca="1">IFERROR(__xludf.DUMMYFUNCTION("""COMPUTED_VALUE"""),137.63)</f>
        <v>137.63</v>
      </c>
      <c r="C229" s="2">
        <f ca="1">IFERROR(__xludf.DUMMYFUNCTION("""COMPUTED_VALUE"""),138.66)</f>
        <v>138.66</v>
      </c>
      <c r="D229" s="2">
        <f ca="1">IFERROR(__xludf.DUMMYFUNCTION("""COMPUTED_VALUE"""),137.04)</f>
        <v>137.04</v>
      </c>
      <c r="E229" s="2">
        <f ca="1">IFERROR(__xludf.DUMMYFUNCTION("""COMPUTED_VALUE"""),138.62)</f>
        <v>138.62</v>
      </c>
      <c r="F229" s="2">
        <f ca="1">IFERROR(__xludf.DUMMYFUNCTION("""COMPUTED_VALUE"""),17046868)</f>
        <v>17046868</v>
      </c>
    </row>
    <row r="230" spans="1:6" ht="12.5" x14ac:dyDescent="0.25">
      <c r="A230" s="3">
        <f ca="1">IFERROR(__xludf.DUMMYFUNCTION("""COMPUTED_VALUE"""),45259.6666666666)</f>
        <v>45259.666666666599</v>
      </c>
      <c r="B230" s="2">
        <f ca="1">IFERROR(__xludf.DUMMYFUNCTION("""COMPUTED_VALUE"""),138.99)</f>
        <v>138.99</v>
      </c>
      <c r="C230" s="2">
        <f ca="1">IFERROR(__xludf.DUMMYFUNCTION("""COMPUTED_VALUE"""),139.67)</f>
        <v>139.66999999999999</v>
      </c>
      <c r="D230" s="2">
        <f ca="1">IFERROR(__xludf.DUMMYFUNCTION("""COMPUTED_VALUE"""),136.29)</f>
        <v>136.29</v>
      </c>
      <c r="E230" s="2">
        <f ca="1">IFERROR(__xludf.DUMMYFUNCTION("""COMPUTED_VALUE"""),136.4)</f>
        <v>136.4</v>
      </c>
      <c r="F230" s="2">
        <f ca="1">IFERROR(__xludf.DUMMYFUNCTION("""COMPUTED_VALUE"""),21014715)</f>
        <v>21014715</v>
      </c>
    </row>
    <row r="231" spans="1:6" ht="12.5" x14ac:dyDescent="0.25">
      <c r="A231" s="3">
        <f ca="1">IFERROR(__xludf.DUMMYFUNCTION("""COMPUTED_VALUE"""),45260.6666666666)</f>
        <v>45260.666666666599</v>
      </c>
      <c r="B231" s="2">
        <f ca="1">IFERROR(__xludf.DUMMYFUNCTION("""COMPUTED_VALUE"""),136.4)</f>
        <v>136.4</v>
      </c>
      <c r="C231" s="2">
        <f ca="1">IFERROR(__xludf.DUMMYFUNCTION("""COMPUTED_VALUE"""),136.96)</f>
        <v>136.96</v>
      </c>
      <c r="D231" s="2">
        <f ca="1">IFERROR(__xludf.DUMMYFUNCTION("""COMPUTED_VALUE"""),132.79)</f>
        <v>132.79</v>
      </c>
      <c r="E231" s="2">
        <f ca="1">IFERROR(__xludf.DUMMYFUNCTION("""COMPUTED_VALUE"""),133.92)</f>
        <v>133.91999999999999</v>
      </c>
      <c r="F231" s="2">
        <f ca="1">IFERROR(__xludf.DUMMYFUNCTION("""COMPUTED_VALUE"""),29913531)</f>
        <v>29913531</v>
      </c>
    </row>
    <row r="232" spans="1:6" ht="12.5" x14ac:dyDescent="0.25">
      <c r="A232" s="3">
        <f ca="1">IFERROR(__xludf.DUMMYFUNCTION("""COMPUTED_VALUE"""),45261.6666666666)</f>
        <v>45261.666666666599</v>
      </c>
      <c r="B232" s="2">
        <f ca="1">IFERROR(__xludf.DUMMYFUNCTION("""COMPUTED_VALUE"""),133.32)</f>
        <v>133.32</v>
      </c>
      <c r="C232" s="2">
        <f ca="1">IFERROR(__xludf.DUMMYFUNCTION("""COMPUTED_VALUE"""),133.5)</f>
        <v>133.5</v>
      </c>
      <c r="D232" s="2">
        <f ca="1">IFERROR(__xludf.DUMMYFUNCTION("""COMPUTED_VALUE"""),132.15)</f>
        <v>132.15</v>
      </c>
      <c r="E232" s="2">
        <f ca="1">IFERROR(__xludf.DUMMYFUNCTION("""COMPUTED_VALUE"""),133.32)</f>
        <v>133.32</v>
      </c>
      <c r="F232" s="2">
        <f ca="1">IFERROR(__xludf.DUMMYFUNCTION("""COMPUTED_VALUE"""),24267987)</f>
        <v>24267987</v>
      </c>
    </row>
    <row r="233" spans="1:6" ht="12.5" x14ac:dyDescent="0.25">
      <c r="A233" s="3">
        <f ca="1">IFERROR(__xludf.DUMMYFUNCTION("""COMPUTED_VALUE"""),45264.6666666666)</f>
        <v>45264.666666666599</v>
      </c>
      <c r="B233" s="2">
        <f ca="1">IFERROR(__xludf.DUMMYFUNCTION("""COMPUTED_VALUE"""),131.29)</f>
        <v>131.29</v>
      </c>
      <c r="C233" s="2">
        <f ca="1">IFERROR(__xludf.DUMMYFUNCTION("""COMPUTED_VALUE"""),131.45)</f>
        <v>131.44999999999999</v>
      </c>
      <c r="D233" s="2">
        <f ca="1">IFERROR(__xludf.DUMMYFUNCTION("""COMPUTED_VALUE"""),129.4)</f>
        <v>129.4</v>
      </c>
      <c r="E233" s="2">
        <f ca="1">IFERROR(__xludf.DUMMYFUNCTION("""COMPUTED_VALUE"""),130.63)</f>
        <v>130.63</v>
      </c>
      <c r="F233" s="2">
        <f ca="1">IFERROR(__xludf.DUMMYFUNCTION("""COMPUTED_VALUE"""),24117083)</f>
        <v>24117083</v>
      </c>
    </row>
    <row r="234" spans="1:6" ht="12.5" x14ac:dyDescent="0.25">
      <c r="A234" s="3">
        <f ca="1">IFERROR(__xludf.DUMMYFUNCTION("""COMPUTED_VALUE"""),45265.6666666666)</f>
        <v>45265.666666666599</v>
      </c>
      <c r="B234" s="2">
        <f ca="1">IFERROR(__xludf.DUMMYFUNCTION("""COMPUTED_VALUE"""),130.37)</f>
        <v>130.37</v>
      </c>
      <c r="C234" s="2">
        <f ca="1">IFERROR(__xludf.DUMMYFUNCTION("""COMPUTED_VALUE"""),133.54)</f>
        <v>133.54</v>
      </c>
      <c r="D234" s="2">
        <f ca="1">IFERROR(__xludf.DUMMYFUNCTION("""COMPUTED_VALUE"""),129.73)</f>
        <v>129.72999999999999</v>
      </c>
      <c r="E234" s="2">
        <f ca="1">IFERROR(__xludf.DUMMYFUNCTION("""COMPUTED_VALUE"""),132.39)</f>
        <v>132.38999999999999</v>
      </c>
      <c r="F234" s="2">
        <f ca="1">IFERROR(__xludf.DUMMYFUNCTION("""COMPUTED_VALUE"""),19235145)</f>
        <v>19235145</v>
      </c>
    </row>
    <row r="235" spans="1:6" ht="12.5" x14ac:dyDescent="0.25">
      <c r="A235" s="3">
        <f ca="1">IFERROR(__xludf.DUMMYFUNCTION("""COMPUTED_VALUE"""),45266.6666666666)</f>
        <v>45266.666666666599</v>
      </c>
      <c r="B235" s="2">
        <f ca="1">IFERROR(__xludf.DUMMYFUNCTION("""COMPUTED_VALUE"""),132.9)</f>
        <v>132.9</v>
      </c>
      <c r="C235" s="2">
        <f ca="1">IFERROR(__xludf.DUMMYFUNCTION("""COMPUTED_VALUE"""),133.31)</f>
        <v>133.31</v>
      </c>
      <c r="D235" s="2">
        <f ca="1">IFERROR(__xludf.DUMMYFUNCTION("""COMPUTED_VALUE"""),131.31)</f>
        <v>131.31</v>
      </c>
      <c r="E235" s="2">
        <f ca="1">IFERROR(__xludf.DUMMYFUNCTION("""COMPUTED_VALUE"""),131.43)</f>
        <v>131.43</v>
      </c>
      <c r="F235" s="2">
        <f ca="1">IFERROR(__xludf.DUMMYFUNCTION("""COMPUTED_VALUE"""),16360648)</f>
        <v>16360648</v>
      </c>
    </row>
    <row r="236" spans="1:6" ht="12.5" x14ac:dyDescent="0.25">
      <c r="A236" s="3">
        <f ca="1">IFERROR(__xludf.DUMMYFUNCTION("""COMPUTED_VALUE"""),45267.6666666666)</f>
        <v>45267.666666666599</v>
      </c>
      <c r="B236" s="2">
        <f ca="1">IFERROR(__xludf.DUMMYFUNCTION("""COMPUTED_VALUE"""),136.6)</f>
        <v>136.6</v>
      </c>
      <c r="C236" s="2">
        <f ca="1">IFERROR(__xludf.DUMMYFUNCTION("""COMPUTED_VALUE"""),140)</f>
        <v>140</v>
      </c>
      <c r="D236" s="2">
        <f ca="1">IFERROR(__xludf.DUMMYFUNCTION("""COMPUTED_VALUE"""),136.23)</f>
        <v>136.22999999999999</v>
      </c>
      <c r="E236" s="2">
        <f ca="1">IFERROR(__xludf.DUMMYFUNCTION("""COMPUTED_VALUE"""),138.45)</f>
        <v>138.44999999999999</v>
      </c>
      <c r="F236" s="2">
        <f ca="1">IFERROR(__xludf.DUMMYFUNCTION("""COMPUTED_VALUE"""),38419426)</f>
        <v>38419426</v>
      </c>
    </row>
    <row r="237" spans="1:6" ht="12.5" x14ac:dyDescent="0.25">
      <c r="A237" s="3">
        <f ca="1">IFERROR(__xludf.DUMMYFUNCTION("""COMPUTED_VALUE"""),45268.6666666666)</f>
        <v>45268.666666666599</v>
      </c>
      <c r="B237" s="2">
        <f ca="1">IFERROR(__xludf.DUMMYFUNCTION("""COMPUTED_VALUE"""),135.66)</f>
        <v>135.66</v>
      </c>
      <c r="C237" s="2">
        <f ca="1">IFERROR(__xludf.DUMMYFUNCTION("""COMPUTED_VALUE"""),137.99)</f>
        <v>137.99</v>
      </c>
      <c r="D237" s="2">
        <f ca="1">IFERROR(__xludf.DUMMYFUNCTION("""COMPUTED_VALUE"""),135.57)</f>
        <v>135.57</v>
      </c>
      <c r="E237" s="2">
        <f ca="1">IFERROR(__xludf.DUMMYFUNCTION("""COMPUTED_VALUE"""),136.64)</f>
        <v>136.63999999999999</v>
      </c>
      <c r="F237" s="2">
        <f ca="1">IFERROR(__xludf.DUMMYFUNCTION("""COMPUTED_VALUE"""),23016139)</f>
        <v>23016139</v>
      </c>
    </row>
    <row r="238" spans="1:6" ht="12.5" x14ac:dyDescent="0.25">
      <c r="A238" s="3">
        <f ca="1">IFERROR(__xludf.DUMMYFUNCTION("""COMPUTED_VALUE"""),45271.6666666666)</f>
        <v>45271.666666666599</v>
      </c>
      <c r="B238" s="2">
        <f ca="1">IFERROR(__xludf.DUMMYFUNCTION("""COMPUTED_VALUE"""),133.82)</f>
        <v>133.82</v>
      </c>
      <c r="C238" s="2">
        <f ca="1">IFERROR(__xludf.DUMMYFUNCTION("""COMPUTED_VALUE"""),134.79)</f>
        <v>134.79</v>
      </c>
      <c r="D238" s="2">
        <f ca="1">IFERROR(__xludf.DUMMYFUNCTION("""COMPUTED_VALUE"""),132.89)</f>
        <v>132.88999999999999</v>
      </c>
      <c r="E238" s="2">
        <f ca="1">IFERROR(__xludf.DUMMYFUNCTION("""COMPUTED_VALUE"""),134.7)</f>
        <v>134.69999999999999</v>
      </c>
      <c r="F238" s="2">
        <f ca="1">IFERROR(__xludf.DUMMYFUNCTION("""COMPUTED_VALUE"""),24502860)</f>
        <v>24502860</v>
      </c>
    </row>
    <row r="239" spans="1:6" ht="12.5" x14ac:dyDescent="0.25">
      <c r="A239" s="3">
        <f ca="1">IFERROR(__xludf.DUMMYFUNCTION("""COMPUTED_VALUE"""),45272.6666666666)</f>
        <v>45272.666666666599</v>
      </c>
      <c r="B239" s="2">
        <f ca="1">IFERROR(__xludf.DUMMYFUNCTION("""COMPUTED_VALUE"""),133.27)</f>
        <v>133.27000000000001</v>
      </c>
      <c r="C239" s="2">
        <f ca="1">IFERROR(__xludf.DUMMYFUNCTION("""COMPUTED_VALUE"""),134.54)</f>
        <v>134.54</v>
      </c>
      <c r="D239" s="2">
        <f ca="1">IFERROR(__xludf.DUMMYFUNCTION("""COMPUTED_VALUE"""),132.83)</f>
        <v>132.83000000000001</v>
      </c>
      <c r="E239" s="2">
        <f ca="1">IFERROR(__xludf.DUMMYFUNCTION("""COMPUTED_VALUE"""),133.64)</f>
        <v>133.63999999999999</v>
      </c>
      <c r="F239" s="2">
        <f ca="1">IFERROR(__xludf.DUMMYFUNCTION("""COMPUTED_VALUE"""),26583981)</f>
        <v>26583981</v>
      </c>
    </row>
    <row r="240" spans="1:6" ht="12.5" x14ac:dyDescent="0.25">
      <c r="A240" s="3">
        <f ca="1">IFERROR(__xludf.DUMMYFUNCTION("""COMPUTED_VALUE"""),45273.6666666666)</f>
        <v>45273.666666666599</v>
      </c>
      <c r="B240" s="2">
        <f ca="1">IFERROR(__xludf.DUMMYFUNCTION("""COMPUTED_VALUE"""),134.54)</f>
        <v>134.54</v>
      </c>
      <c r="C240" s="2">
        <f ca="1">IFERROR(__xludf.DUMMYFUNCTION("""COMPUTED_VALUE"""),134.78)</f>
        <v>134.78</v>
      </c>
      <c r="D240" s="2">
        <f ca="1">IFERROR(__xludf.DUMMYFUNCTION("""COMPUTED_VALUE"""),132.95)</f>
        <v>132.94999999999999</v>
      </c>
      <c r="E240" s="2">
        <f ca="1">IFERROR(__xludf.DUMMYFUNCTION("""COMPUTED_VALUE"""),133.97)</f>
        <v>133.97</v>
      </c>
      <c r="F240" s="2">
        <f ca="1">IFERROR(__xludf.DUMMYFUNCTION("""COMPUTED_VALUE"""),25414461)</f>
        <v>25414461</v>
      </c>
    </row>
    <row r="241" spans="1:6" ht="12.5" x14ac:dyDescent="0.25">
      <c r="A241" s="3">
        <f ca="1">IFERROR(__xludf.DUMMYFUNCTION("""COMPUTED_VALUE"""),45274.6666666666)</f>
        <v>45274.666666666599</v>
      </c>
      <c r="B241" s="2">
        <f ca="1">IFERROR(__xludf.DUMMYFUNCTION("""COMPUTED_VALUE"""),134.77)</f>
        <v>134.77000000000001</v>
      </c>
      <c r="C241" s="2">
        <f ca="1">IFERROR(__xludf.DUMMYFUNCTION("""COMPUTED_VALUE"""),135.04)</f>
        <v>135.04</v>
      </c>
      <c r="D241" s="2">
        <f ca="1">IFERROR(__xludf.DUMMYFUNCTION("""COMPUTED_VALUE"""),131.06)</f>
        <v>131.06</v>
      </c>
      <c r="E241" s="2">
        <f ca="1">IFERROR(__xludf.DUMMYFUNCTION("""COMPUTED_VALUE"""),133.2)</f>
        <v>133.19999999999999</v>
      </c>
      <c r="F241" s="2">
        <f ca="1">IFERROR(__xludf.DUMMYFUNCTION("""COMPUTED_VALUE"""),29619098)</f>
        <v>29619098</v>
      </c>
    </row>
    <row r="242" spans="1:6" ht="12.5" x14ac:dyDescent="0.25">
      <c r="A242" s="3">
        <f ca="1">IFERROR(__xludf.DUMMYFUNCTION("""COMPUTED_VALUE"""),45275.6666666666)</f>
        <v>45275.666666666599</v>
      </c>
      <c r="B242" s="2">
        <f ca="1">IFERROR(__xludf.DUMMYFUNCTION("""COMPUTED_VALUE"""),132.92)</f>
        <v>132.91999999999999</v>
      </c>
      <c r="C242" s="2">
        <f ca="1">IFERROR(__xludf.DUMMYFUNCTION("""COMPUTED_VALUE"""),134.83)</f>
        <v>134.83000000000001</v>
      </c>
      <c r="D242" s="2">
        <f ca="1">IFERROR(__xludf.DUMMYFUNCTION("""COMPUTED_VALUE"""),132.63)</f>
        <v>132.63</v>
      </c>
      <c r="E242" s="2">
        <f ca="1">IFERROR(__xludf.DUMMYFUNCTION("""COMPUTED_VALUE"""),133.84)</f>
        <v>133.84</v>
      </c>
      <c r="F242" s="2">
        <f ca="1">IFERROR(__xludf.DUMMYFUNCTION("""COMPUTED_VALUE"""),58594004)</f>
        <v>58594004</v>
      </c>
    </row>
    <row r="243" spans="1:6" ht="12.5" x14ac:dyDescent="0.25">
      <c r="A243" s="3">
        <f ca="1">IFERROR(__xludf.DUMMYFUNCTION("""COMPUTED_VALUE"""),45278.6666666666)</f>
        <v>45278.666666666599</v>
      </c>
      <c r="B243" s="2">
        <f ca="1">IFERROR(__xludf.DUMMYFUNCTION("""COMPUTED_VALUE"""),133.86)</f>
        <v>133.86000000000001</v>
      </c>
      <c r="C243" s="2">
        <f ca="1">IFERROR(__xludf.DUMMYFUNCTION("""COMPUTED_VALUE"""),138.38)</f>
        <v>138.38</v>
      </c>
      <c r="D243" s="2">
        <f ca="1">IFERROR(__xludf.DUMMYFUNCTION("""COMPUTED_VALUE"""),133.77)</f>
        <v>133.77000000000001</v>
      </c>
      <c r="E243" s="2">
        <f ca="1">IFERROR(__xludf.DUMMYFUNCTION("""COMPUTED_VALUE"""),137.19)</f>
        <v>137.19</v>
      </c>
      <c r="F243" s="2">
        <f ca="1">IFERROR(__xludf.DUMMYFUNCTION("""COMPUTED_VALUE"""),25699767)</f>
        <v>25699767</v>
      </c>
    </row>
    <row r="244" spans="1:6" ht="12.5" x14ac:dyDescent="0.25">
      <c r="A244" s="3">
        <f ca="1">IFERROR(__xludf.DUMMYFUNCTION("""COMPUTED_VALUE"""),45279.6666666666)</f>
        <v>45279.666666666599</v>
      </c>
      <c r="B244" s="2">
        <f ca="1">IFERROR(__xludf.DUMMYFUNCTION("""COMPUTED_VALUE"""),138)</f>
        <v>138</v>
      </c>
      <c r="C244" s="2">
        <f ca="1">IFERROR(__xludf.DUMMYFUNCTION("""COMPUTED_VALUE"""),138.77)</f>
        <v>138.77000000000001</v>
      </c>
      <c r="D244" s="2">
        <f ca="1">IFERROR(__xludf.DUMMYFUNCTION("""COMPUTED_VALUE"""),137.45)</f>
        <v>137.44999999999999</v>
      </c>
      <c r="E244" s="2">
        <f ca="1">IFERROR(__xludf.DUMMYFUNCTION("""COMPUTED_VALUE"""),138.1)</f>
        <v>138.1</v>
      </c>
      <c r="F244" s="2">
        <f ca="1">IFERROR(__xludf.DUMMYFUNCTION("""COMPUTED_VALUE"""),20661000)</f>
        <v>20661000</v>
      </c>
    </row>
    <row r="245" spans="1:6" ht="12.5" x14ac:dyDescent="0.25">
      <c r="A245" s="3">
        <f ca="1">IFERROR(__xludf.DUMMYFUNCTION("""COMPUTED_VALUE"""),45280.6666666666)</f>
        <v>45280.666666666599</v>
      </c>
      <c r="B245" s="2">
        <f ca="1">IFERROR(__xludf.DUMMYFUNCTION("""COMPUTED_VALUE"""),140.33)</f>
        <v>140.33000000000001</v>
      </c>
      <c r="C245" s="2">
        <f ca="1">IFERROR(__xludf.DUMMYFUNCTION("""COMPUTED_VALUE"""),143.08)</f>
        <v>143.08000000000001</v>
      </c>
      <c r="D245" s="2">
        <f ca="1">IFERROR(__xludf.DUMMYFUNCTION("""COMPUTED_VALUE"""),139.41)</f>
        <v>139.41</v>
      </c>
      <c r="E245" s="2">
        <f ca="1">IFERROR(__xludf.DUMMYFUNCTION("""COMPUTED_VALUE"""),139.66)</f>
        <v>139.66</v>
      </c>
      <c r="F245" s="2">
        <f ca="1">IFERROR(__xludf.DUMMYFUNCTION("""COMPUTED_VALUE"""),33507342)</f>
        <v>33507342</v>
      </c>
    </row>
    <row r="246" spans="1:6" ht="12.5" x14ac:dyDescent="0.25">
      <c r="A246" s="3">
        <f ca="1">IFERROR(__xludf.DUMMYFUNCTION("""COMPUTED_VALUE"""),45281.6666666666)</f>
        <v>45281.666666666599</v>
      </c>
      <c r="B246" s="2">
        <f ca="1">IFERROR(__xludf.DUMMYFUNCTION("""COMPUTED_VALUE"""),140.77)</f>
        <v>140.77000000000001</v>
      </c>
      <c r="C246" s="2">
        <f ca="1">IFERROR(__xludf.DUMMYFUNCTION("""COMPUTED_VALUE"""),142.03)</f>
        <v>142.03</v>
      </c>
      <c r="D246" s="2">
        <f ca="1">IFERROR(__xludf.DUMMYFUNCTION("""COMPUTED_VALUE"""),140.47)</f>
        <v>140.47</v>
      </c>
      <c r="E246" s="2">
        <f ca="1">IFERROR(__xludf.DUMMYFUNCTION("""COMPUTED_VALUE"""),141.8)</f>
        <v>141.80000000000001</v>
      </c>
      <c r="F246" s="2">
        <f ca="1">IFERROR(__xludf.DUMMYFUNCTION("""COMPUTED_VALUE"""),18101476)</f>
        <v>18101476</v>
      </c>
    </row>
    <row r="247" spans="1:6" ht="12.5" x14ac:dyDescent="0.25">
      <c r="A247" s="3">
        <f ca="1">IFERROR(__xludf.DUMMYFUNCTION("""COMPUTED_VALUE"""),45282.6666666666)</f>
        <v>45282.666666666599</v>
      </c>
      <c r="B247" s="2">
        <f ca="1">IFERROR(__xludf.DUMMYFUNCTION("""COMPUTED_VALUE"""),142.13)</f>
        <v>142.13</v>
      </c>
      <c r="C247" s="2">
        <f ca="1">IFERROR(__xludf.DUMMYFUNCTION("""COMPUTED_VALUE"""),143.25)</f>
        <v>143.25</v>
      </c>
      <c r="D247" s="2">
        <f ca="1">IFERROR(__xludf.DUMMYFUNCTION("""COMPUTED_VALUE"""),142.06)</f>
        <v>142.06</v>
      </c>
      <c r="E247" s="2">
        <f ca="1">IFERROR(__xludf.DUMMYFUNCTION("""COMPUTED_VALUE"""),142.72)</f>
        <v>142.72</v>
      </c>
      <c r="F247" s="2">
        <f ca="1">IFERROR(__xludf.DUMMYFUNCTION("""COMPUTED_VALUE"""),18513524)</f>
        <v>18513524</v>
      </c>
    </row>
    <row r="248" spans="1:6" ht="12.5" x14ac:dyDescent="0.25">
      <c r="A248" s="3">
        <f ca="1">IFERROR(__xludf.DUMMYFUNCTION("""COMPUTED_VALUE"""),45286.6666666666)</f>
        <v>45286.666666666599</v>
      </c>
      <c r="B248" s="2">
        <f ca="1">IFERROR(__xludf.DUMMYFUNCTION("""COMPUTED_VALUE"""),142.98)</f>
        <v>142.97999999999999</v>
      </c>
      <c r="C248" s="2">
        <f ca="1">IFERROR(__xludf.DUMMYFUNCTION("""COMPUTED_VALUE"""),143.95)</f>
        <v>143.94999999999999</v>
      </c>
      <c r="D248" s="2">
        <f ca="1">IFERROR(__xludf.DUMMYFUNCTION("""COMPUTED_VALUE"""),142.5)</f>
        <v>142.5</v>
      </c>
      <c r="E248" s="2">
        <f ca="1">IFERROR(__xludf.DUMMYFUNCTION("""COMPUTED_VALUE"""),142.82)</f>
        <v>142.82</v>
      </c>
      <c r="F248" s="2">
        <f ca="1">IFERROR(__xludf.DUMMYFUNCTION("""COMPUTED_VALUE"""),11170066)</f>
        <v>11170066</v>
      </c>
    </row>
    <row r="249" spans="1:6" ht="12.5" x14ac:dyDescent="0.25">
      <c r="A249" s="3">
        <f ca="1">IFERROR(__xludf.DUMMYFUNCTION("""COMPUTED_VALUE"""),45287.6666666666)</f>
        <v>45287.666666666599</v>
      </c>
      <c r="B249" s="2">
        <f ca="1">IFERROR(__xludf.DUMMYFUNCTION("""COMPUTED_VALUE"""),142.83)</f>
        <v>142.83000000000001</v>
      </c>
      <c r="C249" s="2">
        <f ca="1">IFERROR(__xludf.DUMMYFUNCTION("""COMPUTED_VALUE"""),143.32)</f>
        <v>143.32</v>
      </c>
      <c r="D249" s="2">
        <f ca="1">IFERROR(__xludf.DUMMYFUNCTION("""COMPUTED_VALUE"""),141.05)</f>
        <v>141.05000000000001</v>
      </c>
      <c r="E249" s="2">
        <f ca="1">IFERROR(__xludf.DUMMYFUNCTION("""COMPUTED_VALUE"""),141.44)</f>
        <v>141.44</v>
      </c>
      <c r="F249" s="2">
        <f ca="1">IFERROR(__xludf.DUMMYFUNCTION("""COMPUTED_VALUE"""),17288358)</f>
        <v>17288358</v>
      </c>
    </row>
    <row r="250" spans="1:6" ht="12.5" x14ac:dyDescent="0.25">
      <c r="A250" s="3">
        <f ca="1">IFERROR(__xludf.DUMMYFUNCTION("""COMPUTED_VALUE"""),45288.6666666666)</f>
        <v>45288.666666666599</v>
      </c>
      <c r="B250" s="2">
        <f ca="1">IFERROR(__xludf.DUMMYFUNCTION("""COMPUTED_VALUE"""),141.85)</f>
        <v>141.85</v>
      </c>
      <c r="C250" s="2">
        <f ca="1">IFERROR(__xludf.DUMMYFUNCTION("""COMPUTED_VALUE"""),142.27)</f>
        <v>142.27000000000001</v>
      </c>
      <c r="D250" s="2">
        <f ca="1">IFERROR(__xludf.DUMMYFUNCTION("""COMPUTED_VALUE"""),140.83)</f>
        <v>140.83000000000001</v>
      </c>
      <c r="E250" s="2">
        <f ca="1">IFERROR(__xludf.DUMMYFUNCTION("""COMPUTED_VALUE"""),141.28)</f>
        <v>141.28</v>
      </c>
      <c r="F250" s="2">
        <f ca="1">IFERROR(__xludf.DUMMYFUNCTION("""COMPUTED_VALUE"""),12192549)</f>
        <v>12192549</v>
      </c>
    </row>
    <row r="251" spans="1:6" ht="12.5" x14ac:dyDescent="0.25">
      <c r="A251" s="3">
        <f ca="1">IFERROR(__xludf.DUMMYFUNCTION("""COMPUTED_VALUE"""),45289.6666666666)</f>
        <v>45289.666666666599</v>
      </c>
      <c r="B251" s="2">
        <f ca="1">IFERROR(__xludf.DUMMYFUNCTION("""COMPUTED_VALUE"""),140.68)</f>
        <v>140.68</v>
      </c>
      <c r="C251" s="2">
        <f ca="1">IFERROR(__xludf.DUMMYFUNCTION("""COMPUTED_VALUE"""),141.44)</f>
        <v>141.44</v>
      </c>
      <c r="D251" s="2">
        <f ca="1">IFERROR(__xludf.DUMMYFUNCTION("""COMPUTED_VALUE"""),139.9)</f>
        <v>139.9</v>
      </c>
      <c r="E251" s="2">
        <f ca="1">IFERROR(__xludf.DUMMYFUNCTION("""COMPUTED_VALUE"""),140.93)</f>
        <v>140.93</v>
      </c>
      <c r="F251" s="2">
        <f ca="1">IFERROR(__xludf.DUMMYFUNCTION("""COMPUTED_VALUE"""),14880961)</f>
        <v>14880961</v>
      </c>
    </row>
    <row r="252" spans="1:6" ht="12.5" x14ac:dyDescent="0.25">
      <c r="A252" s="3">
        <f ca="1">IFERROR(__xludf.DUMMYFUNCTION("""COMPUTED_VALUE"""),45293.6666666666)</f>
        <v>45293.666666666599</v>
      </c>
      <c r="B252" s="2">
        <f ca="1">IFERROR(__xludf.DUMMYFUNCTION("""COMPUTED_VALUE"""),139.6)</f>
        <v>139.6</v>
      </c>
      <c r="C252" s="2">
        <f ca="1">IFERROR(__xludf.DUMMYFUNCTION("""COMPUTED_VALUE"""),140.61)</f>
        <v>140.61000000000001</v>
      </c>
      <c r="D252" s="2">
        <f ca="1">IFERROR(__xludf.DUMMYFUNCTION("""COMPUTED_VALUE"""),137.74)</f>
        <v>137.74</v>
      </c>
      <c r="E252" s="2">
        <f ca="1">IFERROR(__xludf.DUMMYFUNCTION("""COMPUTED_VALUE"""),139.56)</f>
        <v>139.56</v>
      </c>
      <c r="F252" s="2">
        <f ca="1">IFERROR(__xludf.DUMMYFUNCTION("""COMPUTED_VALUE"""),20071885)</f>
        <v>20071885</v>
      </c>
    </row>
    <row r="253" spans="1:6" ht="12.5" x14ac:dyDescent="0.25">
      <c r="A253" s="3">
        <f ca="1">IFERROR(__xludf.DUMMYFUNCTION("""COMPUTED_VALUE"""),45294.6666666666)</f>
        <v>45294.666666666599</v>
      </c>
      <c r="B253" s="2">
        <f ca="1">IFERROR(__xludf.DUMMYFUNCTION("""COMPUTED_VALUE"""),138.6)</f>
        <v>138.6</v>
      </c>
      <c r="C253" s="2">
        <f ca="1">IFERROR(__xludf.DUMMYFUNCTION("""COMPUTED_VALUE"""),141.09)</f>
        <v>141.09</v>
      </c>
      <c r="D253" s="2">
        <f ca="1">IFERROR(__xludf.DUMMYFUNCTION("""COMPUTED_VALUE"""),138.43)</f>
        <v>138.43</v>
      </c>
      <c r="E253" s="2">
        <f ca="1">IFERROR(__xludf.DUMMYFUNCTION("""COMPUTED_VALUE"""),140.36)</f>
        <v>140.36000000000001</v>
      </c>
      <c r="F253" s="2">
        <f ca="1">IFERROR(__xludf.DUMMYFUNCTION("""COMPUTED_VALUE"""),18974308)</f>
        <v>18974308</v>
      </c>
    </row>
    <row r="254" spans="1:6" ht="12.5" x14ac:dyDescent="0.25">
      <c r="A254" s="3">
        <f ca="1">IFERROR(__xludf.DUMMYFUNCTION("""COMPUTED_VALUE"""),45295.6666666666)</f>
        <v>45295.666666666599</v>
      </c>
      <c r="B254" s="2">
        <f ca="1">IFERROR(__xludf.DUMMYFUNCTION("""COMPUTED_VALUE"""),139.85)</f>
        <v>139.85</v>
      </c>
      <c r="C254" s="2">
        <f ca="1">IFERROR(__xludf.DUMMYFUNCTION("""COMPUTED_VALUE"""),140.64)</f>
        <v>140.63999999999999</v>
      </c>
      <c r="D254" s="2">
        <f ca="1">IFERROR(__xludf.DUMMYFUNCTION("""COMPUTED_VALUE"""),138.01)</f>
        <v>138.01</v>
      </c>
      <c r="E254" s="2">
        <f ca="1">IFERROR(__xludf.DUMMYFUNCTION("""COMPUTED_VALUE"""),138.04)</f>
        <v>138.04</v>
      </c>
      <c r="F254" s="2">
        <f ca="1">IFERROR(__xludf.DUMMYFUNCTION("""COMPUTED_VALUE"""),18253331)</f>
        <v>18253331</v>
      </c>
    </row>
    <row r="255" spans="1:6" ht="12.5" x14ac:dyDescent="0.25">
      <c r="A255" s="3">
        <f ca="1">IFERROR(__xludf.DUMMYFUNCTION("""COMPUTED_VALUE"""),45296.6666666666)</f>
        <v>45296.666666666599</v>
      </c>
      <c r="B255" s="2">
        <f ca="1">IFERROR(__xludf.DUMMYFUNCTION("""COMPUTED_VALUE"""),138.35)</f>
        <v>138.35</v>
      </c>
      <c r="C255" s="2">
        <f ca="1">IFERROR(__xludf.DUMMYFUNCTION("""COMPUTED_VALUE"""),138.81)</f>
        <v>138.81</v>
      </c>
      <c r="D255" s="2">
        <f ca="1">IFERROR(__xludf.DUMMYFUNCTION("""COMPUTED_VALUE"""),136.85)</f>
        <v>136.85</v>
      </c>
      <c r="E255" s="2">
        <f ca="1">IFERROR(__xludf.DUMMYFUNCTION("""COMPUTED_VALUE"""),137.39)</f>
        <v>137.38999999999999</v>
      </c>
      <c r="F255" s="2">
        <f ca="1">IFERROR(__xludf.DUMMYFUNCTION("""COMPUTED_VALUE"""),15439475)</f>
        <v>15439475</v>
      </c>
    </row>
    <row r="256" spans="1:6" ht="12.5" x14ac:dyDescent="0.25">
      <c r="A256" s="3">
        <f ca="1">IFERROR(__xludf.DUMMYFUNCTION("""COMPUTED_VALUE"""),45299.6666666666)</f>
        <v>45299.666666666599</v>
      </c>
      <c r="B256" s="2">
        <f ca="1">IFERROR(__xludf.DUMMYFUNCTION("""COMPUTED_VALUE"""),138)</f>
        <v>138</v>
      </c>
      <c r="C256" s="2">
        <f ca="1">IFERROR(__xludf.DUMMYFUNCTION("""COMPUTED_VALUE"""),140.64)</f>
        <v>140.63999999999999</v>
      </c>
      <c r="D256" s="2">
        <f ca="1">IFERROR(__xludf.DUMMYFUNCTION("""COMPUTED_VALUE"""),137.88)</f>
        <v>137.88</v>
      </c>
      <c r="E256" s="2">
        <f ca="1">IFERROR(__xludf.DUMMYFUNCTION("""COMPUTED_VALUE"""),140.53)</f>
        <v>140.53</v>
      </c>
      <c r="F256" s="2">
        <f ca="1">IFERROR(__xludf.DUMMYFUNCTION("""COMPUTED_VALUE"""),17645293)</f>
        <v>17645293</v>
      </c>
    </row>
    <row r="257" spans="1:6" ht="12.5" x14ac:dyDescent="0.25">
      <c r="A257" s="3">
        <f ca="1">IFERROR(__xludf.DUMMYFUNCTION("""COMPUTED_VALUE"""),45300.6666666666)</f>
        <v>45300.666666666599</v>
      </c>
      <c r="B257" s="2">
        <f ca="1">IFERROR(__xludf.DUMMYFUNCTION("""COMPUTED_VALUE"""),140.06)</f>
        <v>140.06</v>
      </c>
      <c r="C257" s="2">
        <f ca="1">IFERROR(__xludf.DUMMYFUNCTION("""COMPUTED_VALUE"""),142.8)</f>
        <v>142.80000000000001</v>
      </c>
      <c r="D257" s="2">
        <f ca="1">IFERROR(__xludf.DUMMYFUNCTION("""COMPUTED_VALUE"""),139.79)</f>
        <v>139.79</v>
      </c>
      <c r="E257" s="2">
        <f ca="1">IFERROR(__xludf.DUMMYFUNCTION("""COMPUTED_VALUE"""),142.56)</f>
        <v>142.56</v>
      </c>
      <c r="F257" s="2">
        <f ca="1">IFERROR(__xludf.DUMMYFUNCTION("""COMPUTED_VALUE"""),19579667)</f>
        <v>19579667</v>
      </c>
    </row>
    <row r="258" spans="1:6" ht="12.5" x14ac:dyDescent="0.25">
      <c r="A258" s="3">
        <f ca="1">IFERROR(__xludf.DUMMYFUNCTION("""COMPUTED_VALUE"""),45301.6666666666)</f>
        <v>45301.666666666599</v>
      </c>
      <c r="B258" s="2">
        <f ca="1">IFERROR(__xludf.DUMMYFUNCTION("""COMPUTED_VALUE"""),142.52)</f>
        <v>142.52000000000001</v>
      </c>
      <c r="C258" s="2">
        <f ca="1">IFERROR(__xludf.DUMMYFUNCTION("""COMPUTED_VALUE"""),144.53)</f>
        <v>144.53</v>
      </c>
      <c r="D258" s="2">
        <f ca="1">IFERROR(__xludf.DUMMYFUNCTION("""COMPUTED_VALUE"""),142.46)</f>
        <v>142.46</v>
      </c>
      <c r="E258" s="2">
        <f ca="1">IFERROR(__xludf.DUMMYFUNCTION("""COMPUTED_VALUE"""),143.8)</f>
        <v>143.80000000000001</v>
      </c>
      <c r="F258" s="2">
        <f ca="1">IFERROR(__xludf.DUMMYFUNCTION("""COMPUTED_VALUE"""),16641881)</f>
        <v>16641881</v>
      </c>
    </row>
    <row r="259" spans="1:6" ht="12.5" x14ac:dyDescent="0.25">
      <c r="A259" s="3">
        <f ca="1">IFERROR(__xludf.DUMMYFUNCTION("""COMPUTED_VALUE"""),45302.6666666666)</f>
        <v>45302.666666666599</v>
      </c>
      <c r="B259" s="2">
        <f ca="1">IFERROR(__xludf.DUMMYFUNCTION("""COMPUTED_VALUE"""),144.9)</f>
        <v>144.9</v>
      </c>
      <c r="C259" s="2">
        <f ca="1">IFERROR(__xludf.DUMMYFUNCTION("""COMPUTED_VALUE"""),146.66)</f>
        <v>146.66</v>
      </c>
      <c r="D259" s="2">
        <f ca="1">IFERROR(__xludf.DUMMYFUNCTION("""COMPUTED_VALUE"""),142.22)</f>
        <v>142.22</v>
      </c>
      <c r="E259" s="2">
        <f ca="1">IFERROR(__xludf.DUMMYFUNCTION("""COMPUTED_VALUE"""),143.67)</f>
        <v>143.66999999999999</v>
      </c>
      <c r="F259" s="2">
        <f ca="1">IFERROR(__xludf.DUMMYFUNCTION("""COMPUTED_VALUE"""),17471130)</f>
        <v>17471130</v>
      </c>
    </row>
    <row r="260" spans="1:6" ht="12.5" x14ac:dyDescent="0.25">
      <c r="A260" s="3">
        <f ca="1">IFERROR(__xludf.DUMMYFUNCTION("""COMPUTED_VALUE"""),45303.6666666666)</f>
        <v>45303.666666666599</v>
      </c>
      <c r="B260" s="2">
        <f ca="1">IFERROR(__xludf.DUMMYFUNCTION("""COMPUTED_VALUE"""),144.34)</f>
        <v>144.34</v>
      </c>
      <c r="C260" s="2">
        <f ca="1">IFERROR(__xludf.DUMMYFUNCTION("""COMPUTED_VALUE"""),144.74)</f>
        <v>144.74</v>
      </c>
      <c r="D260" s="2">
        <f ca="1">IFERROR(__xludf.DUMMYFUNCTION("""COMPUTED_VALUE"""),143.36)</f>
        <v>143.36000000000001</v>
      </c>
      <c r="E260" s="2">
        <f ca="1">IFERROR(__xludf.DUMMYFUNCTION("""COMPUTED_VALUE"""),144.24)</f>
        <v>144.24</v>
      </c>
      <c r="F260" s="2">
        <f ca="1">IFERROR(__xludf.DUMMYFUNCTION("""COMPUTED_VALUE"""),13998729)</f>
        <v>13998729</v>
      </c>
    </row>
    <row r="261" spans="1:6" ht="12.5" x14ac:dyDescent="0.25">
      <c r="A261" s="3">
        <f ca="1">IFERROR(__xludf.DUMMYFUNCTION("""COMPUTED_VALUE"""),45307.6666666666)</f>
        <v>45307.666666666599</v>
      </c>
      <c r="B261" s="2">
        <f ca="1">IFERROR(__xludf.DUMMYFUNCTION("""COMPUTED_VALUE"""),143.43)</f>
        <v>143.43</v>
      </c>
      <c r="C261" s="2">
        <f ca="1">IFERROR(__xludf.DUMMYFUNCTION("""COMPUTED_VALUE"""),145.84)</f>
        <v>145.84</v>
      </c>
      <c r="D261" s="2">
        <f ca="1">IFERROR(__xludf.DUMMYFUNCTION("""COMPUTED_VALUE"""),143.06)</f>
        <v>143.06</v>
      </c>
      <c r="E261" s="2">
        <f ca="1">IFERROR(__xludf.DUMMYFUNCTION("""COMPUTED_VALUE"""),144.08)</f>
        <v>144.08000000000001</v>
      </c>
      <c r="F261" s="2">
        <f ca="1">IFERROR(__xludf.DUMMYFUNCTION("""COMPUTED_VALUE"""),19198939)</f>
        <v>19198939</v>
      </c>
    </row>
    <row r="262" spans="1:6" ht="12.5" x14ac:dyDescent="0.25">
      <c r="A262" s="3">
        <f ca="1">IFERROR(__xludf.DUMMYFUNCTION("""COMPUTED_VALUE"""),45308.6666666666)</f>
        <v>45308.666666666599</v>
      </c>
      <c r="B262" s="2">
        <f ca="1">IFERROR(__xludf.DUMMYFUNCTION("""COMPUTED_VALUE"""),142.91)</f>
        <v>142.91</v>
      </c>
      <c r="C262" s="2">
        <f ca="1">IFERROR(__xludf.DUMMYFUNCTION("""COMPUTED_VALUE"""),143.41)</f>
        <v>143.41</v>
      </c>
      <c r="D262" s="2">
        <f ca="1">IFERROR(__xludf.DUMMYFUNCTION("""COMPUTED_VALUE"""),140.51)</f>
        <v>140.51</v>
      </c>
      <c r="E262" s="2">
        <f ca="1">IFERROR(__xludf.DUMMYFUNCTION("""COMPUTED_VALUE"""),142.89)</f>
        <v>142.88999999999999</v>
      </c>
      <c r="F262" s="2">
        <f ca="1">IFERROR(__xludf.DUMMYFUNCTION("""COMPUTED_VALUE"""),17884548)</f>
        <v>17884548</v>
      </c>
    </row>
    <row r="263" spans="1:6" ht="12.5" x14ac:dyDescent="0.25">
      <c r="A263" s="3">
        <f ca="1">IFERROR(__xludf.DUMMYFUNCTION("""COMPUTED_VALUE"""),45309.6666666666)</f>
        <v>45309.666666666599</v>
      </c>
      <c r="B263" s="2">
        <f ca="1">IFERROR(__xludf.DUMMYFUNCTION("""COMPUTED_VALUE"""),143.44)</f>
        <v>143.44</v>
      </c>
      <c r="C263" s="2">
        <f ca="1">IFERROR(__xludf.DUMMYFUNCTION("""COMPUTED_VALUE"""),145.59)</f>
        <v>145.59</v>
      </c>
      <c r="D263" s="2">
        <f ca="1">IFERROR(__xludf.DUMMYFUNCTION("""COMPUTED_VALUE"""),143.35)</f>
        <v>143.35</v>
      </c>
      <c r="E263" s="2">
        <f ca="1">IFERROR(__xludf.DUMMYFUNCTION("""COMPUTED_VALUE"""),144.99)</f>
        <v>144.99</v>
      </c>
      <c r="F263" s="2">
        <f ca="1">IFERROR(__xludf.DUMMYFUNCTION("""COMPUTED_VALUE"""),18876800)</f>
        <v>18876800</v>
      </c>
    </row>
    <row r="264" spans="1:6" ht="12.5" x14ac:dyDescent="0.25">
      <c r="A264" s="3">
        <f ca="1">IFERROR(__xludf.DUMMYFUNCTION("""COMPUTED_VALUE"""),45310.6666666666)</f>
        <v>45310.666666666599</v>
      </c>
      <c r="B264" s="2">
        <f ca="1">IFERROR(__xludf.DUMMYFUNCTION("""COMPUTED_VALUE"""),146.31)</f>
        <v>146.31</v>
      </c>
      <c r="C264" s="2">
        <f ca="1">IFERROR(__xludf.DUMMYFUNCTION("""COMPUTED_VALUE"""),148.04)</f>
        <v>148.04</v>
      </c>
      <c r="D264" s="2">
        <f ca="1">IFERROR(__xludf.DUMMYFUNCTION("""COMPUTED_VALUE"""),145.8)</f>
        <v>145.80000000000001</v>
      </c>
      <c r="E264" s="2">
        <f ca="1">IFERROR(__xludf.DUMMYFUNCTION("""COMPUTED_VALUE"""),147.97)</f>
        <v>147.97</v>
      </c>
      <c r="F264" s="2">
        <f ca="1">IFERROR(__xludf.DUMMYFUNCTION("""COMPUTED_VALUE"""),27181032)</f>
        <v>27181032</v>
      </c>
    </row>
    <row r="265" spans="1:6" ht="12.5" x14ac:dyDescent="0.25">
      <c r="A265" s="3">
        <f ca="1">IFERROR(__xludf.DUMMYFUNCTION("""COMPUTED_VALUE"""),45313.6666666666)</f>
        <v>45313.666666666599</v>
      </c>
      <c r="B265" s="2">
        <f ca="1">IFERROR(__xludf.DUMMYFUNCTION("""COMPUTED_VALUE"""),148.71)</f>
        <v>148.71</v>
      </c>
      <c r="C265" s="2">
        <f ca="1">IFERROR(__xludf.DUMMYFUNCTION("""COMPUTED_VALUE"""),150.01)</f>
        <v>150.01</v>
      </c>
      <c r="D265" s="2">
        <f ca="1">IFERROR(__xludf.DUMMYFUNCTION("""COMPUTED_VALUE"""),147.58)</f>
        <v>147.58000000000001</v>
      </c>
      <c r="E265" s="2">
        <f ca="1">IFERROR(__xludf.DUMMYFUNCTION("""COMPUTED_VALUE"""),147.71)</f>
        <v>147.71</v>
      </c>
      <c r="F265" s="2">
        <f ca="1">IFERROR(__xludf.DUMMYFUNCTION("""COMPUTED_VALUE"""),21829232)</f>
        <v>21829232</v>
      </c>
    </row>
    <row r="266" spans="1:6" ht="12.5" x14ac:dyDescent="0.25">
      <c r="A266" s="3">
        <f ca="1">IFERROR(__xludf.DUMMYFUNCTION("""COMPUTED_VALUE"""),45314.6666666666)</f>
        <v>45314.666666666599</v>
      </c>
      <c r="B266" s="2">
        <f ca="1">IFERROR(__xludf.DUMMYFUNCTION("""COMPUTED_VALUE"""),147.72)</f>
        <v>147.72</v>
      </c>
      <c r="C266" s="2">
        <f ca="1">IFERROR(__xludf.DUMMYFUNCTION("""COMPUTED_VALUE"""),148.86)</f>
        <v>148.86000000000001</v>
      </c>
      <c r="D266" s="2">
        <f ca="1">IFERROR(__xludf.DUMMYFUNCTION("""COMPUTED_VALUE"""),147.19)</f>
        <v>147.19</v>
      </c>
      <c r="E266" s="2">
        <f ca="1">IFERROR(__xludf.DUMMYFUNCTION("""COMPUTED_VALUE"""),148.68)</f>
        <v>148.68</v>
      </c>
      <c r="F266" s="2">
        <f ca="1">IFERROR(__xludf.DUMMYFUNCTION("""COMPUTED_VALUE"""),14113649)</f>
        <v>14113649</v>
      </c>
    </row>
    <row r="267" spans="1:6" ht="12.5" x14ac:dyDescent="0.25">
      <c r="A267" s="3">
        <f ca="1">IFERROR(__xludf.DUMMYFUNCTION("""COMPUTED_VALUE"""),45315.6666666666)</f>
        <v>45315.666666666599</v>
      </c>
      <c r="B267" s="2">
        <f ca="1">IFERROR(__xludf.DUMMYFUNCTION("""COMPUTED_VALUE"""),150.29)</f>
        <v>150.29</v>
      </c>
      <c r="C267" s="2">
        <f ca="1">IFERROR(__xludf.DUMMYFUNCTION("""COMPUTED_VALUE"""),151.57)</f>
        <v>151.57</v>
      </c>
      <c r="D267" s="2">
        <f ca="1">IFERROR(__xludf.DUMMYFUNCTION("""COMPUTED_VALUE"""),149.84)</f>
        <v>149.84</v>
      </c>
      <c r="E267" s="2">
        <f ca="1">IFERROR(__xludf.DUMMYFUNCTION("""COMPUTED_VALUE"""),150.35)</f>
        <v>150.35</v>
      </c>
      <c r="F267" s="2">
        <f ca="1">IFERROR(__xludf.DUMMYFUNCTION("""COMPUTED_VALUE"""),19245031)</f>
        <v>19245031</v>
      </c>
    </row>
    <row r="268" spans="1:6" ht="12.5" x14ac:dyDescent="0.25">
      <c r="A268" s="3">
        <f ca="1">IFERROR(__xludf.DUMMYFUNCTION("""COMPUTED_VALUE"""),45316.6666666666)</f>
        <v>45316.666666666599</v>
      </c>
      <c r="B268" s="2">
        <f ca="1">IFERROR(__xludf.DUMMYFUNCTION("""COMPUTED_VALUE"""),151.74)</f>
        <v>151.74</v>
      </c>
      <c r="C268" s="2">
        <f ca="1">IFERROR(__xludf.DUMMYFUNCTION("""COMPUTED_VALUE"""),154.76)</f>
        <v>154.76</v>
      </c>
      <c r="D268" s="2">
        <f ca="1">IFERROR(__xludf.DUMMYFUNCTION("""COMPUTED_VALUE"""),151.22)</f>
        <v>151.22</v>
      </c>
      <c r="E268" s="2">
        <f ca="1">IFERROR(__xludf.DUMMYFUNCTION("""COMPUTED_VALUE"""),153.64)</f>
        <v>153.63999999999999</v>
      </c>
      <c r="F268" s="2">
        <f ca="1">IFERROR(__xludf.DUMMYFUNCTION("""COMPUTED_VALUE"""),21495120)</f>
        <v>21495120</v>
      </c>
    </row>
    <row r="269" spans="1:6" ht="12.5" x14ac:dyDescent="0.25">
      <c r="A269" s="3">
        <f ca="1">IFERROR(__xludf.DUMMYFUNCTION("""COMPUTED_VALUE"""),45317.6666666666)</f>
        <v>45317.666666666599</v>
      </c>
      <c r="B269" s="2">
        <f ca="1">IFERROR(__xludf.DUMMYFUNCTION("""COMPUTED_VALUE"""),152.87)</f>
        <v>152.87</v>
      </c>
      <c r="C269" s="2">
        <f ca="1">IFERROR(__xludf.DUMMYFUNCTION("""COMPUTED_VALUE"""),154.11)</f>
        <v>154.11000000000001</v>
      </c>
      <c r="D269" s="2">
        <f ca="1">IFERROR(__xludf.DUMMYFUNCTION("""COMPUTED_VALUE"""),152.8)</f>
        <v>152.80000000000001</v>
      </c>
      <c r="E269" s="2">
        <f ca="1">IFERROR(__xludf.DUMMYFUNCTION("""COMPUTED_VALUE"""),153.79)</f>
        <v>153.79</v>
      </c>
      <c r="F269" s="2">
        <f ca="1">IFERROR(__xludf.DUMMYFUNCTION("""COMPUTED_VALUE"""),19494488)</f>
        <v>19494488</v>
      </c>
    </row>
    <row r="270" spans="1:6" ht="12.5" x14ac:dyDescent="0.25">
      <c r="A270" s="3">
        <f ca="1">IFERROR(__xludf.DUMMYFUNCTION("""COMPUTED_VALUE"""),45320.6666666666)</f>
        <v>45320.666666666599</v>
      </c>
      <c r="B270" s="2">
        <f ca="1">IFERROR(__xludf.DUMMYFUNCTION("""COMPUTED_VALUE"""),153.64)</f>
        <v>153.63999999999999</v>
      </c>
      <c r="C270" s="2">
        <f ca="1">IFERROR(__xludf.DUMMYFUNCTION("""COMPUTED_VALUE"""),155.2)</f>
        <v>155.19999999999999</v>
      </c>
      <c r="D270" s="2">
        <f ca="1">IFERROR(__xludf.DUMMYFUNCTION("""COMPUTED_VALUE"""),152.92)</f>
        <v>152.91999999999999</v>
      </c>
      <c r="E270" s="2">
        <f ca="1">IFERROR(__xludf.DUMMYFUNCTION("""COMPUTED_VALUE"""),154.84)</f>
        <v>154.84</v>
      </c>
      <c r="F270" s="2">
        <f ca="1">IFERROR(__xludf.DUMMYFUNCTION("""COMPUTED_VALUE"""),20909258)</f>
        <v>20909258</v>
      </c>
    </row>
    <row r="271" spans="1:6" ht="12.5" x14ac:dyDescent="0.25">
      <c r="A271" s="3">
        <f ca="1">IFERROR(__xludf.DUMMYFUNCTION("""COMPUTED_VALUE"""),45321.6666666666)</f>
        <v>45321.666666666599</v>
      </c>
      <c r="B271" s="2">
        <f ca="1">IFERROR(__xludf.DUMMYFUNCTION("""COMPUTED_VALUE"""),154.01)</f>
        <v>154.01</v>
      </c>
      <c r="C271" s="2">
        <f ca="1">IFERROR(__xludf.DUMMYFUNCTION("""COMPUTED_VALUE"""),155.04)</f>
        <v>155.04</v>
      </c>
      <c r="D271" s="2">
        <f ca="1">IFERROR(__xludf.DUMMYFUNCTION("""COMPUTED_VALUE"""),152.78)</f>
        <v>152.78</v>
      </c>
      <c r="E271" s="2">
        <f ca="1">IFERROR(__xludf.DUMMYFUNCTION("""COMPUTED_VALUE"""),153.05)</f>
        <v>153.05000000000001</v>
      </c>
      <c r="F271" s="2">
        <f ca="1">IFERROR(__xludf.DUMMYFUNCTION("""COMPUTED_VALUE"""),26578934)</f>
        <v>26578934</v>
      </c>
    </row>
    <row r="272" spans="1:6" ht="12.5" x14ac:dyDescent="0.25">
      <c r="A272" s="3">
        <f ca="1">IFERROR(__xludf.DUMMYFUNCTION("""COMPUTED_VALUE"""),45322.6666666666)</f>
        <v>45322.666666666599</v>
      </c>
      <c r="B272" s="2">
        <f ca="1">IFERROR(__xludf.DUMMYFUNCTION("""COMPUTED_VALUE"""),145.39)</f>
        <v>145.38999999999999</v>
      </c>
      <c r="C272" s="2">
        <f ca="1">IFERROR(__xludf.DUMMYFUNCTION("""COMPUTED_VALUE"""),145.59)</f>
        <v>145.59</v>
      </c>
      <c r="D272" s="2">
        <f ca="1">IFERROR(__xludf.DUMMYFUNCTION("""COMPUTED_VALUE"""),141.55)</f>
        <v>141.55000000000001</v>
      </c>
      <c r="E272" s="2">
        <f ca="1">IFERROR(__xludf.DUMMYFUNCTION("""COMPUTED_VALUE"""),141.8)</f>
        <v>141.80000000000001</v>
      </c>
      <c r="F272" s="2">
        <f ca="1">IFERROR(__xludf.DUMMYFUNCTION("""COMPUTED_VALUE"""),43908584)</f>
        <v>43908584</v>
      </c>
    </row>
    <row r="273" spans="1:6" ht="12.5" x14ac:dyDescent="0.25">
      <c r="A273" s="3">
        <f ca="1">IFERROR(__xludf.DUMMYFUNCTION("""COMPUTED_VALUE"""),45323.6666666666)</f>
        <v>45323.666666666599</v>
      </c>
      <c r="B273" s="2">
        <f ca="1">IFERROR(__xludf.DUMMYFUNCTION("""COMPUTED_VALUE"""),143.69)</f>
        <v>143.69</v>
      </c>
      <c r="C273" s="2">
        <f ca="1">IFERROR(__xludf.DUMMYFUNCTION("""COMPUTED_VALUE"""),144.62)</f>
        <v>144.62</v>
      </c>
      <c r="D273" s="2">
        <f ca="1">IFERROR(__xludf.DUMMYFUNCTION("""COMPUTED_VALUE"""),142.26)</f>
        <v>142.26</v>
      </c>
      <c r="E273" s="2">
        <f ca="1">IFERROR(__xludf.DUMMYFUNCTION("""COMPUTED_VALUE"""),142.71)</f>
        <v>142.71</v>
      </c>
      <c r="F273" s="2">
        <f ca="1">IFERROR(__xludf.DUMMYFUNCTION("""COMPUTED_VALUE"""),25526855)</f>
        <v>25526855</v>
      </c>
    </row>
    <row r="274" spans="1:6" ht="12.5" x14ac:dyDescent="0.25">
      <c r="A274" s="3">
        <f ca="1">IFERROR(__xludf.DUMMYFUNCTION("""COMPUTED_VALUE"""),45324.6666666666)</f>
        <v>45324.666666666599</v>
      </c>
      <c r="B274" s="2">
        <f ca="1">IFERROR(__xludf.DUMMYFUNCTION("""COMPUTED_VALUE"""),140.89)</f>
        <v>140.88999999999999</v>
      </c>
      <c r="C274" s="2">
        <f ca="1">IFERROR(__xludf.DUMMYFUNCTION("""COMPUTED_VALUE"""),143.88)</f>
        <v>143.88</v>
      </c>
      <c r="D274" s="2">
        <f ca="1">IFERROR(__xludf.DUMMYFUNCTION("""COMPUTED_VALUE"""),138.17)</f>
        <v>138.16999999999999</v>
      </c>
      <c r="E274" s="2">
        <f ca="1">IFERROR(__xludf.DUMMYFUNCTION("""COMPUTED_VALUE"""),143.54)</f>
        <v>143.54</v>
      </c>
      <c r="F274" s="2">
        <f ca="1">IFERROR(__xludf.DUMMYFUNCTION("""COMPUTED_VALUE"""),42136127)</f>
        <v>42136127</v>
      </c>
    </row>
    <row r="275" spans="1:6" ht="12.5" x14ac:dyDescent="0.25">
      <c r="A275" s="3">
        <f ca="1">IFERROR(__xludf.DUMMYFUNCTION("""COMPUTED_VALUE"""),45327.6666666666)</f>
        <v>45327.666666666599</v>
      </c>
      <c r="B275" s="2">
        <f ca="1">IFERROR(__xludf.DUMMYFUNCTION("""COMPUTED_VALUE"""),144.04)</f>
        <v>144.04</v>
      </c>
      <c r="C275" s="2">
        <f ca="1">IFERROR(__xludf.DUMMYFUNCTION("""COMPUTED_VALUE"""),146.67)</f>
        <v>146.66999999999999</v>
      </c>
      <c r="D275" s="2">
        <f ca="1">IFERROR(__xludf.DUMMYFUNCTION("""COMPUTED_VALUE"""),143.91)</f>
        <v>143.91</v>
      </c>
      <c r="E275" s="2">
        <f ca="1">IFERROR(__xludf.DUMMYFUNCTION("""COMPUTED_VALUE"""),144.93)</f>
        <v>144.93</v>
      </c>
      <c r="F275" s="2">
        <f ca="1">IFERROR(__xludf.DUMMYFUNCTION("""COMPUTED_VALUE"""),29254444)</f>
        <v>29254444</v>
      </c>
    </row>
    <row r="276" spans="1:6" ht="12.5" x14ac:dyDescent="0.25">
      <c r="A276" s="3">
        <f ca="1">IFERROR(__xludf.DUMMYFUNCTION("""COMPUTED_VALUE"""),45328.6666666666)</f>
        <v>45328.666666666599</v>
      </c>
      <c r="B276" s="2">
        <f ca="1">IFERROR(__xludf.DUMMYFUNCTION("""COMPUTED_VALUE"""),145.96)</f>
        <v>145.96</v>
      </c>
      <c r="C276" s="2">
        <f ca="1">IFERROR(__xludf.DUMMYFUNCTION("""COMPUTED_VALUE"""),146.74)</f>
        <v>146.74</v>
      </c>
      <c r="D276" s="2">
        <f ca="1">IFERROR(__xludf.DUMMYFUNCTION("""COMPUTED_VALUE"""),144.52)</f>
        <v>144.52000000000001</v>
      </c>
      <c r="E276" s="2">
        <f ca="1">IFERROR(__xludf.DUMMYFUNCTION("""COMPUTED_VALUE"""),145.41)</f>
        <v>145.41</v>
      </c>
      <c r="F276" s="2">
        <f ca="1">IFERROR(__xludf.DUMMYFUNCTION("""COMPUTED_VALUE"""),21517655)</f>
        <v>21517655</v>
      </c>
    </row>
    <row r="277" spans="1:6" ht="12.5" x14ac:dyDescent="0.25">
      <c r="A277" s="3">
        <f ca="1">IFERROR(__xludf.DUMMYFUNCTION("""COMPUTED_VALUE"""),45329.6666666666)</f>
        <v>45329.666666666599</v>
      </c>
      <c r="B277" s="2">
        <f ca="1">IFERROR(__xludf.DUMMYFUNCTION("""COMPUTED_VALUE"""),146.12)</f>
        <v>146.12</v>
      </c>
      <c r="C277" s="2">
        <f ca="1">IFERROR(__xludf.DUMMYFUNCTION("""COMPUTED_VALUE"""),147)</f>
        <v>147</v>
      </c>
      <c r="D277" s="2">
        <f ca="1">IFERROR(__xludf.DUMMYFUNCTION("""COMPUTED_VALUE"""),145.21)</f>
        <v>145.21</v>
      </c>
      <c r="E277" s="2">
        <f ca="1">IFERROR(__xludf.DUMMYFUNCTION("""COMPUTED_VALUE"""),146.68)</f>
        <v>146.68</v>
      </c>
      <c r="F277" s="2">
        <f ca="1">IFERROR(__xludf.DUMMYFUNCTION("""COMPUTED_VALUE"""),21436126)</f>
        <v>21436126</v>
      </c>
    </row>
    <row r="278" spans="1:6" ht="12.5" x14ac:dyDescent="0.25">
      <c r="A278" s="3">
        <f ca="1">IFERROR(__xludf.DUMMYFUNCTION("""COMPUTED_VALUE"""),45330.6666666666)</f>
        <v>45330.666666666599</v>
      </c>
      <c r="B278" s="2">
        <f ca="1">IFERROR(__xludf.DUMMYFUNCTION("""COMPUTED_VALUE"""),146.97)</f>
        <v>146.97</v>
      </c>
      <c r="C278" s="2">
        <f ca="1">IFERROR(__xludf.DUMMYFUNCTION("""COMPUTED_VALUE"""),147.61)</f>
        <v>147.61000000000001</v>
      </c>
      <c r="D278" s="2">
        <f ca="1">IFERROR(__xludf.DUMMYFUNCTION("""COMPUTED_VALUE"""),146.42)</f>
        <v>146.41999999999999</v>
      </c>
      <c r="E278" s="2">
        <f ca="1">IFERROR(__xludf.DUMMYFUNCTION("""COMPUTED_VALUE"""),147.22)</f>
        <v>147.22</v>
      </c>
      <c r="F278" s="2">
        <f ca="1">IFERROR(__xludf.DUMMYFUNCTION("""COMPUTED_VALUE"""),18241319)</f>
        <v>18241319</v>
      </c>
    </row>
    <row r="279" spans="1:6" ht="12.5" x14ac:dyDescent="0.25">
      <c r="A279" s="3">
        <f ca="1">IFERROR(__xludf.DUMMYFUNCTION("""COMPUTED_VALUE"""),45331.6666666666)</f>
        <v>45331.666666666599</v>
      </c>
      <c r="B279" s="2">
        <f ca="1">IFERROR(__xludf.DUMMYFUNCTION("""COMPUTED_VALUE"""),147.95)</f>
        <v>147.94999999999999</v>
      </c>
      <c r="C279" s="2">
        <f ca="1">IFERROR(__xludf.DUMMYFUNCTION("""COMPUTED_VALUE"""),150.7)</f>
        <v>150.69999999999999</v>
      </c>
      <c r="D279" s="2">
        <f ca="1">IFERROR(__xludf.DUMMYFUNCTION("""COMPUTED_VALUE"""),147.43)</f>
        <v>147.43</v>
      </c>
      <c r="E279" s="2">
        <f ca="1">IFERROR(__xludf.DUMMYFUNCTION("""COMPUTED_VALUE"""),150.22)</f>
        <v>150.22</v>
      </c>
      <c r="F279" s="2">
        <f ca="1">IFERROR(__xludf.DUMMYFUNCTION("""COMPUTED_VALUE"""),21877693)</f>
        <v>21877693</v>
      </c>
    </row>
    <row r="280" spans="1:6" ht="12.5" x14ac:dyDescent="0.25">
      <c r="A280" s="3">
        <f ca="1">IFERROR(__xludf.DUMMYFUNCTION("""COMPUTED_VALUE"""),45334.6666666666)</f>
        <v>45334.666666666599</v>
      </c>
      <c r="B280" s="2">
        <f ca="1">IFERROR(__xludf.DUMMYFUNCTION("""COMPUTED_VALUE"""),149.54)</f>
        <v>149.54</v>
      </c>
      <c r="C280" s="2">
        <f ca="1">IFERROR(__xludf.DUMMYFUNCTION("""COMPUTED_VALUE"""),150.59)</f>
        <v>150.59</v>
      </c>
      <c r="D280" s="2">
        <f ca="1">IFERROR(__xludf.DUMMYFUNCTION("""COMPUTED_VALUE"""),148.56)</f>
        <v>148.56</v>
      </c>
      <c r="E280" s="2">
        <f ca="1">IFERROR(__xludf.DUMMYFUNCTION("""COMPUTED_VALUE"""),148.73)</f>
        <v>148.72999999999999</v>
      </c>
      <c r="F280" s="2">
        <f ca="1">IFERROR(__xludf.DUMMYFUNCTION("""COMPUTED_VALUE"""),17236108)</f>
        <v>17236108</v>
      </c>
    </row>
    <row r="281" spans="1:6" ht="12.5" x14ac:dyDescent="0.25">
      <c r="A281" s="3">
        <f ca="1">IFERROR(__xludf.DUMMYFUNCTION("""COMPUTED_VALUE"""),45335.6666666666)</f>
        <v>45335.666666666599</v>
      </c>
      <c r="B281" s="2">
        <f ca="1">IFERROR(__xludf.DUMMYFUNCTION("""COMPUTED_VALUE"""),146.07)</f>
        <v>146.07</v>
      </c>
      <c r="C281" s="2">
        <f ca="1">IFERROR(__xludf.DUMMYFUNCTION("""COMPUTED_VALUE"""),148.04)</f>
        <v>148.04</v>
      </c>
      <c r="D281" s="2">
        <f ca="1">IFERROR(__xludf.DUMMYFUNCTION("""COMPUTED_VALUE"""),145.11)</f>
        <v>145.11000000000001</v>
      </c>
      <c r="E281" s="2">
        <f ca="1">IFERROR(__xludf.DUMMYFUNCTION("""COMPUTED_VALUE"""),146.37)</f>
        <v>146.37</v>
      </c>
      <c r="F281" s="2">
        <f ca="1">IFERROR(__xludf.DUMMYFUNCTION("""COMPUTED_VALUE"""),18138482)</f>
        <v>18138482</v>
      </c>
    </row>
    <row r="282" spans="1:6" ht="12.5" x14ac:dyDescent="0.25">
      <c r="A282" s="3">
        <f ca="1">IFERROR(__xludf.DUMMYFUNCTION("""COMPUTED_VALUE"""),45336.6666666666)</f>
        <v>45336.666666666599</v>
      </c>
      <c r="B282" s="2">
        <f ca="1">IFERROR(__xludf.DUMMYFUNCTION("""COMPUTED_VALUE"""),147.37)</f>
        <v>147.37</v>
      </c>
      <c r="C282" s="2">
        <f ca="1">IFERROR(__xludf.DUMMYFUNCTION("""COMPUTED_VALUE"""),147.83)</f>
        <v>147.83000000000001</v>
      </c>
      <c r="D282" s="2">
        <f ca="1">IFERROR(__xludf.DUMMYFUNCTION("""COMPUTED_VALUE"""),145.56)</f>
        <v>145.56</v>
      </c>
      <c r="E282" s="2">
        <f ca="1">IFERROR(__xludf.DUMMYFUNCTION("""COMPUTED_VALUE"""),147.14)</f>
        <v>147.13999999999999</v>
      </c>
      <c r="F282" s="2">
        <f ca="1">IFERROR(__xludf.DUMMYFUNCTION("""COMPUTED_VALUE"""),16651824)</f>
        <v>16651824</v>
      </c>
    </row>
    <row r="283" spans="1:6" ht="12.5" x14ac:dyDescent="0.25">
      <c r="A283" s="3">
        <f ca="1">IFERROR(__xludf.DUMMYFUNCTION("""COMPUTED_VALUE"""),45337.6666666666)</f>
        <v>45337.666666666599</v>
      </c>
      <c r="B283" s="2">
        <f ca="1">IFERROR(__xludf.DUMMYFUNCTION("""COMPUTED_VALUE"""),144.46)</f>
        <v>144.46</v>
      </c>
      <c r="C283" s="2">
        <f ca="1">IFERROR(__xludf.DUMMYFUNCTION("""COMPUTED_VALUE"""),144.76)</f>
        <v>144.76</v>
      </c>
      <c r="D283" s="2">
        <f ca="1">IFERROR(__xludf.DUMMYFUNCTION("""COMPUTED_VALUE"""),141.88)</f>
        <v>141.88</v>
      </c>
      <c r="E283" s="2">
        <f ca="1">IFERROR(__xludf.DUMMYFUNCTION("""COMPUTED_VALUE"""),143.94)</f>
        <v>143.94</v>
      </c>
      <c r="F283" s="2">
        <f ca="1">IFERROR(__xludf.DUMMYFUNCTION("""COMPUTED_VALUE"""),26724305)</f>
        <v>26724305</v>
      </c>
    </row>
    <row r="284" spans="1:6" ht="12.5" x14ac:dyDescent="0.25">
      <c r="A284" s="3">
        <f ca="1">IFERROR(__xludf.DUMMYFUNCTION("""COMPUTED_VALUE"""),45338.6666666666)</f>
        <v>45338.666666666599</v>
      </c>
      <c r="B284" s="2">
        <f ca="1">IFERROR(__xludf.DUMMYFUNCTION("""COMPUTED_VALUE"""),144.21)</f>
        <v>144.21</v>
      </c>
      <c r="C284" s="2">
        <f ca="1">IFERROR(__xludf.DUMMYFUNCTION("""COMPUTED_VALUE"""),144.48)</f>
        <v>144.47999999999999</v>
      </c>
      <c r="D284" s="2">
        <f ca="1">IFERROR(__xludf.DUMMYFUNCTION("""COMPUTED_VALUE"""),141.52)</f>
        <v>141.52000000000001</v>
      </c>
      <c r="E284" s="2">
        <f ca="1">IFERROR(__xludf.DUMMYFUNCTION("""COMPUTED_VALUE"""),141.76)</f>
        <v>141.76</v>
      </c>
      <c r="F284" s="2">
        <f ca="1">IFERROR(__xludf.DUMMYFUNCTION("""COMPUTED_VALUE"""),21865118)</f>
        <v>21865118</v>
      </c>
    </row>
    <row r="285" spans="1:6" ht="12.5" x14ac:dyDescent="0.25">
      <c r="A285" s="3">
        <f ca="1">IFERROR(__xludf.DUMMYFUNCTION("""COMPUTED_VALUE"""),45342.6666666666)</f>
        <v>45342.666666666599</v>
      </c>
      <c r="B285" s="2">
        <f ca="1">IFERROR(__xludf.DUMMYFUNCTION("""COMPUTED_VALUE"""),140.94)</f>
        <v>140.94</v>
      </c>
      <c r="C285" s="2">
        <f ca="1">IFERROR(__xludf.DUMMYFUNCTION("""COMPUTED_VALUE"""),143.33)</f>
        <v>143.33000000000001</v>
      </c>
      <c r="D285" s="2">
        <f ca="1">IFERROR(__xludf.DUMMYFUNCTION("""COMPUTED_VALUE"""),140.8)</f>
        <v>140.80000000000001</v>
      </c>
      <c r="E285" s="2">
        <f ca="1">IFERROR(__xludf.DUMMYFUNCTION("""COMPUTED_VALUE"""),142.2)</f>
        <v>142.19999999999999</v>
      </c>
      <c r="F285" s="2">
        <f ca="1">IFERROR(__xludf.DUMMYFUNCTION("""COMPUTED_VALUE"""),18625589)</f>
        <v>18625589</v>
      </c>
    </row>
    <row r="286" spans="1:6" ht="12.5" x14ac:dyDescent="0.25">
      <c r="A286" s="3">
        <f ca="1">IFERROR(__xludf.DUMMYFUNCTION("""COMPUTED_VALUE"""),45343.6666666666)</f>
        <v>45343.666666666599</v>
      </c>
      <c r="B286" s="2">
        <f ca="1">IFERROR(__xludf.DUMMYFUNCTION("""COMPUTED_VALUE"""),142.64)</f>
        <v>142.63999999999999</v>
      </c>
      <c r="C286" s="2">
        <f ca="1">IFERROR(__xludf.DUMMYFUNCTION("""COMPUTED_VALUE"""),143.98)</f>
        <v>143.97999999999999</v>
      </c>
      <c r="D286" s="2">
        <f ca="1">IFERROR(__xludf.DUMMYFUNCTION("""COMPUTED_VALUE"""),141.91)</f>
        <v>141.91</v>
      </c>
      <c r="E286" s="2">
        <f ca="1">IFERROR(__xludf.DUMMYFUNCTION("""COMPUTED_VALUE"""),143.84)</f>
        <v>143.84</v>
      </c>
      <c r="F286" s="2">
        <f ca="1">IFERROR(__xludf.DUMMYFUNCTION("""COMPUTED_VALUE"""),16499584)</f>
        <v>16499584</v>
      </c>
    </row>
    <row r="287" spans="1:6" ht="12.5" x14ac:dyDescent="0.25">
      <c r="A287" s="3">
        <f ca="1">IFERROR(__xludf.DUMMYFUNCTION("""COMPUTED_VALUE"""),45344.6666666666)</f>
        <v>45344.666666666599</v>
      </c>
      <c r="B287" s="2">
        <f ca="1">IFERROR(__xludf.DUMMYFUNCTION("""COMPUTED_VALUE"""),146.12)</f>
        <v>146.12</v>
      </c>
      <c r="C287" s="2">
        <f ca="1">IFERROR(__xludf.DUMMYFUNCTION("""COMPUTED_VALUE"""),146.2)</f>
        <v>146.19999999999999</v>
      </c>
      <c r="D287" s="2">
        <f ca="1">IFERROR(__xludf.DUMMYFUNCTION("""COMPUTED_VALUE"""),144.01)</f>
        <v>144.01</v>
      </c>
      <c r="E287" s="2">
        <f ca="1">IFERROR(__xludf.DUMMYFUNCTION("""COMPUTED_VALUE"""),145.32)</f>
        <v>145.32</v>
      </c>
      <c r="F287" s="2">
        <f ca="1">IFERROR(__xludf.DUMMYFUNCTION("""COMPUTED_VALUE"""),23024707)</f>
        <v>23024707</v>
      </c>
    </row>
    <row r="288" spans="1:6" ht="12.5" x14ac:dyDescent="0.25">
      <c r="A288" s="3">
        <f ca="1">IFERROR(__xludf.DUMMYFUNCTION("""COMPUTED_VALUE"""),45345.6666666666)</f>
        <v>45345.666666666599</v>
      </c>
      <c r="B288" s="2">
        <f ca="1">IFERROR(__xludf.DUMMYFUNCTION("""COMPUTED_VALUE"""),144.97)</f>
        <v>144.97</v>
      </c>
      <c r="C288" s="2">
        <f ca="1">IFERROR(__xludf.DUMMYFUNCTION("""COMPUTED_VALUE"""),145.96)</f>
        <v>145.96</v>
      </c>
      <c r="D288" s="2">
        <f ca="1">IFERROR(__xludf.DUMMYFUNCTION("""COMPUTED_VALUE"""),144.79)</f>
        <v>144.79</v>
      </c>
      <c r="E288" s="2">
        <f ca="1">IFERROR(__xludf.DUMMYFUNCTION("""COMPUTED_VALUE"""),145.29)</f>
        <v>145.29</v>
      </c>
      <c r="F288" s="2">
        <f ca="1">IFERROR(__xludf.DUMMYFUNCTION("""COMPUTED_VALUE"""),14519434)</f>
        <v>14519434</v>
      </c>
    </row>
    <row r="289" spans="1:6" ht="12.5" x14ac:dyDescent="0.25">
      <c r="A289" s="3">
        <f ca="1">IFERROR(__xludf.DUMMYFUNCTION("""COMPUTED_VALUE"""),45348.6666666666)</f>
        <v>45348.666666666599</v>
      </c>
      <c r="B289" s="2">
        <f ca="1">IFERROR(__xludf.DUMMYFUNCTION("""COMPUTED_VALUE"""),143.45)</f>
        <v>143.44999999999999</v>
      </c>
      <c r="C289" s="2">
        <f ca="1">IFERROR(__xludf.DUMMYFUNCTION("""COMPUTED_VALUE"""),143.84)</f>
        <v>143.84</v>
      </c>
      <c r="D289" s="2">
        <f ca="1">IFERROR(__xludf.DUMMYFUNCTION("""COMPUTED_VALUE"""),138.74)</f>
        <v>138.74</v>
      </c>
      <c r="E289" s="2">
        <f ca="1">IFERROR(__xludf.DUMMYFUNCTION("""COMPUTED_VALUE"""),138.75)</f>
        <v>138.75</v>
      </c>
      <c r="F289" s="2">
        <f ca="1">IFERROR(__xludf.DUMMYFUNCTION("""COMPUTED_VALUE"""),33513011)</f>
        <v>33513011</v>
      </c>
    </row>
    <row r="290" spans="1:6" ht="12.5" x14ac:dyDescent="0.25">
      <c r="A290" s="3">
        <f ca="1">IFERROR(__xludf.DUMMYFUNCTION("""COMPUTED_VALUE"""),45349.6666666666)</f>
        <v>45349.666666666599</v>
      </c>
      <c r="B290" s="2">
        <f ca="1">IFERROR(__xludf.DUMMYFUNCTION("""COMPUTED_VALUE"""),139.41)</f>
        <v>139.41</v>
      </c>
      <c r="C290" s="2">
        <f ca="1">IFERROR(__xludf.DUMMYFUNCTION("""COMPUTED_VALUE"""),140.49)</f>
        <v>140.49</v>
      </c>
      <c r="D290" s="2">
        <f ca="1">IFERROR(__xludf.DUMMYFUNCTION("""COMPUTED_VALUE"""),138.5)</f>
        <v>138.5</v>
      </c>
      <c r="E290" s="2">
        <f ca="1">IFERROR(__xludf.DUMMYFUNCTION("""COMPUTED_VALUE"""),140.1)</f>
        <v>140.1</v>
      </c>
      <c r="F290" s="2">
        <f ca="1">IFERROR(__xludf.DUMMYFUNCTION("""COMPUTED_VALUE"""),22363981)</f>
        <v>22363981</v>
      </c>
    </row>
    <row r="291" spans="1:6" ht="12.5" x14ac:dyDescent="0.25">
      <c r="A291" s="3">
        <f ca="1">IFERROR(__xludf.DUMMYFUNCTION("""COMPUTED_VALUE"""),45350.6666666666)</f>
        <v>45350.666666666599</v>
      </c>
      <c r="B291" s="2">
        <f ca="1">IFERROR(__xludf.DUMMYFUNCTION("""COMPUTED_VALUE"""),139.1)</f>
        <v>139.1</v>
      </c>
      <c r="C291" s="2">
        <f ca="1">IFERROR(__xludf.DUMMYFUNCTION("""COMPUTED_VALUE"""),139.28)</f>
        <v>139.28</v>
      </c>
      <c r="D291" s="2">
        <f ca="1">IFERROR(__xludf.DUMMYFUNCTION("""COMPUTED_VALUE"""),136.64)</f>
        <v>136.63999999999999</v>
      </c>
      <c r="E291" s="2">
        <f ca="1">IFERROR(__xludf.DUMMYFUNCTION("""COMPUTED_VALUE"""),137.43)</f>
        <v>137.43</v>
      </c>
      <c r="F291" s="2">
        <f ca="1">IFERROR(__xludf.DUMMYFUNCTION("""COMPUTED_VALUE"""),30628702)</f>
        <v>30628702</v>
      </c>
    </row>
    <row r="292" spans="1:6" ht="12.5" x14ac:dyDescent="0.25">
      <c r="A292" s="3">
        <f ca="1">IFERROR(__xludf.DUMMYFUNCTION("""COMPUTED_VALUE"""),45351.6666666666)</f>
        <v>45351.666666666599</v>
      </c>
      <c r="B292" s="2">
        <f ca="1">IFERROR(__xludf.DUMMYFUNCTION("""COMPUTED_VALUE"""),138.35)</f>
        <v>138.35</v>
      </c>
      <c r="C292" s="2">
        <f ca="1">IFERROR(__xludf.DUMMYFUNCTION("""COMPUTED_VALUE"""),139.95)</f>
        <v>139.94999999999999</v>
      </c>
      <c r="D292" s="2">
        <f ca="1">IFERROR(__xludf.DUMMYFUNCTION("""COMPUTED_VALUE"""),137.57)</f>
        <v>137.57</v>
      </c>
      <c r="E292" s="2">
        <f ca="1">IFERROR(__xludf.DUMMYFUNCTION("""COMPUTED_VALUE"""),139.78)</f>
        <v>139.78</v>
      </c>
      <c r="F292" s="2">
        <f ca="1">IFERROR(__xludf.DUMMYFUNCTION("""COMPUTED_VALUE"""),35485006)</f>
        <v>35485006</v>
      </c>
    </row>
    <row r="293" spans="1:6" ht="12.5" x14ac:dyDescent="0.25">
      <c r="A293" s="3">
        <f ca="1">IFERROR(__xludf.DUMMYFUNCTION("""COMPUTED_VALUE"""),45352.6666666666)</f>
        <v>45352.666666666599</v>
      </c>
      <c r="B293" s="2">
        <f ca="1">IFERROR(__xludf.DUMMYFUNCTION("""COMPUTED_VALUE"""),139.61)</f>
        <v>139.61000000000001</v>
      </c>
      <c r="C293" s="2">
        <f ca="1">IFERROR(__xludf.DUMMYFUNCTION("""COMPUTED_VALUE"""),140)</f>
        <v>140</v>
      </c>
      <c r="D293" s="2">
        <f ca="1">IFERROR(__xludf.DUMMYFUNCTION("""COMPUTED_VALUE"""),137.98)</f>
        <v>137.97999999999999</v>
      </c>
      <c r="E293" s="2">
        <f ca="1">IFERROR(__xludf.DUMMYFUNCTION("""COMPUTED_VALUE"""),138.08)</f>
        <v>138.08000000000001</v>
      </c>
      <c r="F293" s="2">
        <f ca="1">IFERROR(__xludf.DUMMYFUNCTION("""COMPUTED_VALUE"""),28551525)</f>
        <v>28551525</v>
      </c>
    </row>
    <row r="294" spans="1:6" ht="12.5" x14ac:dyDescent="0.25">
      <c r="A294" s="3">
        <f ca="1">IFERROR(__xludf.DUMMYFUNCTION("""COMPUTED_VALUE"""),45355.6666666666)</f>
        <v>45355.666666666599</v>
      </c>
      <c r="B294" s="2">
        <f ca="1">IFERROR(__xludf.DUMMYFUNCTION("""COMPUTED_VALUE"""),136.54)</f>
        <v>136.54</v>
      </c>
      <c r="C294" s="2">
        <f ca="1">IFERROR(__xludf.DUMMYFUNCTION("""COMPUTED_VALUE"""),136.63)</f>
        <v>136.63</v>
      </c>
      <c r="D294" s="2">
        <f ca="1">IFERROR(__xludf.DUMMYFUNCTION("""COMPUTED_VALUE"""),132.86)</f>
        <v>132.86000000000001</v>
      </c>
      <c r="E294" s="2">
        <f ca="1">IFERROR(__xludf.DUMMYFUNCTION("""COMPUTED_VALUE"""),134.2)</f>
        <v>134.19999999999999</v>
      </c>
      <c r="F294" s="2">
        <f ca="1">IFERROR(__xludf.DUMMYFUNCTION("""COMPUTED_VALUE"""),43571510)</f>
        <v>43571510</v>
      </c>
    </row>
    <row r="295" spans="1:6" ht="12.5" x14ac:dyDescent="0.25">
      <c r="A295" s="3">
        <f ca="1">IFERROR(__xludf.DUMMYFUNCTION("""COMPUTED_VALUE"""),45356.6666666666)</f>
        <v>45356.666666666599</v>
      </c>
      <c r="B295" s="2">
        <f ca="1">IFERROR(__xludf.DUMMYFUNCTION("""COMPUTED_VALUE"""),132.74)</f>
        <v>132.74</v>
      </c>
      <c r="C295" s="2">
        <f ca="1">IFERROR(__xludf.DUMMYFUNCTION("""COMPUTED_VALUE"""),134.02)</f>
        <v>134.02000000000001</v>
      </c>
      <c r="D295" s="2">
        <f ca="1">IFERROR(__xludf.DUMMYFUNCTION("""COMPUTED_VALUE"""),131.55)</f>
        <v>131.55000000000001</v>
      </c>
      <c r="E295" s="2">
        <f ca="1">IFERROR(__xludf.DUMMYFUNCTION("""COMPUTED_VALUE"""),133.78)</f>
        <v>133.78</v>
      </c>
      <c r="F295" s="2">
        <f ca="1">IFERROR(__xludf.DUMMYFUNCTION("""COMPUTED_VALUE"""),28447550)</f>
        <v>28447550</v>
      </c>
    </row>
    <row r="296" spans="1:6" ht="12.5" x14ac:dyDescent="0.25">
      <c r="A296" s="3">
        <f ca="1">IFERROR(__xludf.DUMMYFUNCTION("""COMPUTED_VALUE"""),45357.6666666666)</f>
        <v>45357.666666666599</v>
      </c>
      <c r="B296" s="2">
        <f ca="1">IFERROR(__xludf.DUMMYFUNCTION("""COMPUTED_VALUE"""),134.24)</f>
        <v>134.24</v>
      </c>
      <c r="C296" s="2">
        <f ca="1">IFERROR(__xludf.DUMMYFUNCTION("""COMPUTED_VALUE"""),134.74)</f>
        <v>134.74</v>
      </c>
      <c r="D296" s="2">
        <f ca="1">IFERROR(__xludf.DUMMYFUNCTION("""COMPUTED_VALUE"""),131.95)</f>
        <v>131.94999999999999</v>
      </c>
      <c r="E296" s="2">
        <f ca="1">IFERROR(__xludf.DUMMYFUNCTION("""COMPUTED_VALUE"""),132.56)</f>
        <v>132.56</v>
      </c>
      <c r="F296" s="2">
        <f ca="1">IFERROR(__xludf.DUMMYFUNCTION("""COMPUTED_VALUE"""),23175200)</f>
        <v>23175200</v>
      </c>
    </row>
    <row r="297" spans="1:6" ht="12.5" x14ac:dyDescent="0.25">
      <c r="A297" s="3">
        <f ca="1">IFERROR(__xludf.DUMMYFUNCTION("""COMPUTED_VALUE"""),45358.6666666666)</f>
        <v>45358.666666666599</v>
      </c>
      <c r="B297" s="2">
        <f ca="1">IFERROR(__xludf.DUMMYFUNCTION("""COMPUTED_VALUE"""),133.89)</f>
        <v>133.88999999999999</v>
      </c>
      <c r="C297" s="2">
        <f ca="1">IFERROR(__xludf.DUMMYFUNCTION("""COMPUTED_VALUE"""),135.82)</f>
        <v>135.82</v>
      </c>
      <c r="D297" s="2">
        <f ca="1">IFERROR(__xludf.DUMMYFUNCTION("""COMPUTED_VALUE"""),132.66)</f>
        <v>132.66</v>
      </c>
      <c r="E297" s="2">
        <f ca="1">IFERROR(__xludf.DUMMYFUNCTION("""COMPUTED_VALUE"""),135.24)</f>
        <v>135.24</v>
      </c>
      <c r="F297" s="2">
        <f ca="1">IFERROR(__xludf.DUMMYFUNCTION("""COMPUTED_VALUE"""),24107282)</f>
        <v>24107282</v>
      </c>
    </row>
    <row r="298" spans="1:6" ht="12.5" x14ac:dyDescent="0.25">
      <c r="A298" s="3">
        <f ca="1">IFERROR(__xludf.DUMMYFUNCTION("""COMPUTED_VALUE"""),45359.6666666666)</f>
        <v>45359.666666666599</v>
      </c>
      <c r="B298" s="2">
        <f ca="1">IFERROR(__xludf.DUMMYFUNCTION("""COMPUTED_VALUE"""),135.04)</f>
        <v>135.04</v>
      </c>
      <c r="C298" s="2">
        <f ca="1">IFERROR(__xludf.DUMMYFUNCTION("""COMPUTED_VALUE"""),138.99)</f>
        <v>138.99</v>
      </c>
      <c r="D298" s="2">
        <f ca="1">IFERROR(__xludf.DUMMYFUNCTION("""COMPUTED_VALUE"""),134.8)</f>
        <v>134.80000000000001</v>
      </c>
      <c r="E298" s="2">
        <f ca="1">IFERROR(__xludf.DUMMYFUNCTION("""COMPUTED_VALUE"""),136.29)</f>
        <v>136.29</v>
      </c>
      <c r="F298" s="2">
        <f ca="1">IFERROR(__xludf.DUMMYFUNCTION("""COMPUTED_VALUE"""),26495160)</f>
        <v>26495160</v>
      </c>
    </row>
    <row r="299" spans="1:6" ht="12.5" x14ac:dyDescent="0.25">
      <c r="A299" s="3">
        <f ca="1">IFERROR(__xludf.DUMMYFUNCTION("""COMPUTED_VALUE"""),45362.6666666666)</f>
        <v>45362.666666666599</v>
      </c>
      <c r="B299" s="2">
        <f ca="1">IFERROR(__xludf.DUMMYFUNCTION("""COMPUTED_VALUE"""),137.07)</f>
        <v>137.07</v>
      </c>
      <c r="C299" s="2">
        <f ca="1">IFERROR(__xludf.DUMMYFUNCTION("""COMPUTED_VALUE"""),139.98)</f>
        <v>139.97999999999999</v>
      </c>
      <c r="D299" s="2">
        <f ca="1">IFERROR(__xludf.DUMMYFUNCTION("""COMPUTED_VALUE"""),137.07)</f>
        <v>137.07</v>
      </c>
      <c r="E299" s="2">
        <f ca="1">IFERROR(__xludf.DUMMYFUNCTION("""COMPUTED_VALUE"""),138.94)</f>
        <v>138.94</v>
      </c>
      <c r="F299" s="2">
        <f ca="1">IFERROR(__xludf.DUMMYFUNCTION("""COMPUTED_VALUE"""),22536365)</f>
        <v>22536365</v>
      </c>
    </row>
    <row r="300" spans="1:6" ht="12.5" x14ac:dyDescent="0.25">
      <c r="A300" s="3">
        <f ca="1">IFERROR(__xludf.DUMMYFUNCTION("""COMPUTED_VALUE"""),45363.6666666666)</f>
        <v>45363.666666666599</v>
      </c>
      <c r="B300" s="2">
        <f ca="1">IFERROR(__xludf.DUMMYFUNCTION("""COMPUTED_VALUE"""),138.25)</f>
        <v>138.25</v>
      </c>
      <c r="C300" s="2">
        <f ca="1">IFERROR(__xludf.DUMMYFUNCTION("""COMPUTED_VALUE"""),140.28)</f>
        <v>140.28</v>
      </c>
      <c r="D300" s="2">
        <f ca="1">IFERROR(__xludf.DUMMYFUNCTION("""COMPUTED_VALUE"""),138.21)</f>
        <v>138.21</v>
      </c>
      <c r="E300" s="2">
        <f ca="1">IFERROR(__xludf.DUMMYFUNCTION("""COMPUTED_VALUE"""),139.62)</f>
        <v>139.62</v>
      </c>
      <c r="F300" s="2">
        <f ca="1">IFERROR(__xludf.DUMMYFUNCTION("""COMPUTED_VALUE"""),19019696)</f>
        <v>19019696</v>
      </c>
    </row>
    <row r="301" spans="1:6" ht="12.5" x14ac:dyDescent="0.25">
      <c r="A301" s="3">
        <f ca="1">IFERROR(__xludf.DUMMYFUNCTION("""COMPUTED_VALUE"""),45364.6666666666)</f>
        <v>45364.666666666599</v>
      </c>
      <c r="B301" s="2">
        <f ca="1">IFERROR(__xludf.DUMMYFUNCTION("""COMPUTED_VALUE"""),140.06)</f>
        <v>140.06</v>
      </c>
      <c r="C301" s="2">
        <f ca="1">IFERROR(__xludf.DUMMYFUNCTION("""COMPUTED_VALUE"""),142.19)</f>
        <v>142.19</v>
      </c>
      <c r="D301" s="2">
        <f ca="1">IFERROR(__xludf.DUMMYFUNCTION("""COMPUTED_VALUE"""),140.01)</f>
        <v>140.01</v>
      </c>
      <c r="E301" s="2">
        <f ca="1">IFERROR(__xludf.DUMMYFUNCTION("""COMPUTED_VALUE"""),140.77)</f>
        <v>140.77000000000001</v>
      </c>
      <c r="F301" s="2">
        <f ca="1">IFERROR(__xludf.DUMMYFUNCTION("""COMPUTED_VALUE"""),19636999)</f>
        <v>19636999</v>
      </c>
    </row>
    <row r="302" spans="1:6" ht="12.5" x14ac:dyDescent="0.25">
      <c r="A302" s="3">
        <f ca="1">IFERROR(__xludf.DUMMYFUNCTION("""COMPUTED_VALUE"""),45365.6666666666)</f>
        <v>45365.666666666599</v>
      </c>
      <c r="B302" s="2">
        <f ca="1">IFERROR(__xludf.DUMMYFUNCTION("""COMPUTED_VALUE"""),142.3)</f>
        <v>142.30000000000001</v>
      </c>
      <c r="C302" s="2">
        <f ca="1">IFERROR(__xludf.DUMMYFUNCTION("""COMPUTED_VALUE"""),144.73)</f>
        <v>144.72999999999999</v>
      </c>
      <c r="D302" s="2">
        <f ca="1">IFERROR(__xludf.DUMMYFUNCTION("""COMPUTED_VALUE"""),141.49)</f>
        <v>141.49</v>
      </c>
      <c r="E302" s="2">
        <f ca="1">IFERROR(__xludf.DUMMYFUNCTION("""COMPUTED_VALUE"""),144.34)</f>
        <v>144.34</v>
      </c>
      <c r="F302" s="2">
        <f ca="1">IFERROR(__xludf.DUMMYFUNCTION("""COMPUTED_VALUE"""),36117913)</f>
        <v>36117913</v>
      </c>
    </row>
    <row r="303" spans="1:6" ht="12.5" x14ac:dyDescent="0.25">
      <c r="A303" s="3">
        <f ca="1">IFERROR(__xludf.DUMMYFUNCTION("""COMPUTED_VALUE"""),45366.6666666666)</f>
        <v>45366.666666666599</v>
      </c>
      <c r="B303" s="2">
        <f ca="1">IFERROR(__xludf.DUMMYFUNCTION("""COMPUTED_VALUE"""),143.41)</f>
        <v>143.41</v>
      </c>
      <c r="C303" s="2">
        <f ca="1">IFERROR(__xludf.DUMMYFUNCTION("""COMPUTED_VALUE"""),144.34)</f>
        <v>144.34</v>
      </c>
      <c r="D303" s="2">
        <f ca="1">IFERROR(__xludf.DUMMYFUNCTION("""COMPUTED_VALUE"""),141.13)</f>
        <v>141.13</v>
      </c>
      <c r="E303" s="2">
        <f ca="1">IFERROR(__xludf.DUMMYFUNCTION("""COMPUTED_VALUE"""),142.17)</f>
        <v>142.16999999999999</v>
      </c>
      <c r="F303" s="2">
        <f ca="1">IFERROR(__xludf.DUMMYFUNCTION("""COMPUTED_VALUE"""),41039494)</f>
        <v>41039494</v>
      </c>
    </row>
    <row r="304" spans="1:6" ht="12.5" x14ac:dyDescent="0.25">
      <c r="A304" s="3">
        <f ca="1">IFERROR(__xludf.DUMMYFUNCTION("""COMPUTED_VALUE"""),45369.6666666666)</f>
        <v>45369.666666666599</v>
      </c>
      <c r="B304" s="2">
        <f ca="1">IFERROR(__xludf.DUMMYFUNCTION("""COMPUTED_VALUE"""),149.37)</f>
        <v>149.37</v>
      </c>
      <c r="C304" s="2">
        <f ca="1">IFERROR(__xludf.DUMMYFUNCTION("""COMPUTED_VALUE"""),152.93)</f>
        <v>152.93</v>
      </c>
      <c r="D304" s="2">
        <f ca="1">IFERROR(__xludf.DUMMYFUNCTION("""COMPUTED_VALUE"""),148.14)</f>
        <v>148.13999999999999</v>
      </c>
      <c r="E304" s="2">
        <f ca="1">IFERROR(__xludf.DUMMYFUNCTION("""COMPUTED_VALUE"""),148.48)</f>
        <v>148.47999999999999</v>
      </c>
      <c r="F304" s="2">
        <f ca="1">IFERROR(__xludf.DUMMYFUNCTION("""COMPUTED_VALUE"""),47676689)</f>
        <v>47676689</v>
      </c>
    </row>
    <row r="305" spans="1:6" ht="12.5" x14ac:dyDescent="0.25">
      <c r="A305" s="3">
        <f ca="1">IFERROR(__xludf.DUMMYFUNCTION("""COMPUTED_VALUE"""),45370.6666666666)</f>
        <v>45370.666666666599</v>
      </c>
      <c r="B305" s="2">
        <f ca="1">IFERROR(__xludf.DUMMYFUNCTION("""COMPUTED_VALUE"""),148.98)</f>
        <v>148.97999999999999</v>
      </c>
      <c r="C305" s="2">
        <f ca="1">IFERROR(__xludf.DUMMYFUNCTION("""COMPUTED_VALUE"""),149.62)</f>
        <v>149.62</v>
      </c>
      <c r="D305" s="2">
        <f ca="1">IFERROR(__xludf.DUMMYFUNCTION("""COMPUTED_VALUE"""),147.01)</f>
        <v>147.01</v>
      </c>
      <c r="E305" s="2">
        <f ca="1">IFERROR(__xludf.DUMMYFUNCTION("""COMPUTED_VALUE"""),147.92)</f>
        <v>147.91999999999999</v>
      </c>
      <c r="F305" s="2">
        <f ca="1">IFERROR(__xludf.DUMMYFUNCTION("""COMPUTED_VALUE"""),17748367)</f>
        <v>17748367</v>
      </c>
    </row>
    <row r="306" spans="1:6" ht="12.5" x14ac:dyDescent="0.25">
      <c r="A306" s="3">
        <f ca="1">IFERROR(__xludf.DUMMYFUNCTION("""COMPUTED_VALUE"""),45371.6666666666)</f>
        <v>45371.666666666599</v>
      </c>
      <c r="B306" s="2">
        <f ca="1">IFERROR(__xludf.DUMMYFUNCTION("""COMPUTED_VALUE"""),148.79)</f>
        <v>148.79</v>
      </c>
      <c r="C306" s="2">
        <f ca="1">IFERROR(__xludf.DUMMYFUNCTION("""COMPUTED_VALUE"""),149.76)</f>
        <v>149.76</v>
      </c>
      <c r="D306" s="2">
        <f ca="1">IFERROR(__xludf.DUMMYFUNCTION("""COMPUTED_VALUE"""),147.67)</f>
        <v>147.66999999999999</v>
      </c>
      <c r="E306" s="2">
        <f ca="1">IFERROR(__xludf.DUMMYFUNCTION("""COMPUTED_VALUE"""),149.68)</f>
        <v>149.68</v>
      </c>
      <c r="F306" s="2">
        <f ca="1">IFERROR(__xludf.DUMMYFUNCTION("""COMPUTED_VALUE"""),17729996)</f>
        <v>17729996</v>
      </c>
    </row>
    <row r="307" spans="1:6" ht="12.5" x14ac:dyDescent="0.25">
      <c r="A307" s="3">
        <f ca="1">IFERROR(__xludf.DUMMYFUNCTION("""COMPUTED_VALUE"""),45372.6666666666)</f>
        <v>45372.666666666599</v>
      </c>
      <c r="B307" s="2">
        <f ca="1">IFERROR(__xludf.DUMMYFUNCTION("""COMPUTED_VALUE"""),150.32)</f>
        <v>150.32</v>
      </c>
      <c r="C307" s="2">
        <f ca="1">IFERROR(__xludf.DUMMYFUNCTION("""COMPUTED_VALUE"""),151.31)</f>
        <v>151.31</v>
      </c>
      <c r="D307" s="2">
        <f ca="1">IFERROR(__xludf.DUMMYFUNCTION("""COMPUTED_VALUE"""),148.01)</f>
        <v>148.01</v>
      </c>
      <c r="E307" s="2">
        <f ca="1">IFERROR(__xludf.DUMMYFUNCTION("""COMPUTED_VALUE"""),148.74)</f>
        <v>148.74</v>
      </c>
      <c r="F307" s="2">
        <f ca="1">IFERROR(__xludf.DUMMYFUNCTION("""COMPUTED_VALUE"""),19843915)</f>
        <v>19843915</v>
      </c>
    </row>
    <row r="308" spans="1:6" ht="12.5" x14ac:dyDescent="0.25">
      <c r="A308" s="3">
        <f ca="1">IFERROR(__xludf.DUMMYFUNCTION("""COMPUTED_VALUE"""),45373.6666666666)</f>
        <v>45373.666666666599</v>
      </c>
      <c r="B308" s="2">
        <f ca="1">IFERROR(__xludf.DUMMYFUNCTION("""COMPUTED_VALUE"""),150.24)</f>
        <v>150.24</v>
      </c>
      <c r="C308" s="2">
        <f ca="1">IFERROR(__xludf.DUMMYFUNCTION("""COMPUTED_VALUE"""),152.56)</f>
        <v>152.56</v>
      </c>
      <c r="D308" s="2">
        <f ca="1">IFERROR(__xludf.DUMMYFUNCTION("""COMPUTED_VALUE"""),150.09)</f>
        <v>150.09</v>
      </c>
      <c r="E308" s="2">
        <f ca="1">IFERROR(__xludf.DUMMYFUNCTION("""COMPUTED_VALUE"""),151.77)</f>
        <v>151.77000000000001</v>
      </c>
      <c r="F308" s="2">
        <f ca="1">IFERROR(__xludf.DUMMYFUNCTION("""COMPUTED_VALUE"""),19252925)</f>
        <v>19252925</v>
      </c>
    </row>
    <row r="309" spans="1:6" ht="12.5" x14ac:dyDescent="0.25">
      <c r="A309" s="3">
        <f ca="1">IFERROR(__xludf.DUMMYFUNCTION("""COMPUTED_VALUE"""),45376.6666666666)</f>
        <v>45376.666666666599</v>
      </c>
      <c r="B309" s="2">
        <f ca="1">IFERROR(__xludf.DUMMYFUNCTION("""COMPUTED_VALUE"""),150.95)</f>
        <v>150.94999999999999</v>
      </c>
      <c r="C309" s="2">
        <f ca="1">IFERROR(__xludf.DUMMYFUNCTION("""COMPUTED_VALUE"""),151.46)</f>
        <v>151.46</v>
      </c>
      <c r="D309" s="2">
        <f ca="1">IFERROR(__xludf.DUMMYFUNCTION("""COMPUTED_VALUE"""),148.8)</f>
        <v>148.80000000000001</v>
      </c>
      <c r="E309" s="2">
        <f ca="1">IFERROR(__xludf.DUMMYFUNCTION("""COMPUTED_VALUE"""),151.15)</f>
        <v>151.15</v>
      </c>
      <c r="F309" s="2">
        <f ca="1">IFERROR(__xludf.DUMMYFUNCTION("""COMPUTED_VALUE"""),15114728)</f>
        <v>15114728</v>
      </c>
    </row>
    <row r="310" spans="1:6" ht="12.5" x14ac:dyDescent="0.25">
      <c r="A310" s="3">
        <f ca="1">IFERROR(__xludf.DUMMYFUNCTION("""COMPUTED_VALUE"""),45377.6666666666)</f>
        <v>45377.666666666599</v>
      </c>
      <c r="B310" s="2">
        <f ca="1">IFERROR(__xludf.DUMMYFUNCTION("""COMPUTED_VALUE"""),151.24)</f>
        <v>151.24</v>
      </c>
      <c r="C310" s="2">
        <f ca="1">IFERROR(__xludf.DUMMYFUNCTION("""COMPUTED_VALUE"""),153.2)</f>
        <v>153.19999999999999</v>
      </c>
      <c r="D310" s="2">
        <f ca="1">IFERROR(__xludf.DUMMYFUNCTION("""COMPUTED_VALUE"""),151.03)</f>
        <v>151.03</v>
      </c>
      <c r="E310" s="2">
        <f ca="1">IFERROR(__xludf.DUMMYFUNCTION("""COMPUTED_VALUE"""),151.7)</f>
        <v>151.69999999999999</v>
      </c>
      <c r="F310" s="2">
        <f ca="1">IFERROR(__xludf.DUMMYFUNCTION("""COMPUTED_VALUE"""),19312694)</f>
        <v>19312694</v>
      </c>
    </row>
    <row r="311" spans="1:6" ht="12.5" x14ac:dyDescent="0.25">
      <c r="A311" s="3">
        <f ca="1">IFERROR(__xludf.DUMMYFUNCTION("""COMPUTED_VALUE"""),45378.6666666666)</f>
        <v>45378.666666666599</v>
      </c>
      <c r="B311" s="2">
        <f ca="1">IFERROR(__xludf.DUMMYFUNCTION("""COMPUTED_VALUE"""),152.15)</f>
        <v>152.15</v>
      </c>
      <c r="C311" s="2">
        <f ca="1">IFERROR(__xludf.DUMMYFUNCTION("""COMPUTED_VALUE"""),152.69)</f>
        <v>152.69</v>
      </c>
      <c r="D311" s="2">
        <f ca="1">IFERROR(__xludf.DUMMYFUNCTION("""COMPUTED_VALUE"""),150.13)</f>
        <v>150.13</v>
      </c>
      <c r="E311" s="2">
        <f ca="1">IFERROR(__xludf.DUMMYFUNCTION("""COMPUTED_VALUE"""),151.94)</f>
        <v>151.94</v>
      </c>
      <c r="F311" s="2">
        <f ca="1">IFERROR(__xludf.DUMMYFUNCTION("""COMPUTED_VALUE"""),16621964)</f>
        <v>16621964</v>
      </c>
    </row>
    <row r="312" spans="1:6" ht="12.5" x14ac:dyDescent="0.25">
      <c r="A312" s="3">
        <f ca="1">IFERROR(__xludf.DUMMYFUNCTION("""COMPUTED_VALUE"""),45379.6666666666)</f>
        <v>45379.666666666599</v>
      </c>
      <c r="B312" s="2">
        <f ca="1">IFERROR(__xludf.DUMMYFUNCTION("""COMPUTED_VALUE"""),152)</f>
        <v>152</v>
      </c>
      <c r="C312" s="2">
        <f ca="1">IFERROR(__xludf.DUMMYFUNCTION("""COMPUTED_VALUE"""),152.67)</f>
        <v>152.66999999999999</v>
      </c>
      <c r="D312" s="2">
        <f ca="1">IFERROR(__xludf.DUMMYFUNCTION("""COMPUTED_VALUE"""),151.33)</f>
        <v>151.33000000000001</v>
      </c>
      <c r="E312" s="2">
        <f ca="1">IFERROR(__xludf.DUMMYFUNCTION("""COMPUTED_VALUE"""),152.26)</f>
        <v>152.26</v>
      </c>
      <c r="F312" s="2">
        <f ca="1">IFERROR(__xludf.DUMMYFUNCTION("""COMPUTED_VALUE"""),21105628)</f>
        <v>21105628</v>
      </c>
    </row>
    <row r="313" spans="1:6" ht="12.5" x14ac:dyDescent="0.25">
      <c r="A313" s="3">
        <f ca="1">IFERROR(__xludf.DUMMYFUNCTION("""COMPUTED_VALUE"""),45383.6666666666)</f>
        <v>45383.666666666599</v>
      </c>
      <c r="B313" s="2">
        <f ca="1">IFERROR(__xludf.DUMMYFUNCTION("""COMPUTED_VALUE"""),151.83)</f>
        <v>151.83000000000001</v>
      </c>
      <c r="C313" s="2">
        <f ca="1">IFERROR(__xludf.DUMMYFUNCTION("""COMPUTED_VALUE"""),157)</f>
        <v>157</v>
      </c>
      <c r="D313" s="2">
        <f ca="1">IFERROR(__xludf.DUMMYFUNCTION("""COMPUTED_VALUE"""),151.65)</f>
        <v>151.65</v>
      </c>
      <c r="E313" s="2">
        <f ca="1">IFERROR(__xludf.DUMMYFUNCTION("""COMPUTED_VALUE"""),156.5)</f>
        <v>156.5</v>
      </c>
      <c r="F313" s="2">
        <f ca="1">IFERROR(__xludf.DUMMYFUNCTION("""COMPUTED_VALUE"""),24469815)</f>
        <v>24469815</v>
      </c>
    </row>
    <row r="314" spans="1:6" ht="12.5" x14ac:dyDescent="0.25">
      <c r="A314" s="3">
        <f ca="1">IFERROR(__xludf.DUMMYFUNCTION("""COMPUTED_VALUE"""),45384.6666666666)</f>
        <v>45384.666666666599</v>
      </c>
      <c r="B314" s="2">
        <f ca="1">IFERROR(__xludf.DUMMYFUNCTION("""COMPUTED_VALUE"""),154.75)</f>
        <v>154.75</v>
      </c>
      <c r="C314" s="2">
        <f ca="1">IFERROR(__xludf.DUMMYFUNCTION("""COMPUTED_VALUE"""),155.99)</f>
        <v>155.99</v>
      </c>
      <c r="D314" s="2">
        <f ca="1">IFERROR(__xludf.DUMMYFUNCTION("""COMPUTED_VALUE"""),153.46)</f>
        <v>153.46</v>
      </c>
      <c r="E314" s="2">
        <f ca="1">IFERROR(__xludf.DUMMYFUNCTION("""COMPUTED_VALUE"""),155.87)</f>
        <v>155.87</v>
      </c>
      <c r="F314" s="2">
        <f ca="1">IFERROR(__xludf.DUMMYFUNCTION("""COMPUTED_VALUE"""),17598064)</f>
        <v>17598064</v>
      </c>
    </row>
    <row r="315" spans="1:6" ht="12.5" x14ac:dyDescent="0.25">
      <c r="A315" s="3">
        <f ca="1">IFERROR(__xludf.DUMMYFUNCTION("""COMPUTED_VALUE"""),45385.6666666666)</f>
        <v>45385.666666666599</v>
      </c>
      <c r="B315" s="2">
        <f ca="1">IFERROR(__xludf.DUMMYFUNCTION("""COMPUTED_VALUE"""),154.92)</f>
        <v>154.91999999999999</v>
      </c>
      <c r="C315" s="2">
        <f ca="1">IFERROR(__xludf.DUMMYFUNCTION("""COMPUTED_VALUE"""),156.55)</f>
        <v>156.55000000000001</v>
      </c>
      <c r="D315" s="2">
        <f ca="1">IFERROR(__xludf.DUMMYFUNCTION("""COMPUTED_VALUE"""),154.13)</f>
        <v>154.13</v>
      </c>
      <c r="E315" s="2">
        <f ca="1">IFERROR(__xludf.DUMMYFUNCTION("""COMPUTED_VALUE"""),156.37)</f>
        <v>156.37</v>
      </c>
      <c r="F315" s="2">
        <f ca="1">IFERROR(__xludf.DUMMYFUNCTION("""COMPUTED_VALUE"""),17266175)</f>
        <v>17266175</v>
      </c>
    </row>
    <row r="316" spans="1:6" ht="12.5" x14ac:dyDescent="0.25">
      <c r="A316" s="3">
        <f ca="1">IFERROR(__xludf.DUMMYFUNCTION("""COMPUTED_VALUE"""),45386.6666666666)</f>
        <v>45386.666666666599</v>
      </c>
      <c r="B316" s="2">
        <f ca="1">IFERROR(__xludf.DUMMYFUNCTION("""COMPUTED_VALUE"""),155.08)</f>
        <v>155.08000000000001</v>
      </c>
      <c r="C316" s="2">
        <f ca="1">IFERROR(__xludf.DUMMYFUNCTION("""COMPUTED_VALUE"""),156.18)</f>
        <v>156.18</v>
      </c>
      <c r="D316" s="2">
        <f ca="1">IFERROR(__xludf.DUMMYFUNCTION("""COMPUTED_VALUE"""),151.88)</f>
        <v>151.88</v>
      </c>
      <c r="E316" s="2">
        <f ca="1">IFERROR(__xludf.DUMMYFUNCTION("""COMPUTED_VALUE"""),151.94)</f>
        <v>151.94</v>
      </c>
      <c r="F316" s="2">
        <f ca="1">IFERROR(__xludf.DUMMYFUNCTION("""COMPUTED_VALUE"""),24184842)</f>
        <v>24184842</v>
      </c>
    </row>
    <row r="317" spans="1:6" ht="12.5" x14ac:dyDescent="0.25">
      <c r="A317" s="3">
        <f ca="1">IFERROR(__xludf.DUMMYFUNCTION("""COMPUTED_VALUE"""),45387.6666666666)</f>
        <v>45387.666666666599</v>
      </c>
      <c r="B317" s="2">
        <f ca="1">IFERROR(__xludf.DUMMYFUNCTION("""COMPUTED_VALUE"""),151.68)</f>
        <v>151.68</v>
      </c>
      <c r="C317" s="2">
        <f ca="1">IFERROR(__xludf.DUMMYFUNCTION("""COMPUTED_VALUE"""),154.84)</f>
        <v>154.84</v>
      </c>
      <c r="D317" s="2">
        <f ca="1">IFERROR(__xludf.DUMMYFUNCTION("""COMPUTED_VALUE"""),151.08)</f>
        <v>151.08000000000001</v>
      </c>
      <c r="E317" s="2">
        <f ca="1">IFERROR(__xludf.DUMMYFUNCTION("""COMPUTED_VALUE"""),153.94)</f>
        <v>153.94</v>
      </c>
      <c r="F317" s="2">
        <f ca="1">IFERROR(__xludf.DUMMYFUNCTION("""COMPUTED_VALUE"""),16297319)</f>
        <v>16297319</v>
      </c>
    </row>
    <row r="318" spans="1:6" ht="12.5" x14ac:dyDescent="0.25">
      <c r="A318" s="3">
        <f ca="1">IFERROR(__xludf.DUMMYFUNCTION("""COMPUTED_VALUE"""),45390.6666666666)</f>
        <v>45390.666666666599</v>
      </c>
      <c r="B318" s="2">
        <f ca="1">IFERROR(__xludf.DUMMYFUNCTION("""COMPUTED_VALUE"""),154.01)</f>
        <v>154.01</v>
      </c>
      <c r="C318" s="2">
        <f ca="1">IFERROR(__xludf.DUMMYFUNCTION("""COMPUTED_VALUE"""),156.66)</f>
        <v>156.66</v>
      </c>
      <c r="D318" s="2">
        <f ca="1">IFERROR(__xludf.DUMMYFUNCTION("""COMPUTED_VALUE"""),153.99)</f>
        <v>153.99</v>
      </c>
      <c r="E318" s="2">
        <f ca="1">IFERROR(__xludf.DUMMYFUNCTION("""COMPUTED_VALUE"""),156.14)</f>
        <v>156.13999999999999</v>
      </c>
      <c r="F318" s="2">
        <f ca="1">IFERROR(__xludf.DUMMYFUNCTION("""COMPUTED_VALUE"""),16641530)</f>
        <v>16641530</v>
      </c>
    </row>
    <row r="319" spans="1:6" ht="12.5" x14ac:dyDescent="0.25">
      <c r="A319" s="3">
        <f ca="1">IFERROR(__xludf.DUMMYFUNCTION("""COMPUTED_VALUE"""),45391.6666666666)</f>
        <v>45391.666666666599</v>
      </c>
      <c r="B319" s="2">
        <f ca="1">IFERROR(__xludf.DUMMYFUNCTION("""COMPUTED_VALUE"""),157.35)</f>
        <v>157.35</v>
      </c>
      <c r="C319" s="2">
        <f ca="1">IFERROR(__xludf.DUMMYFUNCTION("""COMPUTED_VALUE"""),159.89)</f>
        <v>159.88999999999999</v>
      </c>
      <c r="D319" s="2">
        <f ca="1">IFERROR(__xludf.DUMMYFUNCTION("""COMPUTED_VALUE"""),156.64)</f>
        <v>156.63999999999999</v>
      </c>
      <c r="E319" s="2">
        <f ca="1">IFERROR(__xludf.DUMMYFUNCTION("""COMPUTED_VALUE"""),158.14)</f>
        <v>158.13999999999999</v>
      </c>
      <c r="F319" s="2">
        <f ca="1">IFERROR(__xludf.DUMMYFUNCTION("""COMPUTED_VALUE"""),21538140)</f>
        <v>21538140</v>
      </c>
    </row>
    <row r="320" spans="1:6" ht="12.5" x14ac:dyDescent="0.25">
      <c r="A320" s="3">
        <f ca="1">IFERROR(__xludf.DUMMYFUNCTION("""COMPUTED_VALUE"""),45392.6666666666)</f>
        <v>45392.666666666599</v>
      </c>
      <c r="B320" s="2">
        <f ca="1">IFERROR(__xludf.DUMMYFUNCTION("""COMPUTED_VALUE"""),157.88)</f>
        <v>157.88</v>
      </c>
      <c r="C320" s="2">
        <f ca="1">IFERROR(__xludf.DUMMYFUNCTION("""COMPUTED_VALUE"""),158.16)</f>
        <v>158.16</v>
      </c>
      <c r="D320" s="2">
        <f ca="1">IFERROR(__xludf.DUMMYFUNCTION("""COMPUTED_VALUE"""),156.2)</f>
        <v>156.19999999999999</v>
      </c>
      <c r="E320" s="2">
        <f ca="1">IFERROR(__xludf.DUMMYFUNCTION("""COMPUTED_VALUE"""),157.66)</f>
        <v>157.66</v>
      </c>
      <c r="F320" s="2">
        <f ca="1">IFERROR(__xludf.DUMMYFUNCTION("""COMPUTED_VALUE"""),16339174)</f>
        <v>16339174</v>
      </c>
    </row>
    <row r="321" spans="1:6" ht="12.5" x14ac:dyDescent="0.25">
      <c r="A321" s="3">
        <f ca="1">IFERROR(__xludf.DUMMYFUNCTION("""COMPUTED_VALUE"""),45393.6666666666)</f>
        <v>45393.666666666599</v>
      </c>
      <c r="B321" s="2">
        <f ca="1">IFERROR(__xludf.DUMMYFUNCTION("""COMPUTED_VALUE"""),158.34)</f>
        <v>158.34</v>
      </c>
      <c r="C321" s="2">
        <f ca="1">IFERROR(__xludf.DUMMYFUNCTION("""COMPUTED_VALUE"""),161.12)</f>
        <v>161.12</v>
      </c>
      <c r="D321" s="2">
        <f ca="1">IFERROR(__xludf.DUMMYFUNCTION("""COMPUTED_VALUE"""),157.93)</f>
        <v>157.93</v>
      </c>
      <c r="E321" s="2">
        <f ca="1">IFERROR(__xludf.DUMMYFUNCTION("""COMPUTED_VALUE"""),160.79)</f>
        <v>160.79</v>
      </c>
      <c r="F321" s="2">
        <f ca="1">IFERROR(__xludf.DUMMYFUNCTION("""COMPUTED_VALUE"""),17841703)</f>
        <v>17841703</v>
      </c>
    </row>
    <row r="322" spans="1:6" ht="12.5" x14ac:dyDescent="0.25">
      <c r="A322" s="3">
        <f ca="1">IFERROR(__xludf.DUMMYFUNCTION("""COMPUTED_VALUE"""),45394.6666666666)</f>
        <v>45394.666666666599</v>
      </c>
      <c r="B322" s="2">
        <f ca="1">IFERROR(__xludf.DUMMYFUNCTION("""COMPUTED_VALUE"""),159.41)</f>
        <v>159.41</v>
      </c>
      <c r="C322" s="2">
        <f ca="1">IFERROR(__xludf.DUMMYFUNCTION("""COMPUTED_VALUE"""),161.7)</f>
        <v>161.69999999999999</v>
      </c>
      <c r="D322" s="2">
        <f ca="1">IFERROR(__xludf.DUMMYFUNCTION("""COMPUTED_VALUE"""),158.6)</f>
        <v>158.6</v>
      </c>
      <c r="E322" s="2">
        <f ca="1">IFERROR(__xludf.DUMMYFUNCTION("""COMPUTED_VALUE"""),159.19)</f>
        <v>159.19</v>
      </c>
      <c r="F322" s="2">
        <f ca="1">IFERROR(__xludf.DUMMYFUNCTION("""COMPUTED_VALUE"""),16989765)</f>
        <v>16989765</v>
      </c>
    </row>
    <row r="323" spans="1:6" ht="12.5" x14ac:dyDescent="0.25">
      <c r="A323" s="3">
        <f ca="1">IFERROR(__xludf.DUMMYFUNCTION("""COMPUTED_VALUE"""),45397.6666666666)</f>
        <v>45397.666666666599</v>
      </c>
      <c r="B323" s="2">
        <f ca="1">IFERROR(__xludf.DUMMYFUNCTION("""COMPUTED_VALUE"""),160.28)</f>
        <v>160.28</v>
      </c>
      <c r="C323" s="2">
        <f ca="1">IFERROR(__xludf.DUMMYFUNCTION("""COMPUTED_VALUE"""),160.83)</f>
        <v>160.83000000000001</v>
      </c>
      <c r="D323" s="2">
        <f ca="1">IFERROR(__xludf.DUMMYFUNCTION("""COMPUTED_VALUE"""),156.15)</f>
        <v>156.15</v>
      </c>
      <c r="E323" s="2">
        <f ca="1">IFERROR(__xludf.DUMMYFUNCTION("""COMPUTED_VALUE"""),156.33)</f>
        <v>156.33000000000001</v>
      </c>
      <c r="F323" s="2">
        <f ca="1">IFERROR(__xludf.DUMMYFUNCTION("""COMPUTED_VALUE"""),21140948)</f>
        <v>21140948</v>
      </c>
    </row>
    <row r="324" spans="1:6" ht="12.5" x14ac:dyDescent="0.25">
      <c r="A324" s="3">
        <f ca="1">IFERROR(__xludf.DUMMYFUNCTION("""COMPUTED_VALUE"""),45398.6666666666)</f>
        <v>45398.666666666599</v>
      </c>
      <c r="B324" s="2">
        <f ca="1">IFERROR(__xludf.DUMMYFUNCTION("""COMPUTED_VALUE"""),155.64)</f>
        <v>155.63999999999999</v>
      </c>
      <c r="C324" s="2">
        <f ca="1">IFERROR(__xludf.DUMMYFUNCTION("""COMPUTED_VALUE"""),157.23)</f>
        <v>157.22999999999999</v>
      </c>
      <c r="D324" s="2">
        <f ca="1">IFERROR(__xludf.DUMMYFUNCTION("""COMPUTED_VALUE"""),155.05)</f>
        <v>155.05000000000001</v>
      </c>
      <c r="E324" s="2">
        <f ca="1">IFERROR(__xludf.DUMMYFUNCTION("""COMPUTED_VALUE"""),156)</f>
        <v>156</v>
      </c>
      <c r="F324" s="2">
        <f ca="1">IFERROR(__xludf.DUMMYFUNCTION("""COMPUTED_VALUE"""),15413201)</f>
        <v>15413201</v>
      </c>
    </row>
    <row r="325" spans="1:6" ht="12.5" x14ac:dyDescent="0.25">
      <c r="A325" s="3">
        <f ca="1">IFERROR(__xludf.DUMMYFUNCTION("""COMPUTED_VALUE"""),45399.6666666666)</f>
        <v>45399.666666666599</v>
      </c>
      <c r="B325" s="2">
        <f ca="1">IFERROR(__xludf.DUMMYFUNCTION("""COMPUTED_VALUE"""),157.19)</f>
        <v>157.19</v>
      </c>
      <c r="C325" s="2">
        <f ca="1">IFERROR(__xludf.DUMMYFUNCTION("""COMPUTED_VALUE"""),158.68)</f>
        <v>158.68</v>
      </c>
      <c r="D325" s="2">
        <f ca="1">IFERROR(__xludf.DUMMYFUNCTION("""COMPUTED_VALUE"""),156.14)</f>
        <v>156.13999999999999</v>
      </c>
      <c r="E325" s="2">
        <f ca="1">IFERROR(__xludf.DUMMYFUNCTION("""COMPUTED_VALUE"""),156.88)</f>
        <v>156.88</v>
      </c>
      <c r="F325" s="2">
        <f ca="1">IFERROR(__xludf.DUMMYFUNCTION("""COMPUTED_VALUE"""),16237752)</f>
        <v>16237752</v>
      </c>
    </row>
    <row r="326" spans="1:6" ht="12.5" x14ac:dyDescent="0.25">
      <c r="A326" s="3">
        <f ca="1">IFERROR(__xludf.DUMMYFUNCTION("""COMPUTED_VALUE"""),45400.6666666666)</f>
        <v>45400.666666666599</v>
      </c>
      <c r="B326" s="2">
        <f ca="1">IFERROR(__xludf.DUMMYFUNCTION("""COMPUTED_VALUE"""),156.93)</f>
        <v>156.93</v>
      </c>
      <c r="C326" s="2">
        <f ca="1">IFERROR(__xludf.DUMMYFUNCTION("""COMPUTED_VALUE"""),158.49)</f>
        <v>158.49</v>
      </c>
      <c r="D326" s="2">
        <f ca="1">IFERROR(__xludf.DUMMYFUNCTION("""COMPUTED_VALUE"""),156.21)</f>
        <v>156.21</v>
      </c>
      <c r="E326" s="2">
        <f ca="1">IFERROR(__xludf.DUMMYFUNCTION("""COMPUTED_VALUE"""),157.46)</f>
        <v>157.46</v>
      </c>
      <c r="F326" s="2">
        <f ca="1">IFERROR(__xludf.DUMMYFUNCTION("""COMPUTED_VALUE"""),14016065)</f>
        <v>14016065</v>
      </c>
    </row>
    <row r="327" spans="1:6" ht="12.5" x14ac:dyDescent="0.25">
      <c r="A327" s="3">
        <f ca="1">IFERROR(__xludf.DUMMYFUNCTION("""COMPUTED_VALUE"""),45401.6666666666)</f>
        <v>45401.666666666599</v>
      </c>
      <c r="B327" s="2">
        <f ca="1">IFERROR(__xludf.DUMMYFUNCTION("""COMPUTED_VALUE"""),157.75)</f>
        <v>157.75</v>
      </c>
      <c r="C327" s="2">
        <f ca="1">IFERROR(__xludf.DUMMYFUNCTION("""COMPUTED_VALUE"""),157.99)</f>
        <v>157.99</v>
      </c>
      <c r="D327" s="2">
        <f ca="1">IFERROR(__xludf.DUMMYFUNCTION("""COMPUTED_VALUE"""),153.91)</f>
        <v>153.91</v>
      </c>
      <c r="E327" s="2">
        <f ca="1">IFERROR(__xludf.DUMMYFUNCTION("""COMPUTED_VALUE"""),155.72)</f>
        <v>155.72</v>
      </c>
      <c r="F327" s="2">
        <f ca="1">IFERROR(__xludf.DUMMYFUNCTION("""COMPUTED_VALUE"""),21479881)</f>
        <v>21479881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ticker</vt:lpstr>
      <vt:lpstr>AAPL</vt:lpstr>
      <vt:lpstr>AMZN</vt:lpstr>
      <vt:lpstr>SNOW</vt:lpstr>
      <vt:lpstr>TSLA</vt:lpstr>
      <vt:lpstr>META</vt:lpstr>
      <vt:lpstr>MSFT</vt:lpstr>
      <vt:lpstr>GOOG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2024-11-09T17:09:39Z</dcterms:modified>
</cp:coreProperties>
</file>