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0589ef663d01d3/Desktop/Università/Secondo anno/1°sem^J 2°anno/MPRO/Excel Studiati/"/>
    </mc:Choice>
  </mc:AlternateContent>
  <xr:revisionPtr revIDLastSave="1972" documentId="8_{C2588F56-BC40-4C16-A966-6C695FF3FADE}" xr6:coauthVersionLast="47" xr6:coauthVersionMax="47" xr10:uidLastSave="{EE274734-46C4-4C64-BDE8-B3F13DE8CD1F}"/>
  <bookViews>
    <workbookView xWindow="-108" yWindow="-108" windowWidth="23256" windowHeight="13176" activeTab="2" xr2:uid="{FA793C6D-3257-4E5D-B034-D8B135E1EBB3}"/>
  </bookViews>
  <sheets>
    <sheet name="Normale" sheetId="1" r:id="rId1"/>
    <sheet name="Esponenziale" sheetId="3" r:id="rId2"/>
    <sheet name="Weibull" sheetId="4" r:id="rId3"/>
    <sheet name="Test sulla forma per Normale" sheetId="5" r:id="rId4"/>
    <sheet name="Test sulla forma per Exp" sheetId="6" r:id="rId5"/>
    <sheet name="Test sulla forma per Weibul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4" l="1"/>
  <c r="C118" i="7"/>
  <c r="T118" i="7"/>
  <c r="D70" i="7"/>
  <c r="A79" i="7"/>
  <c r="A80" i="7" s="1"/>
  <c r="G70" i="7"/>
  <c r="T52" i="7"/>
  <c r="C51" i="7"/>
  <c r="A14" i="7"/>
  <c r="A15" i="7" s="1"/>
  <c r="A16" i="7" s="1"/>
  <c r="D5" i="7"/>
  <c r="AF3" i="1"/>
  <c r="G70" i="6"/>
  <c r="G5" i="6"/>
  <c r="G5" i="5"/>
  <c r="G70" i="5"/>
  <c r="A81" i="7" l="1"/>
  <c r="A82" i="7" s="1"/>
  <c r="A83" i="7" s="1"/>
  <c r="A84" i="7" s="1"/>
  <c r="A85" i="7"/>
  <c r="A17" i="7"/>
  <c r="G5" i="7"/>
  <c r="N97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79" i="6"/>
  <c r="N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8" i="6"/>
  <c r="N15" i="6"/>
  <c r="N16" i="6"/>
  <c r="N17" i="6"/>
  <c r="N18" i="6"/>
  <c r="N19" i="6"/>
  <c r="N20" i="6"/>
  <c r="N21" i="6"/>
  <c r="N14" i="6"/>
  <c r="N22" i="6"/>
  <c r="N13" i="6"/>
  <c r="B14" i="6"/>
  <c r="B15" i="6"/>
  <c r="B16" i="6"/>
  <c r="B17" i="6"/>
  <c r="B18" i="6"/>
  <c r="B19" i="6"/>
  <c r="B20" i="6"/>
  <c r="B21" i="6"/>
  <c r="B13" i="6"/>
  <c r="T128" i="6"/>
  <c r="C128" i="6"/>
  <c r="A81" i="6"/>
  <c r="A82" i="6" s="1"/>
  <c r="A83" i="6" s="1"/>
  <c r="A84" i="6" s="1"/>
  <c r="A85" i="6" s="1"/>
  <c r="A80" i="6"/>
  <c r="A79" i="6"/>
  <c r="D70" i="6"/>
  <c r="T52" i="6"/>
  <c r="C51" i="6"/>
  <c r="A14" i="6"/>
  <c r="A15" i="6" s="1"/>
  <c r="A16" i="6" s="1"/>
  <c r="D5" i="6"/>
  <c r="T128" i="5"/>
  <c r="C128" i="5"/>
  <c r="A88" i="5"/>
  <c r="A89" i="5" s="1"/>
  <c r="A90" i="5" s="1"/>
  <c r="A91" i="5" s="1"/>
  <c r="A92" i="5" s="1"/>
  <c r="A93" i="5" s="1"/>
  <c r="A94" i="5" s="1"/>
  <c r="A95" i="5" s="1"/>
  <c r="A96" i="5" s="1"/>
  <c r="A97" i="5" s="1"/>
  <c r="D70" i="5"/>
  <c r="A79" i="5"/>
  <c r="T52" i="5"/>
  <c r="C51" i="5"/>
  <c r="A14" i="5"/>
  <c r="A15" i="5" s="1"/>
  <c r="A16" i="5" s="1"/>
  <c r="A17" i="5" s="1"/>
  <c r="A18" i="5" s="1"/>
  <c r="A19" i="5" s="1"/>
  <c r="A20" i="5" s="1"/>
  <c r="A21" i="5" s="1"/>
  <c r="A22" i="5" s="1"/>
  <c r="D5" i="5"/>
  <c r="X3" i="1"/>
  <c r="AI3" i="1"/>
  <c r="S26" i="4"/>
  <c r="E4" i="4"/>
  <c r="E6" i="4" s="1"/>
  <c r="K70" i="7" s="1"/>
  <c r="S4" i="4"/>
  <c r="U3" i="4"/>
  <c r="AC3" i="4" s="1"/>
  <c r="A2" i="4"/>
  <c r="W3" i="3"/>
  <c r="AI15" i="3"/>
  <c r="W17" i="4" l="1"/>
  <c r="M5" i="7"/>
  <c r="K2" i="4"/>
  <c r="A18" i="7"/>
  <c r="A86" i="7"/>
  <c r="A86" i="6"/>
  <c r="A87" i="6" s="1"/>
  <c r="A88" i="6" s="1"/>
  <c r="A89" i="6" s="1"/>
  <c r="A90" i="6" s="1"/>
  <c r="A91" i="6" s="1"/>
  <c r="A92" i="6" s="1"/>
  <c r="A93" i="6" s="1"/>
  <c r="A17" i="6"/>
  <c r="A18" i="6" s="1"/>
  <c r="A80" i="5"/>
  <c r="U4" i="4"/>
  <c r="E10" i="4"/>
  <c r="K72" i="7" s="1"/>
  <c r="B80" i="7" s="1"/>
  <c r="AE13" i="4"/>
  <c r="A3" i="4"/>
  <c r="A4" i="4"/>
  <c r="K4" i="4" s="1"/>
  <c r="A5" i="4"/>
  <c r="K5" i="4" s="1"/>
  <c r="A6" i="4"/>
  <c r="K6" i="4" s="1"/>
  <c r="A7" i="4"/>
  <c r="K7" i="4" s="1"/>
  <c r="A8" i="4"/>
  <c r="K8" i="4" s="1"/>
  <c r="A9" i="4"/>
  <c r="K9" i="4" s="1"/>
  <c r="A10" i="4"/>
  <c r="K10" i="4" s="1"/>
  <c r="A11" i="4"/>
  <c r="K11" i="4" s="1"/>
  <c r="A12" i="4"/>
  <c r="K12" i="4" s="1"/>
  <c r="A13" i="4"/>
  <c r="K13" i="4" s="1"/>
  <c r="A14" i="4"/>
  <c r="K14" i="4" s="1"/>
  <c r="A15" i="4"/>
  <c r="K15" i="4" s="1"/>
  <c r="A16" i="4"/>
  <c r="K16" i="4" s="1"/>
  <c r="A17" i="4"/>
  <c r="K17" i="4" s="1"/>
  <c r="A18" i="4"/>
  <c r="K18" i="4" s="1"/>
  <c r="A19" i="4"/>
  <c r="K19" i="4" s="1"/>
  <c r="A20" i="4"/>
  <c r="K20" i="4" s="1"/>
  <c r="A21" i="4"/>
  <c r="K21" i="4" s="1"/>
  <c r="A22" i="4"/>
  <c r="K22" i="4" s="1"/>
  <c r="A23" i="4"/>
  <c r="K23" i="4" s="1"/>
  <c r="A24" i="4"/>
  <c r="K24" i="4" s="1"/>
  <c r="A25" i="4"/>
  <c r="K25" i="4" s="1"/>
  <c r="A26" i="4"/>
  <c r="K26" i="4" s="1"/>
  <c r="A27" i="4"/>
  <c r="K27" i="4" s="1"/>
  <c r="A28" i="4"/>
  <c r="K28" i="4" s="1"/>
  <c r="A29" i="4"/>
  <c r="K29" i="4" s="1"/>
  <c r="A30" i="4"/>
  <c r="K30" i="4" s="1"/>
  <c r="A31" i="4"/>
  <c r="K31" i="4" s="1"/>
  <c r="A32" i="4"/>
  <c r="K32" i="4" s="1"/>
  <c r="A33" i="4"/>
  <c r="K33" i="4" s="1"/>
  <c r="A34" i="4"/>
  <c r="K34" i="4" s="1"/>
  <c r="A35" i="4"/>
  <c r="K35" i="4" s="1"/>
  <c r="A36" i="4"/>
  <c r="K36" i="4" s="1"/>
  <c r="A37" i="4"/>
  <c r="K37" i="4" s="1"/>
  <c r="A38" i="4"/>
  <c r="K38" i="4" s="1"/>
  <c r="A39" i="4"/>
  <c r="K39" i="4" s="1"/>
  <c r="A40" i="4"/>
  <c r="K40" i="4" s="1"/>
  <c r="A41" i="4"/>
  <c r="K41" i="4" s="1"/>
  <c r="A42" i="4"/>
  <c r="K42" i="4" s="1"/>
  <c r="A43" i="4"/>
  <c r="K43" i="4" s="1"/>
  <c r="A44" i="4"/>
  <c r="K44" i="4" s="1"/>
  <c r="A45" i="4"/>
  <c r="K45" i="4" s="1"/>
  <c r="A46" i="4"/>
  <c r="K46" i="4" s="1"/>
  <c r="A47" i="4"/>
  <c r="K47" i="4" s="1"/>
  <c r="A48" i="4"/>
  <c r="K48" i="4" s="1"/>
  <c r="A49" i="4"/>
  <c r="K49" i="4" s="1"/>
  <c r="A50" i="4"/>
  <c r="A51" i="4"/>
  <c r="K51" i="4" s="1"/>
  <c r="A52" i="4"/>
  <c r="K52" i="4" s="1"/>
  <c r="A53" i="4"/>
  <c r="K53" i="4" s="1"/>
  <c r="A54" i="4"/>
  <c r="K54" i="4" s="1"/>
  <c r="A55" i="4"/>
  <c r="K55" i="4" s="1"/>
  <c r="A56" i="4"/>
  <c r="K56" i="4" s="1"/>
  <c r="A57" i="4"/>
  <c r="K57" i="4" s="1"/>
  <c r="A58" i="4"/>
  <c r="K58" i="4" s="1"/>
  <c r="A59" i="4"/>
  <c r="K59" i="4" s="1"/>
  <c r="A60" i="4"/>
  <c r="K60" i="4" s="1"/>
  <c r="A61" i="4"/>
  <c r="K61" i="4" s="1"/>
  <c r="A62" i="4"/>
  <c r="K62" i="4" s="1"/>
  <c r="A63" i="4"/>
  <c r="K63" i="4" s="1"/>
  <c r="A64" i="4"/>
  <c r="K64" i="4" s="1"/>
  <c r="A65" i="4"/>
  <c r="K65" i="4" s="1"/>
  <c r="A66" i="4"/>
  <c r="K66" i="4" s="1"/>
  <c r="A67" i="4"/>
  <c r="K67" i="4" s="1"/>
  <c r="A68" i="4"/>
  <c r="K68" i="4" s="1"/>
  <c r="A69" i="4"/>
  <c r="K69" i="4" s="1"/>
  <c r="A70" i="4"/>
  <c r="K70" i="4" s="1"/>
  <c r="A71" i="4"/>
  <c r="K71" i="4" s="1"/>
  <c r="A72" i="4"/>
  <c r="K72" i="4" s="1"/>
  <c r="A73" i="4"/>
  <c r="K73" i="4" s="1"/>
  <c r="A74" i="4"/>
  <c r="K74" i="4" s="1"/>
  <c r="A75" i="4"/>
  <c r="K75" i="4" s="1"/>
  <c r="A76" i="4"/>
  <c r="K76" i="4" s="1"/>
  <c r="A77" i="4"/>
  <c r="K77" i="4" s="1"/>
  <c r="A78" i="4"/>
  <c r="K78" i="4" s="1"/>
  <c r="A79" i="4"/>
  <c r="K79" i="4" s="1"/>
  <c r="A80" i="4"/>
  <c r="K80" i="4" s="1"/>
  <c r="A81" i="4"/>
  <c r="K81" i="4" s="1"/>
  <c r="A82" i="4"/>
  <c r="K82" i="4" s="1"/>
  <c r="A83" i="4"/>
  <c r="K83" i="4" s="1"/>
  <c r="A84" i="4"/>
  <c r="K84" i="4" s="1"/>
  <c r="A85" i="4"/>
  <c r="K85" i="4" s="1"/>
  <c r="A86" i="4"/>
  <c r="K86" i="4" s="1"/>
  <c r="A87" i="4"/>
  <c r="K87" i="4" s="1"/>
  <c r="A88" i="4"/>
  <c r="K88" i="4" s="1"/>
  <c r="A89" i="4"/>
  <c r="K89" i="4" s="1"/>
  <c r="A90" i="4"/>
  <c r="K90" i="4" s="1"/>
  <c r="A91" i="4"/>
  <c r="K91" i="4" s="1"/>
  <c r="A92" i="4"/>
  <c r="K92" i="4" s="1"/>
  <c r="A93" i="4"/>
  <c r="K93" i="4" s="1"/>
  <c r="A94" i="4"/>
  <c r="K94" i="4" s="1"/>
  <c r="A95" i="4"/>
  <c r="K95" i="4" s="1"/>
  <c r="A96" i="4"/>
  <c r="K96" i="4" s="1"/>
  <c r="A97" i="4"/>
  <c r="K97" i="4" s="1"/>
  <c r="A98" i="4"/>
  <c r="K98" i="4" s="1"/>
  <c r="A99" i="4"/>
  <c r="K99" i="4" s="1"/>
  <c r="A100" i="4"/>
  <c r="K100" i="4" s="1"/>
  <c r="A101" i="4"/>
  <c r="K101" i="4" s="1"/>
  <c r="P7" i="4" l="1"/>
  <c r="K50" i="4"/>
  <c r="B82" i="7"/>
  <c r="B83" i="7"/>
  <c r="F83" i="7" s="1"/>
  <c r="B81" i="7"/>
  <c r="N81" i="7" s="1"/>
  <c r="B86" i="7"/>
  <c r="B79" i="7"/>
  <c r="N80" i="7" s="1"/>
  <c r="B78" i="7"/>
  <c r="B85" i="7"/>
  <c r="B84" i="7"/>
  <c r="F80" i="7"/>
  <c r="B14" i="7"/>
  <c r="B13" i="7"/>
  <c r="N13" i="7" s="1"/>
  <c r="B18" i="7"/>
  <c r="F18" i="7" s="1"/>
  <c r="B15" i="7"/>
  <c r="B17" i="7"/>
  <c r="F17" i="7" s="1"/>
  <c r="B16" i="7"/>
  <c r="F16" i="7" s="1"/>
  <c r="B19" i="7"/>
  <c r="F19" i="7" s="1"/>
  <c r="A87" i="7"/>
  <c r="A19" i="7"/>
  <c r="A19" i="6"/>
  <c r="A94" i="6"/>
  <c r="A81" i="5"/>
  <c r="K3" i="4"/>
  <c r="V31" i="4"/>
  <c r="V32" i="4"/>
  <c r="P1" i="4"/>
  <c r="U26" i="4" l="1"/>
  <c r="F81" i="7"/>
  <c r="N82" i="7"/>
  <c r="F85" i="7"/>
  <c r="N85" i="7"/>
  <c r="F78" i="7"/>
  <c r="N78" i="7"/>
  <c r="F79" i="7"/>
  <c r="N79" i="7"/>
  <c r="F84" i="7"/>
  <c r="N84" i="7"/>
  <c r="F86" i="7"/>
  <c r="N87" i="7"/>
  <c r="N86" i="7"/>
  <c r="F82" i="7"/>
  <c r="N83" i="7"/>
  <c r="N17" i="7"/>
  <c r="N16" i="7"/>
  <c r="F13" i="7"/>
  <c r="J13" i="7" s="1"/>
  <c r="N14" i="7"/>
  <c r="F87" i="7"/>
  <c r="T73" i="7"/>
  <c r="T7" i="7"/>
  <c r="T72" i="7"/>
  <c r="T8" i="7"/>
  <c r="F15" i="7"/>
  <c r="N18" i="7"/>
  <c r="N19" i="7"/>
  <c r="F14" i="7"/>
  <c r="N15" i="7"/>
  <c r="F22" i="7"/>
  <c r="A20" i="7"/>
  <c r="B20" i="7" s="1"/>
  <c r="A95" i="6"/>
  <c r="A20" i="6"/>
  <c r="A82" i="5"/>
  <c r="V34" i="4"/>
  <c r="X31" i="4" s="1"/>
  <c r="AG53" i="4" s="1"/>
  <c r="G2" i="4"/>
  <c r="H2" i="4" s="1"/>
  <c r="G67" i="4"/>
  <c r="H67" i="4" s="1"/>
  <c r="G61" i="4"/>
  <c r="H61" i="4" s="1"/>
  <c r="G50" i="4"/>
  <c r="H50" i="4" s="1"/>
  <c r="G98" i="4"/>
  <c r="H98" i="4" s="1"/>
  <c r="G44" i="4"/>
  <c r="H44" i="4" s="1"/>
  <c r="G81" i="4"/>
  <c r="H81" i="4" s="1"/>
  <c r="G23" i="4"/>
  <c r="H23" i="4" s="1"/>
  <c r="G5" i="4"/>
  <c r="H5" i="4" s="1"/>
  <c r="G53" i="4"/>
  <c r="H53" i="4" s="1"/>
  <c r="G25" i="4"/>
  <c r="H25" i="4" s="1"/>
  <c r="G33" i="4"/>
  <c r="H33" i="4" s="1"/>
  <c r="G86" i="4"/>
  <c r="H86" i="4" s="1"/>
  <c r="G15" i="4"/>
  <c r="H15" i="4" s="1"/>
  <c r="G49" i="4"/>
  <c r="H49" i="4" s="1"/>
  <c r="G3" i="4"/>
  <c r="H3" i="4" s="1"/>
  <c r="G8" i="4"/>
  <c r="H8" i="4" s="1"/>
  <c r="G39" i="4"/>
  <c r="H39" i="4" s="1"/>
  <c r="G47" i="4"/>
  <c r="H47" i="4" s="1"/>
  <c r="G36" i="4"/>
  <c r="H36" i="4" s="1"/>
  <c r="G93" i="4"/>
  <c r="H93" i="4" s="1"/>
  <c r="G76" i="4"/>
  <c r="H76" i="4" s="1"/>
  <c r="G22" i="4"/>
  <c r="H22" i="4" s="1"/>
  <c r="G46" i="4"/>
  <c r="H46" i="4" s="1"/>
  <c r="G34" i="4"/>
  <c r="H34" i="4" s="1"/>
  <c r="G11" i="4"/>
  <c r="H11" i="4" s="1"/>
  <c r="G32" i="4"/>
  <c r="H32" i="4" s="1"/>
  <c r="G73" i="4"/>
  <c r="H73" i="4" s="1"/>
  <c r="G71" i="4"/>
  <c r="H71" i="4" s="1"/>
  <c r="G28" i="4"/>
  <c r="H28" i="4" s="1"/>
  <c r="G75" i="4"/>
  <c r="H75" i="4" s="1"/>
  <c r="G68" i="4"/>
  <c r="H68" i="4" s="1"/>
  <c r="G69" i="4"/>
  <c r="H69" i="4" s="1"/>
  <c r="G41" i="4"/>
  <c r="H41" i="4" s="1"/>
  <c r="G42" i="4"/>
  <c r="H42" i="4" s="1"/>
  <c r="G59" i="4"/>
  <c r="H59" i="4" s="1"/>
  <c r="G64" i="4"/>
  <c r="H64" i="4" s="1"/>
  <c r="G97" i="4"/>
  <c r="H97" i="4" s="1"/>
  <c r="G6" i="4"/>
  <c r="H6" i="4" s="1"/>
  <c r="G19" i="4"/>
  <c r="H19" i="4" s="1"/>
  <c r="G88" i="4"/>
  <c r="H88" i="4" s="1"/>
  <c r="G77" i="4"/>
  <c r="H77" i="4" s="1"/>
  <c r="G91" i="4"/>
  <c r="H91" i="4" s="1"/>
  <c r="G87" i="4"/>
  <c r="H87" i="4" s="1"/>
  <c r="G101" i="4"/>
  <c r="H101" i="4" s="1"/>
  <c r="G24" i="4"/>
  <c r="H24" i="4" s="1"/>
  <c r="G10" i="4"/>
  <c r="H10" i="4" s="1"/>
  <c r="G74" i="4"/>
  <c r="H74" i="4" s="1"/>
  <c r="G62" i="4"/>
  <c r="H62" i="4" s="1"/>
  <c r="G35" i="4"/>
  <c r="H35" i="4" s="1"/>
  <c r="G99" i="4"/>
  <c r="H99" i="4" s="1"/>
  <c r="G31" i="4"/>
  <c r="H31" i="4" s="1"/>
  <c r="G4" i="4"/>
  <c r="H4" i="4" s="1"/>
  <c r="G85" i="4"/>
  <c r="H85" i="4" s="1"/>
  <c r="G16" i="4"/>
  <c r="H16" i="4" s="1"/>
  <c r="G29" i="4"/>
  <c r="H29" i="4" s="1"/>
  <c r="G30" i="4"/>
  <c r="H30" i="4" s="1"/>
  <c r="G56" i="4"/>
  <c r="H56" i="4" s="1"/>
  <c r="G58" i="4"/>
  <c r="H58" i="4" s="1"/>
  <c r="G100" i="4"/>
  <c r="H100" i="4" s="1"/>
  <c r="G83" i="4"/>
  <c r="H83" i="4" s="1"/>
  <c r="G78" i="4"/>
  <c r="H78" i="4" s="1"/>
  <c r="G52" i="4"/>
  <c r="H52" i="4" s="1"/>
  <c r="G63" i="4"/>
  <c r="H63" i="4" s="1"/>
  <c r="G13" i="4"/>
  <c r="H13" i="4" s="1"/>
  <c r="G95" i="4"/>
  <c r="H95" i="4" s="1"/>
  <c r="G89" i="4"/>
  <c r="H89" i="4" s="1"/>
  <c r="G66" i="4"/>
  <c r="H66" i="4" s="1"/>
  <c r="G14" i="4"/>
  <c r="H14" i="4" s="1"/>
  <c r="G27" i="4"/>
  <c r="H27" i="4" s="1"/>
  <c r="G7" i="4"/>
  <c r="H7" i="4" s="1"/>
  <c r="G65" i="4"/>
  <c r="H65" i="4" s="1"/>
  <c r="G84" i="4"/>
  <c r="H84" i="4" s="1"/>
  <c r="G21" i="4"/>
  <c r="H21" i="4" s="1"/>
  <c r="G9" i="4"/>
  <c r="H9" i="4" s="1"/>
  <c r="G18" i="4"/>
  <c r="H18" i="4" s="1"/>
  <c r="G82" i="4"/>
  <c r="H82" i="4" s="1"/>
  <c r="G40" i="4"/>
  <c r="H40" i="4" s="1"/>
  <c r="G43" i="4"/>
  <c r="H43" i="4" s="1"/>
  <c r="G60" i="4"/>
  <c r="H60" i="4" s="1"/>
  <c r="G55" i="4"/>
  <c r="H55" i="4" s="1"/>
  <c r="G12" i="4"/>
  <c r="H12" i="4" s="1"/>
  <c r="G38" i="4"/>
  <c r="H38" i="4" s="1"/>
  <c r="G48" i="4"/>
  <c r="H48" i="4" s="1"/>
  <c r="G37" i="4"/>
  <c r="H37" i="4" s="1"/>
  <c r="G70" i="4"/>
  <c r="H70" i="4" s="1"/>
  <c r="G80" i="4"/>
  <c r="H80" i="4" s="1"/>
  <c r="G17" i="4"/>
  <c r="H17" i="4" s="1"/>
  <c r="G26" i="4"/>
  <c r="H26" i="4" s="1"/>
  <c r="G90" i="4"/>
  <c r="H90" i="4" s="1"/>
  <c r="G96" i="4"/>
  <c r="H96" i="4" s="1"/>
  <c r="G51" i="4"/>
  <c r="H51" i="4" s="1"/>
  <c r="G92" i="4"/>
  <c r="H92" i="4" s="1"/>
  <c r="G79" i="4"/>
  <c r="H79" i="4" s="1"/>
  <c r="G20" i="4"/>
  <c r="H20" i="4" s="1"/>
  <c r="G54" i="4"/>
  <c r="H54" i="4" s="1"/>
  <c r="G72" i="4"/>
  <c r="H72" i="4" s="1"/>
  <c r="G45" i="4"/>
  <c r="H45" i="4" s="1"/>
  <c r="G94" i="4"/>
  <c r="H94" i="4" s="1"/>
  <c r="G57" i="4"/>
  <c r="H57" i="4" s="1"/>
  <c r="R80" i="4" l="1"/>
  <c r="R81" i="4" s="1"/>
  <c r="R82" i="4" s="1"/>
  <c r="R83" i="4" s="1"/>
  <c r="R84" i="4" s="1"/>
  <c r="R85" i="4" s="1"/>
  <c r="R86" i="4" s="1"/>
  <c r="R87" i="4" s="1"/>
  <c r="R88" i="4" s="1"/>
  <c r="AG91" i="4"/>
  <c r="Z79" i="4"/>
  <c r="V79" i="4"/>
  <c r="AC91" i="4" s="1"/>
  <c r="F20" i="7"/>
  <c r="N20" i="7"/>
  <c r="A21" i="7"/>
  <c r="B21" i="7" s="1"/>
  <c r="A21" i="6"/>
  <c r="A96" i="6"/>
  <c r="A83" i="5"/>
  <c r="AG31" i="4"/>
  <c r="AB31" i="4"/>
  <c r="AB53" i="4" s="1"/>
  <c r="X32" i="4"/>
  <c r="AG54" i="4" s="1"/>
  <c r="P3" i="4"/>
  <c r="P5" i="4" s="1"/>
  <c r="AB9" i="4" s="1"/>
  <c r="AG92" i="4" l="1"/>
  <c r="Z80" i="4"/>
  <c r="V80" i="4"/>
  <c r="AC92" i="4" s="1"/>
  <c r="F21" i="7"/>
  <c r="N22" i="7"/>
  <c r="N21" i="7"/>
  <c r="A22" i="7"/>
  <c r="A97" i="6"/>
  <c r="A22" i="6"/>
  <c r="A84" i="5"/>
  <c r="AG32" i="4"/>
  <c r="AB32" i="4"/>
  <c r="AB54" i="4" s="1"/>
  <c r="X33" i="4"/>
  <c r="AG55" i="4" s="1"/>
  <c r="AB12" i="4"/>
  <c r="AB11" i="4"/>
  <c r="S12" i="4"/>
  <c r="Z81" i="4" l="1"/>
  <c r="AG93" i="4"/>
  <c r="V81" i="4"/>
  <c r="AC93" i="4" s="1"/>
  <c r="A85" i="5"/>
  <c r="AG33" i="4"/>
  <c r="AB33" i="4"/>
  <c r="AB55" i="4" s="1"/>
  <c r="X34" i="4"/>
  <c r="AG56" i="4" s="1"/>
  <c r="W12" i="4"/>
  <c r="T15" i="4"/>
  <c r="V15" i="4" s="1"/>
  <c r="T16" i="4"/>
  <c r="X15" i="4" s="1"/>
  <c r="AF9" i="4"/>
  <c r="AF11" i="4"/>
  <c r="AD11" i="4"/>
  <c r="Z82" i="4" l="1"/>
  <c r="AG94" i="4"/>
  <c r="V82" i="4"/>
  <c r="AC94" i="4" s="1"/>
  <c r="A86" i="5"/>
  <c r="AG34" i="4"/>
  <c r="AB34" i="4"/>
  <c r="AB56" i="4" s="1"/>
  <c r="X35" i="4"/>
  <c r="AG57" i="4" s="1"/>
  <c r="Z83" i="4" l="1"/>
  <c r="AG95" i="4"/>
  <c r="V83" i="4"/>
  <c r="AC95" i="4" s="1"/>
  <c r="A87" i="5"/>
  <c r="AG35" i="4"/>
  <c r="AB35" i="4"/>
  <c r="AB57" i="4" s="1"/>
  <c r="X36" i="4"/>
  <c r="AG58" i="4" s="1"/>
  <c r="AG96" i="4" l="1"/>
  <c r="Z84" i="4"/>
  <c r="V84" i="4"/>
  <c r="AC96" i="4" s="1"/>
  <c r="AG36" i="4"/>
  <c r="AB36" i="4"/>
  <c r="AB58" i="4" s="1"/>
  <c r="X37" i="4"/>
  <c r="AG59" i="4" s="1"/>
  <c r="Z85" i="4" l="1"/>
  <c r="AG97" i="4"/>
  <c r="V85" i="4"/>
  <c r="AC97" i="4" s="1"/>
  <c r="AG37" i="4"/>
  <c r="AB37" i="4"/>
  <c r="AB59" i="4" s="1"/>
  <c r="X38" i="4"/>
  <c r="AG60" i="4" s="1"/>
  <c r="Z86" i="4" l="1"/>
  <c r="AG98" i="4"/>
  <c r="V86" i="4"/>
  <c r="AC98" i="4" s="1"/>
  <c r="AG38" i="4"/>
  <c r="AB38" i="4"/>
  <c r="AB60" i="4" s="1"/>
  <c r="X39" i="4"/>
  <c r="AG61" i="4" s="1"/>
  <c r="AG99" i="4" l="1"/>
  <c r="Z87" i="4"/>
  <c r="V87" i="4"/>
  <c r="AC99" i="4" s="1"/>
  <c r="AG39" i="4"/>
  <c r="AB39" i="4"/>
  <c r="AB61" i="4" s="1"/>
  <c r="X40" i="4"/>
  <c r="AG62" i="4" s="1"/>
  <c r="AG100" i="4" l="1"/>
  <c r="V88" i="4"/>
  <c r="AC100" i="4" s="1"/>
  <c r="AG40" i="4"/>
  <c r="AB40" i="4"/>
  <c r="AB62" i="4" s="1"/>
  <c r="X41" i="4"/>
  <c r="AG63" i="4" s="1"/>
  <c r="AG41" i="4" l="1"/>
  <c r="AB41" i="4"/>
  <c r="AB63" i="4" s="1"/>
  <c r="X42" i="4"/>
  <c r="AG64" i="4" s="1"/>
  <c r="AG42" i="4" l="1"/>
  <c r="AB42" i="4"/>
  <c r="AB64" i="4" s="1"/>
  <c r="X43" i="4"/>
  <c r="AG65" i="4" s="1"/>
  <c r="AG43" i="4" l="1"/>
  <c r="AB43" i="4"/>
  <c r="AB65" i="4" s="1"/>
  <c r="X44" i="4"/>
  <c r="AG66" i="4" s="1"/>
  <c r="AG44" i="4" l="1"/>
  <c r="AB44" i="4"/>
  <c r="AB66" i="4" s="1"/>
  <c r="X45" i="4"/>
  <c r="AG67" i="4" s="1"/>
  <c r="AG45" i="4" l="1"/>
  <c r="AB45" i="4"/>
  <c r="AB67" i="4" s="1"/>
  <c r="X46" i="4"/>
  <c r="AG68" i="4" s="1"/>
  <c r="AG46" i="4" l="1"/>
  <c r="AB46" i="4"/>
  <c r="AB68" i="4" s="1"/>
  <c r="X47" i="4"/>
  <c r="AG69" i="4" s="1"/>
  <c r="AG47" i="4" l="1"/>
  <c r="AB47" i="4"/>
  <c r="AB69" i="4" s="1"/>
  <c r="X48" i="4"/>
  <c r="AG70" i="4" s="1"/>
  <c r="AG48" i="4" l="1"/>
  <c r="AB48" i="4"/>
  <c r="AB70" i="4" s="1"/>
  <c r="X49" i="4"/>
  <c r="AG71" i="4" s="1"/>
  <c r="AG49" i="4" l="1"/>
  <c r="AB49" i="4"/>
  <c r="AB71" i="4" s="1"/>
  <c r="X50" i="4"/>
  <c r="AG72" i="4" s="1"/>
  <c r="AB50" i="4" l="1"/>
  <c r="AB72" i="4" s="1"/>
  <c r="O26" i="3" l="1"/>
  <c r="O4" i="3"/>
  <c r="Q3" i="3"/>
  <c r="Q4" i="3" s="1"/>
  <c r="O6" i="3" s="1"/>
  <c r="E4" i="3"/>
  <c r="E3" i="3"/>
  <c r="S17" i="3" s="1"/>
  <c r="P3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88" i="3" l="1"/>
  <c r="A80" i="3"/>
  <c r="A64" i="3"/>
  <c r="A56" i="3"/>
  <c r="A95" i="3"/>
  <c r="A87" i="3"/>
  <c r="A79" i="3"/>
  <c r="A71" i="3"/>
  <c r="A63" i="3"/>
  <c r="A55" i="3"/>
  <c r="A94" i="3"/>
  <c r="A86" i="3"/>
  <c r="A78" i="3"/>
  <c r="A70" i="3"/>
  <c r="A62" i="3"/>
  <c r="A54" i="3"/>
  <c r="A97" i="3"/>
  <c r="A81" i="3"/>
  <c r="A73" i="3"/>
  <c r="A65" i="3"/>
  <c r="A72" i="3"/>
  <c r="A101" i="3"/>
  <c r="A93" i="3"/>
  <c r="A85" i="3"/>
  <c r="A77" i="3"/>
  <c r="A69" i="3"/>
  <c r="A61" i="3"/>
  <c r="A53" i="3"/>
  <c r="A100" i="3"/>
  <c r="A92" i="3"/>
  <c r="A84" i="3"/>
  <c r="A76" i="3"/>
  <c r="A68" i="3"/>
  <c r="A60" i="3"/>
  <c r="A52" i="3"/>
  <c r="A99" i="3"/>
  <c r="A91" i="3"/>
  <c r="A83" i="3"/>
  <c r="A75" i="3"/>
  <c r="A67" i="3"/>
  <c r="A59" i="3"/>
  <c r="A89" i="3"/>
  <c r="A57" i="3"/>
  <c r="A96" i="3"/>
  <c r="A98" i="3"/>
  <c r="A90" i="3"/>
  <c r="A82" i="3"/>
  <c r="A74" i="3"/>
  <c r="A66" i="3"/>
  <c r="A58" i="3"/>
  <c r="Z13" i="3"/>
  <c r="P33" i="1" l="1"/>
  <c r="AI15" i="1"/>
  <c r="R3" i="1"/>
  <c r="R4" i="1" s="1"/>
  <c r="P6" i="1" s="1"/>
  <c r="P4" i="1"/>
  <c r="S18" i="1"/>
  <c r="AA13" i="1"/>
  <c r="A17" i="1"/>
  <c r="A17" i="3" s="1"/>
  <c r="D3" i="1" l="1"/>
  <c r="A3" i="1"/>
  <c r="A3" i="3" s="1"/>
  <c r="A4" i="1"/>
  <c r="A4" i="3" s="1"/>
  <c r="A5" i="1"/>
  <c r="A5" i="3" s="1"/>
  <c r="A6" i="1"/>
  <c r="A6" i="3" s="1"/>
  <c r="A7" i="1"/>
  <c r="A7" i="3" s="1"/>
  <c r="A8" i="1"/>
  <c r="A8" i="3" s="1"/>
  <c r="A9" i="1"/>
  <c r="A9" i="3" s="1"/>
  <c r="A10" i="1"/>
  <c r="A10" i="3" s="1"/>
  <c r="A11" i="1"/>
  <c r="A11" i="3" s="1"/>
  <c r="A12" i="1"/>
  <c r="A12" i="3" s="1"/>
  <c r="A13" i="1"/>
  <c r="A13" i="3" s="1"/>
  <c r="A14" i="1"/>
  <c r="A14" i="3" s="1"/>
  <c r="A15" i="1"/>
  <c r="A15" i="3" s="1"/>
  <c r="A16" i="1"/>
  <c r="A16" i="3" s="1"/>
  <c r="A18" i="1"/>
  <c r="A18" i="3" s="1"/>
  <c r="A19" i="1"/>
  <c r="A19" i="3" s="1"/>
  <c r="A20" i="1"/>
  <c r="A20" i="3" s="1"/>
  <c r="A21" i="1"/>
  <c r="A21" i="3" s="1"/>
  <c r="A22" i="1"/>
  <c r="A22" i="3" s="1"/>
  <c r="A23" i="1"/>
  <c r="A23" i="3" s="1"/>
  <c r="A24" i="1"/>
  <c r="A24" i="3" s="1"/>
  <c r="A25" i="1"/>
  <c r="A25" i="3" s="1"/>
  <c r="A26" i="1"/>
  <c r="A26" i="3" s="1"/>
  <c r="A27" i="1"/>
  <c r="A27" i="3" s="1"/>
  <c r="A28" i="1"/>
  <c r="A28" i="3" s="1"/>
  <c r="A29" i="1"/>
  <c r="A29" i="3" s="1"/>
  <c r="A30" i="1"/>
  <c r="A30" i="3" s="1"/>
  <c r="A31" i="1"/>
  <c r="A31" i="3" s="1"/>
  <c r="A32" i="1"/>
  <c r="A32" i="3" s="1"/>
  <c r="A33" i="1"/>
  <c r="A33" i="3" s="1"/>
  <c r="A34" i="1"/>
  <c r="A34" i="3" s="1"/>
  <c r="A35" i="1"/>
  <c r="A35" i="3" s="1"/>
  <c r="A36" i="1"/>
  <c r="A36" i="3" s="1"/>
  <c r="A37" i="1"/>
  <c r="A37" i="3" s="1"/>
  <c r="A38" i="1"/>
  <c r="A38" i="3" s="1"/>
  <c r="A39" i="1"/>
  <c r="A39" i="3" s="1"/>
  <c r="A40" i="1"/>
  <c r="A40" i="3" s="1"/>
  <c r="A41" i="1"/>
  <c r="A41" i="3" s="1"/>
  <c r="A42" i="1"/>
  <c r="A42" i="3" s="1"/>
  <c r="A43" i="1"/>
  <c r="A43" i="3" s="1"/>
  <c r="A44" i="1"/>
  <c r="A44" i="3" s="1"/>
  <c r="A45" i="1"/>
  <c r="A45" i="3" s="1"/>
  <c r="A46" i="1"/>
  <c r="A46" i="3" s="1"/>
  <c r="A47" i="1"/>
  <c r="A47" i="3" s="1"/>
  <c r="A48" i="1"/>
  <c r="A48" i="3" s="1"/>
  <c r="A49" i="1"/>
  <c r="A49" i="3" s="1"/>
  <c r="A50" i="1"/>
  <c r="A50" i="3" s="1"/>
  <c r="A51" i="1"/>
  <c r="A51" i="3" s="1"/>
  <c r="A2" i="1"/>
  <c r="A2" i="3" l="1"/>
  <c r="F79" i="6" s="1"/>
  <c r="F2" i="1"/>
  <c r="F17" i="1"/>
  <c r="B84" i="5"/>
  <c r="B85" i="5"/>
  <c r="B93" i="5"/>
  <c r="B86" i="5"/>
  <c r="N86" i="5" s="1"/>
  <c r="B94" i="5"/>
  <c r="B83" i="5"/>
  <c r="N83" i="5" s="1"/>
  <c r="B79" i="5"/>
  <c r="B87" i="5"/>
  <c r="B95" i="5"/>
  <c r="N95" i="5" s="1"/>
  <c r="B96" i="5"/>
  <c r="B90" i="5"/>
  <c r="B91" i="5"/>
  <c r="N91" i="5" s="1"/>
  <c r="B92" i="5"/>
  <c r="B80" i="5"/>
  <c r="N80" i="5" s="1"/>
  <c r="B88" i="5"/>
  <c r="B81" i="5"/>
  <c r="B89" i="5"/>
  <c r="B82" i="5"/>
  <c r="B78" i="5"/>
  <c r="N78" i="5" s="1"/>
  <c r="B19" i="5"/>
  <c r="B17" i="5"/>
  <c r="B20" i="5"/>
  <c r="B18" i="5"/>
  <c r="B15" i="5"/>
  <c r="N15" i="5" s="1"/>
  <c r="B16" i="5"/>
  <c r="B14" i="5"/>
  <c r="B13" i="5"/>
  <c r="N13" i="5" s="1"/>
  <c r="B21" i="5"/>
  <c r="F64" i="1"/>
  <c r="F75" i="1"/>
  <c r="F56" i="1"/>
  <c r="F74" i="1"/>
  <c r="F95" i="1"/>
  <c r="F97" i="1"/>
  <c r="F77" i="1"/>
  <c r="F68" i="1"/>
  <c r="F98" i="1"/>
  <c r="F80" i="1"/>
  <c r="F87" i="1"/>
  <c r="F55" i="1"/>
  <c r="F70" i="1"/>
  <c r="F81" i="1"/>
  <c r="F101" i="1"/>
  <c r="F69" i="1"/>
  <c r="F92" i="1"/>
  <c r="F60" i="1"/>
  <c r="F83" i="1"/>
  <c r="F89" i="1"/>
  <c r="F90" i="1"/>
  <c r="F58" i="1"/>
  <c r="F62" i="1"/>
  <c r="F84" i="1"/>
  <c r="F57" i="1"/>
  <c r="F71" i="1"/>
  <c r="F67" i="1"/>
  <c r="F88" i="1"/>
  <c r="F59" i="1"/>
  <c r="F79" i="1"/>
  <c r="F73" i="1"/>
  <c r="F93" i="1"/>
  <c r="F61" i="1"/>
  <c r="F52" i="1"/>
  <c r="F82" i="1"/>
  <c r="F86" i="1"/>
  <c r="F65" i="1"/>
  <c r="F85" i="1"/>
  <c r="F76" i="1"/>
  <c r="F99" i="1"/>
  <c r="F78" i="1"/>
  <c r="F72" i="1"/>
  <c r="F100" i="1"/>
  <c r="F91" i="1"/>
  <c r="F66" i="1"/>
  <c r="F94" i="1"/>
  <c r="F54" i="1"/>
  <c r="F53" i="1"/>
  <c r="F96" i="1"/>
  <c r="F63" i="1"/>
  <c r="F89" i="6"/>
  <c r="F86" i="6"/>
  <c r="F18" i="6"/>
  <c r="F19" i="6"/>
  <c r="F20" i="6"/>
  <c r="R31" i="3"/>
  <c r="L1" i="3"/>
  <c r="F44" i="1"/>
  <c r="F36" i="1"/>
  <c r="F28" i="1"/>
  <c r="F20" i="1"/>
  <c r="F11" i="1"/>
  <c r="F3" i="1"/>
  <c r="F27" i="1"/>
  <c r="F10" i="1"/>
  <c r="F42" i="1"/>
  <c r="F26" i="1"/>
  <c r="F18" i="1"/>
  <c r="F9" i="1"/>
  <c r="F7" i="1"/>
  <c r="F43" i="1"/>
  <c r="F19" i="1"/>
  <c r="F34" i="1"/>
  <c r="F41" i="1"/>
  <c r="F16" i="1"/>
  <c r="F48" i="1"/>
  <c r="F32" i="1"/>
  <c r="F24" i="1"/>
  <c r="F15" i="1"/>
  <c r="F47" i="1"/>
  <c r="F39" i="1"/>
  <c r="F31" i="1"/>
  <c r="F23" i="1"/>
  <c r="F14" i="1"/>
  <c r="F6" i="1"/>
  <c r="F35" i="1"/>
  <c r="F50" i="1"/>
  <c r="F25" i="1"/>
  <c r="F46" i="1"/>
  <c r="F30" i="1"/>
  <c r="F5" i="1"/>
  <c r="F49" i="1"/>
  <c r="F33" i="1"/>
  <c r="F8" i="1"/>
  <c r="F40" i="1"/>
  <c r="F38" i="1"/>
  <c r="F22" i="1"/>
  <c r="F13" i="1"/>
  <c r="F45" i="1"/>
  <c r="F37" i="1"/>
  <c r="F29" i="1"/>
  <c r="F21" i="1"/>
  <c r="F12" i="1"/>
  <c r="F4" i="1"/>
  <c r="F51" i="1"/>
  <c r="R32" i="3" l="1"/>
  <c r="F78" i="6"/>
  <c r="F21" i="6"/>
  <c r="F85" i="6"/>
  <c r="F94" i="6"/>
  <c r="L7" i="3"/>
  <c r="F17" i="6"/>
  <c r="F84" i="6"/>
  <c r="F16" i="6"/>
  <c r="F91" i="6"/>
  <c r="F15" i="6"/>
  <c r="F83" i="6"/>
  <c r="F13" i="6"/>
  <c r="F14" i="6"/>
  <c r="F82" i="6"/>
  <c r="F90" i="6"/>
  <c r="F81" i="6"/>
  <c r="F95" i="6"/>
  <c r="F92" i="6"/>
  <c r="F96" i="6"/>
  <c r="F88" i="6"/>
  <c r="F80" i="6"/>
  <c r="F93" i="6"/>
  <c r="F87" i="6"/>
  <c r="N18" i="5"/>
  <c r="N88" i="5"/>
  <c r="N79" i="5"/>
  <c r="N90" i="5"/>
  <c r="N81" i="5"/>
  <c r="N20" i="5"/>
  <c r="N17" i="5"/>
  <c r="N93" i="5"/>
  <c r="N92" i="5"/>
  <c r="N94" i="5"/>
  <c r="N22" i="5"/>
  <c r="N21" i="5"/>
  <c r="N19" i="5"/>
  <c r="N14" i="5"/>
  <c r="N82" i="5"/>
  <c r="N97" i="5"/>
  <c r="N96" i="5"/>
  <c r="N16" i="5"/>
  <c r="N89" i="5"/>
  <c r="N85" i="5"/>
  <c r="N84" i="5"/>
  <c r="N87" i="5"/>
  <c r="J18" i="7"/>
  <c r="E56" i="7"/>
  <c r="J56" i="7" s="1"/>
  <c r="E124" i="7"/>
  <c r="J124" i="7" s="1"/>
  <c r="J84" i="7"/>
  <c r="E55" i="7"/>
  <c r="J55" i="7" s="1"/>
  <c r="J17" i="7"/>
  <c r="J87" i="7"/>
  <c r="E127" i="7"/>
  <c r="J127" i="7" s="1"/>
  <c r="J85" i="7"/>
  <c r="E125" i="7"/>
  <c r="J125" i="7" s="1"/>
  <c r="E53" i="7"/>
  <c r="J53" i="7" s="1"/>
  <c r="J15" i="7"/>
  <c r="J14" i="7"/>
  <c r="E52" i="7"/>
  <c r="J52" i="7" s="1"/>
  <c r="J16" i="7"/>
  <c r="E54" i="7"/>
  <c r="J54" i="7" s="1"/>
  <c r="J83" i="7"/>
  <c r="E123" i="7"/>
  <c r="J123" i="7" s="1"/>
  <c r="J78" i="7"/>
  <c r="E118" i="7"/>
  <c r="J118" i="7" s="1"/>
  <c r="E59" i="7"/>
  <c r="J59" i="7" s="1"/>
  <c r="J22" i="7"/>
  <c r="J21" i="7"/>
  <c r="E60" i="7"/>
  <c r="J60" i="7" s="1"/>
  <c r="E51" i="7"/>
  <c r="J51" i="7" s="1"/>
  <c r="J79" i="7"/>
  <c r="E119" i="7"/>
  <c r="J119" i="7" s="1"/>
  <c r="J82" i="7"/>
  <c r="E122" i="7"/>
  <c r="J122" i="7" s="1"/>
  <c r="E120" i="7"/>
  <c r="J120" i="7" s="1"/>
  <c r="J80" i="7"/>
  <c r="E58" i="7"/>
  <c r="J58" i="7" s="1"/>
  <c r="J20" i="7"/>
  <c r="J86" i="7"/>
  <c r="E126" i="7"/>
  <c r="J126" i="7" s="1"/>
  <c r="E57" i="7"/>
  <c r="J57" i="7" s="1"/>
  <c r="J19" i="7"/>
  <c r="J81" i="7"/>
  <c r="E121" i="7"/>
  <c r="J121" i="7" s="1"/>
  <c r="T8" i="6"/>
  <c r="T73" i="6"/>
  <c r="T7" i="6"/>
  <c r="T72" i="6"/>
  <c r="F79" i="5"/>
  <c r="F87" i="5"/>
  <c r="F95" i="5"/>
  <c r="F80" i="5"/>
  <c r="F88" i="5"/>
  <c r="F96" i="5"/>
  <c r="F91" i="5"/>
  <c r="F81" i="5"/>
  <c r="F89" i="5"/>
  <c r="F83" i="5"/>
  <c r="F82" i="5"/>
  <c r="F90" i="5"/>
  <c r="F84" i="5"/>
  <c r="F92" i="5"/>
  <c r="F86" i="5"/>
  <c r="F85" i="5"/>
  <c r="F93" i="5"/>
  <c r="F94" i="5"/>
  <c r="F78" i="5"/>
  <c r="E128" i="5" s="1"/>
  <c r="J128" i="5" s="1"/>
  <c r="F14" i="5"/>
  <c r="F15" i="5"/>
  <c r="F21" i="5"/>
  <c r="F16" i="5"/>
  <c r="F17" i="5"/>
  <c r="F18" i="5"/>
  <c r="F19" i="5"/>
  <c r="F20" i="5"/>
  <c r="F13" i="5"/>
  <c r="S41" i="1"/>
  <c r="S40" i="1"/>
  <c r="M1" i="1"/>
  <c r="Q26" i="3"/>
  <c r="R34" i="3"/>
  <c r="T31" i="3" s="1"/>
  <c r="AC53" i="3" s="1"/>
  <c r="G45" i="3"/>
  <c r="H45" i="3" s="1"/>
  <c r="G14" i="3"/>
  <c r="H14" i="3" s="1"/>
  <c r="G31" i="3"/>
  <c r="H31" i="3" s="1"/>
  <c r="G32" i="3"/>
  <c r="H32" i="3" s="1"/>
  <c r="G48" i="3"/>
  <c r="H48" i="3" s="1"/>
  <c r="G43" i="3"/>
  <c r="H43" i="3" s="1"/>
  <c r="G18" i="3"/>
  <c r="H18" i="3" s="1"/>
  <c r="G22" i="3"/>
  <c r="H22" i="3" s="1"/>
  <c r="G23" i="3"/>
  <c r="H23" i="3" s="1"/>
  <c r="G40" i="3"/>
  <c r="H40" i="3" s="1"/>
  <c r="G44" i="3"/>
  <c r="H44" i="3" s="1"/>
  <c r="G2" i="3"/>
  <c r="H2" i="3" s="1"/>
  <c r="G39" i="3"/>
  <c r="H39" i="3" s="1"/>
  <c r="G8" i="3"/>
  <c r="H8" i="3" s="1"/>
  <c r="G26" i="3"/>
  <c r="H26" i="3" s="1"/>
  <c r="G30" i="3"/>
  <c r="H30" i="3" s="1"/>
  <c r="G47" i="3"/>
  <c r="H47" i="3" s="1"/>
  <c r="G33" i="3"/>
  <c r="H33" i="3" s="1"/>
  <c r="G50" i="3"/>
  <c r="H50" i="3" s="1"/>
  <c r="G3" i="3"/>
  <c r="H3" i="3" s="1"/>
  <c r="G34" i="3"/>
  <c r="H34" i="3" s="1"/>
  <c r="G41" i="3"/>
  <c r="H41" i="3" s="1"/>
  <c r="G10" i="3"/>
  <c r="H10" i="3" s="1"/>
  <c r="G38" i="3"/>
  <c r="H38" i="3" s="1"/>
  <c r="G15" i="3"/>
  <c r="H15" i="3" s="1"/>
  <c r="G49" i="3"/>
  <c r="H49" i="3" s="1"/>
  <c r="G19" i="3"/>
  <c r="H19" i="3" s="1"/>
  <c r="G4" i="3"/>
  <c r="H4" i="3" s="1"/>
  <c r="G24" i="3"/>
  <c r="H24" i="3" s="1"/>
  <c r="G42" i="3"/>
  <c r="H42" i="3" s="1"/>
  <c r="G27" i="3"/>
  <c r="H27" i="3" s="1"/>
  <c r="G12" i="3"/>
  <c r="H12" i="3" s="1"/>
  <c r="G21" i="3"/>
  <c r="H21" i="3" s="1"/>
  <c r="G11" i="3"/>
  <c r="H11" i="3" s="1"/>
  <c r="G29" i="3"/>
  <c r="H29" i="3" s="1"/>
  <c r="G5" i="3"/>
  <c r="H5" i="3" s="1"/>
  <c r="G16" i="3"/>
  <c r="H16" i="3" s="1"/>
  <c r="G13" i="3"/>
  <c r="H13" i="3" s="1"/>
  <c r="G35" i="3"/>
  <c r="H35" i="3" s="1"/>
  <c r="G20" i="3"/>
  <c r="H20" i="3" s="1"/>
  <c r="G37" i="3"/>
  <c r="H37" i="3" s="1"/>
  <c r="G6" i="3"/>
  <c r="H6" i="3" s="1"/>
  <c r="G7" i="3"/>
  <c r="H7" i="3" s="1"/>
  <c r="G25" i="3"/>
  <c r="H25" i="3" s="1"/>
  <c r="G9" i="3"/>
  <c r="H9" i="3" s="1"/>
  <c r="G51" i="3"/>
  <c r="H51" i="3" s="1"/>
  <c r="G28" i="3"/>
  <c r="H28" i="3" s="1"/>
  <c r="G52" i="3"/>
  <c r="H52" i="3" s="1"/>
  <c r="G60" i="3"/>
  <c r="H60" i="3" s="1"/>
  <c r="G68" i="3"/>
  <c r="H68" i="3" s="1"/>
  <c r="G76" i="3"/>
  <c r="H76" i="3" s="1"/>
  <c r="G84" i="3"/>
  <c r="H84" i="3" s="1"/>
  <c r="G92" i="3"/>
  <c r="H92" i="3" s="1"/>
  <c r="G56" i="3"/>
  <c r="H56" i="3" s="1"/>
  <c r="G64" i="3"/>
  <c r="H64" i="3" s="1"/>
  <c r="G72" i="3"/>
  <c r="H72" i="3" s="1"/>
  <c r="G80" i="3"/>
  <c r="H80" i="3" s="1"/>
  <c r="G88" i="3"/>
  <c r="H88" i="3" s="1"/>
  <c r="G96" i="3"/>
  <c r="H96" i="3" s="1"/>
  <c r="G58" i="3"/>
  <c r="H58" i="3" s="1"/>
  <c r="G66" i="3"/>
  <c r="H66" i="3" s="1"/>
  <c r="G74" i="3"/>
  <c r="H74" i="3" s="1"/>
  <c r="G82" i="3"/>
  <c r="H82" i="3" s="1"/>
  <c r="G90" i="3"/>
  <c r="H90" i="3" s="1"/>
  <c r="G98" i="3"/>
  <c r="H98" i="3" s="1"/>
  <c r="G73" i="3"/>
  <c r="H73" i="3" s="1"/>
  <c r="G95" i="3"/>
  <c r="H95" i="3" s="1"/>
  <c r="G87" i="3"/>
  <c r="H87" i="3" s="1"/>
  <c r="G78" i="3"/>
  <c r="H78" i="3" s="1"/>
  <c r="G70" i="3"/>
  <c r="H70" i="3" s="1"/>
  <c r="G99" i="3"/>
  <c r="H99" i="3" s="1"/>
  <c r="G79" i="3"/>
  <c r="H79" i="3" s="1"/>
  <c r="G62" i="3"/>
  <c r="H62" i="3" s="1"/>
  <c r="G54" i="3"/>
  <c r="H54" i="3" s="1"/>
  <c r="G91" i="3"/>
  <c r="H91" i="3" s="1"/>
  <c r="G71" i="3"/>
  <c r="H71" i="3" s="1"/>
  <c r="G85" i="3"/>
  <c r="H85" i="3" s="1"/>
  <c r="G101" i="3"/>
  <c r="H101" i="3" s="1"/>
  <c r="G83" i="3"/>
  <c r="H83" i="3" s="1"/>
  <c r="G63" i="3"/>
  <c r="H63" i="3" s="1"/>
  <c r="G100" i="3"/>
  <c r="H100" i="3" s="1"/>
  <c r="G93" i="3"/>
  <c r="H93" i="3" s="1"/>
  <c r="G67" i="3"/>
  <c r="H67" i="3" s="1"/>
  <c r="G57" i="3"/>
  <c r="H57" i="3" s="1"/>
  <c r="G97" i="3"/>
  <c r="H97" i="3" s="1"/>
  <c r="G61" i="3"/>
  <c r="H61" i="3" s="1"/>
  <c r="G53" i="3"/>
  <c r="H53" i="3" s="1"/>
  <c r="G75" i="3"/>
  <c r="H75" i="3" s="1"/>
  <c r="G69" i="3"/>
  <c r="H69" i="3" s="1"/>
  <c r="G65" i="3"/>
  <c r="H65" i="3" s="1"/>
  <c r="G55" i="3"/>
  <c r="H55" i="3" s="1"/>
  <c r="G81" i="3"/>
  <c r="H81" i="3" s="1"/>
  <c r="G77" i="3"/>
  <c r="H77" i="3" s="1"/>
  <c r="G89" i="3"/>
  <c r="H89" i="3" s="1"/>
  <c r="G59" i="3"/>
  <c r="H59" i="3" s="1"/>
  <c r="G94" i="3"/>
  <c r="H94" i="3" s="1"/>
  <c r="G86" i="3"/>
  <c r="H86" i="3" s="1"/>
  <c r="G17" i="3"/>
  <c r="H17" i="3" s="1"/>
  <c r="G36" i="3"/>
  <c r="H36" i="3" s="1"/>
  <c r="G46" i="3"/>
  <c r="H46" i="3" s="1"/>
  <c r="X7" i="7" l="1"/>
  <c r="R13" i="7" s="1"/>
  <c r="X72" i="7"/>
  <c r="R78" i="7" s="1"/>
  <c r="E131" i="7"/>
  <c r="G131" i="7" s="1"/>
  <c r="E64" i="7"/>
  <c r="G64" i="7" s="1"/>
  <c r="E128" i="6"/>
  <c r="J128" i="6" s="1"/>
  <c r="J78" i="6"/>
  <c r="E54" i="6"/>
  <c r="J54" i="6" s="1"/>
  <c r="J16" i="6"/>
  <c r="J18" i="6"/>
  <c r="E56" i="6"/>
  <c r="J56" i="6" s="1"/>
  <c r="E143" i="6"/>
  <c r="J143" i="6" s="1"/>
  <c r="J93" i="6"/>
  <c r="J95" i="6"/>
  <c r="E145" i="6"/>
  <c r="J145" i="6" s="1"/>
  <c r="E136" i="6"/>
  <c r="J136" i="6" s="1"/>
  <c r="J86" i="6"/>
  <c r="J80" i="6"/>
  <c r="E130" i="6"/>
  <c r="J130" i="6" s="1"/>
  <c r="J82" i="6"/>
  <c r="E132" i="6"/>
  <c r="J132" i="6" s="1"/>
  <c r="E137" i="6"/>
  <c r="J137" i="6" s="1"/>
  <c r="J87" i="6"/>
  <c r="E52" i="6"/>
  <c r="J52" i="6" s="1"/>
  <c r="J14" i="6"/>
  <c r="E142" i="6"/>
  <c r="J142" i="6" s="1"/>
  <c r="J92" i="6"/>
  <c r="E144" i="6"/>
  <c r="J144" i="6" s="1"/>
  <c r="J94" i="6"/>
  <c r="J88" i="6"/>
  <c r="E138" i="6"/>
  <c r="J138" i="6" s="1"/>
  <c r="J90" i="6"/>
  <c r="E140" i="6"/>
  <c r="J140" i="6" s="1"/>
  <c r="J89" i="6"/>
  <c r="E139" i="6"/>
  <c r="J139" i="6" s="1"/>
  <c r="E51" i="6"/>
  <c r="J51" i="6" s="1"/>
  <c r="J13" i="6"/>
  <c r="E58" i="6"/>
  <c r="J58" i="6" s="1"/>
  <c r="J20" i="6"/>
  <c r="J96" i="6"/>
  <c r="E146" i="6"/>
  <c r="J146" i="6" s="1"/>
  <c r="J97" i="6"/>
  <c r="E147" i="6"/>
  <c r="J147" i="6" s="1"/>
  <c r="J19" i="6"/>
  <c r="E57" i="6"/>
  <c r="J57" i="6" s="1"/>
  <c r="E60" i="6"/>
  <c r="J60" i="6" s="1"/>
  <c r="J21" i="6"/>
  <c r="E59" i="6"/>
  <c r="J59" i="6" s="1"/>
  <c r="J22" i="6"/>
  <c r="J15" i="6"/>
  <c r="E53" i="6"/>
  <c r="J53" i="6" s="1"/>
  <c r="E134" i="6"/>
  <c r="J134" i="6" s="1"/>
  <c r="J84" i="6"/>
  <c r="J83" i="6"/>
  <c r="E133" i="6"/>
  <c r="J133" i="6" s="1"/>
  <c r="E131" i="6"/>
  <c r="J131" i="6" s="1"/>
  <c r="J81" i="6"/>
  <c r="J85" i="6"/>
  <c r="E135" i="6"/>
  <c r="J135" i="6" s="1"/>
  <c r="E129" i="6"/>
  <c r="J129" i="6" s="1"/>
  <c r="J79" i="6"/>
  <c r="J17" i="6"/>
  <c r="E55" i="6"/>
  <c r="J55" i="6" s="1"/>
  <c r="J91" i="6"/>
  <c r="E141" i="6"/>
  <c r="J141" i="6" s="1"/>
  <c r="E134" i="5"/>
  <c r="J134" i="5" s="1"/>
  <c r="E138" i="5"/>
  <c r="J138" i="5" s="1"/>
  <c r="E135" i="5"/>
  <c r="J135" i="5" s="1"/>
  <c r="E131" i="5"/>
  <c r="J131" i="5" s="1"/>
  <c r="E141" i="5"/>
  <c r="J141" i="5" s="1"/>
  <c r="E133" i="5"/>
  <c r="J133" i="5" s="1"/>
  <c r="E136" i="5"/>
  <c r="J136" i="5" s="1"/>
  <c r="E146" i="5"/>
  <c r="J146" i="5" s="1"/>
  <c r="E147" i="5"/>
  <c r="J147" i="5" s="1"/>
  <c r="E130" i="5"/>
  <c r="J130" i="5" s="1"/>
  <c r="E132" i="5"/>
  <c r="J132" i="5" s="1"/>
  <c r="E139" i="5"/>
  <c r="J139" i="5" s="1"/>
  <c r="E143" i="5"/>
  <c r="J143" i="5" s="1"/>
  <c r="E142" i="5"/>
  <c r="J142" i="5" s="1"/>
  <c r="E140" i="5"/>
  <c r="J140" i="5" s="1"/>
  <c r="E145" i="5"/>
  <c r="J145" i="5" s="1"/>
  <c r="E144" i="5"/>
  <c r="J144" i="5" s="1"/>
  <c r="E137" i="5"/>
  <c r="J137" i="5" s="1"/>
  <c r="E129" i="5"/>
  <c r="J129" i="5" s="1"/>
  <c r="T8" i="5"/>
  <c r="T73" i="5"/>
  <c r="T7" i="5"/>
  <c r="T72" i="5"/>
  <c r="J81" i="5"/>
  <c r="J85" i="5"/>
  <c r="J93" i="5"/>
  <c r="J89" i="5"/>
  <c r="J92" i="5"/>
  <c r="J90" i="5"/>
  <c r="J80" i="5"/>
  <c r="J94" i="5"/>
  <c r="J83" i="5"/>
  <c r="J88" i="5"/>
  <c r="J86" i="5"/>
  <c r="J91" i="5"/>
  <c r="J96" i="5"/>
  <c r="J97" i="5"/>
  <c r="J84" i="5"/>
  <c r="J82" i="5"/>
  <c r="J95" i="5"/>
  <c r="J87" i="5"/>
  <c r="J79" i="5"/>
  <c r="J78" i="5"/>
  <c r="E58" i="5"/>
  <c r="J58" i="5" s="1"/>
  <c r="E55" i="5"/>
  <c r="J55" i="5" s="1"/>
  <c r="E57" i="5"/>
  <c r="J57" i="5" s="1"/>
  <c r="E53" i="5"/>
  <c r="J53" i="5" s="1"/>
  <c r="J16" i="5"/>
  <c r="E54" i="5"/>
  <c r="J54" i="5" s="1"/>
  <c r="E56" i="5"/>
  <c r="J56" i="5" s="1"/>
  <c r="J15" i="5"/>
  <c r="E52" i="5"/>
  <c r="J52" i="5" s="1"/>
  <c r="E59" i="5"/>
  <c r="J59" i="5" s="1"/>
  <c r="E60" i="5"/>
  <c r="J60" i="5" s="1"/>
  <c r="J13" i="5"/>
  <c r="E51" i="5"/>
  <c r="J51" i="5" s="1"/>
  <c r="J20" i="5"/>
  <c r="J18" i="5"/>
  <c r="J17" i="5"/>
  <c r="J14" i="5"/>
  <c r="J21" i="5"/>
  <c r="J22" i="5"/>
  <c r="J19" i="5"/>
  <c r="I37" i="1"/>
  <c r="J37" i="1" s="1"/>
  <c r="I86" i="1"/>
  <c r="J86" i="1" s="1"/>
  <c r="I94" i="1"/>
  <c r="J94" i="1" s="1"/>
  <c r="I93" i="1"/>
  <c r="J93" i="1" s="1"/>
  <c r="I55" i="1"/>
  <c r="J55" i="1" s="1"/>
  <c r="I98" i="1"/>
  <c r="J98" i="1" s="1"/>
  <c r="I63" i="1"/>
  <c r="J63" i="1" s="1"/>
  <c r="I66" i="1"/>
  <c r="J66" i="1" s="1"/>
  <c r="I92" i="1"/>
  <c r="J92" i="1" s="1"/>
  <c r="I99" i="1"/>
  <c r="J99" i="1" s="1"/>
  <c r="I83" i="1"/>
  <c r="J83" i="1" s="1"/>
  <c r="I73" i="1"/>
  <c r="J73" i="1" s="1"/>
  <c r="I82" i="1"/>
  <c r="J82" i="1" s="1"/>
  <c r="I81" i="1"/>
  <c r="J81" i="1" s="1"/>
  <c r="I69" i="1"/>
  <c r="J69" i="1" s="1"/>
  <c r="I65" i="1"/>
  <c r="J65" i="1" s="1"/>
  <c r="I62" i="1"/>
  <c r="J62" i="1" s="1"/>
  <c r="I76" i="1"/>
  <c r="J76" i="1" s="1"/>
  <c r="I54" i="1"/>
  <c r="J54" i="1" s="1"/>
  <c r="I79" i="1"/>
  <c r="J79" i="1" s="1"/>
  <c r="I53" i="1"/>
  <c r="J53" i="1" s="1"/>
  <c r="I87" i="1"/>
  <c r="J87" i="1" s="1"/>
  <c r="I59" i="1"/>
  <c r="J59" i="1" s="1"/>
  <c r="I95" i="1"/>
  <c r="J95" i="1" s="1"/>
  <c r="I77" i="1"/>
  <c r="J77" i="1" s="1"/>
  <c r="I64" i="1"/>
  <c r="J64" i="1" s="1"/>
  <c r="I89" i="1"/>
  <c r="J89" i="1" s="1"/>
  <c r="I80" i="1"/>
  <c r="J80" i="1" s="1"/>
  <c r="I91" i="1"/>
  <c r="J91" i="1" s="1"/>
  <c r="I88" i="1"/>
  <c r="J88" i="1" s="1"/>
  <c r="I58" i="1"/>
  <c r="J58" i="1" s="1"/>
  <c r="I84" i="1"/>
  <c r="J84" i="1" s="1"/>
  <c r="I90" i="1"/>
  <c r="J90" i="1" s="1"/>
  <c r="I72" i="1"/>
  <c r="J72" i="1" s="1"/>
  <c r="I85" i="1"/>
  <c r="J85" i="1" s="1"/>
  <c r="I75" i="1"/>
  <c r="J75" i="1" s="1"/>
  <c r="I52" i="1"/>
  <c r="J52" i="1" s="1"/>
  <c r="I74" i="1"/>
  <c r="J74" i="1" s="1"/>
  <c r="I60" i="1"/>
  <c r="J60" i="1" s="1"/>
  <c r="I68" i="1"/>
  <c r="J68" i="1" s="1"/>
  <c r="I96" i="1"/>
  <c r="J96" i="1" s="1"/>
  <c r="I67" i="1"/>
  <c r="J67" i="1" s="1"/>
  <c r="I100" i="1"/>
  <c r="J100" i="1" s="1"/>
  <c r="I61" i="1"/>
  <c r="J61" i="1" s="1"/>
  <c r="I56" i="1"/>
  <c r="J56" i="1" s="1"/>
  <c r="I101" i="1"/>
  <c r="J101" i="1" s="1"/>
  <c r="I57" i="1"/>
  <c r="J57" i="1" s="1"/>
  <c r="I78" i="1"/>
  <c r="J78" i="1" s="1"/>
  <c r="I97" i="1"/>
  <c r="J97" i="1" s="1"/>
  <c r="I70" i="1"/>
  <c r="J70" i="1" s="1"/>
  <c r="I71" i="1"/>
  <c r="J71" i="1" s="1"/>
  <c r="AC31" i="3"/>
  <c r="X31" i="3"/>
  <c r="X53" i="3" s="1"/>
  <c r="T32" i="3"/>
  <c r="AC54" i="3" s="1"/>
  <c r="L3" i="3"/>
  <c r="I43" i="1"/>
  <c r="J43" i="1" s="1"/>
  <c r="I4" i="1"/>
  <c r="J4" i="1" s="1"/>
  <c r="I10" i="1"/>
  <c r="J10" i="1" s="1"/>
  <c r="I38" i="1"/>
  <c r="J38" i="1" s="1"/>
  <c r="I42" i="1"/>
  <c r="J42" i="1" s="1"/>
  <c r="I8" i="1"/>
  <c r="J8" i="1" s="1"/>
  <c r="I3" i="1"/>
  <c r="J3" i="1" s="1"/>
  <c r="I12" i="1"/>
  <c r="J12" i="1" s="1"/>
  <c r="I2" i="1"/>
  <c r="J2" i="1" s="1"/>
  <c r="I22" i="1"/>
  <c r="J22" i="1" s="1"/>
  <c r="I28" i="1"/>
  <c r="J28" i="1" s="1"/>
  <c r="I29" i="1"/>
  <c r="J29" i="1" s="1"/>
  <c r="I31" i="1"/>
  <c r="J31" i="1" s="1"/>
  <c r="I26" i="1"/>
  <c r="J26" i="1" s="1"/>
  <c r="I15" i="1"/>
  <c r="J15" i="1" s="1"/>
  <c r="I51" i="1"/>
  <c r="J51" i="1" s="1"/>
  <c r="I30" i="1"/>
  <c r="J30" i="1" s="1"/>
  <c r="I48" i="1"/>
  <c r="J48" i="1" s="1"/>
  <c r="I7" i="1"/>
  <c r="J7" i="1" s="1"/>
  <c r="I34" i="1"/>
  <c r="J34" i="1" s="1"/>
  <c r="I11" i="1"/>
  <c r="J11" i="1" s="1"/>
  <c r="I45" i="1"/>
  <c r="J45" i="1" s="1"/>
  <c r="I16" i="1"/>
  <c r="J16" i="1" s="1"/>
  <c r="I24" i="1"/>
  <c r="J24" i="1" s="1"/>
  <c r="I5" i="1"/>
  <c r="J5" i="1" s="1"/>
  <c r="I13" i="1"/>
  <c r="J13" i="1" s="1"/>
  <c r="I23" i="1"/>
  <c r="J23" i="1" s="1"/>
  <c r="S32" i="1"/>
  <c r="I17" i="1"/>
  <c r="J17" i="1" s="1"/>
  <c r="I50" i="1"/>
  <c r="J50" i="1" s="1"/>
  <c r="I19" i="1"/>
  <c r="J19" i="1" s="1"/>
  <c r="I39" i="1"/>
  <c r="J39" i="1" s="1"/>
  <c r="I32" i="1"/>
  <c r="J32" i="1" s="1"/>
  <c r="I49" i="1"/>
  <c r="J49" i="1" s="1"/>
  <c r="I40" i="1"/>
  <c r="J40" i="1" s="1"/>
  <c r="I20" i="1"/>
  <c r="J20" i="1" s="1"/>
  <c r="I46" i="1"/>
  <c r="J46" i="1" s="1"/>
  <c r="I9" i="1"/>
  <c r="J9" i="1" s="1"/>
  <c r="I35" i="1"/>
  <c r="J35" i="1" s="1"/>
  <c r="I27" i="1"/>
  <c r="J27" i="1" s="1"/>
  <c r="I41" i="1"/>
  <c r="J41" i="1" s="1"/>
  <c r="I18" i="1"/>
  <c r="J18" i="1" s="1"/>
  <c r="I47" i="1"/>
  <c r="J47" i="1" s="1"/>
  <c r="I21" i="1"/>
  <c r="J21" i="1" s="1"/>
  <c r="I25" i="1"/>
  <c r="J25" i="1" s="1"/>
  <c r="I44" i="1"/>
  <c r="J44" i="1" s="1"/>
  <c r="I36" i="1"/>
  <c r="J36" i="1" s="1"/>
  <c r="I6" i="1"/>
  <c r="J6" i="1" s="1"/>
  <c r="I14" i="1"/>
  <c r="J14" i="1" s="1"/>
  <c r="I33" i="1"/>
  <c r="J33" i="1" s="1"/>
  <c r="S43" i="1"/>
  <c r="U40" i="1" s="1"/>
  <c r="AD40" i="1" s="1"/>
  <c r="V78" i="7" l="1"/>
  <c r="AE78" i="7"/>
  <c r="AI78" i="7" s="1"/>
  <c r="V13" i="7"/>
  <c r="AA13" i="7" s="1"/>
  <c r="AE13" i="7"/>
  <c r="AI13" i="7" s="1"/>
  <c r="R79" i="7"/>
  <c r="R14" i="7"/>
  <c r="X72" i="6"/>
  <c r="R78" i="6" s="1"/>
  <c r="X7" i="6"/>
  <c r="R13" i="6" s="1"/>
  <c r="E64" i="6"/>
  <c r="G64" i="6" s="1"/>
  <c r="E151" i="6"/>
  <c r="G151" i="6" s="1"/>
  <c r="E151" i="5"/>
  <c r="G151" i="5" s="1"/>
  <c r="X7" i="5"/>
  <c r="R13" i="5" s="1"/>
  <c r="X72" i="5"/>
  <c r="R78" i="5" s="1"/>
  <c r="E64" i="5"/>
  <c r="G64" i="5" s="1"/>
  <c r="AD62" i="1"/>
  <c r="Y40" i="1"/>
  <c r="Y62" i="1" s="1"/>
  <c r="M3" i="1"/>
  <c r="X32" i="3"/>
  <c r="X54" i="3" s="1"/>
  <c r="T33" i="3"/>
  <c r="AC33" i="3" s="1"/>
  <c r="AC32" i="3"/>
  <c r="L5" i="3"/>
  <c r="AE10" i="3" s="1"/>
  <c r="U41" i="1"/>
  <c r="AD41" i="1" s="1"/>
  <c r="V79" i="7" l="1"/>
  <c r="AE79" i="7"/>
  <c r="AI79" i="7" s="1"/>
  <c r="V14" i="7"/>
  <c r="AA14" i="7" s="1"/>
  <c r="AE14" i="7"/>
  <c r="AI14" i="7" s="1"/>
  <c r="R80" i="7"/>
  <c r="R15" i="7"/>
  <c r="V51" i="7"/>
  <c r="AB51" i="7" s="1"/>
  <c r="V118" i="7"/>
  <c r="AA118" i="7" s="1"/>
  <c r="AA78" i="7"/>
  <c r="V78" i="6"/>
  <c r="AE78" i="6"/>
  <c r="AI78" i="6" s="1"/>
  <c r="V13" i="6"/>
  <c r="AE13" i="6"/>
  <c r="AI13" i="6" s="1"/>
  <c r="R79" i="6"/>
  <c r="R14" i="6"/>
  <c r="R79" i="5"/>
  <c r="R80" i="5" s="1"/>
  <c r="AE80" i="5" s="1"/>
  <c r="AI80" i="5" s="1"/>
  <c r="AE78" i="5"/>
  <c r="AI78" i="5" s="1"/>
  <c r="V13" i="5"/>
  <c r="AA13" i="5" s="1"/>
  <c r="AE13" i="5"/>
  <c r="AI13" i="5" s="1"/>
  <c r="V78" i="5"/>
  <c r="R14" i="5"/>
  <c r="R15" i="5" s="1"/>
  <c r="AD63" i="1"/>
  <c r="Y41" i="1"/>
  <c r="Y63" i="1" s="1"/>
  <c r="AF12" i="1"/>
  <c r="AJ13" i="1" s="1"/>
  <c r="AF11" i="1"/>
  <c r="AH13" i="1" s="1"/>
  <c r="S33" i="1"/>
  <c r="X33" i="3"/>
  <c r="X55" i="3" s="1"/>
  <c r="T34" i="3"/>
  <c r="T35" i="3" s="1"/>
  <c r="AF14" i="3"/>
  <c r="AF13" i="3"/>
  <c r="AH13" i="3" s="1"/>
  <c r="AC55" i="3"/>
  <c r="O12" i="3"/>
  <c r="P15" i="3" s="1"/>
  <c r="R15" i="3" s="1"/>
  <c r="W9" i="3"/>
  <c r="M5" i="1"/>
  <c r="U42" i="1"/>
  <c r="AD42" i="1" s="1"/>
  <c r="V80" i="7" l="1"/>
  <c r="AE80" i="7"/>
  <c r="AI80" i="7" s="1"/>
  <c r="V15" i="7"/>
  <c r="AA15" i="7" s="1"/>
  <c r="AE15" i="7"/>
  <c r="AI15" i="7" s="1"/>
  <c r="AA79" i="7"/>
  <c r="V119" i="7"/>
  <c r="AA119" i="7" s="1"/>
  <c r="R16" i="7"/>
  <c r="V52" i="7"/>
  <c r="AB52" i="7" s="1"/>
  <c r="R81" i="7"/>
  <c r="V79" i="6"/>
  <c r="AE79" i="6"/>
  <c r="AI79" i="6" s="1"/>
  <c r="V14" i="6"/>
  <c r="AE14" i="6"/>
  <c r="AI14" i="6" s="1"/>
  <c r="AA13" i="6"/>
  <c r="V51" i="6"/>
  <c r="AB51" i="6" s="1"/>
  <c r="R80" i="6"/>
  <c r="R15" i="6"/>
  <c r="AA78" i="6"/>
  <c r="V128" i="6"/>
  <c r="AA128" i="6" s="1"/>
  <c r="V79" i="5"/>
  <c r="AA79" i="5" s="1"/>
  <c r="AE79" i="5"/>
  <c r="AI79" i="5" s="1"/>
  <c r="V51" i="5"/>
  <c r="AB51" i="5" s="1"/>
  <c r="AA78" i="5"/>
  <c r="V128" i="5"/>
  <c r="AA128" i="5" s="1"/>
  <c r="AE14" i="5"/>
  <c r="AI14" i="5" s="1"/>
  <c r="V14" i="5"/>
  <c r="AA14" i="5" s="1"/>
  <c r="R81" i="5"/>
  <c r="AE81" i="5" s="1"/>
  <c r="AI81" i="5" s="1"/>
  <c r="V80" i="5"/>
  <c r="V15" i="5"/>
  <c r="AE15" i="5"/>
  <c r="AI15" i="5" s="1"/>
  <c r="R16" i="5"/>
  <c r="AD64" i="1"/>
  <c r="Y42" i="1"/>
  <c r="Y64" i="1" s="1"/>
  <c r="X9" i="1"/>
  <c r="X12" i="1" s="1"/>
  <c r="AB11" i="1" s="1"/>
  <c r="P13" i="1"/>
  <c r="P17" i="1" s="1"/>
  <c r="T16" i="1" s="1"/>
  <c r="AC56" i="3"/>
  <c r="AC34" i="3"/>
  <c r="X34" i="3"/>
  <c r="X56" i="3" s="1"/>
  <c r="AJ13" i="3"/>
  <c r="AI10" i="3"/>
  <c r="AC35" i="3"/>
  <c r="AC57" i="3"/>
  <c r="T36" i="3"/>
  <c r="X35" i="3"/>
  <c r="S12" i="3"/>
  <c r="W12" i="3"/>
  <c r="AA11" i="3" s="1"/>
  <c r="W11" i="3"/>
  <c r="Y11" i="3" s="1"/>
  <c r="P16" i="3"/>
  <c r="T15" i="3" s="1"/>
  <c r="AA9" i="3"/>
  <c r="AI11" i="1"/>
  <c r="U43" i="1"/>
  <c r="AD43" i="1" s="1"/>
  <c r="V81" i="7" l="1"/>
  <c r="AE81" i="7"/>
  <c r="AI81" i="7" s="1"/>
  <c r="V16" i="7"/>
  <c r="AA16" i="7" s="1"/>
  <c r="AE16" i="7"/>
  <c r="AI16" i="7" s="1"/>
  <c r="R17" i="7"/>
  <c r="R82" i="7"/>
  <c r="V53" i="7"/>
  <c r="AB53" i="7" s="1"/>
  <c r="AA80" i="7"/>
  <c r="V120" i="7"/>
  <c r="AA120" i="7" s="1"/>
  <c r="V80" i="6"/>
  <c r="AE80" i="6"/>
  <c r="AI80" i="6" s="1"/>
  <c r="V15" i="6"/>
  <c r="AE15" i="6"/>
  <c r="AI15" i="6" s="1"/>
  <c r="V52" i="6"/>
  <c r="AB52" i="6" s="1"/>
  <c r="AA14" i="6"/>
  <c r="R16" i="6"/>
  <c r="AA79" i="6"/>
  <c r="V129" i="6"/>
  <c r="AA129" i="6" s="1"/>
  <c r="R81" i="6"/>
  <c r="V129" i="5"/>
  <c r="AA129" i="5" s="1"/>
  <c r="AA80" i="5"/>
  <c r="V130" i="5"/>
  <c r="AA130" i="5" s="1"/>
  <c r="V52" i="5"/>
  <c r="AB52" i="5" s="1"/>
  <c r="R82" i="5"/>
  <c r="AE82" i="5" s="1"/>
  <c r="AI82" i="5" s="1"/>
  <c r="V81" i="5"/>
  <c r="AA15" i="5"/>
  <c r="V53" i="5"/>
  <c r="AB53" i="5" s="1"/>
  <c r="V16" i="5"/>
  <c r="AE16" i="5"/>
  <c r="AI16" i="5" s="1"/>
  <c r="R17" i="5"/>
  <c r="AD65" i="1"/>
  <c r="Y43" i="1"/>
  <c r="Y65" i="1" s="1"/>
  <c r="X57" i="3"/>
  <c r="AC36" i="3"/>
  <c r="AC58" i="3"/>
  <c r="T37" i="3"/>
  <c r="X36" i="3"/>
  <c r="X58" i="3" s="1"/>
  <c r="AB9" i="1"/>
  <c r="X11" i="1"/>
  <c r="Z11" i="1" s="1"/>
  <c r="P16" i="1"/>
  <c r="R16" i="1" s="1"/>
  <c r="T13" i="1"/>
  <c r="U44" i="1"/>
  <c r="AD44" i="1" s="1"/>
  <c r="V82" i="7" l="1"/>
  <c r="AE82" i="7"/>
  <c r="AI82" i="7" s="1"/>
  <c r="V17" i="7"/>
  <c r="AA17" i="7" s="1"/>
  <c r="AE17" i="7"/>
  <c r="AI17" i="7" s="1"/>
  <c r="R83" i="7"/>
  <c r="V121" i="7"/>
  <c r="AA121" i="7" s="1"/>
  <c r="AA81" i="7"/>
  <c r="R18" i="7"/>
  <c r="V54" i="7"/>
  <c r="AB54" i="7" s="1"/>
  <c r="V81" i="6"/>
  <c r="AE81" i="6"/>
  <c r="AI81" i="6" s="1"/>
  <c r="V16" i="6"/>
  <c r="AE16" i="6"/>
  <c r="AI16" i="6" s="1"/>
  <c r="AA15" i="6"/>
  <c r="V53" i="6"/>
  <c r="AB53" i="6" s="1"/>
  <c r="R17" i="6"/>
  <c r="R82" i="6"/>
  <c r="V130" i="6"/>
  <c r="AA130" i="6" s="1"/>
  <c r="AA80" i="6"/>
  <c r="AA81" i="5"/>
  <c r="V131" i="5"/>
  <c r="AA131" i="5" s="1"/>
  <c r="R83" i="5"/>
  <c r="AE83" i="5" s="1"/>
  <c r="AI83" i="5" s="1"/>
  <c r="V82" i="5"/>
  <c r="AA16" i="5"/>
  <c r="V54" i="5"/>
  <c r="AB54" i="5" s="1"/>
  <c r="V17" i="5"/>
  <c r="AE17" i="5"/>
  <c r="AI17" i="5" s="1"/>
  <c r="R18" i="5"/>
  <c r="AD66" i="1"/>
  <c r="Y44" i="1"/>
  <c r="Y66" i="1" s="1"/>
  <c r="AC37" i="3"/>
  <c r="AC59" i="3"/>
  <c r="T38" i="3"/>
  <c r="X37" i="3"/>
  <c r="X59" i="3" s="1"/>
  <c r="U45" i="1"/>
  <c r="AD45" i="1" s="1"/>
  <c r="V83" i="7" l="1"/>
  <c r="AE83" i="7"/>
  <c r="AI83" i="7" s="1"/>
  <c r="V18" i="7"/>
  <c r="AA18" i="7" s="1"/>
  <c r="AE18" i="7"/>
  <c r="AI18" i="7" s="1"/>
  <c r="R19" i="7"/>
  <c r="V55" i="7"/>
  <c r="AB55" i="7" s="1"/>
  <c r="V122" i="7"/>
  <c r="AA122" i="7" s="1"/>
  <c r="AA82" i="7"/>
  <c r="R84" i="7"/>
  <c r="V82" i="6"/>
  <c r="AE82" i="6"/>
  <c r="AI82" i="6" s="1"/>
  <c r="V17" i="6"/>
  <c r="AE17" i="6"/>
  <c r="AI17" i="6" s="1"/>
  <c r="R83" i="6"/>
  <c r="R18" i="6"/>
  <c r="V54" i="6"/>
  <c r="AB54" i="6" s="1"/>
  <c r="AA16" i="6"/>
  <c r="V131" i="6"/>
  <c r="AA131" i="6" s="1"/>
  <c r="AA81" i="6"/>
  <c r="AA82" i="5"/>
  <c r="V132" i="5"/>
  <c r="AA132" i="5" s="1"/>
  <c r="R84" i="5"/>
  <c r="AE84" i="5" s="1"/>
  <c r="AI84" i="5" s="1"/>
  <c r="V83" i="5"/>
  <c r="AA17" i="5"/>
  <c r="V55" i="5"/>
  <c r="AB55" i="5" s="1"/>
  <c r="V18" i="5"/>
  <c r="AE18" i="5"/>
  <c r="AI18" i="5" s="1"/>
  <c r="R19" i="5"/>
  <c r="AD67" i="1"/>
  <c r="Y45" i="1"/>
  <c r="Y67" i="1" s="1"/>
  <c r="AC38" i="3"/>
  <c r="AC60" i="3"/>
  <c r="T39" i="3"/>
  <c r="X38" i="3"/>
  <c r="X60" i="3" s="1"/>
  <c r="U46" i="1"/>
  <c r="AD46" i="1" s="1"/>
  <c r="V84" i="7" l="1"/>
  <c r="AE84" i="7"/>
  <c r="AI84" i="7" s="1"/>
  <c r="V19" i="7"/>
  <c r="AA19" i="7" s="1"/>
  <c r="AE19" i="7"/>
  <c r="AI19" i="7" s="1"/>
  <c r="V56" i="7"/>
  <c r="AB56" i="7" s="1"/>
  <c r="R85" i="7"/>
  <c r="AA83" i="7"/>
  <c r="V123" i="7"/>
  <c r="AA123" i="7" s="1"/>
  <c r="R20" i="7"/>
  <c r="V83" i="6"/>
  <c r="AE83" i="6"/>
  <c r="AI83" i="6" s="1"/>
  <c r="V18" i="6"/>
  <c r="AE18" i="6"/>
  <c r="AI18" i="6" s="1"/>
  <c r="R19" i="6"/>
  <c r="V132" i="6"/>
  <c r="AA132" i="6" s="1"/>
  <c r="AA82" i="6"/>
  <c r="V55" i="6"/>
  <c r="AB55" i="6" s="1"/>
  <c r="AA17" i="6"/>
  <c r="R84" i="6"/>
  <c r="AA83" i="5"/>
  <c r="V133" i="5"/>
  <c r="AA133" i="5" s="1"/>
  <c r="R85" i="5"/>
  <c r="AE85" i="5" s="1"/>
  <c r="AI85" i="5" s="1"/>
  <c r="V84" i="5"/>
  <c r="AA18" i="5"/>
  <c r="V56" i="5"/>
  <c r="AB56" i="5" s="1"/>
  <c r="V19" i="5"/>
  <c r="AE19" i="5"/>
  <c r="AI19" i="5" s="1"/>
  <c r="R20" i="5"/>
  <c r="AD68" i="1"/>
  <c r="Y46" i="1"/>
  <c r="Y68" i="1" s="1"/>
  <c r="AC39" i="3"/>
  <c r="AC61" i="3"/>
  <c r="T40" i="3"/>
  <c r="X39" i="3"/>
  <c r="X61" i="3" s="1"/>
  <c r="U47" i="1"/>
  <c r="AD47" i="1" s="1"/>
  <c r="V85" i="7" l="1"/>
  <c r="AE85" i="7"/>
  <c r="AI85" i="7" s="1"/>
  <c r="V20" i="7"/>
  <c r="AA20" i="7" s="1"/>
  <c r="AE20" i="7"/>
  <c r="AI20" i="7" s="1"/>
  <c r="V57" i="7"/>
  <c r="AB57" i="7" s="1"/>
  <c r="R21" i="7"/>
  <c r="AA84" i="7"/>
  <c r="V124" i="7"/>
  <c r="AA124" i="7" s="1"/>
  <c r="R86" i="7"/>
  <c r="V84" i="6"/>
  <c r="AE84" i="6"/>
  <c r="AI84" i="6" s="1"/>
  <c r="V19" i="6"/>
  <c r="AE19" i="6"/>
  <c r="AI19" i="6" s="1"/>
  <c r="V56" i="6"/>
  <c r="AB56" i="6" s="1"/>
  <c r="AA18" i="6"/>
  <c r="AA83" i="6"/>
  <c r="V133" i="6"/>
  <c r="AA133" i="6" s="1"/>
  <c r="R20" i="6"/>
  <c r="R85" i="6"/>
  <c r="AA84" i="5"/>
  <c r="V134" i="5"/>
  <c r="AA134" i="5" s="1"/>
  <c r="R86" i="5"/>
  <c r="AE86" i="5" s="1"/>
  <c r="AI86" i="5" s="1"/>
  <c r="V85" i="5"/>
  <c r="AA19" i="5"/>
  <c r="V57" i="5"/>
  <c r="AB57" i="5" s="1"/>
  <c r="V20" i="5"/>
  <c r="AE20" i="5"/>
  <c r="AI20" i="5" s="1"/>
  <c r="R21" i="5"/>
  <c r="AD69" i="1"/>
  <c r="Y47" i="1"/>
  <c r="Y69" i="1" s="1"/>
  <c r="AC40" i="3"/>
  <c r="AC62" i="3"/>
  <c r="T41" i="3"/>
  <c r="X40" i="3"/>
  <c r="X62" i="3" s="1"/>
  <c r="U48" i="1"/>
  <c r="AD48" i="1" s="1"/>
  <c r="V86" i="7" l="1"/>
  <c r="AE86" i="7"/>
  <c r="AI86" i="7" s="1"/>
  <c r="V21" i="7"/>
  <c r="AA21" i="7" s="1"/>
  <c r="AE21" i="7"/>
  <c r="AI21" i="7" s="1"/>
  <c r="R87" i="7"/>
  <c r="R22" i="7"/>
  <c r="V58" i="7"/>
  <c r="AB58" i="7" s="1"/>
  <c r="V125" i="7"/>
  <c r="AA125" i="7" s="1"/>
  <c r="AA85" i="7"/>
  <c r="V85" i="6"/>
  <c r="AE85" i="6"/>
  <c r="AI85" i="6" s="1"/>
  <c r="V20" i="6"/>
  <c r="AE20" i="6"/>
  <c r="AI20" i="6" s="1"/>
  <c r="AA19" i="6"/>
  <c r="V57" i="6"/>
  <c r="AB57" i="6" s="1"/>
  <c r="R21" i="6"/>
  <c r="V134" i="6"/>
  <c r="AA134" i="6" s="1"/>
  <c r="AA84" i="6"/>
  <c r="R86" i="6"/>
  <c r="AA85" i="5"/>
  <c r="V135" i="5"/>
  <c r="AA135" i="5" s="1"/>
  <c r="R87" i="5"/>
  <c r="AE87" i="5" s="1"/>
  <c r="AI87" i="5" s="1"/>
  <c r="V86" i="5"/>
  <c r="AA20" i="5"/>
  <c r="V58" i="5"/>
  <c r="AB58" i="5" s="1"/>
  <c r="V21" i="5"/>
  <c r="AE21" i="5"/>
  <c r="AI21" i="5" s="1"/>
  <c r="R22" i="5"/>
  <c r="AD70" i="1"/>
  <c r="Y48" i="1"/>
  <c r="Y70" i="1" s="1"/>
  <c r="AC41" i="3"/>
  <c r="AC63" i="3"/>
  <c r="T42" i="3"/>
  <c r="X41" i="3"/>
  <c r="X63" i="3" s="1"/>
  <c r="U49" i="1"/>
  <c r="AD49" i="1" s="1"/>
  <c r="V87" i="7" l="1"/>
  <c r="AE87" i="7"/>
  <c r="AI87" i="7" s="1"/>
  <c r="V22" i="7"/>
  <c r="AA22" i="7" s="1"/>
  <c r="AE22" i="7"/>
  <c r="AI22" i="7" s="1"/>
  <c r="V59" i="7"/>
  <c r="AB59" i="7" s="1"/>
  <c r="V126" i="7"/>
  <c r="AA126" i="7" s="1"/>
  <c r="AA86" i="7"/>
  <c r="V86" i="6"/>
  <c r="AE86" i="6"/>
  <c r="AI86" i="6" s="1"/>
  <c r="V21" i="6"/>
  <c r="AE21" i="6"/>
  <c r="AI21" i="6" s="1"/>
  <c r="R87" i="6"/>
  <c r="V58" i="6"/>
  <c r="AB58" i="6" s="1"/>
  <c r="AA20" i="6"/>
  <c r="R22" i="6"/>
  <c r="AA85" i="6"/>
  <c r="V135" i="6"/>
  <c r="AA135" i="6" s="1"/>
  <c r="AA86" i="5"/>
  <c r="V136" i="5"/>
  <c r="AA136" i="5" s="1"/>
  <c r="R88" i="5"/>
  <c r="AE88" i="5" s="1"/>
  <c r="AI88" i="5" s="1"/>
  <c r="V87" i="5"/>
  <c r="AA21" i="5"/>
  <c r="V59" i="5"/>
  <c r="AB59" i="5" s="1"/>
  <c r="V22" i="5"/>
  <c r="AE22" i="5"/>
  <c r="AI22" i="5" s="1"/>
  <c r="AD71" i="1"/>
  <c r="Y49" i="1"/>
  <c r="Y71" i="1" s="1"/>
  <c r="AC42" i="3"/>
  <c r="AC64" i="3"/>
  <c r="T43" i="3"/>
  <c r="X42" i="3"/>
  <c r="X64" i="3" s="1"/>
  <c r="U50" i="1"/>
  <c r="AD50" i="1" s="1"/>
  <c r="V60" i="7" l="1"/>
  <c r="AB60" i="7" s="1"/>
  <c r="V64" i="7" s="1"/>
  <c r="X64" i="7" s="1"/>
  <c r="AA87" i="7"/>
  <c r="V127" i="7"/>
  <c r="AA127" i="7" s="1"/>
  <c r="V87" i="6"/>
  <c r="AE87" i="6"/>
  <c r="AI87" i="6" s="1"/>
  <c r="V22" i="6"/>
  <c r="AE22" i="6"/>
  <c r="AI22" i="6" s="1"/>
  <c r="AA21" i="6"/>
  <c r="V59" i="6"/>
  <c r="AB59" i="6" s="1"/>
  <c r="AA86" i="6"/>
  <c r="V136" i="6"/>
  <c r="AA136" i="6" s="1"/>
  <c r="R88" i="6"/>
  <c r="AA87" i="5"/>
  <c r="V137" i="5"/>
  <c r="AA137" i="5" s="1"/>
  <c r="R89" i="5"/>
  <c r="AE89" i="5" s="1"/>
  <c r="AI89" i="5" s="1"/>
  <c r="V88" i="5"/>
  <c r="AA22" i="5"/>
  <c r="V60" i="5"/>
  <c r="AB60" i="5" s="1"/>
  <c r="V64" i="5" s="1"/>
  <c r="X64" i="5" s="1"/>
  <c r="AD72" i="1"/>
  <c r="Y50" i="1"/>
  <c r="Y72" i="1" s="1"/>
  <c r="AC43" i="3"/>
  <c r="AC65" i="3"/>
  <c r="T44" i="3"/>
  <c r="X43" i="3"/>
  <c r="X65" i="3" s="1"/>
  <c r="U51" i="1"/>
  <c r="AD51" i="1" s="1"/>
  <c r="V88" i="6" l="1"/>
  <c r="AE88" i="6"/>
  <c r="AI88" i="6" s="1"/>
  <c r="R89" i="6"/>
  <c r="V60" i="6"/>
  <c r="AB60" i="6" s="1"/>
  <c r="V64" i="6" s="1"/>
  <c r="X64" i="6" s="1"/>
  <c r="AA22" i="6"/>
  <c r="AA87" i="6"/>
  <c r="V137" i="6"/>
  <c r="AA137" i="6" s="1"/>
  <c r="AA88" i="5"/>
  <c r="V138" i="5"/>
  <c r="AA138" i="5" s="1"/>
  <c r="R90" i="5"/>
  <c r="AE90" i="5" s="1"/>
  <c r="AI90" i="5" s="1"/>
  <c r="V89" i="5"/>
  <c r="AD73" i="1"/>
  <c r="Y51" i="1"/>
  <c r="Y73" i="1" s="1"/>
  <c r="AC44" i="3"/>
  <c r="AC66" i="3"/>
  <c r="T45" i="3"/>
  <c r="X44" i="3"/>
  <c r="X66" i="3" s="1"/>
  <c r="U52" i="1"/>
  <c r="AD52" i="1" s="1"/>
  <c r="V89" i="6" l="1"/>
  <c r="AE89" i="6"/>
  <c r="AI89" i="6" s="1"/>
  <c r="V138" i="6"/>
  <c r="AA138" i="6" s="1"/>
  <c r="AA88" i="6"/>
  <c r="R90" i="6"/>
  <c r="AA89" i="5"/>
  <c r="V139" i="5"/>
  <c r="AA139" i="5" s="1"/>
  <c r="R91" i="5"/>
  <c r="AE91" i="5" s="1"/>
  <c r="AI91" i="5" s="1"/>
  <c r="V90" i="5"/>
  <c r="AD74" i="1"/>
  <c r="Y52" i="1"/>
  <c r="Y74" i="1" s="1"/>
  <c r="AC45" i="3"/>
  <c r="AC67" i="3"/>
  <c r="T46" i="3"/>
  <c r="X45" i="3"/>
  <c r="X67" i="3" s="1"/>
  <c r="U53" i="1"/>
  <c r="AD53" i="1" s="1"/>
  <c r="V90" i="6" l="1"/>
  <c r="AE90" i="6"/>
  <c r="AI90" i="6" s="1"/>
  <c r="V139" i="6"/>
  <c r="AA139" i="6" s="1"/>
  <c r="AA89" i="6"/>
  <c r="R91" i="6"/>
  <c r="AA90" i="5"/>
  <c r="V140" i="5"/>
  <c r="AA140" i="5" s="1"/>
  <c r="R92" i="5"/>
  <c r="AE92" i="5" s="1"/>
  <c r="AI92" i="5" s="1"/>
  <c r="V91" i="5"/>
  <c r="AD75" i="1"/>
  <c r="Y53" i="1"/>
  <c r="Y75" i="1" s="1"/>
  <c r="AC46" i="3"/>
  <c r="AC68" i="3"/>
  <c r="T47" i="3"/>
  <c r="X46" i="3"/>
  <c r="X68" i="3" s="1"/>
  <c r="U54" i="1"/>
  <c r="AD54" i="1" s="1"/>
  <c r="V91" i="6" l="1"/>
  <c r="AE91" i="6"/>
  <c r="AI91" i="6" s="1"/>
  <c r="V140" i="6"/>
  <c r="AA140" i="6" s="1"/>
  <c r="AA90" i="6"/>
  <c r="R92" i="6"/>
  <c r="AA91" i="5"/>
  <c r="V141" i="5"/>
  <c r="AA141" i="5" s="1"/>
  <c r="R93" i="5"/>
  <c r="AE93" i="5" s="1"/>
  <c r="AI93" i="5" s="1"/>
  <c r="V92" i="5"/>
  <c r="AD76" i="1"/>
  <c r="Y54" i="1"/>
  <c r="Y76" i="1" s="1"/>
  <c r="AC47" i="3"/>
  <c r="AC69" i="3"/>
  <c r="T48" i="3"/>
  <c r="X47" i="3"/>
  <c r="X69" i="3" s="1"/>
  <c r="U55" i="1"/>
  <c r="AD55" i="1" s="1"/>
  <c r="V92" i="6" l="1"/>
  <c r="AE92" i="6"/>
  <c r="AI92" i="6" s="1"/>
  <c r="AA91" i="6"/>
  <c r="V141" i="6"/>
  <c r="AA141" i="6" s="1"/>
  <c r="R93" i="6"/>
  <c r="AA92" i="5"/>
  <c r="V142" i="5"/>
  <c r="AA142" i="5" s="1"/>
  <c r="R94" i="5"/>
  <c r="AE94" i="5" s="1"/>
  <c r="AI94" i="5" s="1"/>
  <c r="V93" i="5"/>
  <c r="AD77" i="1"/>
  <c r="Y55" i="1"/>
  <c r="Y77" i="1" s="1"/>
  <c r="AC48" i="3"/>
  <c r="AC70" i="3"/>
  <c r="T49" i="3"/>
  <c r="X48" i="3"/>
  <c r="X70" i="3" s="1"/>
  <c r="U56" i="1"/>
  <c r="AD56" i="1" s="1"/>
  <c r="V93" i="6" l="1"/>
  <c r="AE93" i="6"/>
  <c r="AI93" i="6" s="1"/>
  <c r="V142" i="6"/>
  <c r="AA142" i="6" s="1"/>
  <c r="AA92" i="6"/>
  <c r="R94" i="6"/>
  <c r="AA93" i="5"/>
  <c r="V143" i="5"/>
  <c r="AA143" i="5" s="1"/>
  <c r="R95" i="5"/>
  <c r="AE95" i="5" s="1"/>
  <c r="AI95" i="5" s="1"/>
  <c r="V94" i="5"/>
  <c r="AD78" i="1"/>
  <c r="Y56" i="1"/>
  <c r="Y78" i="1" s="1"/>
  <c r="AC49" i="3"/>
  <c r="AC71" i="3"/>
  <c r="T50" i="3"/>
  <c r="X49" i="3"/>
  <c r="X71" i="3" s="1"/>
  <c r="U57" i="1"/>
  <c r="AD57" i="1" s="1"/>
  <c r="V94" i="6" l="1"/>
  <c r="AE94" i="6"/>
  <c r="AI94" i="6" s="1"/>
  <c r="AA93" i="6"/>
  <c r="V143" i="6"/>
  <c r="AA143" i="6" s="1"/>
  <c r="R95" i="6"/>
  <c r="AA94" i="5"/>
  <c r="V144" i="5"/>
  <c r="AA144" i="5" s="1"/>
  <c r="R96" i="5"/>
  <c r="AE96" i="5" s="1"/>
  <c r="AI96" i="5" s="1"/>
  <c r="V95" i="5"/>
  <c r="AD79" i="1"/>
  <c r="Y57" i="1"/>
  <c r="Y79" i="1" s="1"/>
  <c r="X50" i="3"/>
  <c r="X72" i="3" s="1"/>
  <c r="AC72" i="3"/>
  <c r="U58" i="1"/>
  <c r="AD58" i="1" s="1"/>
  <c r="V95" i="6" l="1"/>
  <c r="AE95" i="6"/>
  <c r="AI95" i="6" s="1"/>
  <c r="AA94" i="6"/>
  <c r="V144" i="6"/>
  <c r="AA144" i="6" s="1"/>
  <c r="R96" i="6"/>
  <c r="AA95" i="5"/>
  <c r="V145" i="5"/>
  <c r="AA145" i="5" s="1"/>
  <c r="R97" i="5"/>
  <c r="V96" i="5"/>
  <c r="AD80" i="1"/>
  <c r="Y58" i="1"/>
  <c r="Y80" i="1" s="1"/>
  <c r="U59" i="1"/>
  <c r="V96" i="6" l="1"/>
  <c r="AE96" i="6"/>
  <c r="AI96" i="6" s="1"/>
  <c r="AA95" i="6"/>
  <c r="V145" i="6"/>
  <c r="AA145" i="6" s="1"/>
  <c r="R97" i="6"/>
  <c r="AA96" i="5"/>
  <c r="V146" i="5"/>
  <c r="AA146" i="5" s="1"/>
  <c r="V97" i="5"/>
  <c r="AE97" i="5"/>
  <c r="AI97" i="5" s="1"/>
  <c r="AD81" i="1"/>
  <c r="Y59" i="1"/>
  <c r="Y81" i="1" s="1"/>
  <c r="V131" i="7" l="1"/>
  <c r="X131" i="7" s="1"/>
  <c r="V97" i="6"/>
  <c r="AE97" i="6"/>
  <c r="AI97" i="6" s="1"/>
  <c r="V146" i="6"/>
  <c r="AA146" i="6" s="1"/>
  <c r="AA96" i="6"/>
  <c r="AA97" i="5"/>
  <c r="V147" i="5"/>
  <c r="AA97" i="6" l="1"/>
  <c r="V147" i="6"/>
  <c r="AA147" i="5"/>
  <c r="V151" i="5" s="1"/>
  <c r="X151" i="5" s="1"/>
  <c r="AA147" i="6" l="1"/>
  <c r="V151" i="6" s="1"/>
  <c r="X151" i="6" s="1"/>
</calcChain>
</file>

<file path=xl/sharedStrings.xml><?xml version="1.0" encoding="utf-8"?>
<sst xmlns="http://schemas.openxmlformats.org/spreadsheetml/2006/main" count="292" uniqueCount="88">
  <si>
    <t>Scarti</t>
  </si>
  <si>
    <t>α=</t>
  </si>
  <si>
    <t>1-α=</t>
  </si>
  <si>
    <t>α/2=</t>
  </si>
  <si>
    <t>1-α/2=</t>
  </si>
  <si>
    <r>
      <rPr>
        <b/>
        <sz val="11"/>
        <color theme="1"/>
        <rFont val="Aptos Narrow"/>
        <family val="2"/>
        <scheme val="minor"/>
      </rPr>
      <t xml:space="preserve">Raggio </t>
    </r>
    <r>
      <rPr>
        <sz val="11"/>
        <color theme="1"/>
        <rFont val="Aptos Narrow"/>
        <family val="2"/>
        <scheme val="minor"/>
      </rPr>
      <t xml:space="preserve">= </t>
    </r>
  </si>
  <si>
    <r>
      <rPr>
        <b/>
        <sz val="11"/>
        <color theme="1"/>
        <rFont val="Aptos Narrow"/>
        <family val="2"/>
        <scheme val="minor"/>
      </rPr>
      <t>Limite inferiore</t>
    </r>
    <r>
      <rPr>
        <sz val="11"/>
        <color theme="1"/>
        <rFont val="Aptos Narrow"/>
        <family val="2"/>
        <scheme val="minor"/>
      </rPr>
      <t xml:space="preserve">= </t>
    </r>
  </si>
  <si>
    <r>
      <t>Limite superiore</t>
    </r>
    <r>
      <rPr>
        <sz val="11"/>
        <color theme="1"/>
        <rFont val="Aptos Narrow"/>
        <family val="2"/>
        <scheme val="minor"/>
      </rPr>
      <t xml:space="preserve">= </t>
    </r>
  </si>
  <si>
    <r>
      <rPr>
        <b/>
        <sz val="11"/>
        <color theme="1"/>
        <rFont val="Aptos Narrow"/>
        <family val="2"/>
        <scheme val="minor"/>
      </rPr>
      <t xml:space="preserve">Ampiezza intervallo </t>
    </r>
    <r>
      <rPr>
        <sz val="11"/>
        <color theme="1"/>
        <rFont val="Aptos Narrow"/>
        <family val="2"/>
        <scheme val="minor"/>
      </rPr>
      <t>=</t>
    </r>
  </si>
  <si>
    <r>
      <rPr>
        <b/>
        <sz val="11"/>
        <color theme="1"/>
        <rFont val="Aptos Narrow"/>
        <family val="2"/>
        <scheme val="minor"/>
      </rPr>
      <t>Ampiezza intervallo</t>
    </r>
    <r>
      <rPr>
        <sz val="11"/>
        <color theme="1"/>
        <rFont val="Aptos Narrow"/>
        <family val="2"/>
        <scheme val="minor"/>
      </rPr>
      <t xml:space="preserve"> =</t>
    </r>
  </si>
  <si>
    <r>
      <t xml:space="preserve">Raggio </t>
    </r>
    <r>
      <rPr>
        <sz val="11"/>
        <color theme="1"/>
        <rFont val="Aptos Narrow"/>
        <family val="2"/>
        <scheme val="minor"/>
      </rPr>
      <t>=</t>
    </r>
  </si>
  <si>
    <t>Stima intervallare del valore atteso con il quantile di Gossét</t>
  </si>
  <si>
    <t>Stima puntuale dei valori in input</t>
  </si>
  <si>
    <t>Stima intervallare della varianza</t>
  </si>
  <si>
    <t>Limite inferiore =</t>
  </si>
  <si>
    <t>Limite superiore=</t>
  </si>
  <si>
    <t>Ampiezza intervallo=</t>
  </si>
  <si>
    <t>Più del 10% di errore?</t>
  </si>
  <si>
    <t xml:space="preserve">10% della media = </t>
  </si>
  <si>
    <t>10% della varianza=</t>
  </si>
  <si>
    <t>Stima empirica della distribuzione</t>
  </si>
  <si>
    <t>Numero di intervalli=</t>
  </si>
  <si>
    <t>Realizzazione minima=</t>
  </si>
  <si>
    <t>Realizzazione massima=</t>
  </si>
  <si>
    <t>Ampiezza intervalli=</t>
  </si>
  <si>
    <t>Limite superiore degli intervalli</t>
  </si>
  <si>
    <t>Limite superiore degli intervalli (= x)</t>
  </si>
  <si>
    <t>N° di realizzazioni che dovrebbero cadere negli intervalli</t>
  </si>
  <si>
    <t>N° di realizzazioni nell'intervallo (= n_x)</t>
  </si>
  <si>
    <t>Distribuzione stimata</t>
  </si>
  <si>
    <t>Distribuzione teorica</t>
  </si>
  <si>
    <t>Domanda. Senza informazioni sulla provenienza delle realizzazioni, in che modo possiamo capire qual è (se esiste) la legge che le governa?</t>
  </si>
  <si>
    <t>Lambda =</t>
  </si>
  <si>
    <t>Realizzazioni (100)</t>
  </si>
  <si>
    <t>Media teorica=</t>
  </si>
  <si>
    <t>Varianza teorica=</t>
  </si>
  <si>
    <t>Scarti al quadrato</t>
  </si>
  <si>
    <t>Scarto quadratico medio=</t>
  </si>
  <si>
    <t>Stima intervallare del valore atteso (n &gt; 30)</t>
  </si>
  <si>
    <t>Stima intervallare del valore atteso (n &lt; 30)</t>
  </si>
  <si>
    <t>Media stimata (n &lt; 30)=</t>
  </si>
  <si>
    <t>Stima puntuale dei parametri in input</t>
  </si>
  <si>
    <t>10% di lambda=</t>
  </si>
  <si>
    <t>alpha=</t>
  </si>
  <si>
    <t>lambda=</t>
  </si>
  <si>
    <t>Media campionaria=</t>
  </si>
  <si>
    <t>Varianza campionaria=</t>
  </si>
  <si>
    <t>beta=</t>
  </si>
  <si>
    <t>Media campionaria (n &lt; 30)=</t>
  </si>
  <si>
    <t>Con alpha teorico</t>
  </si>
  <si>
    <t>Realizzazioni ^ aplha</t>
  </si>
  <si>
    <t>Istogramma, a passi di 1</t>
  </si>
  <si>
    <t>N° di realizzazioni negli intervalli</t>
  </si>
  <si>
    <t xml:space="preserve">p_ j = </t>
  </si>
  <si>
    <t>Nessun limite superiore</t>
  </si>
  <si>
    <t>N° intervalli =</t>
  </si>
  <si>
    <t xml:space="preserve">Realizzazione minima = </t>
  </si>
  <si>
    <t>Intervalli equiprobabili (k=10), test sull'eventuale errore di prima specie</t>
  </si>
  <si>
    <t>Intervalli di stessa ampiezza (k = 10), test sull'eventuale errore di prima specie</t>
  </si>
  <si>
    <t>Alpha=</t>
  </si>
  <si>
    <t>Verifica del test</t>
  </si>
  <si>
    <t>N° di realizzazioni degli intervalli (tra inf e sup)</t>
  </si>
  <si>
    <t>Scarti al quadrato/ num atteso</t>
  </si>
  <si>
    <t>N° di realizzazioni negli intervalli (tra inf e sup)</t>
  </si>
  <si>
    <t>Intervalli equiprobabili (k=20), test sull'eventuale errore di prima specie</t>
  </si>
  <si>
    <t>Intervalli di stessa ampiezza (k=20), test sull'eventuale errore di prima specie</t>
  </si>
  <si>
    <t>Test sulla bontà della forma della Normale</t>
  </si>
  <si>
    <t>Test sulla bontà della forma della Esponenziale</t>
  </si>
  <si>
    <t>n*p_j=</t>
  </si>
  <si>
    <t>n*p_j</t>
  </si>
  <si>
    <t>Test sulla bontà della forma della Weibull</t>
  </si>
  <si>
    <t>Distribuzione teorica exp</t>
  </si>
  <si>
    <t>Limite superiore degli intervalli exp</t>
  </si>
  <si>
    <t>Limite superiore degli intervalli Normale</t>
  </si>
  <si>
    <t>Distribuzione teorica Normale</t>
  </si>
  <si>
    <t>Intervalli equiprobabili (k=10), test sull'eventuale errore di seconda specie: confronto con una Normale</t>
  </si>
  <si>
    <t>Intervalli di stessa ampiezza (k=10), test sull'eventuale errore di seconda specie: confronto con una Normale</t>
  </si>
  <si>
    <t>Valori casuali (100)</t>
  </si>
  <si>
    <t>Stima intervallare del valore atteso con il quantile della Normale</t>
  </si>
  <si>
    <t>Intervalli equiprobabili (k=10), test sull'eventuale errore di seconda specie: confronto con una Esponenziale</t>
  </si>
  <si>
    <t>Intervalli di stessa ampiezza (k = 10), test sull'eventuale errore di seconda specie: confronto con una Esponenziale</t>
  </si>
  <si>
    <t>Dev std campionaria=</t>
  </si>
  <si>
    <t xml:space="preserve">Media = </t>
  </si>
  <si>
    <t xml:space="preserve">Varianza = </t>
  </si>
  <si>
    <t xml:space="preserve">Dev. Std = </t>
  </si>
  <si>
    <t>Media campionaria =</t>
  </si>
  <si>
    <t xml:space="preserve">Varianza campionaria = </t>
  </si>
  <si>
    <t xml:space="preserve">Dev std campionaria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</si>
</sst>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2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3" borderId="4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0" fillId="4" borderId="0" xfId="0" applyFill="1"/>
    <xf numFmtId="0" fontId="1" fillId="4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3" fillId="2" borderId="0" xfId="0" applyFont="1" applyFill="1" applyAlignment="1">
      <alignment horizontal="right"/>
    </xf>
    <xf numFmtId="0" fontId="0" fillId="0" borderId="5" xfId="0" applyBorder="1"/>
    <xf numFmtId="0" fontId="0" fillId="8" borderId="6" xfId="0" applyFill="1" applyBorder="1"/>
    <xf numFmtId="0" fontId="4" fillId="3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1" fillId="11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/>
    <xf numFmtId="0" fontId="0" fillId="12" borderId="6" xfId="0" applyFill="1" applyBorder="1"/>
    <xf numFmtId="0" fontId="0" fillId="3" borderId="7" xfId="0" applyFill="1" applyBorder="1"/>
    <xf numFmtId="0" fontId="1" fillId="9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fra stima e teorica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Normale!$Y$62:$Y$81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0.06</c:v>
                </c:pt>
                <c:pt idx="7">
                  <c:v>0.13</c:v>
                </c:pt>
                <c:pt idx="8">
                  <c:v>0.12</c:v>
                </c:pt>
                <c:pt idx="9">
                  <c:v>0.18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926-BB1E-2486F19599EA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Normale!$AD$62:$AD$81</c:f>
              <c:numCache>
                <c:formatCode>General</c:formatCode>
                <c:ptCount val="20"/>
                <c:pt idx="0">
                  <c:v>1.1937101448792765E-3</c:v>
                </c:pt>
                <c:pt idx="1">
                  <c:v>3.0643822246269473E-3</c:v>
                </c:pt>
                <c:pt idx="2">
                  <c:v>7.0772590788249837E-3</c:v>
                </c:pt>
                <c:pt idx="3">
                  <c:v>1.4705128779565113E-2</c:v>
                </c:pt>
                <c:pt idx="4">
                  <c:v>2.7488890956772729E-2</c:v>
                </c:pt>
                <c:pt idx="5">
                  <c:v>4.6230959772546473E-2</c:v>
                </c:pt>
                <c:pt idx="6">
                  <c:v>6.9951677622652711E-2</c:v>
                </c:pt>
                <c:pt idx="7">
                  <c:v>9.5225811574754349E-2</c:v>
                </c:pt>
                <c:pt idx="8">
                  <c:v>0.11662828660527885</c:v>
                </c:pt>
                <c:pt idx="9">
                  <c:v>0.12851288049918419</c:v>
                </c:pt>
                <c:pt idx="10">
                  <c:v>0.12740409735964175</c:v>
                </c:pt>
                <c:pt idx="11">
                  <c:v>0.11363551100805069</c:v>
                </c:pt>
                <c:pt idx="12">
                  <c:v>9.118810264543431E-2</c:v>
                </c:pt>
                <c:pt idx="13">
                  <c:v>6.583468550784477E-2</c:v>
                </c:pt>
                <c:pt idx="14">
                  <c:v>4.2762433482619211E-2</c:v>
                </c:pt>
                <c:pt idx="15">
                  <c:v>2.4989597208329384E-2</c:v>
                </c:pt>
                <c:pt idx="16">
                  <c:v>1.3138415695289951E-2</c:v>
                </c:pt>
                <c:pt idx="17">
                  <c:v>6.2145675685959523E-3</c:v>
                </c:pt>
                <c:pt idx="18">
                  <c:v>2.6445992251260542E-3</c:v>
                </c:pt>
                <c:pt idx="19">
                  <c:v>1.012479696537727E-3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7-4926-BB1E-2486F195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4592"/>
        <c:axId val="84196576"/>
      </c:barChart>
      <c:catAx>
        <c:axId val="2575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96576"/>
        <c:crosses val="autoZero"/>
        <c:auto val="1"/>
        <c:lblAlgn val="ctr"/>
        <c:lblOffset val="100"/>
        <c:noMultiLvlLbl val="0"/>
      </c:catAx>
      <c:valAx>
        <c:axId val="841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Exp'!$AA$13:$AA$22</c:f>
              <c:numCache>
                <c:formatCode>General</c:formatCode>
                <c:ptCount val="10"/>
                <c:pt idx="0">
                  <c:v>0.45</c:v>
                </c:pt>
                <c:pt idx="1">
                  <c:v>0.27</c:v>
                </c:pt>
                <c:pt idx="2">
                  <c:v>0.17</c:v>
                </c:pt>
                <c:pt idx="3">
                  <c:v>0.02</c:v>
                </c:pt>
                <c:pt idx="4">
                  <c:v>0.06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A-4C9F-B0F9-2582BC234F80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Exp'!$AE$13:$AE$22</c:f>
              <c:numCache>
                <c:formatCode>General</c:formatCode>
                <c:ptCount val="10"/>
                <c:pt idx="0">
                  <c:v>0.52349311459454928</c:v>
                </c:pt>
                <c:pt idx="1">
                  <c:v>0.24931191866608116</c:v>
                </c:pt>
                <c:pt idx="2">
                  <c:v>0.11873400252284794</c:v>
                </c:pt>
                <c:pt idx="3">
                  <c:v>5.654668830324816E-2</c:v>
                </c:pt>
                <c:pt idx="4">
                  <c:v>2.6930179140970179E-2</c:v>
                </c:pt>
                <c:pt idx="5">
                  <c:v>1.2825411537373599E-2</c:v>
                </c:pt>
                <c:pt idx="6">
                  <c:v>6.1080611548085528E-3</c:v>
                </c:pt>
                <c:pt idx="7">
                  <c:v>2.9089445560607219E-3</c:v>
                </c:pt>
                <c:pt idx="8">
                  <c:v>1.3853755251899136E-3</c:v>
                </c:pt>
                <c:pt idx="9">
                  <c:v>6.5978065542593445E-4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A-4C9F-B0F9-2582BC23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30736"/>
        <c:axId val="322871344"/>
      </c:barChart>
      <c:catAx>
        <c:axId val="13447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871344"/>
        <c:crosses val="autoZero"/>
        <c:auto val="1"/>
        <c:lblAlgn val="ctr"/>
        <c:lblOffset val="100"/>
        <c:noMultiLvlLbl val="0"/>
      </c:catAx>
      <c:valAx>
        <c:axId val="322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Intervalli</a:t>
            </a:r>
            <a:r>
              <a:rPr lang="it-IT" baseline="0"/>
              <a:t> equiprobabili (k=20)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Exp'!$J$78:$J$97</c:f>
              <c:numCache>
                <c:formatCode>General</c:formatCode>
                <c:ptCount val="20"/>
                <c:pt idx="0">
                  <c:v>0.04</c:v>
                </c:pt>
                <c:pt idx="1">
                  <c:v>0.02</c:v>
                </c:pt>
                <c:pt idx="2">
                  <c:v>0.05</c:v>
                </c:pt>
                <c:pt idx="3">
                  <c:v>0.01</c:v>
                </c:pt>
                <c:pt idx="4">
                  <c:v>0.03</c:v>
                </c:pt>
                <c:pt idx="5">
                  <c:v>0.09</c:v>
                </c:pt>
                <c:pt idx="6">
                  <c:v>0.02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0.11</c:v>
                </c:pt>
                <c:pt idx="11">
                  <c:v>0.02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0.09</c:v>
                </c:pt>
                <c:pt idx="17">
                  <c:v>0.04</c:v>
                </c:pt>
                <c:pt idx="18">
                  <c:v>0.02</c:v>
                </c:pt>
                <c:pt idx="1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8-4C95-889D-1F39D2EBB00E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Exp'!$N$78:$N$97</c:f>
              <c:numCache>
                <c:formatCode>General</c:formatCode>
                <c:ptCount val="20"/>
                <c:pt idx="0">
                  <c:v>5.0000000000000044E-2</c:v>
                </c:pt>
                <c:pt idx="1">
                  <c:v>4.9999999999999933E-2</c:v>
                </c:pt>
                <c:pt idx="2">
                  <c:v>5.0000000000000044E-2</c:v>
                </c:pt>
                <c:pt idx="3">
                  <c:v>4.9999999999999933E-2</c:v>
                </c:pt>
                <c:pt idx="4">
                  <c:v>5.0000000000000044E-2</c:v>
                </c:pt>
                <c:pt idx="5">
                  <c:v>5.0000000000000044E-2</c:v>
                </c:pt>
                <c:pt idx="6">
                  <c:v>5.0000000000000044E-2</c:v>
                </c:pt>
                <c:pt idx="7">
                  <c:v>4.9999999999999933E-2</c:v>
                </c:pt>
                <c:pt idx="8">
                  <c:v>4.9999999999999933E-2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4.9999999999999822E-2</c:v>
                </c:pt>
                <c:pt idx="14">
                  <c:v>5.0000000000000044E-2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4.9999999999999933E-2</c:v>
                </c:pt>
                <c:pt idx="18">
                  <c:v>5.0000000000000044E-2</c:v>
                </c:pt>
                <c:pt idx="19">
                  <c:v>4.999999999999994E-2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8-4C95-889D-1F39D2EB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01312"/>
        <c:axId val="28195328"/>
      </c:barChart>
      <c:catAx>
        <c:axId val="17411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95328"/>
        <c:crosses val="autoZero"/>
        <c:auto val="1"/>
        <c:lblAlgn val="ctr"/>
        <c:lblOffset val="100"/>
        <c:noMultiLvlLbl val="0"/>
      </c:catAx>
      <c:valAx>
        <c:axId val="281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1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Exp'!$AA$78:$AA$97</c:f>
              <c:numCache>
                <c:formatCode>General</c:formatCode>
                <c:ptCount val="20"/>
                <c:pt idx="0">
                  <c:v>0.24</c:v>
                </c:pt>
                <c:pt idx="1">
                  <c:v>0.21</c:v>
                </c:pt>
                <c:pt idx="2">
                  <c:v>0.17</c:v>
                </c:pt>
                <c:pt idx="3">
                  <c:v>0.1</c:v>
                </c:pt>
                <c:pt idx="4">
                  <c:v>0.12</c:v>
                </c:pt>
                <c:pt idx="5">
                  <c:v>0.05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A-4E10-9C38-58C269E383E7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Exp'!$AE$78:$AE$97</c:f>
              <c:numCache>
                <c:formatCode>General</c:formatCode>
                <c:ptCount val="20"/>
                <c:pt idx="0">
                  <c:v>0.30973974488581812</c:v>
                </c:pt>
                <c:pt idx="1">
                  <c:v>0.21375336970873116</c:v>
                </c:pt>
                <c:pt idx="2">
                  <c:v>0.14751256116221312</c:v>
                </c:pt>
                <c:pt idx="3">
                  <c:v>0.10179935750386815</c:v>
                </c:pt>
                <c:pt idx="4">
                  <c:v>7.0252384654921118E-2</c:v>
                </c:pt>
                <c:pt idx="5">
                  <c:v>4.8481617867926707E-2</c:v>
                </c:pt>
                <c:pt idx="6">
                  <c:v>3.3457473118345349E-2</c:v>
                </c:pt>
                <c:pt idx="7">
                  <c:v>2.3089215184902812E-2</c:v>
                </c:pt>
                <c:pt idx="8">
                  <c:v>1.5934014382049666E-2</c:v>
                </c:pt>
                <c:pt idx="9">
                  <c:v>1.0996164758920624E-2</c:v>
                </c:pt>
                <c:pt idx="10">
                  <c:v>7.5885233002891406E-3</c:v>
                </c:pt>
                <c:pt idx="11">
                  <c:v>5.2368882370843473E-3</c:v>
                </c:pt>
                <c:pt idx="12">
                  <c:v>3.6140099097630163E-3</c:v>
                </c:pt>
                <c:pt idx="13">
                  <c:v>2.4940512450455365E-3</c:v>
                </c:pt>
                <c:pt idx="14">
                  <c:v>1.7211606410125757E-3</c:v>
                </c:pt>
                <c:pt idx="15">
                  <c:v>1.1877839150481462E-3</c:v>
                </c:pt>
                <c:pt idx="16">
                  <c:v>8.19697241053019E-4</c:v>
                </c:pt>
                <c:pt idx="17">
                  <c:v>5.6567828413689458E-4</c:v>
                </c:pt>
                <c:pt idx="18">
                  <c:v>3.9037818491749476E-4</c:v>
                </c:pt>
                <c:pt idx="19">
                  <c:v>2.6940247050843968E-4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A-4E10-9C38-58C269E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5504"/>
        <c:axId val="1442207968"/>
      </c:barChart>
      <c:catAx>
        <c:axId val="17410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207968"/>
        <c:crosses val="autoZero"/>
        <c:auto val="1"/>
        <c:lblAlgn val="ctr"/>
        <c:lblOffset val="100"/>
        <c:noMultiLvlLbl val="0"/>
      </c:catAx>
      <c:valAx>
        <c:axId val="1442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equiprobabili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Exp'!$J$13:$J$22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0-4077-93B9-2F7FF28E71BB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Exp'!$N$13:$N$22</c:f>
              <c:numCache>
                <c:formatCode>General</c:formatCode>
                <c:ptCount val="10"/>
                <c:pt idx="0">
                  <c:v>9.9999999999999978E-2</c:v>
                </c:pt>
                <c:pt idx="1">
                  <c:v>9.9999999999999978E-2</c:v>
                </c:pt>
                <c:pt idx="2">
                  <c:v>0.10000000000000009</c:v>
                </c:pt>
                <c:pt idx="3">
                  <c:v>9.9999999999999978E-2</c:v>
                </c:pt>
                <c:pt idx="4">
                  <c:v>9.9999999999999978E-2</c:v>
                </c:pt>
                <c:pt idx="5">
                  <c:v>0.10000000000000009</c:v>
                </c:pt>
                <c:pt idx="6">
                  <c:v>9.9999999999999867E-2</c:v>
                </c:pt>
                <c:pt idx="7">
                  <c:v>0.10000000000000009</c:v>
                </c:pt>
                <c:pt idx="8">
                  <c:v>9.9999999999999978E-2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0-4077-93B9-2F7FF28E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59328"/>
        <c:axId val="386776112"/>
      </c:barChart>
      <c:catAx>
        <c:axId val="15392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76112"/>
        <c:crosses val="autoZero"/>
        <c:auto val="1"/>
        <c:lblAlgn val="ctr"/>
        <c:lblOffset val="100"/>
        <c:noMultiLvlLbl val="0"/>
      </c:catAx>
      <c:valAx>
        <c:axId val="386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Weibull'!$AA$13:$AA$22</c:f>
              <c:numCache>
                <c:formatCode>General</c:formatCode>
                <c:ptCount val="10"/>
                <c:pt idx="0">
                  <c:v>0.08</c:v>
                </c:pt>
                <c:pt idx="1">
                  <c:v>0.11</c:v>
                </c:pt>
                <c:pt idx="2">
                  <c:v>0.21</c:v>
                </c:pt>
                <c:pt idx="3">
                  <c:v>0.13</c:v>
                </c:pt>
                <c:pt idx="4">
                  <c:v>0.2</c:v>
                </c:pt>
                <c:pt idx="5">
                  <c:v>0.12</c:v>
                </c:pt>
                <c:pt idx="6">
                  <c:v>7.0000000000000007E-2</c:v>
                </c:pt>
                <c:pt idx="7">
                  <c:v>0.03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1-4166-9BC9-598380468756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Weibull'!$AE$13:$AE$22</c:f>
              <c:numCache>
                <c:formatCode>General</c:formatCode>
                <c:ptCount val="10"/>
                <c:pt idx="0">
                  <c:v>0.18015853577928065</c:v>
                </c:pt>
                <c:pt idx="1">
                  <c:v>0.14414067106116635</c:v>
                </c:pt>
                <c:pt idx="2">
                  <c:v>0.11532361186270679</c:v>
                </c:pt>
                <c:pt idx="3">
                  <c:v>9.2267750352130307E-2</c:v>
                </c:pt>
                <c:pt idx="4">
                  <c:v>7.3821289652098554E-2</c:v>
                </c:pt>
                <c:pt idx="5">
                  <c:v>5.9062703762704172E-2</c:v>
                </c:pt>
                <c:pt idx="6">
                  <c:v>4.7254701078793593E-2</c:v>
                </c:pt>
                <c:pt idx="7">
                  <c:v>3.7807391666620616E-2</c:v>
                </c:pt>
                <c:pt idx="8">
                  <c:v>3.0248818255136811E-2</c:v>
                </c:pt>
                <c:pt idx="9">
                  <c:v>2.4201378764780679E-2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1-4166-9BC9-59838046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30736"/>
        <c:axId val="322871344"/>
      </c:barChart>
      <c:catAx>
        <c:axId val="13447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871344"/>
        <c:crosses val="autoZero"/>
        <c:auto val="1"/>
        <c:lblAlgn val="ctr"/>
        <c:lblOffset val="100"/>
        <c:noMultiLvlLbl val="0"/>
      </c:catAx>
      <c:valAx>
        <c:axId val="322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Intervalli</a:t>
            </a:r>
            <a:r>
              <a:rPr lang="it-IT" baseline="0"/>
              <a:t> equiprobabili (k=10)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Weibull'!$J$78:$J$87</c:f>
              <c:numCache>
                <c:formatCode>General</c:formatCode>
                <c:ptCount val="10"/>
                <c:pt idx="0">
                  <c:v>0.08</c:v>
                </c:pt>
                <c:pt idx="1">
                  <c:v>0.11</c:v>
                </c:pt>
                <c:pt idx="2">
                  <c:v>0.12</c:v>
                </c:pt>
                <c:pt idx="3">
                  <c:v>0.16</c:v>
                </c:pt>
                <c:pt idx="4">
                  <c:v>0.06</c:v>
                </c:pt>
                <c:pt idx="5">
                  <c:v>0.12</c:v>
                </c:pt>
                <c:pt idx="6">
                  <c:v>0.12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3-422D-8B41-AB56EEFD3233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Weibull'!$N$78:$N$87</c:f>
              <c:numCache>
                <c:formatCode>General</c:formatCode>
                <c:ptCount val="10"/>
                <c:pt idx="0">
                  <c:v>9.9999999999999978E-2</c:v>
                </c:pt>
                <c:pt idx="1">
                  <c:v>9.9999999999999922E-2</c:v>
                </c:pt>
                <c:pt idx="2">
                  <c:v>0.10000000000000003</c:v>
                </c:pt>
                <c:pt idx="3">
                  <c:v>0.10000000000000009</c:v>
                </c:pt>
                <c:pt idx="4">
                  <c:v>9.9999999999999978E-2</c:v>
                </c:pt>
                <c:pt idx="5">
                  <c:v>0.10000000000000009</c:v>
                </c:pt>
                <c:pt idx="6">
                  <c:v>0.10000000000000009</c:v>
                </c:pt>
                <c:pt idx="7">
                  <c:v>9.9999999999999978E-2</c:v>
                </c:pt>
                <c:pt idx="8">
                  <c:v>9.9999999999999978E-2</c:v>
                </c:pt>
                <c:pt idx="9">
                  <c:v>9.9999999999999867E-2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3-422D-8B41-AB56EEFD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01312"/>
        <c:axId val="28195328"/>
      </c:barChart>
      <c:catAx>
        <c:axId val="17411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95328"/>
        <c:crosses val="autoZero"/>
        <c:auto val="1"/>
        <c:lblAlgn val="ctr"/>
        <c:lblOffset val="100"/>
        <c:noMultiLvlLbl val="0"/>
      </c:catAx>
      <c:valAx>
        <c:axId val="281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1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Weibull'!$AA$78:$AA$87</c:f>
              <c:numCache>
                <c:formatCode>General</c:formatCode>
                <c:ptCount val="10"/>
                <c:pt idx="0">
                  <c:v>0.08</c:v>
                </c:pt>
                <c:pt idx="1">
                  <c:v>0.11</c:v>
                </c:pt>
                <c:pt idx="2">
                  <c:v>0.21</c:v>
                </c:pt>
                <c:pt idx="3">
                  <c:v>0.13</c:v>
                </c:pt>
                <c:pt idx="4">
                  <c:v>0.2</c:v>
                </c:pt>
                <c:pt idx="5">
                  <c:v>0.12</c:v>
                </c:pt>
                <c:pt idx="6">
                  <c:v>7.0000000000000007E-2</c:v>
                </c:pt>
                <c:pt idx="7">
                  <c:v>0.03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6-49EC-B6C8-195B4DC132F8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Weibull'!$AE$78:$AE$87</c:f>
              <c:numCache>
                <c:formatCode>General</c:formatCode>
                <c:ptCount val="10"/>
                <c:pt idx="0">
                  <c:v>5.5737866926800793E-2</c:v>
                </c:pt>
                <c:pt idx="1">
                  <c:v>9.5743839851021112E-2</c:v>
                </c:pt>
                <c:pt idx="2">
                  <c:v>0.1374601914139108</c:v>
                </c:pt>
                <c:pt idx="3">
                  <c:v>0.16495156458009974</c:v>
                </c:pt>
                <c:pt idx="4">
                  <c:v>0.16544486086984711</c:v>
                </c:pt>
                <c:pt idx="5">
                  <c:v>0.13869714961991564</c:v>
                </c:pt>
                <c:pt idx="6">
                  <c:v>9.7184135541974137E-2</c:v>
                </c:pt>
                <c:pt idx="7">
                  <c:v>5.6915314801502914E-2</c:v>
                </c:pt>
                <c:pt idx="8">
                  <c:v>2.7858482825561914E-2</c:v>
                </c:pt>
                <c:pt idx="9">
                  <c:v>1.1396340468316613E-2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6-49EC-B6C8-195B4DC1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5504"/>
        <c:axId val="1442207968"/>
      </c:barChart>
      <c:catAx>
        <c:axId val="17410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207968"/>
        <c:crosses val="autoZero"/>
        <c:auto val="1"/>
        <c:lblAlgn val="ctr"/>
        <c:lblOffset val="100"/>
        <c:noMultiLvlLbl val="0"/>
      </c:catAx>
      <c:valAx>
        <c:axId val="1442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fra stima e teorica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Esponenziale!$X$53:$X$72</c:f>
              <c:numCache>
                <c:formatCode>General</c:formatCode>
                <c:ptCount val="20"/>
                <c:pt idx="0">
                  <c:v>0.24</c:v>
                </c:pt>
                <c:pt idx="1">
                  <c:v>0.21</c:v>
                </c:pt>
                <c:pt idx="2">
                  <c:v>0.17</c:v>
                </c:pt>
                <c:pt idx="3">
                  <c:v>0.1</c:v>
                </c:pt>
                <c:pt idx="4">
                  <c:v>0.12</c:v>
                </c:pt>
                <c:pt idx="5">
                  <c:v>0.05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0.02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9-4FAE-B8A8-45A484A72C3B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Esponenziale!$AC$53:$AC$72</c:f>
              <c:numCache>
                <c:formatCode>General</c:formatCode>
                <c:ptCount val="20"/>
                <c:pt idx="0">
                  <c:v>0.30973974488581812</c:v>
                </c:pt>
                <c:pt idx="1">
                  <c:v>0.21375336970873116</c:v>
                </c:pt>
                <c:pt idx="2">
                  <c:v>0.14751256116221312</c:v>
                </c:pt>
                <c:pt idx="3">
                  <c:v>0.10179935750386815</c:v>
                </c:pt>
                <c:pt idx="4">
                  <c:v>7.0252384654921118E-2</c:v>
                </c:pt>
                <c:pt idx="5">
                  <c:v>4.8481617867926707E-2</c:v>
                </c:pt>
                <c:pt idx="6">
                  <c:v>3.3457473118345349E-2</c:v>
                </c:pt>
                <c:pt idx="7">
                  <c:v>2.3089215184902812E-2</c:v>
                </c:pt>
                <c:pt idx="8">
                  <c:v>1.5934014382049666E-2</c:v>
                </c:pt>
                <c:pt idx="9">
                  <c:v>1.0996164758920624E-2</c:v>
                </c:pt>
                <c:pt idx="10">
                  <c:v>7.5885233002891406E-3</c:v>
                </c:pt>
                <c:pt idx="11">
                  <c:v>5.2368882370843473E-3</c:v>
                </c:pt>
                <c:pt idx="12">
                  <c:v>3.6140099097630163E-3</c:v>
                </c:pt>
                <c:pt idx="13">
                  <c:v>2.4940512450455365E-3</c:v>
                </c:pt>
                <c:pt idx="14">
                  <c:v>1.7211606410125757E-3</c:v>
                </c:pt>
                <c:pt idx="15">
                  <c:v>1.1877839150481462E-3</c:v>
                </c:pt>
                <c:pt idx="16">
                  <c:v>8.19697241053019E-4</c:v>
                </c:pt>
                <c:pt idx="17">
                  <c:v>5.6567828413689458E-4</c:v>
                </c:pt>
                <c:pt idx="18">
                  <c:v>3.9037818491749476E-4</c:v>
                </c:pt>
                <c:pt idx="19">
                  <c:v>2.6940247050843968E-4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9-4FAE-B8A8-45A484A7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373104"/>
        <c:axId val="118271312"/>
      </c:barChart>
      <c:catAx>
        <c:axId val="2213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271312"/>
        <c:crosses val="autoZero"/>
        <c:auto val="1"/>
        <c:lblAlgn val="ctr"/>
        <c:lblOffset val="100"/>
        <c:noMultiLvlLbl val="0"/>
      </c:catAx>
      <c:valAx>
        <c:axId val="118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3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fra stima e teorica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Weibull!$AB$53:$AB$72</c:f>
              <c:numCache>
                <c:formatCode>General</c:formatCode>
                <c:ptCount val="20"/>
                <c:pt idx="0">
                  <c:v>0.01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0.11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0.09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0.05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3-4F4F-804C-AD7E8ACCD17B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Weibull!$AG$53:$AG$72</c:f>
              <c:numCache>
                <c:formatCode>General</c:formatCode>
                <c:ptCount val="20"/>
                <c:pt idx="0">
                  <c:v>2.7381557441910918E-2</c:v>
                </c:pt>
                <c:pt idx="1">
                  <c:v>4.4763804391079444E-2</c:v>
                </c:pt>
                <c:pt idx="2">
                  <c:v>5.964711583073562E-2</c:v>
                </c:pt>
                <c:pt idx="3">
                  <c:v>7.1331688940854343E-2</c:v>
                </c:pt>
                <c:pt idx="4">
                  <c:v>7.9401158288932516E-2</c:v>
                </c:pt>
                <c:pt idx="5">
                  <c:v>8.3740263363422163E-2</c:v>
                </c:pt>
                <c:pt idx="6">
                  <c:v>8.4517943764522596E-2</c:v>
                </c:pt>
                <c:pt idx="7">
                  <c:v>8.2141156661449832E-2</c:v>
                </c:pt>
                <c:pt idx="8">
                  <c:v>7.7188411133452872E-2</c:v>
                </c:pt>
                <c:pt idx="9">
                  <c:v>7.0333865187183209E-2</c:v>
                </c:pt>
                <c:pt idx="10">
                  <c:v>6.2272719772219709E-2</c:v>
                </c:pt>
                <c:pt idx="11">
                  <c:v>5.3656850929775568E-2</c:v>
                </c:pt>
                <c:pt idx="12">
                  <c:v>4.5046710615358032E-2</c:v>
                </c:pt>
                <c:pt idx="13">
                  <c:v>3.6882186795079819E-2</c:v>
                </c:pt>
                <c:pt idx="14">
                  <c:v>2.94719937228064E-2</c:v>
                </c:pt>
                <c:pt idx="15">
                  <c:v>2.2998749365128357E-2</c:v>
                </c:pt>
                <c:pt idx="16">
                  <c:v>1.7535444256094324E-2</c:v>
                </c:pt>
                <c:pt idx="17">
                  <c:v>1.306853768866123E-2</c:v>
                </c:pt>
                <c:pt idx="18">
                  <c:v>9.5232718617438428E-3</c:v>
                </c:pt>
                <c:pt idx="19">
                  <c:v>6.7877031407502786E-3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3-4F4F-804C-AD7E8ACC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538992"/>
        <c:axId val="63234976"/>
      </c:barChart>
      <c:catAx>
        <c:axId val="12785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34976"/>
        <c:crosses val="autoZero"/>
        <c:auto val="1"/>
        <c:lblAlgn val="ctr"/>
        <c:lblOffset val="100"/>
        <c:noMultiLvlLbl val="0"/>
      </c:catAx>
      <c:valAx>
        <c:axId val="632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85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fra stimata e teorica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Weibull!$AC$91:$AC$100</c:f>
              <c:numCache>
                <c:formatCode>General</c:formatCode>
                <c:ptCount val="10"/>
                <c:pt idx="0">
                  <c:v>0.19</c:v>
                </c:pt>
                <c:pt idx="1">
                  <c:v>0.45</c:v>
                </c:pt>
                <c:pt idx="2">
                  <c:v>0.28000000000000003</c:v>
                </c:pt>
                <c:pt idx="3">
                  <c:v>7.0000000000000007E-2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3-4DCD-8B31-42EAD41C1BB6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Weibull!$AG$91:$AG$100</c:f>
              <c:numCache>
                <c:formatCode>General</c:formatCode>
                <c:ptCount val="10"/>
                <c:pt idx="0">
                  <c:v>0.22119921692859512</c:v>
                </c:pt>
                <c:pt idx="1">
                  <c:v>0.41092134189996254</c:v>
                </c:pt>
                <c:pt idx="2">
                  <c:v>0.26248021660957799</c:v>
                </c:pt>
                <c:pt idx="3">
                  <c:v>8.7083585673130126E-2</c:v>
                </c:pt>
                <c:pt idx="4">
                  <c:v>1.6385184752506499E-2</c:v>
                </c:pt>
                <c:pt idx="5">
                  <c:v>1.8070443321410723E-3</c:v>
                </c:pt>
                <c:pt idx="6">
                  <c:v>1.1862468669454618E-4</c:v>
                </c:pt>
                <c:pt idx="7">
                  <c:v>4.6725822173687703E-6</c:v>
                </c:pt>
                <c:pt idx="8">
                  <c:v>1.1092994667283307E-7</c:v>
                </c:pt>
                <c:pt idx="9">
                  <c:v>1.5913401707479125E-9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3-4DCD-8B31-42EAD41C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83392"/>
        <c:axId val="1340740784"/>
      </c:barChart>
      <c:catAx>
        <c:axId val="68658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740784"/>
        <c:crosses val="autoZero"/>
        <c:auto val="1"/>
        <c:lblAlgn val="ctr"/>
        <c:lblOffset val="100"/>
        <c:noMultiLvlLbl val="0"/>
      </c:catAx>
      <c:valAx>
        <c:axId val="1340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equiprobabili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Normale'!$J$13:$J$22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0.12</c:v>
                </c:pt>
                <c:pt idx="3">
                  <c:v>0.1</c:v>
                </c:pt>
                <c:pt idx="4">
                  <c:v>0.13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0.12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D-49B9-8A1A-453B29F7EC14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Normale'!$N$13:$N$22</c:f>
              <c:numCache>
                <c:formatCode>General</c:formatCode>
                <c:ptCount val="10"/>
                <c:pt idx="0">
                  <c:v>9.9999999999999978E-2</c:v>
                </c:pt>
                <c:pt idx="1">
                  <c:v>9.9999999999999922E-2</c:v>
                </c:pt>
                <c:pt idx="2">
                  <c:v>0.10000000000000009</c:v>
                </c:pt>
                <c:pt idx="3">
                  <c:v>9.9999999999999978E-2</c:v>
                </c:pt>
                <c:pt idx="4">
                  <c:v>0.10000000000000003</c:v>
                </c:pt>
                <c:pt idx="5">
                  <c:v>0.1000000000000002</c:v>
                </c:pt>
                <c:pt idx="6">
                  <c:v>9.9999999999999978E-2</c:v>
                </c:pt>
                <c:pt idx="7">
                  <c:v>9.9999999999999978E-2</c:v>
                </c:pt>
                <c:pt idx="8">
                  <c:v>9.9999999999999867E-2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D-49B9-8A1A-453B29F7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59328"/>
        <c:axId val="386776112"/>
      </c:barChart>
      <c:catAx>
        <c:axId val="15392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76112"/>
        <c:crosses val="autoZero"/>
        <c:auto val="1"/>
        <c:lblAlgn val="ctr"/>
        <c:lblOffset val="100"/>
        <c:noMultiLvlLbl val="0"/>
      </c:catAx>
      <c:valAx>
        <c:axId val="386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Normale'!$AA$13:$AA$22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0.08</c:v>
                </c:pt>
                <c:pt idx="3">
                  <c:v>0.19</c:v>
                </c:pt>
                <c:pt idx="4">
                  <c:v>0.3</c:v>
                </c:pt>
                <c:pt idx="5">
                  <c:v>0.25</c:v>
                </c:pt>
                <c:pt idx="6">
                  <c:v>0.11</c:v>
                </c:pt>
                <c:pt idx="7">
                  <c:v>0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48-99CE-1A91753246C4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Normale'!$AE$13:$AE$22</c:f>
              <c:numCache>
                <c:formatCode>General</c:formatCode>
                <c:ptCount val="10"/>
                <c:pt idx="0">
                  <c:v>4.258092369506224E-3</c:v>
                </c:pt>
                <c:pt idx="1">
                  <c:v>2.1782387858390095E-2</c:v>
                </c:pt>
                <c:pt idx="2">
                  <c:v>7.3719850729319206E-2</c:v>
                </c:pt>
                <c:pt idx="3">
                  <c:v>0.16517748919740705</c:v>
                </c:pt>
                <c:pt idx="4">
                  <c:v>0.24514116710446304</c:v>
                </c:pt>
                <c:pt idx="5">
                  <c:v>0.24103960836769245</c:v>
                </c:pt>
                <c:pt idx="6">
                  <c:v>0.15702278815327908</c:v>
                </c:pt>
                <c:pt idx="7">
                  <c:v>6.7752030690948595E-2</c:v>
                </c:pt>
                <c:pt idx="8">
                  <c:v>1.9352983263885903E-2</c:v>
                </c:pt>
                <c:pt idx="9">
                  <c:v>3.6570789216637811E-3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0-4448-99CE-1A917532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730736"/>
        <c:axId val="322871344"/>
      </c:barChart>
      <c:catAx>
        <c:axId val="13447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871344"/>
        <c:crosses val="autoZero"/>
        <c:auto val="1"/>
        <c:lblAlgn val="ctr"/>
        <c:lblOffset val="100"/>
        <c:noMultiLvlLbl val="0"/>
      </c:catAx>
      <c:valAx>
        <c:axId val="3228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4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Intervalli</a:t>
            </a:r>
            <a:r>
              <a:rPr lang="it-IT" baseline="0"/>
              <a:t> equiprobabili (k=20)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Normale'!$J$78:$J$97</c:f>
              <c:numCache>
                <c:formatCode>General</c:formatCode>
                <c:ptCount val="20"/>
                <c:pt idx="0">
                  <c:v>0.09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0.11</c:v>
                </c:pt>
                <c:pt idx="10">
                  <c:v>0.04</c:v>
                </c:pt>
                <c:pt idx="11">
                  <c:v>0.06</c:v>
                </c:pt>
                <c:pt idx="12">
                  <c:v>0.05</c:v>
                </c:pt>
                <c:pt idx="13">
                  <c:v>0.02</c:v>
                </c:pt>
                <c:pt idx="14">
                  <c:v>0.09</c:v>
                </c:pt>
                <c:pt idx="15">
                  <c:v>0.03</c:v>
                </c:pt>
                <c:pt idx="16">
                  <c:v>0.01</c:v>
                </c:pt>
                <c:pt idx="17">
                  <c:v>0.05</c:v>
                </c:pt>
                <c:pt idx="18">
                  <c:v>0.02</c:v>
                </c:pt>
                <c:pt idx="1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EBF-82D5-C575670F29FB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Normale'!$N$78:$N$97</c:f>
              <c:numCache>
                <c:formatCode>General</c:formatCode>
                <c:ptCount val="20"/>
                <c:pt idx="0">
                  <c:v>5.000000000000001E-2</c:v>
                </c:pt>
                <c:pt idx="1">
                  <c:v>4.9999999999999968E-2</c:v>
                </c:pt>
                <c:pt idx="2">
                  <c:v>4.9999999999999961E-2</c:v>
                </c:pt>
                <c:pt idx="3">
                  <c:v>4.9999999999999961E-2</c:v>
                </c:pt>
                <c:pt idx="4">
                  <c:v>4.9999999999999933E-2</c:v>
                </c:pt>
                <c:pt idx="5">
                  <c:v>5.0000000000000155E-2</c:v>
                </c:pt>
                <c:pt idx="6">
                  <c:v>4.9999999999999933E-2</c:v>
                </c:pt>
                <c:pt idx="7">
                  <c:v>5.0000000000000044E-2</c:v>
                </c:pt>
                <c:pt idx="8">
                  <c:v>4.9999999999999989E-2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5.0000000000000155E-2</c:v>
                </c:pt>
                <c:pt idx="12">
                  <c:v>4.9999999999999933E-2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4.9999999999999933E-2</c:v>
                </c:pt>
                <c:pt idx="16">
                  <c:v>4.9999999999999378E-2</c:v>
                </c:pt>
                <c:pt idx="17">
                  <c:v>5.0000000000000488E-2</c:v>
                </c:pt>
                <c:pt idx="18">
                  <c:v>5.0000000000000044E-2</c:v>
                </c:pt>
                <c:pt idx="19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A-4EBF-82D5-C575670F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01312"/>
        <c:axId val="28195328"/>
      </c:barChart>
      <c:catAx>
        <c:axId val="17411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95328"/>
        <c:crosses val="autoZero"/>
        <c:auto val="1"/>
        <c:lblAlgn val="ctr"/>
        <c:lblOffset val="100"/>
        <c:noMultiLvlLbl val="0"/>
      </c:catAx>
      <c:valAx>
        <c:axId val="281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1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Normale'!$AA$78:$AA$97</c:f>
              <c:numCache>
                <c:formatCode>General</c:formatCode>
                <c:ptCount val="2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0.06</c:v>
                </c:pt>
                <c:pt idx="7">
                  <c:v>0.13</c:v>
                </c:pt>
                <c:pt idx="8">
                  <c:v>0.12</c:v>
                </c:pt>
                <c:pt idx="9">
                  <c:v>0.18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DA-953F-AB548CE34E92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Normale'!$AE$78:$AE$97</c:f>
              <c:numCache>
                <c:formatCode>General</c:formatCode>
                <c:ptCount val="20"/>
                <c:pt idx="0">
                  <c:v>1.1937101448792765E-3</c:v>
                </c:pt>
                <c:pt idx="1">
                  <c:v>3.0643822246269473E-3</c:v>
                </c:pt>
                <c:pt idx="2">
                  <c:v>7.0772590788249837E-3</c:v>
                </c:pt>
                <c:pt idx="3">
                  <c:v>1.4705128779565113E-2</c:v>
                </c:pt>
                <c:pt idx="4">
                  <c:v>2.7488890956772729E-2</c:v>
                </c:pt>
                <c:pt idx="5">
                  <c:v>4.6230959772546473E-2</c:v>
                </c:pt>
                <c:pt idx="6">
                  <c:v>6.9951677622652711E-2</c:v>
                </c:pt>
                <c:pt idx="7">
                  <c:v>9.5225811574754349E-2</c:v>
                </c:pt>
                <c:pt idx="8">
                  <c:v>0.11662828660527885</c:v>
                </c:pt>
                <c:pt idx="9">
                  <c:v>0.12851288049918419</c:v>
                </c:pt>
                <c:pt idx="10">
                  <c:v>0.12740409735964175</c:v>
                </c:pt>
                <c:pt idx="11">
                  <c:v>0.11363551100805069</c:v>
                </c:pt>
                <c:pt idx="12">
                  <c:v>9.118810264543431E-2</c:v>
                </c:pt>
                <c:pt idx="13">
                  <c:v>6.583468550784477E-2</c:v>
                </c:pt>
                <c:pt idx="14">
                  <c:v>4.2762433482619211E-2</c:v>
                </c:pt>
                <c:pt idx="15">
                  <c:v>2.4989597208329384E-2</c:v>
                </c:pt>
                <c:pt idx="16">
                  <c:v>1.3138415695289951E-2</c:v>
                </c:pt>
                <c:pt idx="17">
                  <c:v>6.2145675685959523E-3</c:v>
                </c:pt>
                <c:pt idx="18">
                  <c:v>2.6445992251260542E-3</c:v>
                </c:pt>
                <c:pt idx="19">
                  <c:v>1.012479696537727E-3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E-4EDA-953F-AB548CE3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5504"/>
        <c:axId val="1442207968"/>
      </c:barChart>
      <c:catAx>
        <c:axId val="17410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207968"/>
        <c:crosses val="autoZero"/>
        <c:auto val="1"/>
        <c:lblAlgn val="ctr"/>
        <c:lblOffset val="100"/>
        <c:noMultiLvlLbl val="0"/>
      </c:catAx>
      <c:valAx>
        <c:axId val="1442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equiprobabili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'Test sulla forma per Exp'!$J$13:$J$22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9-4E98-957E-2C1D3EEC6BC2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'Test sulla forma per Exp'!$N$13:$N$22</c:f>
              <c:numCache>
                <c:formatCode>General</c:formatCode>
                <c:ptCount val="10"/>
                <c:pt idx="0">
                  <c:v>9.9999999999999978E-2</c:v>
                </c:pt>
                <c:pt idx="1">
                  <c:v>9.9999999999999978E-2</c:v>
                </c:pt>
                <c:pt idx="2">
                  <c:v>0.10000000000000009</c:v>
                </c:pt>
                <c:pt idx="3">
                  <c:v>9.9999999999999978E-2</c:v>
                </c:pt>
                <c:pt idx="4">
                  <c:v>9.9999999999999978E-2</c:v>
                </c:pt>
                <c:pt idx="5">
                  <c:v>0.10000000000000009</c:v>
                </c:pt>
                <c:pt idx="6">
                  <c:v>9.9999999999999867E-2</c:v>
                </c:pt>
                <c:pt idx="7">
                  <c:v>0.10000000000000009</c:v>
                </c:pt>
                <c:pt idx="8">
                  <c:v>9.9999999999999978E-2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9-4E98-957E-2C1D3EEC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59328"/>
        <c:axId val="386776112"/>
      </c:barChart>
      <c:catAx>
        <c:axId val="15392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776112"/>
        <c:crosses val="autoZero"/>
        <c:auto val="1"/>
        <c:lblAlgn val="ctr"/>
        <c:lblOffset val="100"/>
        <c:noMultiLvlLbl val="0"/>
      </c:catAx>
      <c:valAx>
        <c:axId val="386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9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521369</xdr:colOff>
      <xdr:row>4</xdr:row>
      <xdr:rowOff>90238</xdr:rowOff>
    </xdr:from>
    <xdr:ext cx="541420" cy="317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81B189B-C921-01AA-DE63-DE06F38D4D01}"/>
                </a:ext>
              </a:extLst>
            </xdr:cNvPr>
            <xdr:cNvSpPr txBox="1"/>
          </xdr:nvSpPr>
          <xdr:spPr>
            <a:xfrm>
              <a:off x="10918658" y="912396"/>
              <a:ext cx="541420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𝒛</m:t>
                      </m:r>
                    </m:e>
                    <m:sub>
                      <m:f>
                        <m:fPr>
                          <m:type m:val="skw"/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</m:sub>
                  </m:sSub>
                </m:oMath>
              </a14:m>
              <a:r>
                <a:rPr lang="it-IT" sz="1600"/>
                <a:t>=</a:t>
              </a: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81B189B-C921-01AA-DE63-DE06F38D4D01}"/>
                </a:ext>
              </a:extLst>
            </xdr:cNvPr>
            <xdr:cNvSpPr txBox="1"/>
          </xdr:nvSpPr>
          <xdr:spPr>
            <a:xfrm>
              <a:off x="10918658" y="912396"/>
              <a:ext cx="541420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</a:rPr>
                <a:t>𝒛_(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𝜶⁄</a:t>
              </a:r>
              <a:r>
                <a:rPr lang="it-IT" sz="1800" b="1" i="0">
                  <a:latin typeface="Cambria Math" panose="02040503050406030204" pitchFamily="18" charset="0"/>
                </a:rPr>
                <a:t>𝟐)</a:t>
              </a:r>
              <a:r>
                <a:rPr lang="it-IT" sz="1600"/>
                <a:t>=</a:t>
              </a:r>
            </a:p>
          </xdr:txBody>
        </xdr:sp>
      </mc:Fallback>
    </mc:AlternateContent>
    <xdr:clientData/>
  </xdr:oneCellAnchor>
  <xdr:oneCellAnchor>
    <xdr:from>
      <xdr:col>22</xdr:col>
      <xdr:colOff>153202</xdr:colOff>
      <xdr:row>1</xdr:row>
      <xdr:rowOff>109086</xdr:rowOff>
    </xdr:from>
    <xdr:ext cx="852028" cy="295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3E9B1AC0-AAF6-4C39-2F5C-74FD16C7F8D8}"/>
                </a:ext>
              </a:extLst>
            </xdr:cNvPr>
            <xdr:cNvSpPr txBox="1"/>
          </xdr:nvSpPr>
          <xdr:spPr>
            <a:xfrm>
              <a:off x="10550491" y="3457875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f>
                        <m:fPr>
                          <m:type m:val="lin"/>
                          <m:ctrlP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den>
                      </m:f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3E9B1AC0-AAF6-4C39-2F5C-74FD16C7F8D8}"/>
                </a:ext>
              </a:extLst>
            </xdr:cNvPr>
            <xdr:cNvSpPr txBox="1"/>
          </xdr:nvSpPr>
          <xdr:spPr>
            <a:xfrm>
              <a:off x="10550491" y="3457875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𝒕_(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𝜶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∕𝟐,𝒏−𝟏)</a:t>
              </a:r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4</xdr:row>
      <xdr:rowOff>0</xdr:rowOff>
    </xdr:from>
    <xdr:ext cx="4170948" cy="556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935D0E8-69EE-C373-2B8E-A69A551D7217}"/>
                </a:ext>
              </a:extLst>
            </xdr:cNvPr>
            <xdr:cNvSpPr txBox="1"/>
          </xdr:nvSpPr>
          <xdr:spPr>
            <a:xfrm>
              <a:off x="10397289" y="3890211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it-IT" sz="1800">
                <a:effectLst/>
              </a:endParaRPr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935D0E8-69EE-C373-2B8E-A69A551D7217}"/>
                </a:ext>
              </a:extLst>
            </xdr:cNvPr>
            <xdr:cNvSpPr txBox="1"/>
          </xdr:nvSpPr>
          <xdr:spPr>
            <a:xfrm>
              <a:off x="10397289" y="3890211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 ̅−𝑺/√𝒏 𝒕_(𝜶∕𝟐,𝒏−𝟏)≤𝝁≤𝑿 ̅+𝑺/√𝒏 𝒕_(𝜶∕𝟐,𝒏−𝟏)</a:t>
              </a:r>
              <a:endParaRPr lang="it-IT" sz="1800">
                <a:effectLst/>
              </a:endParaRPr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26</xdr:col>
      <xdr:colOff>106680</xdr:colOff>
      <xdr:row>10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B5C1293-4145-4A10-A32A-58D4604B3B1C}"/>
                </a:ext>
              </a:extLst>
            </xdr:cNvPr>
            <xdr:cNvSpPr txBox="1"/>
          </xdr:nvSpPr>
          <xdr:spPr>
            <a:xfrm>
              <a:off x="18651534" y="1900719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B5C1293-4145-4A10-A32A-58D4604B3B1C}"/>
                </a:ext>
              </a:extLst>
            </xdr:cNvPr>
            <xdr:cNvSpPr txBox="1"/>
          </xdr:nvSpPr>
          <xdr:spPr>
            <a:xfrm>
              <a:off x="18651534" y="1900719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14</xdr:col>
      <xdr:colOff>8659</xdr:colOff>
      <xdr:row>8</xdr:row>
      <xdr:rowOff>25977</xdr:rowOff>
    </xdr:from>
    <xdr:ext cx="3508846" cy="556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85112315-8345-4279-8BA2-F7C3B3521B99}"/>
                </a:ext>
              </a:extLst>
            </xdr:cNvPr>
            <xdr:cNvSpPr txBox="1"/>
          </xdr:nvSpPr>
          <xdr:spPr>
            <a:xfrm>
              <a:off x="10390909" y="6113318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85112315-8345-4279-8BA2-F7C3B3521B99}"/>
                </a:ext>
              </a:extLst>
            </xdr:cNvPr>
            <xdr:cNvSpPr txBox="1"/>
          </xdr:nvSpPr>
          <xdr:spPr>
            <a:xfrm>
              <a:off x="10390909" y="6113318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𝑿 ̅−𝑺/√𝒏 𝒛_(𝜶∕𝟐)≤𝝁≤𝑿 ̅+𝑺/√𝒏 𝒛_(𝜶∕𝟐)</a:t>
              </a:r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106680</xdr:colOff>
      <xdr:row>15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4905BFC8-0AD3-4495-A914-ECA94A13CA5A}"/>
                </a:ext>
              </a:extLst>
            </xdr:cNvPr>
            <xdr:cNvSpPr txBox="1"/>
          </xdr:nvSpPr>
          <xdr:spPr>
            <a:xfrm>
              <a:off x="13351781" y="2799708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4905BFC8-0AD3-4495-A914-ECA94A13CA5A}"/>
                </a:ext>
              </a:extLst>
            </xdr:cNvPr>
            <xdr:cNvSpPr txBox="1"/>
          </xdr:nvSpPr>
          <xdr:spPr>
            <a:xfrm>
              <a:off x="13351781" y="2799708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29</xdr:col>
      <xdr:colOff>573641</xdr:colOff>
      <xdr:row>1</xdr:row>
      <xdr:rowOff>128427</xdr:rowOff>
    </xdr:from>
    <xdr:ext cx="1078786" cy="342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DD70DA3-3BC9-D05A-5A18-94F76C03454E}"/>
                </a:ext>
              </a:extLst>
            </xdr:cNvPr>
            <xdr:cNvSpPr txBox="1"/>
          </xdr:nvSpPr>
          <xdr:spPr>
            <a:xfrm>
              <a:off x="20942158" y="308225"/>
              <a:ext cx="1078786" cy="34247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f>
                        <m:fPr>
                          <m:type m:val="lin"/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DD70DA3-3BC9-D05A-5A18-94F76C03454E}"/>
                </a:ext>
              </a:extLst>
            </xdr:cNvPr>
            <xdr:cNvSpPr txBox="1"/>
          </xdr:nvSpPr>
          <xdr:spPr>
            <a:xfrm>
              <a:off x="20942158" y="308225"/>
              <a:ext cx="1078786" cy="34247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𝝌_(𝜶∕</a:t>
              </a:r>
              <a:r>
                <a:rPr lang="it-IT" sz="1800" b="1" i="0">
                  <a:latin typeface="Cambria Math" panose="02040503050406030204" pitchFamily="18" charset="0"/>
                </a:rPr>
                <a:t>𝟐, 𝒏−𝟏)^𝟐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32</xdr:col>
      <xdr:colOff>359594</xdr:colOff>
      <xdr:row>1</xdr:row>
      <xdr:rowOff>111304</xdr:rowOff>
    </xdr:from>
    <xdr:ext cx="1327081" cy="334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D8528B9-5DDD-4FB1-A405-F799E1D5CAD5}"/>
                </a:ext>
              </a:extLst>
            </xdr:cNvPr>
            <xdr:cNvSpPr txBox="1"/>
          </xdr:nvSpPr>
          <xdr:spPr>
            <a:xfrm>
              <a:off x="22945616" y="291102"/>
              <a:ext cx="1327081" cy="33432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type m:val="lin"/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D8528B9-5DDD-4FB1-A405-F799E1D5CAD5}"/>
                </a:ext>
              </a:extLst>
            </xdr:cNvPr>
            <xdr:cNvSpPr txBox="1"/>
          </xdr:nvSpPr>
          <xdr:spPr>
            <a:xfrm>
              <a:off x="22945616" y="291102"/>
              <a:ext cx="1327081" cy="33432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𝜶∕</a:t>
              </a:r>
              <a:r>
                <a:rPr lang="it-IT" sz="1800" b="1" i="0">
                  <a:latin typeface="Cambria Math" panose="02040503050406030204" pitchFamily="18" charset="0"/>
                </a:rPr>
                <a:t>𝟐,𝒏−𝟏)^𝟐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29</xdr:col>
      <xdr:colOff>582201</xdr:colOff>
      <xdr:row>4</xdr:row>
      <xdr:rowOff>8561</xdr:rowOff>
    </xdr:from>
    <xdr:ext cx="3946989" cy="736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8CE308E1-68C0-4803-A13C-B75650F4D7D9}"/>
                </a:ext>
              </a:extLst>
            </xdr:cNvPr>
            <xdr:cNvSpPr txBox="1"/>
          </xdr:nvSpPr>
          <xdr:spPr>
            <a:xfrm>
              <a:off x="20950718" y="830494"/>
              <a:ext cx="3946989" cy="73631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sSup>
                          <m:sSupPr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p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𝝌</m:t>
                            </m:r>
                          </m:e>
                          <m:sub>
                            <m:f>
                              <m:fPr>
                                <m:type m:val="lin"/>
                                <m:ctrlP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𝜶</m:t>
                                </m:r>
                              </m:num>
                              <m:den>
                                <m: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den>
                            </m:f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den>
                    </m:f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p>
                      <m:sSup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𝝈</m:t>
                        </m:r>
                      </m:e>
                      <m:sup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sSup>
                          <m:sSupPr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p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𝝌</m:t>
                            </m:r>
                          </m:e>
                          <m:sub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type m:val="lin"/>
                                <m:ctrlP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𝜶</m:t>
                                </m:r>
                              </m:num>
                              <m:den>
                                <m:r>
                                  <a:rPr lang="it-IT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den>
                            </m:f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it-IT" sz="1800">
                <a:effectLst/>
              </a:endParaRPr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8CE308E1-68C0-4803-A13C-B75650F4D7D9}"/>
                </a:ext>
              </a:extLst>
            </xdr:cNvPr>
            <xdr:cNvSpPr txBox="1"/>
          </xdr:nvSpPr>
          <xdr:spPr>
            <a:xfrm>
              <a:off x="20950718" y="830494"/>
              <a:ext cx="3946989" cy="73631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((𝒏−𝟏)𝑺^𝟐)/(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𝝌_(𝜶∕𝟐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,𝒏−𝟏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)^𝟐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)≤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𝝈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^𝟐≤((𝒏−𝟏)𝑺^𝟐)/(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𝝌_(𝟏−𝜶∕𝟐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,𝒏−𝟏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)^𝟐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t-IT" sz="1800">
                <a:effectLst/>
              </a:endParaRPr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34</xdr:col>
      <xdr:colOff>95035</xdr:colOff>
      <xdr:row>12</xdr:row>
      <xdr:rowOff>9418</xdr:rowOff>
    </xdr:from>
    <xdr:ext cx="43236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4A9EEFE1-BBB8-39CE-491D-3CA97A520946}"/>
                </a:ext>
              </a:extLst>
            </xdr:cNvPr>
            <xdr:cNvSpPr txBox="1"/>
          </xdr:nvSpPr>
          <xdr:spPr>
            <a:xfrm>
              <a:off x="23896833" y="2269733"/>
              <a:ext cx="43236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r>
                          <a:rPr lang="it-IT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4A9EEFE1-BBB8-39CE-491D-3CA97A520946}"/>
                </a:ext>
              </a:extLst>
            </xdr:cNvPr>
            <xdr:cNvSpPr txBox="1"/>
          </xdr:nvSpPr>
          <xdr:spPr>
            <a:xfrm>
              <a:off x="23896833" y="2269733"/>
              <a:ext cx="43236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latin typeface="Cambria Math" panose="02040503050406030204" pitchFamily="18" charset="0"/>
                </a:rPr>
                <a:t>〖</a:t>
              </a:r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≤𝝈〗^</a:t>
              </a:r>
              <a:r>
                <a:rPr lang="it-IT" sz="1100" b="1" i="0">
                  <a:latin typeface="Cambria Math" panose="02040503050406030204" pitchFamily="18" charset="0"/>
                </a:rPr>
                <a:t>𝟐</a:t>
              </a:r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14</xdr:col>
      <xdr:colOff>34247</xdr:colOff>
      <xdr:row>22</xdr:row>
      <xdr:rowOff>111303</xdr:rowOff>
    </xdr:from>
    <xdr:ext cx="881866" cy="289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33C51395-B421-B941-A29D-3149DB95A931}"/>
                </a:ext>
              </a:extLst>
            </xdr:cNvPr>
            <xdr:cNvSpPr txBox="1"/>
          </xdr:nvSpPr>
          <xdr:spPr>
            <a:xfrm>
              <a:off x="10419708" y="4169595"/>
              <a:ext cx="881866" cy="2894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𝝁</m:t>
                      </m:r>
                    </m:e>
                  </m:acc>
                  <m:r>
                    <a:rPr lang="it-IT" sz="18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𝑿</m:t>
                      </m:r>
                    </m:e>
                  </m:acc>
                </m:oMath>
              </a14:m>
              <a:r>
                <a:rPr lang="it-IT" sz="1800" b="1"/>
                <a:t> </a:t>
              </a:r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33C51395-B421-B941-A29D-3149DB95A931}"/>
                </a:ext>
              </a:extLst>
            </xdr:cNvPr>
            <xdr:cNvSpPr txBox="1"/>
          </xdr:nvSpPr>
          <xdr:spPr>
            <a:xfrm>
              <a:off x="10419708" y="4169595"/>
              <a:ext cx="881866" cy="2894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 ̂=𝑿 ̅</a:t>
              </a:r>
              <a:r>
                <a:rPr lang="it-IT" sz="1800" b="1"/>
                <a:t> </a:t>
              </a:r>
            </a:p>
          </xdr:txBody>
        </xdr:sp>
      </mc:Fallback>
    </mc:AlternateContent>
    <xdr:clientData/>
  </xdr:oneCellAnchor>
  <xdr:oneCellAnchor>
    <xdr:from>
      <xdr:col>14</xdr:col>
      <xdr:colOff>17978</xdr:colOff>
      <xdr:row>24</xdr:row>
      <xdr:rowOff>172092</xdr:rowOff>
    </xdr:from>
    <xdr:ext cx="1625887" cy="4053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3EC4F5DD-AFEC-7691-CBA4-4B17B4C080D6}"/>
                </a:ext>
              </a:extLst>
            </xdr:cNvPr>
            <xdr:cNvSpPr txBox="1"/>
          </xdr:nvSpPr>
          <xdr:spPr>
            <a:xfrm>
              <a:off x="11370813" y="4666927"/>
              <a:ext cx="1625887" cy="40536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p>
                        <m:sSupPr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𝝈</m:t>
                          </m:r>
                        </m:e>
                        <m:sup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p>
                    </m:e>
                  </m:acc>
                  <m:r>
                    <a:rPr lang="it-IT" sz="1800" b="1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it-IT" sz="1800" b="1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𝒏</m:t>
                      </m:r>
                    </m:den>
                  </m:f>
                  <m:sSup>
                    <m:s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𝑺</m:t>
                      </m:r>
                    </m:e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it-IT" sz="1800" b="1"/>
                <a:t>  </a:t>
              </a:r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3EC4F5DD-AFEC-7691-CBA4-4B17B4C080D6}"/>
                </a:ext>
              </a:extLst>
            </xdr:cNvPr>
            <xdr:cNvSpPr txBox="1"/>
          </xdr:nvSpPr>
          <xdr:spPr>
            <a:xfrm>
              <a:off x="11370813" y="4666927"/>
              <a:ext cx="1625887" cy="40536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</a:rPr>
                <a:t>(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𝝈^</a:t>
              </a:r>
              <a:r>
                <a:rPr lang="it-IT" sz="1800" b="1" i="0">
                  <a:latin typeface="Cambria Math" panose="02040503050406030204" pitchFamily="18" charset="0"/>
                </a:rPr>
                <a:t>𝟐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) ̂</a:t>
              </a:r>
              <a:r>
                <a:rPr lang="it-IT" sz="1800" b="1" i="0">
                  <a:latin typeface="Cambria Math" panose="02040503050406030204" pitchFamily="18" charset="0"/>
                </a:rPr>
                <a:t>=  ((𝒏−𝟏))/𝒏 𝑺^𝟐</a:t>
              </a:r>
              <a:r>
                <a:rPr lang="it-IT" sz="1800" b="1"/>
                <a:t>  </a:t>
              </a:r>
            </a:p>
          </xdr:txBody>
        </xdr:sp>
      </mc:Fallback>
    </mc:AlternateContent>
    <xdr:clientData/>
  </xdr:oneCellAnchor>
  <xdr:oneCellAnchor>
    <xdr:from>
      <xdr:col>14</xdr:col>
      <xdr:colOff>35102</xdr:colOff>
      <xdr:row>37</xdr:row>
      <xdr:rowOff>172092</xdr:rowOff>
    </xdr:from>
    <xdr:ext cx="1196738" cy="478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03DE756-2611-60E4-9F43-BA3BD51DEC92}"/>
                </a:ext>
              </a:extLst>
            </xdr:cNvPr>
            <xdr:cNvSpPr txBox="1"/>
          </xdr:nvSpPr>
          <xdr:spPr>
            <a:xfrm>
              <a:off x="11269717" y="7118015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sub>
                        </m:sSub>
                      </m:e>
                    </m:acc>
                    <m:d>
                      <m:d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03DE756-2611-60E4-9F43-BA3BD51DEC92}"/>
                </a:ext>
              </a:extLst>
            </xdr:cNvPr>
            <xdr:cNvSpPr txBox="1"/>
          </xdr:nvSpPr>
          <xdr:spPr>
            <a:xfrm>
              <a:off x="11269717" y="7118015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</a:rPr>
                <a:t>(𝑭_𝑿 ) ̂(𝒙)=𝒏_𝒙/𝒏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16</xdr:col>
      <xdr:colOff>47037</xdr:colOff>
      <xdr:row>38</xdr:row>
      <xdr:rowOff>141111</xdr:rowOff>
    </xdr:from>
    <xdr:ext cx="184731" cy="264560"/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D7625D68-3E8D-AC2B-138B-974BA37A7995}"/>
            </a:ext>
          </a:extLst>
        </xdr:cNvPr>
        <xdr:cNvSpPr txBox="1"/>
      </xdr:nvSpPr>
      <xdr:spPr>
        <a:xfrm>
          <a:off x="12220222" y="7027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469</xdr:colOff>
      <xdr:row>60</xdr:row>
      <xdr:rowOff>24928</xdr:rowOff>
    </xdr:from>
    <xdr:to>
      <xdr:col>23</xdr:col>
      <xdr:colOff>19050</xdr:colOff>
      <xdr:row>84</xdr:row>
      <xdr:rowOff>19049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225F597-F9B6-C8BD-28C1-48777105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64168</xdr:colOff>
      <xdr:row>4</xdr:row>
      <xdr:rowOff>120718</xdr:rowOff>
    </xdr:from>
    <xdr:ext cx="864245" cy="317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52F3EB2-CBA3-4278-ABDE-70C114BBC769}"/>
                </a:ext>
              </a:extLst>
            </xdr:cNvPr>
            <xdr:cNvSpPr txBox="1"/>
          </xdr:nvSpPr>
          <xdr:spPr>
            <a:xfrm>
              <a:off x="9777478" y="944028"/>
              <a:ext cx="864245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𝒛</m:t>
                      </m:r>
                    </m:e>
                    <m:sub>
                      <m:f>
                        <m:fPr>
                          <m:type m:val="skw"/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</m:sub>
                  </m:sSub>
                </m:oMath>
              </a14:m>
              <a:r>
                <a:rPr lang="it-IT" sz="1600"/>
                <a:t>=</a:t>
              </a:r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52F3EB2-CBA3-4278-ABDE-70C114BBC769}"/>
                </a:ext>
              </a:extLst>
            </xdr:cNvPr>
            <xdr:cNvSpPr txBox="1"/>
          </xdr:nvSpPr>
          <xdr:spPr>
            <a:xfrm>
              <a:off x="9777478" y="944028"/>
              <a:ext cx="864245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</a:rPr>
                <a:t>𝒛_(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𝜶⁄</a:t>
              </a:r>
              <a:r>
                <a:rPr lang="it-IT" sz="1800" b="1" i="0">
                  <a:latin typeface="Cambria Math" panose="02040503050406030204" pitchFamily="18" charset="0"/>
                </a:rPr>
                <a:t>𝟐)</a:t>
              </a:r>
              <a:r>
                <a:rPr lang="it-IT" sz="1600"/>
                <a:t>=</a:t>
              </a:r>
            </a:p>
          </xdr:txBody>
        </xdr:sp>
      </mc:Fallback>
    </mc:AlternateContent>
    <xdr:clientData/>
  </xdr:oneCellAnchor>
  <xdr:oneCellAnchor>
    <xdr:from>
      <xdr:col>13</xdr:col>
      <xdr:colOff>11988</xdr:colOff>
      <xdr:row>7</xdr:row>
      <xdr:rowOff>11876</xdr:rowOff>
    </xdr:from>
    <xdr:ext cx="3508846" cy="556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287F0D64-81C9-4B9A-A306-F14285B26DE5}"/>
                </a:ext>
              </a:extLst>
            </xdr:cNvPr>
            <xdr:cNvSpPr txBox="1"/>
          </xdr:nvSpPr>
          <xdr:spPr>
            <a:xfrm>
              <a:off x="9725298" y="1386979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287F0D64-81C9-4B9A-A306-F14285B26DE5}"/>
                </a:ext>
              </a:extLst>
            </xdr:cNvPr>
            <xdr:cNvSpPr txBox="1"/>
          </xdr:nvSpPr>
          <xdr:spPr>
            <a:xfrm>
              <a:off x="9725298" y="1386979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𝑿 ̅−𝑺/√𝒏 𝒛_(𝜶∕𝟐)≤𝝁≤𝑿 ̅+𝑺/√𝒏 𝒛_(𝜶∕𝟐)</a:t>
              </a:r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106680</xdr:colOff>
      <xdr:row>14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CA76220-DB83-4001-ADE1-FDDE3EB7A7B9}"/>
                </a:ext>
              </a:extLst>
            </xdr:cNvPr>
            <xdr:cNvSpPr txBox="1"/>
          </xdr:nvSpPr>
          <xdr:spPr>
            <a:xfrm>
              <a:off x="14828520" y="28346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CA76220-DB83-4001-ADE1-FDDE3EB7A7B9}"/>
                </a:ext>
              </a:extLst>
            </xdr:cNvPr>
            <xdr:cNvSpPr txBox="1"/>
          </xdr:nvSpPr>
          <xdr:spPr>
            <a:xfrm>
              <a:off x="14828520" y="28346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21</xdr:col>
      <xdr:colOff>65616</xdr:colOff>
      <xdr:row>1</xdr:row>
      <xdr:rowOff>117844</xdr:rowOff>
    </xdr:from>
    <xdr:ext cx="852028" cy="295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C2E7FF7-531C-49A5-8DBC-6A8388D69915}"/>
                </a:ext>
              </a:extLst>
            </xdr:cNvPr>
            <xdr:cNvSpPr txBox="1"/>
          </xdr:nvSpPr>
          <xdr:spPr>
            <a:xfrm>
              <a:off x="14683754" y="301775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f>
                        <m:fPr>
                          <m:type m:val="lin"/>
                          <m:ctrlP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den>
                      </m:f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C2E7FF7-531C-49A5-8DBC-6A8388D69915}"/>
                </a:ext>
              </a:extLst>
            </xdr:cNvPr>
            <xdr:cNvSpPr txBox="1"/>
          </xdr:nvSpPr>
          <xdr:spPr>
            <a:xfrm>
              <a:off x="14683754" y="301775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𝒕_(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𝜶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∕𝟐,𝒏−𝟏)</a:t>
              </a:r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4</xdr:row>
      <xdr:rowOff>17517</xdr:rowOff>
    </xdr:from>
    <xdr:ext cx="4170948" cy="556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352033C-292E-43C6-9B6A-ACE50C6D3506}"/>
                </a:ext>
              </a:extLst>
            </xdr:cNvPr>
            <xdr:cNvSpPr txBox="1"/>
          </xdr:nvSpPr>
          <xdr:spPr>
            <a:xfrm>
              <a:off x="14618138" y="797034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it-IT" sz="1800">
                <a:effectLst/>
              </a:endParaRPr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352033C-292E-43C6-9B6A-ACE50C6D3506}"/>
                </a:ext>
              </a:extLst>
            </xdr:cNvPr>
            <xdr:cNvSpPr txBox="1"/>
          </xdr:nvSpPr>
          <xdr:spPr>
            <a:xfrm>
              <a:off x="14618138" y="797034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 ̅−𝑺/√𝒏 𝒕_(𝜶∕𝟐,𝒏−𝟏)≤𝝁≤𝑿 ̅+𝑺/√𝒏 𝒕_(𝜶∕𝟐,𝒏−𝟏)</a:t>
              </a:r>
              <a:endParaRPr lang="it-IT" sz="1800">
                <a:effectLst/>
              </a:endParaRPr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25</xdr:col>
      <xdr:colOff>106680</xdr:colOff>
      <xdr:row>10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39AE62C0-346F-431C-96F8-C85456DA9C8C}"/>
                </a:ext>
              </a:extLst>
            </xdr:cNvPr>
            <xdr:cNvSpPr txBox="1"/>
          </xdr:nvSpPr>
          <xdr:spPr>
            <a:xfrm>
              <a:off x="20139660" y="19202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39AE62C0-346F-431C-96F8-C85456DA9C8C}"/>
                </a:ext>
              </a:extLst>
            </xdr:cNvPr>
            <xdr:cNvSpPr txBox="1"/>
          </xdr:nvSpPr>
          <xdr:spPr>
            <a:xfrm>
              <a:off x="20139660" y="19202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13</xdr:col>
      <xdr:colOff>37663</xdr:colOff>
      <xdr:row>20</xdr:row>
      <xdr:rowOff>28904</xdr:rowOff>
    </xdr:from>
    <xdr:ext cx="1635234" cy="3951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3D1DE444-CBC9-C54A-EEDF-D57914BAC3C3}"/>
                </a:ext>
              </a:extLst>
            </xdr:cNvPr>
            <xdr:cNvSpPr txBox="1"/>
          </xdr:nvSpPr>
          <xdr:spPr>
            <a:xfrm>
              <a:off x="9750973" y="3795111"/>
              <a:ext cx="1635234" cy="3951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𝝀</m:t>
                        </m:r>
                      </m:e>
                    </m:acc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it-IT" sz="1800" b="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3D1DE444-CBC9-C54A-EEDF-D57914BAC3C3}"/>
                </a:ext>
              </a:extLst>
            </xdr:cNvPr>
            <xdr:cNvSpPr txBox="1"/>
          </xdr:nvSpPr>
          <xdr:spPr>
            <a:xfrm>
              <a:off x="9750973" y="3795111"/>
              <a:ext cx="1635234" cy="3951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𝝀 ̂</a:t>
              </a:r>
              <a:r>
                <a:rPr lang="it-IT" sz="1800" b="1" i="0">
                  <a:latin typeface="Cambria Math" panose="02040503050406030204" pitchFamily="18" charset="0"/>
                </a:rPr>
                <a:t>=𝟏⁄𝑿 ̅ </a:t>
              </a:r>
              <a:endParaRPr lang="it-IT" sz="1800" b="0"/>
            </a:p>
          </xdr:txBody>
        </xdr:sp>
      </mc:Fallback>
    </mc:AlternateContent>
    <xdr:clientData/>
  </xdr:oneCellAnchor>
  <xdr:oneCellAnchor>
    <xdr:from>
      <xdr:col>13</xdr:col>
      <xdr:colOff>35102</xdr:colOff>
      <xdr:row>28</xdr:row>
      <xdr:rowOff>172092</xdr:rowOff>
    </xdr:from>
    <xdr:ext cx="1196738" cy="478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BF74AA8-CDC2-4D79-9A7A-A850999B134C}"/>
                </a:ext>
              </a:extLst>
            </xdr:cNvPr>
            <xdr:cNvSpPr txBox="1"/>
          </xdr:nvSpPr>
          <xdr:spPr>
            <a:xfrm>
              <a:off x="11282222" y="7030092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sub>
                        </m:sSub>
                      </m:e>
                    </m:acc>
                    <m:d>
                      <m:d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BF74AA8-CDC2-4D79-9A7A-A850999B134C}"/>
                </a:ext>
              </a:extLst>
            </xdr:cNvPr>
            <xdr:cNvSpPr txBox="1"/>
          </xdr:nvSpPr>
          <xdr:spPr>
            <a:xfrm>
              <a:off x="11282222" y="7030092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</a:rPr>
                <a:t>(𝑭_𝑿 ) ̂(𝒙)=𝒏_𝒙/𝒏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15</xdr:col>
      <xdr:colOff>47037</xdr:colOff>
      <xdr:row>29</xdr:row>
      <xdr:rowOff>141111</xdr:rowOff>
    </xdr:from>
    <xdr:ext cx="184731" cy="264560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0653563-CF78-49E7-A57B-63E24FBBAD9C}"/>
            </a:ext>
          </a:extLst>
        </xdr:cNvPr>
        <xdr:cNvSpPr txBox="1"/>
      </xdr:nvSpPr>
      <xdr:spPr>
        <a:xfrm>
          <a:off x="13351557" y="71819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12</xdr:col>
      <xdr:colOff>585439</xdr:colOff>
      <xdr:row>51</xdr:row>
      <xdr:rowOff>3717</xdr:rowOff>
    </xdr:from>
    <xdr:to>
      <xdr:col>22</xdr:col>
      <xdr:colOff>557561</xdr:colOff>
      <xdr:row>72</xdr:row>
      <xdr:rowOff>102219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961216D-A63C-1D7B-CD3A-5685A1DA2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583581</xdr:colOff>
      <xdr:row>1</xdr:row>
      <xdr:rowOff>146823</xdr:rowOff>
    </xdr:from>
    <xdr:ext cx="1182030" cy="296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796963C-BC26-19FD-E6DE-D4914C28E967}"/>
                </a:ext>
              </a:extLst>
            </xdr:cNvPr>
            <xdr:cNvSpPr txBox="1"/>
          </xdr:nvSpPr>
          <xdr:spPr>
            <a:xfrm>
              <a:off x="20349118" y="332677"/>
              <a:ext cx="1182030" cy="29694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e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796963C-BC26-19FD-E6DE-D4914C28E967}"/>
                </a:ext>
              </a:extLst>
            </xdr:cNvPr>
            <xdr:cNvSpPr txBox="1"/>
          </xdr:nvSpPr>
          <xdr:spPr>
            <a:xfrm>
              <a:off x="20349118" y="332677"/>
              <a:ext cx="1182030" cy="29694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𝝈^</a:t>
              </a:r>
              <a:r>
                <a:rPr lang="it-IT" sz="1800" b="1" i="0">
                  <a:latin typeface="Cambria Math" panose="02040503050406030204" pitchFamily="18" charset="0"/>
                </a:rPr>
                <a:t>𝟐=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𝝁^</a:t>
              </a:r>
              <a:r>
                <a:rPr lang="it-IT" sz="1800" b="1" i="0">
                  <a:latin typeface="Cambria Math" panose="02040503050406030204" pitchFamily="18" charset="0"/>
                </a:rPr>
                <a:t>𝟐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28</xdr:col>
      <xdr:colOff>631900</xdr:colOff>
      <xdr:row>3</xdr:row>
      <xdr:rowOff>232316</xdr:rowOff>
    </xdr:from>
    <xdr:ext cx="4423319" cy="8363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146D5A18-1053-4C96-BB1B-1F6A41D1EFF4}"/>
                </a:ext>
              </a:extLst>
            </xdr:cNvPr>
            <xdr:cNvSpPr txBox="1"/>
          </xdr:nvSpPr>
          <xdr:spPr>
            <a:xfrm>
              <a:off x="20397437" y="836340"/>
              <a:ext cx="4423319" cy="8363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1" i="1" baseline="0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</m:acc>
                            <m:r>
                              <a:rPr lang="it-IT" sz="1800" b="1" i="1" baseline="0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𝒏</m:t>
                                    </m:r>
                                  </m:e>
                                </m:rad>
                              </m:den>
                            </m:f>
                            <m:sSub>
                              <m:sSubPr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𝒛</m:t>
                                </m:r>
                              </m:e>
                              <m:sub>
                                <m:f>
                                  <m:fPr>
                                    <m:type m:val="lin"/>
                                    <m:ctrlP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𝜶</m:t>
                                    </m:r>
                                  </m:num>
                                  <m:den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den>
                                </m:f>
                              </m:sub>
                            </m:sSub>
                          </m:e>
                        </m:d>
                      </m:e>
                      <m:sup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p>
                      <m:sSup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𝝈</m:t>
                        </m:r>
                      </m:e>
                      <m:sup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sSup>
                      <m:sSup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1" i="1" baseline="0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𝑿</m:t>
                                </m:r>
                              </m:e>
                            </m:acc>
                            <m:r>
                              <a:rPr lang="it-IT" sz="1800" b="1" i="1" baseline="0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𝒏</m:t>
                                    </m:r>
                                  </m:e>
                                </m:rad>
                              </m:den>
                            </m:f>
                            <m:sSub>
                              <m:sSubPr>
                                <m:ctrlP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 baseline="0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𝒛</m:t>
                                </m:r>
                              </m:e>
                              <m:sub>
                                <m:f>
                                  <m:fPr>
                                    <m:type m:val="lin"/>
                                    <m:ctrlP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𝜶</m:t>
                                    </m:r>
                                  </m:num>
                                  <m:den>
                                    <m:r>
                                      <a:rPr lang="it-IT" sz="1800" b="1" i="1" baseline="0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den>
                                </m:f>
                              </m:sub>
                            </m:sSub>
                          </m:e>
                        </m:d>
                      </m:e>
                      <m:sup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146D5A18-1053-4C96-BB1B-1F6A41D1EFF4}"/>
                </a:ext>
              </a:extLst>
            </xdr:cNvPr>
            <xdr:cNvSpPr txBox="1"/>
          </xdr:nvSpPr>
          <xdr:spPr>
            <a:xfrm>
              <a:off x="20397437" y="836340"/>
              <a:ext cx="4423319" cy="8363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1" i="0" baseline="0">
                  <a:effectLst/>
                  <a:latin typeface="+mn-lt"/>
                  <a:ea typeface="+mn-ea"/>
                  <a:cs typeface="+mn-cs"/>
                </a:rPr>
                <a:t>(𝑿 ̅−𝑺/√𝒏 𝒛_(𝜶∕𝟐) )</a:t>
              </a: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^𝟐≤</a:t>
              </a: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𝝈</a:t>
              </a: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^𝟐≤</a:t>
              </a:r>
              <a:r>
                <a:rPr lang="it-IT" sz="1800" b="1" i="0" baseline="0">
                  <a:effectLst/>
                  <a:latin typeface="+mn-lt"/>
                  <a:ea typeface="+mn-ea"/>
                  <a:cs typeface="+mn-cs"/>
                </a:rPr>
                <a:t>(𝑿 ̅+𝑺/√𝒏 𝒛_(𝜶∕𝟐) )</a:t>
              </a: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^𝟐</a:t>
              </a:r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34</xdr:col>
      <xdr:colOff>106680</xdr:colOff>
      <xdr:row>12</xdr:row>
      <xdr:rowOff>0</xdr:rowOff>
    </xdr:from>
    <xdr:ext cx="471539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CA1E7DB-303F-4701-8A47-D23A9D56AD43}"/>
                </a:ext>
              </a:extLst>
            </xdr:cNvPr>
            <xdr:cNvSpPr txBox="1"/>
          </xdr:nvSpPr>
          <xdr:spPr>
            <a:xfrm>
              <a:off x="23579997" y="2323171"/>
              <a:ext cx="471539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p>
                      <m:sSupPr>
                        <m:ctrlPr>
                          <a:rPr lang="it-IT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it-IT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CA1E7DB-303F-4701-8A47-D23A9D56AD43}"/>
                </a:ext>
              </a:extLst>
            </xdr:cNvPr>
            <xdr:cNvSpPr txBox="1"/>
          </xdr:nvSpPr>
          <xdr:spPr>
            <a:xfrm>
              <a:off x="23579997" y="2323171"/>
              <a:ext cx="471539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≤𝝈^𝟐≤</a:t>
              </a:r>
              <a:endParaRPr lang="it-IT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533400</xdr:colOff>
      <xdr:row>4</xdr:row>
      <xdr:rowOff>128338</xdr:rowOff>
    </xdr:from>
    <xdr:ext cx="692193" cy="3173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967AC97-48E2-4741-AC99-C5EDE5469FC9}"/>
                </a:ext>
              </a:extLst>
            </xdr:cNvPr>
            <xdr:cNvSpPr txBox="1"/>
          </xdr:nvSpPr>
          <xdr:spPr>
            <a:xfrm>
              <a:off x="11744434" y="951648"/>
              <a:ext cx="692193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𝒛</m:t>
                      </m:r>
                    </m:e>
                    <m:sub>
                      <m:f>
                        <m:fPr>
                          <m:type m:val="skw"/>
                          <m:ctrlPr>
                            <a:rPr lang="it-IT" sz="1800" b="1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den>
                      </m:f>
                    </m:sub>
                  </m:sSub>
                </m:oMath>
              </a14:m>
              <a:r>
                <a:rPr lang="it-IT" sz="1600"/>
                <a:t>=</a:t>
              </a:r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967AC97-48E2-4741-AC99-C5EDE5469FC9}"/>
                </a:ext>
              </a:extLst>
            </xdr:cNvPr>
            <xdr:cNvSpPr txBox="1"/>
          </xdr:nvSpPr>
          <xdr:spPr>
            <a:xfrm>
              <a:off x="11744434" y="951648"/>
              <a:ext cx="692193" cy="3173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</a:rPr>
                <a:t>𝒛_(</a:t>
              </a:r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𝜶⁄</a:t>
              </a:r>
              <a:r>
                <a:rPr lang="it-IT" sz="1800" b="1" i="0">
                  <a:latin typeface="Cambria Math" panose="02040503050406030204" pitchFamily="18" charset="0"/>
                </a:rPr>
                <a:t>𝟐)</a:t>
              </a:r>
              <a:r>
                <a:rPr lang="it-IT" sz="1600"/>
                <a:t>=</a:t>
              </a:r>
            </a:p>
          </xdr:txBody>
        </xdr:sp>
      </mc:Fallback>
    </mc:AlternateContent>
    <xdr:clientData/>
  </xdr:oneCellAnchor>
  <xdr:oneCellAnchor>
    <xdr:from>
      <xdr:col>17</xdr:col>
      <xdr:colOff>11988</xdr:colOff>
      <xdr:row>7</xdr:row>
      <xdr:rowOff>11876</xdr:rowOff>
    </xdr:from>
    <xdr:ext cx="3508846" cy="5562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7384EA2-1B43-4D92-8871-14024E4F7199}"/>
                </a:ext>
              </a:extLst>
            </xdr:cNvPr>
            <xdr:cNvSpPr txBox="1"/>
          </xdr:nvSpPr>
          <xdr:spPr>
            <a:xfrm>
              <a:off x="9697008" y="1383476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kumimoji="0" lang="it-IT" sz="18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it-IT" sz="18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𝒛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kumimoji="0" lang="it-IT" sz="1800" b="1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7384EA2-1B43-4D92-8871-14024E4F7199}"/>
                </a:ext>
              </a:extLst>
            </xdr:cNvPr>
            <xdr:cNvSpPr txBox="1"/>
          </xdr:nvSpPr>
          <xdr:spPr>
            <a:xfrm>
              <a:off x="9697008" y="1383476"/>
              <a:ext cx="3508846" cy="55626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it-IT" sz="18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𝑿 ̅−𝑺/√𝒏 𝒛_(𝜶∕𝟐)≤𝝁≤𝑿 ̅+𝑺/√𝒏 𝒛_(𝜶∕𝟐)</a:t>
              </a:r>
              <a:endParaRPr kumimoji="0" lang="it-IT" sz="18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it-IT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106680</xdr:colOff>
      <xdr:row>14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3C8B920-3D27-48CE-96A4-B2D75EF7429A}"/>
                </a:ext>
              </a:extLst>
            </xdr:cNvPr>
            <xdr:cNvSpPr txBox="1"/>
          </xdr:nvSpPr>
          <xdr:spPr>
            <a:xfrm>
              <a:off x="13296900" y="265176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3C8B920-3D27-48CE-96A4-B2D75EF7429A}"/>
                </a:ext>
              </a:extLst>
            </xdr:cNvPr>
            <xdr:cNvSpPr txBox="1"/>
          </xdr:nvSpPr>
          <xdr:spPr>
            <a:xfrm>
              <a:off x="13296900" y="265176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26</xdr:col>
      <xdr:colOff>355176</xdr:colOff>
      <xdr:row>1</xdr:row>
      <xdr:rowOff>148324</xdr:rowOff>
    </xdr:from>
    <xdr:ext cx="852028" cy="295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01B5AC0-459E-4F4C-9F24-B2A48313DCE2}"/>
                </a:ext>
              </a:extLst>
            </xdr:cNvPr>
            <xdr:cNvSpPr txBox="1"/>
          </xdr:nvSpPr>
          <xdr:spPr>
            <a:xfrm>
              <a:off x="14665536" y="331204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𝒕</m:t>
                      </m:r>
                    </m:e>
                    <m:sub>
                      <m:f>
                        <m:fPr>
                          <m:type m:val="lin"/>
                          <m:ctrlP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𝜶</m:t>
                          </m:r>
                        </m:num>
                        <m:den>
                          <m:r>
                            <a:rPr lang="it-IT" sz="18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den>
                      </m:f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8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01B5AC0-459E-4F4C-9F24-B2A48313DCE2}"/>
                </a:ext>
              </a:extLst>
            </xdr:cNvPr>
            <xdr:cNvSpPr txBox="1"/>
          </xdr:nvSpPr>
          <xdr:spPr>
            <a:xfrm>
              <a:off x="14665536" y="331204"/>
              <a:ext cx="852028" cy="29508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𝒕_(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𝜶</a:t>
              </a: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∕𝟐,𝒏−𝟏)</a:t>
              </a:r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4</xdr:row>
      <xdr:rowOff>17517</xdr:rowOff>
    </xdr:from>
    <xdr:ext cx="4170948" cy="556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C261C99-0CA9-4CEB-9920-A99DD01E4CC9}"/>
                </a:ext>
              </a:extLst>
            </xdr:cNvPr>
            <xdr:cNvSpPr txBox="1"/>
          </xdr:nvSpPr>
          <xdr:spPr>
            <a:xfrm>
              <a:off x="15019020" y="840477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𝝁</m:t>
                    </m:r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acc>
                      <m:accPr>
                        <m:chr m:val="̅"/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it-IT" sz="18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𝑺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</m:e>
                        </m:rad>
                      </m:den>
                    </m:f>
                    <m:sSub>
                      <m:sSubPr>
                        <m:ctrlP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𝜶</m:t>
                            </m:r>
                          </m:num>
                          <m:den>
                            <m:r>
                              <a:rPr lang="it-IT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den>
                        </m:f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t-IT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it-IT" sz="1800">
                <a:effectLst/>
              </a:endParaRPr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C261C99-0CA9-4CEB-9920-A99DD01E4CC9}"/>
                </a:ext>
              </a:extLst>
            </xdr:cNvPr>
            <xdr:cNvSpPr txBox="1"/>
          </xdr:nvSpPr>
          <xdr:spPr>
            <a:xfrm>
              <a:off x="15019020" y="840477"/>
              <a:ext cx="4170948" cy="5562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 ̅−𝑺/√𝒏 𝒕_(𝜶∕𝟐,𝒏−𝟏)≤𝝁≤𝑿 ̅+𝑺/√𝒏 𝒕_(𝜶∕𝟐,𝒏−𝟏)</a:t>
              </a:r>
              <a:endParaRPr lang="it-IT" sz="1800">
                <a:effectLst/>
              </a:endParaRPr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106680</xdr:colOff>
      <xdr:row>10</xdr:row>
      <xdr:rowOff>0</xdr:rowOff>
    </xdr:from>
    <xdr:ext cx="4048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DF719237-0389-4270-9118-D5408EC453FA}"/>
                </a:ext>
              </a:extLst>
            </xdr:cNvPr>
            <xdr:cNvSpPr txBox="1"/>
          </xdr:nvSpPr>
          <xdr:spPr>
            <a:xfrm>
              <a:off x="17960340" y="19202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it-IT" sz="1100" b="1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DF719237-0389-4270-9118-D5408EC453FA}"/>
                </a:ext>
              </a:extLst>
            </xdr:cNvPr>
            <xdr:cNvSpPr txBox="1"/>
          </xdr:nvSpPr>
          <xdr:spPr>
            <a:xfrm>
              <a:off x="17960340" y="1920240"/>
              <a:ext cx="4048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≤𝝁≤</a:t>
              </a:r>
              <a:endParaRPr lang="it-IT" sz="1100" b="1"/>
            </a:p>
          </xdr:txBody>
        </xdr:sp>
      </mc:Fallback>
    </mc:AlternateContent>
    <xdr:clientData/>
  </xdr:oneCellAnchor>
  <xdr:oneCellAnchor>
    <xdr:from>
      <xdr:col>3</xdr:col>
      <xdr:colOff>7620</xdr:colOff>
      <xdr:row>6</xdr:row>
      <xdr:rowOff>144780</xdr:rowOff>
    </xdr:from>
    <xdr:ext cx="192918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9EA7141-4505-8FA0-E15E-5BBAFE8CCE3B}"/>
                </a:ext>
              </a:extLst>
            </xdr:cNvPr>
            <xdr:cNvSpPr txBox="1"/>
          </xdr:nvSpPr>
          <xdr:spPr>
            <a:xfrm>
              <a:off x="1836420" y="1333500"/>
              <a:ext cx="1929182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1" i="1">
                        <a:latin typeface="Cambria Math" panose="02040503050406030204" pitchFamily="18" charset="0"/>
                      </a:rPr>
                      <m:t>𝑬</m:t>
                    </m:r>
                    <m:d>
                      <m:dPr>
                        <m:begChr m:val="["/>
                        <m:endChr m:val="]"/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</m:d>
                    <m:r>
                      <a:rPr lang="it-IT" sz="1400" b="1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l-GR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𝚪</m:t>
                    </m:r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type m:val="lin"/>
                        <m:ctrlP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den>
                    </m:f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9EA7141-4505-8FA0-E15E-5BBAFE8CCE3B}"/>
                </a:ext>
              </a:extLst>
            </xdr:cNvPr>
            <xdr:cNvSpPr txBox="1"/>
          </xdr:nvSpPr>
          <xdr:spPr>
            <a:xfrm>
              <a:off x="1836420" y="1333500"/>
              <a:ext cx="1929182" cy="22121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𝑬[𝑾]= 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𝜷∙</a:t>
              </a:r>
              <a:r>
                <a:rPr lang="el-G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𝚪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(𝟏+𝟏∕𝜶)</a:t>
              </a:r>
              <a:r>
                <a:rPr lang="it-IT" sz="1400" b="1" i="0">
                  <a:latin typeface="Cambria Math" panose="02040503050406030204" pitchFamily="18" charset="0"/>
                </a:rPr>
                <a:t> 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2</xdr:col>
      <xdr:colOff>365760</xdr:colOff>
      <xdr:row>10</xdr:row>
      <xdr:rowOff>121920</xdr:rowOff>
    </xdr:from>
    <xdr:ext cx="2713563" cy="493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D0169F-F7BD-9E67-F8A5-B6A21F20B4A7}"/>
                </a:ext>
              </a:extLst>
            </xdr:cNvPr>
            <xdr:cNvSpPr txBox="1"/>
          </xdr:nvSpPr>
          <xdr:spPr>
            <a:xfrm>
              <a:off x="1584960" y="2042160"/>
              <a:ext cx="2713563" cy="4938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1" i="1">
                        <a:latin typeface="Cambria Math" panose="02040503050406030204" pitchFamily="18" charset="0"/>
                      </a:rPr>
                      <m:t>𝑽𝑨𝑹</m:t>
                    </m:r>
                    <m:d>
                      <m:dPr>
                        <m:begChr m:val="["/>
                        <m:endChr m:val="]"/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</m:d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sSup>
                          <m:sSupPr>
                            <m:ctrlPr>
                              <a:rPr lang="it-IT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𝜷</m:t>
                            </m:r>
                          </m:e>
                          <m:sup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𝜶</m:t>
                        </m:r>
                      </m:den>
                    </m:f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l-GR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𝚪</m:t>
                    </m:r>
                    <m:d>
                      <m:dPr>
                        <m:ctrlPr>
                          <a:rPr lang="el-G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l-G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num>
                          <m:den>
                            <m:r>
                              <a:rPr lang="el-G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𝜶</m:t>
                            </m:r>
                          </m:den>
                        </m:f>
                      </m:e>
                    </m:d>
                    <m:r>
                      <a:rPr lang="it-IT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𝑬</m:t>
                            </m:r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𝑾</m:t>
                            </m:r>
                            <m:r>
                              <a:rPr lang="it-IT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]</m:t>
                            </m:r>
                          </m:e>
                        </m:d>
                      </m:e>
                      <m:sup>
                        <m:r>
                          <a:rPr lang="it-IT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D0169F-F7BD-9E67-F8A5-B6A21F20B4A7}"/>
                </a:ext>
              </a:extLst>
            </xdr:cNvPr>
            <xdr:cNvSpPr txBox="1"/>
          </xdr:nvSpPr>
          <xdr:spPr>
            <a:xfrm>
              <a:off x="1584960" y="2042160"/>
              <a:ext cx="2713563" cy="4938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𝑽𝑨𝑹[𝑾]=(𝟐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𝜷^</a:t>
              </a:r>
              <a:r>
                <a:rPr lang="it-IT" sz="1400" b="1" i="0">
                  <a:latin typeface="Cambria Math" panose="02040503050406030204" pitchFamily="18" charset="0"/>
                </a:rPr>
                <a:t>𝟐)/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𝜶∙</a:t>
              </a:r>
              <a:r>
                <a:rPr lang="el-G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𝚪(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𝟐</a:t>
              </a:r>
              <a:r>
                <a:rPr lang="el-G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/𝜶)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−(𝑬[𝑾])^𝟐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17</xdr:col>
      <xdr:colOff>7620</xdr:colOff>
      <xdr:row>20</xdr:row>
      <xdr:rowOff>0</xdr:rowOff>
    </xdr:from>
    <xdr:ext cx="1216487" cy="5388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6537FA56-3203-3FDE-36EE-C52EFC30014B}"/>
                </a:ext>
              </a:extLst>
            </xdr:cNvPr>
            <xdr:cNvSpPr txBox="1"/>
          </xdr:nvSpPr>
          <xdr:spPr>
            <a:xfrm>
              <a:off x="9951720" y="3749040"/>
              <a:ext cx="1216487" cy="53880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6537FA56-3203-3FDE-36EE-C52EFC30014B}"/>
                </a:ext>
              </a:extLst>
            </xdr:cNvPr>
            <xdr:cNvSpPr txBox="1"/>
          </xdr:nvSpPr>
          <xdr:spPr>
            <a:xfrm>
              <a:off x="9951720" y="3749040"/>
              <a:ext cx="1216487" cy="53880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 ̂</a:t>
              </a:r>
              <a:r>
                <a:rPr lang="it-IT" sz="1800" b="0" i="0">
                  <a:latin typeface="Cambria Math" panose="02040503050406030204" pitchFamily="18" charset="0"/>
                </a:rPr>
                <a:t>=𝑛/(∑24_(𝑖=1)^𝑛▒𝑥_𝑖^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17</xdr:col>
      <xdr:colOff>35102</xdr:colOff>
      <xdr:row>28</xdr:row>
      <xdr:rowOff>172092</xdr:rowOff>
    </xdr:from>
    <xdr:ext cx="1196738" cy="478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81A35F94-83F8-4F66-8315-DDF4C955F16D}"/>
                </a:ext>
              </a:extLst>
            </xdr:cNvPr>
            <xdr:cNvSpPr txBox="1"/>
          </xdr:nvSpPr>
          <xdr:spPr>
            <a:xfrm>
              <a:off x="11282222" y="7030092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sub>
                        </m:sSub>
                      </m:e>
                    </m:acc>
                    <m:d>
                      <m:d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</m:num>
                      <m:den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81A35F94-83F8-4F66-8315-DDF4C955F16D}"/>
                </a:ext>
              </a:extLst>
            </xdr:cNvPr>
            <xdr:cNvSpPr txBox="1"/>
          </xdr:nvSpPr>
          <xdr:spPr>
            <a:xfrm>
              <a:off x="11282222" y="7030092"/>
              <a:ext cx="1196738" cy="47833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1" i="0">
                  <a:latin typeface="Cambria Math" panose="02040503050406030204" pitchFamily="18" charset="0"/>
                </a:rPr>
                <a:t>(𝑭_𝑿 ) ̂(𝒙)=𝒏_𝒙/𝒏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19</xdr:col>
      <xdr:colOff>47037</xdr:colOff>
      <xdr:row>29</xdr:row>
      <xdr:rowOff>141111</xdr:rowOff>
    </xdr:from>
    <xdr:ext cx="184731" cy="264560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CF6979C7-C2D6-461A-8622-C70459A0BB6D}"/>
            </a:ext>
          </a:extLst>
        </xdr:cNvPr>
        <xdr:cNvSpPr txBox="1"/>
      </xdr:nvSpPr>
      <xdr:spPr>
        <a:xfrm>
          <a:off x="13351557" y="71819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17</xdr:col>
      <xdr:colOff>39075</xdr:colOff>
      <xdr:row>49</xdr:row>
      <xdr:rowOff>176823</xdr:rowOff>
    </xdr:from>
    <xdr:to>
      <xdr:col>26</xdr:col>
      <xdr:colOff>1006231</xdr:colOff>
      <xdr:row>72</xdr:row>
      <xdr:rowOff>9769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69F6DA2-1379-6CCC-A78A-84B00BCD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9769</xdr:colOff>
      <xdr:row>89</xdr:row>
      <xdr:rowOff>975</xdr:rowOff>
    </xdr:from>
    <xdr:to>
      <xdr:col>26</xdr:col>
      <xdr:colOff>1055076</xdr:colOff>
      <xdr:row>110</xdr:row>
      <xdr:rowOff>156307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3D93038-BA9C-399D-C9A7-84B42C4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AAC5564-3469-E3CA-BDED-BFBC4D1CA3A0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AAC5564-3469-E3CA-BDED-BFBC4D1CA3A0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8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57B93C7-8C69-D9C3-8179-E2E6101C18B6}"/>
                </a:ext>
              </a:extLst>
            </xdr:cNvPr>
            <xdr:cNvSpPr txBox="1"/>
          </xdr:nvSpPr>
          <xdr:spPr>
            <a:xfrm>
              <a:off x="53340" y="172212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57B93C7-8C69-D9C3-8179-E2E6101C18B6}"/>
                </a:ext>
              </a:extLst>
            </xdr:cNvPr>
            <xdr:cNvSpPr txBox="1"/>
          </xdr:nvSpPr>
          <xdr:spPr>
            <a:xfrm>
              <a:off x="53340" y="172212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114299</xdr:colOff>
      <xdr:row>23</xdr:row>
      <xdr:rowOff>9525</xdr:rowOff>
    </xdr:from>
    <xdr:to>
      <xdr:col>15</xdr:col>
      <xdr:colOff>609599</xdr:colOff>
      <xdr:row>44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57D2C1-24BE-5987-7D5E-962AD752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600073</xdr:colOff>
      <xdr:row>22</xdr:row>
      <xdr:rowOff>180974</xdr:rowOff>
    </xdr:from>
    <xdr:to>
      <xdr:col>35</xdr:col>
      <xdr:colOff>588380</xdr:colOff>
      <xdr:row>44</xdr:row>
      <xdr:rowOff>171450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9390C73-FA2B-824B-AE89-57666955C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30481</xdr:colOff>
      <xdr:row>49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AA192B1B-18FC-4937-A839-0B1E1D0B3C4E}"/>
                </a:ext>
              </a:extLst>
            </xdr:cNvPr>
            <xdr:cNvSpPr txBox="1"/>
          </xdr:nvSpPr>
          <xdr:spPr>
            <a:xfrm>
              <a:off x="30481" y="870966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AA192B1B-18FC-4937-A839-0B1E1D0B3C4E}"/>
                </a:ext>
              </a:extLst>
            </xdr:cNvPr>
            <xdr:cNvSpPr txBox="1"/>
          </xdr:nvSpPr>
          <xdr:spPr>
            <a:xfrm>
              <a:off x="30481" y="870966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C0B64CF-5AD2-E87E-5AF4-976B790BA5E3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C0B64CF-5AD2-E87E-5AF4-976B790BA5E3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𝑻=∑24_(𝒋=𝟏)^𝒌▒〖(𝑵_𝒋−𝒏𝒑_𝒋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0B5D6D-2292-4ED7-95FE-EB876D3A3AA6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0B5D6D-2292-4ED7-95FE-EB876D3A3AA6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50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23F16CA-ED70-40F9-B2AF-7C65C86D0ED9}"/>
                </a:ext>
              </a:extLst>
            </xdr:cNvPr>
            <xdr:cNvSpPr txBox="1"/>
          </xdr:nvSpPr>
          <xdr:spPr>
            <a:xfrm>
              <a:off x="30481" y="9094325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23F16CA-ED70-40F9-B2AF-7C65C86D0ED9}"/>
                </a:ext>
              </a:extLst>
            </xdr:cNvPr>
            <xdr:cNvSpPr txBox="1"/>
          </xdr:nvSpPr>
          <xdr:spPr>
            <a:xfrm>
              <a:off x="30481" y="9094325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68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17B054B-6F4B-4827-AB71-B990CC418A22}"/>
                </a:ext>
              </a:extLst>
            </xdr:cNvPr>
            <xdr:cNvSpPr txBox="1"/>
          </xdr:nvSpPr>
          <xdr:spPr>
            <a:xfrm>
              <a:off x="0" y="717437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17B054B-6F4B-4827-AB71-B990CC418A22}"/>
                </a:ext>
              </a:extLst>
            </xdr:cNvPr>
            <xdr:cNvSpPr txBox="1"/>
          </xdr:nvSpPr>
          <xdr:spPr>
            <a:xfrm>
              <a:off x="0" y="717437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73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3FBDC7FC-A6C2-467F-8225-4C5B03585E84}"/>
                </a:ext>
              </a:extLst>
            </xdr:cNvPr>
            <xdr:cNvSpPr txBox="1"/>
          </xdr:nvSpPr>
          <xdr:spPr>
            <a:xfrm>
              <a:off x="53340" y="1542327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3FBDC7FC-A6C2-467F-8225-4C5B03585E84}"/>
                </a:ext>
              </a:extLst>
            </xdr:cNvPr>
            <xdr:cNvSpPr txBox="1"/>
          </xdr:nvSpPr>
          <xdr:spPr>
            <a:xfrm>
              <a:off x="53340" y="1542327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9645</xdr:colOff>
      <xdr:row>98</xdr:row>
      <xdr:rowOff>17360</xdr:rowOff>
    </xdr:from>
    <xdr:to>
      <xdr:col>15</xdr:col>
      <xdr:colOff>569089</xdr:colOff>
      <xdr:row>121</xdr:row>
      <xdr:rowOff>173620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D212893-F580-F5FC-00D3-171F26A7D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19290</xdr:colOff>
      <xdr:row>97</xdr:row>
      <xdr:rowOff>152400</xdr:rowOff>
    </xdr:from>
    <xdr:to>
      <xdr:col>35</xdr:col>
      <xdr:colOff>588379</xdr:colOff>
      <xdr:row>121</xdr:row>
      <xdr:rowOff>38582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4DE128-0D4A-A266-0581-6399CA41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30481</xdr:colOff>
      <xdr:row>126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D90340C-1441-45E2-8438-6BE051381792}"/>
                </a:ext>
              </a:extLst>
            </xdr:cNvPr>
            <xdr:cNvSpPr txBox="1"/>
          </xdr:nvSpPr>
          <xdr:spPr>
            <a:xfrm>
              <a:off x="30481" y="9094325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D90340C-1441-45E2-8438-6BE051381792}"/>
                </a:ext>
              </a:extLst>
            </xdr:cNvPr>
            <xdr:cNvSpPr txBox="1"/>
          </xdr:nvSpPr>
          <xdr:spPr>
            <a:xfrm>
              <a:off x="30481" y="9094325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148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FB5BC0A9-4AE7-4E3E-9A4C-D537D7986DE7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FB5BC0A9-4AE7-4E3E-9A4C-D537D7986DE7}"/>
                </a:ext>
              </a:extLst>
            </xdr:cNvPr>
            <xdr:cNvSpPr txBox="1"/>
          </xdr:nvSpPr>
          <xdr:spPr>
            <a:xfrm>
              <a:off x="0" y="11198185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126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606040E4-7FB9-4251-8389-BBFEEC890A4B}"/>
                </a:ext>
              </a:extLst>
            </xdr:cNvPr>
            <xdr:cNvSpPr txBox="1"/>
          </xdr:nvSpPr>
          <xdr:spPr>
            <a:xfrm>
              <a:off x="30481" y="23205794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606040E4-7FB9-4251-8389-BBFEEC890A4B}"/>
                </a:ext>
              </a:extLst>
            </xdr:cNvPr>
            <xdr:cNvSpPr txBox="1"/>
          </xdr:nvSpPr>
          <xdr:spPr>
            <a:xfrm>
              <a:off x="30481" y="23205794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17</xdr:col>
      <xdr:colOff>0</xdr:colOff>
      <xdr:row>148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2ADA2838-05A4-4528-99FD-6D5315F566E8}"/>
                </a:ext>
              </a:extLst>
            </xdr:cNvPr>
            <xdr:cNvSpPr txBox="1"/>
          </xdr:nvSpPr>
          <xdr:spPr>
            <a:xfrm>
              <a:off x="0" y="27142312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2ADA2838-05A4-4528-99FD-6D5315F566E8}"/>
                </a:ext>
              </a:extLst>
            </xdr:cNvPr>
            <xdr:cNvSpPr txBox="1"/>
          </xdr:nvSpPr>
          <xdr:spPr>
            <a:xfrm>
              <a:off x="0" y="27142312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D046277-FBFD-4FE2-BC32-D1A7D33E133F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D046277-FBFD-4FE2-BC32-D1A7D33E133F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8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B3C6F3-AF53-45E6-95CF-64C09577B758}"/>
                </a:ext>
              </a:extLst>
            </xdr:cNvPr>
            <xdr:cNvSpPr txBox="1"/>
          </xdr:nvSpPr>
          <xdr:spPr>
            <a:xfrm>
              <a:off x="53340" y="15392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B3C6F3-AF53-45E6-95CF-64C09577B758}"/>
                </a:ext>
              </a:extLst>
            </xdr:cNvPr>
            <xdr:cNvSpPr txBox="1"/>
          </xdr:nvSpPr>
          <xdr:spPr>
            <a:xfrm>
              <a:off x="53340" y="15392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114299</xdr:colOff>
      <xdr:row>23</xdr:row>
      <xdr:rowOff>9525</xdr:rowOff>
    </xdr:from>
    <xdr:to>
      <xdr:col>15</xdr:col>
      <xdr:colOff>609599</xdr:colOff>
      <xdr:row>44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EE30D3-419A-423A-9306-4FE5BC32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600073</xdr:colOff>
      <xdr:row>22</xdr:row>
      <xdr:rowOff>180974</xdr:rowOff>
    </xdr:from>
    <xdr:to>
      <xdr:col>36</xdr:col>
      <xdr:colOff>9525</xdr:colOff>
      <xdr:row>44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3082451-8956-41EE-BF15-1630A68D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30481</xdr:colOff>
      <xdr:row>49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1052CF7-CBB3-45AB-AA38-54958C9436A9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1052CF7-CBB3-45AB-AA38-54958C9436A9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064634A-6B75-479B-B18F-887284CA6B49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064634A-6B75-479B-B18F-887284CA6B49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700B9F-D362-4086-829B-DDCAABB52130}"/>
                </a:ext>
              </a:extLst>
            </xdr:cNvPr>
            <xdr:cNvSpPr txBox="1"/>
          </xdr:nvSpPr>
          <xdr:spPr>
            <a:xfrm>
              <a:off x="1161288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700B9F-D362-4086-829B-DDCAABB52130}"/>
                </a:ext>
              </a:extLst>
            </xdr:cNvPr>
            <xdr:cNvSpPr txBox="1"/>
          </xdr:nvSpPr>
          <xdr:spPr>
            <a:xfrm>
              <a:off x="1161288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50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A3D4CC1-A6D3-4573-BEEB-263C6CE8ED09}"/>
                </a:ext>
              </a:extLst>
            </xdr:cNvPr>
            <xdr:cNvSpPr txBox="1"/>
          </xdr:nvSpPr>
          <xdr:spPr>
            <a:xfrm>
              <a:off x="1164336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A3D4CC1-A6D3-4573-BEEB-263C6CE8ED09}"/>
                </a:ext>
              </a:extLst>
            </xdr:cNvPr>
            <xdr:cNvSpPr txBox="1"/>
          </xdr:nvSpPr>
          <xdr:spPr>
            <a:xfrm>
              <a:off x="1164336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68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2494DF4B-FB58-4EDD-BAF7-0EF4A96BA1D5}"/>
                </a:ext>
              </a:extLst>
            </xdr:cNvPr>
            <xdr:cNvSpPr txBox="1"/>
          </xdr:nvSpPr>
          <xdr:spPr>
            <a:xfrm>
              <a:off x="0" y="126034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2494DF4B-FB58-4EDD-BAF7-0EF4A96BA1D5}"/>
                </a:ext>
              </a:extLst>
            </xdr:cNvPr>
            <xdr:cNvSpPr txBox="1"/>
          </xdr:nvSpPr>
          <xdr:spPr>
            <a:xfrm>
              <a:off x="0" y="126034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73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1A184767-C5D7-43BA-AD89-6901488AFE2C}"/>
                </a:ext>
              </a:extLst>
            </xdr:cNvPr>
            <xdr:cNvSpPr txBox="1"/>
          </xdr:nvSpPr>
          <xdr:spPr>
            <a:xfrm>
              <a:off x="53340" y="134264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1A184767-C5D7-43BA-AD89-6901488AFE2C}"/>
                </a:ext>
              </a:extLst>
            </xdr:cNvPr>
            <xdr:cNvSpPr txBox="1"/>
          </xdr:nvSpPr>
          <xdr:spPr>
            <a:xfrm>
              <a:off x="53340" y="134264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9645</xdr:colOff>
      <xdr:row>98</xdr:row>
      <xdr:rowOff>17360</xdr:rowOff>
    </xdr:from>
    <xdr:to>
      <xdr:col>15</xdr:col>
      <xdr:colOff>569089</xdr:colOff>
      <xdr:row>121</xdr:row>
      <xdr:rowOff>173620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EF51E26-B3DF-4785-AED1-A50B7449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19291</xdr:colOff>
      <xdr:row>97</xdr:row>
      <xdr:rowOff>152400</xdr:rowOff>
    </xdr:from>
    <xdr:to>
      <xdr:col>35</xdr:col>
      <xdr:colOff>600075</xdr:colOff>
      <xdr:row>121</xdr:row>
      <xdr:rowOff>38582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8B4819D-E609-44DA-B945-1CDEA9D0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30481</xdr:colOff>
      <xdr:row>126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7200F95E-8D81-49DE-852C-0FCC8B4361BA}"/>
                </a:ext>
              </a:extLst>
            </xdr:cNvPr>
            <xdr:cNvSpPr txBox="1"/>
          </xdr:nvSpPr>
          <xdr:spPr>
            <a:xfrm>
              <a:off x="3048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7200F95E-8D81-49DE-852C-0FCC8B4361BA}"/>
                </a:ext>
              </a:extLst>
            </xdr:cNvPr>
            <xdr:cNvSpPr txBox="1"/>
          </xdr:nvSpPr>
          <xdr:spPr>
            <a:xfrm>
              <a:off x="3048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148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4108229D-B346-43B6-A69D-EA5FA9A8F328}"/>
                </a:ext>
              </a:extLst>
            </xdr:cNvPr>
            <xdr:cNvSpPr txBox="1"/>
          </xdr:nvSpPr>
          <xdr:spPr>
            <a:xfrm>
              <a:off x="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4108229D-B346-43B6-A69D-EA5FA9A8F328}"/>
                </a:ext>
              </a:extLst>
            </xdr:cNvPr>
            <xdr:cNvSpPr txBox="1"/>
          </xdr:nvSpPr>
          <xdr:spPr>
            <a:xfrm>
              <a:off x="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126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F405447A-F497-4281-87B3-3F9D4D7B073B}"/>
                </a:ext>
              </a:extLst>
            </xdr:cNvPr>
            <xdr:cNvSpPr txBox="1"/>
          </xdr:nvSpPr>
          <xdr:spPr>
            <a:xfrm>
              <a:off x="1164336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F405447A-F497-4281-87B3-3F9D4D7B073B}"/>
                </a:ext>
              </a:extLst>
            </xdr:cNvPr>
            <xdr:cNvSpPr txBox="1"/>
          </xdr:nvSpPr>
          <xdr:spPr>
            <a:xfrm>
              <a:off x="1164336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17</xdr:col>
      <xdr:colOff>0</xdr:colOff>
      <xdr:row>148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E3E03DF7-D975-4272-85F5-0BFD2D416C92}"/>
                </a:ext>
              </a:extLst>
            </xdr:cNvPr>
            <xdr:cNvSpPr txBox="1"/>
          </xdr:nvSpPr>
          <xdr:spPr>
            <a:xfrm>
              <a:off x="1161288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E3E03DF7-D975-4272-85F5-0BFD2D416C92}"/>
                </a:ext>
              </a:extLst>
            </xdr:cNvPr>
            <xdr:cNvSpPr txBox="1"/>
          </xdr:nvSpPr>
          <xdr:spPr>
            <a:xfrm>
              <a:off x="1161288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646D63B-8A03-4EDF-88CE-94869560A3FD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646D63B-8A03-4EDF-88CE-94869560A3FD}"/>
                </a:ext>
              </a:extLst>
            </xdr:cNvPr>
            <xdr:cNvSpPr txBox="1"/>
          </xdr:nvSpPr>
          <xdr:spPr>
            <a:xfrm>
              <a:off x="0" y="7162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8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FDA843E-F5C7-4397-A0F4-3D40EA16638D}"/>
                </a:ext>
              </a:extLst>
            </xdr:cNvPr>
            <xdr:cNvSpPr txBox="1"/>
          </xdr:nvSpPr>
          <xdr:spPr>
            <a:xfrm>
              <a:off x="53340" y="15392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FDA843E-F5C7-4397-A0F4-3D40EA16638D}"/>
                </a:ext>
              </a:extLst>
            </xdr:cNvPr>
            <xdr:cNvSpPr txBox="1"/>
          </xdr:nvSpPr>
          <xdr:spPr>
            <a:xfrm>
              <a:off x="53340" y="15392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114299</xdr:colOff>
      <xdr:row>23</xdr:row>
      <xdr:rowOff>9525</xdr:rowOff>
    </xdr:from>
    <xdr:to>
      <xdr:col>15</xdr:col>
      <xdr:colOff>609599</xdr:colOff>
      <xdr:row>44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FE15298-3B92-4F19-A15A-51CAE8B5F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600073</xdr:colOff>
      <xdr:row>22</xdr:row>
      <xdr:rowOff>180974</xdr:rowOff>
    </xdr:from>
    <xdr:to>
      <xdr:col>36</xdr:col>
      <xdr:colOff>9525</xdr:colOff>
      <xdr:row>44</xdr:row>
      <xdr:rowOff>171450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5B4A6B-6185-4BA2-B235-7ADA0A20B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30481</xdr:colOff>
      <xdr:row>49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71C2796-B80F-4753-8FD8-83A882676D0D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71C2796-B80F-4753-8FD8-83A882676D0D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1498384-72BC-4D76-A734-D4F86A64D8B0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1498384-72BC-4D76-A734-D4F86A64D8B0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0</xdr:colOff>
      <xdr:row>61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BB4052E-5BFD-4ADB-B8FB-7F711CE1BAC0}"/>
                </a:ext>
              </a:extLst>
            </xdr:cNvPr>
            <xdr:cNvSpPr txBox="1"/>
          </xdr:nvSpPr>
          <xdr:spPr>
            <a:xfrm>
              <a:off x="1094994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BB4052E-5BFD-4ADB-B8FB-7F711CE1BAC0}"/>
                </a:ext>
              </a:extLst>
            </xdr:cNvPr>
            <xdr:cNvSpPr txBox="1"/>
          </xdr:nvSpPr>
          <xdr:spPr>
            <a:xfrm>
              <a:off x="1094994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50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DDD40DA-D166-42DD-986C-47AC9F44FAC8}"/>
                </a:ext>
              </a:extLst>
            </xdr:cNvPr>
            <xdr:cNvSpPr txBox="1"/>
          </xdr:nvSpPr>
          <xdr:spPr>
            <a:xfrm>
              <a:off x="1098042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DDD40DA-D166-42DD-986C-47AC9F44FAC8}"/>
                </a:ext>
              </a:extLst>
            </xdr:cNvPr>
            <xdr:cNvSpPr txBox="1"/>
          </xdr:nvSpPr>
          <xdr:spPr>
            <a:xfrm>
              <a:off x="1098042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68</xdr:row>
      <xdr:rowOff>167640</xdr:rowOff>
    </xdr:from>
    <xdr:ext cx="693420" cy="426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5C540E30-D4A3-4738-85E6-DA3FBD7FD1C3}"/>
                </a:ext>
              </a:extLst>
            </xdr:cNvPr>
            <xdr:cNvSpPr txBox="1"/>
          </xdr:nvSpPr>
          <xdr:spPr>
            <a:xfrm>
              <a:off x="0" y="126034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5C540E30-D4A3-4738-85E6-DA3FBD7FD1C3}"/>
                </a:ext>
              </a:extLst>
            </xdr:cNvPr>
            <xdr:cNvSpPr txBox="1"/>
          </xdr:nvSpPr>
          <xdr:spPr>
            <a:xfrm>
              <a:off x="0" y="12603480"/>
              <a:ext cx="693420" cy="42672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400" b="1" i="0">
                  <a:latin typeface="Cambria Math" panose="02040503050406030204" pitchFamily="18" charset="0"/>
                </a:rPr>
                <a:t>𝒑_𝒋=𝟏/𝒌</a:t>
              </a:r>
              <a:endParaRPr lang="it-IT" sz="1400" b="1"/>
            </a:p>
          </xdr:txBody>
        </xdr:sp>
      </mc:Fallback>
    </mc:AlternateContent>
    <xdr:clientData/>
  </xdr:oneCellAnchor>
  <xdr:oneCellAnchor>
    <xdr:from>
      <xdr:col>0</xdr:col>
      <xdr:colOff>53340</xdr:colOff>
      <xdr:row>73</xdr:row>
      <xdr:rowOff>76200</xdr:rowOff>
    </xdr:from>
    <xdr:ext cx="1341120" cy="251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B149CF2F-D738-4F5F-8366-D87FE99BDFF2}"/>
                </a:ext>
              </a:extLst>
            </xdr:cNvPr>
            <xdr:cNvSpPr txBox="1"/>
          </xdr:nvSpPr>
          <xdr:spPr>
            <a:xfrm>
              <a:off x="53340" y="134264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𝑿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r>
                    <a:rPr lang="it-IT" sz="1400" b="1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𝒑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B149CF2F-D738-4F5F-8366-D87FE99BDFF2}"/>
                </a:ext>
              </a:extLst>
            </xdr:cNvPr>
            <xdr:cNvSpPr txBox="1"/>
          </xdr:nvSpPr>
          <xdr:spPr>
            <a:xfrm>
              <a:off x="53340" y="13426440"/>
              <a:ext cx="1341120" cy="25122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𝒂_𝒋=𝑭_𝑿^(−𝟏) (𝒑_𝒋)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9645</xdr:colOff>
      <xdr:row>88</xdr:row>
      <xdr:rowOff>17360</xdr:rowOff>
    </xdr:from>
    <xdr:to>
      <xdr:col>15</xdr:col>
      <xdr:colOff>569089</xdr:colOff>
      <xdr:row>111</xdr:row>
      <xdr:rowOff>173620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CBF4ACB-3C78-41C3-8094-C78781705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19291</xdr:colOff>
      <xdr:row>87</xdr:row>
      <xdr:rowOff>152400</xdr:rowOff>
    </xdr:from>
    <xdr:to>
      <xdr:col>35</xdr:col>
      <xdr:colOff>600075</xdr:colOff>
      <xdr:row>111</xdr:row>
      <xdr:rowOff>38582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10062022-0C6D-4224-B887-8FBE82277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30481</xdr:colOff>
      <xdr:row>116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5EE7E713-B8FC-4FBF-A13A-06E1B02D37A7}"/>
                </a:ext>
              </a:extLst>
            </xdr:cNvPr>
            <xdr:cNvSpPr txBox="1"/>
          </xdr:nvSpPr>
          <xdr:spPr>
            <a:xfrm>
              <a:off x="3048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5EE7E713-B8FC-4FBF-A13A-06E1B02D37A7}"/>
                </a:ext>
              </a:extLst>
            </xdr:cNvPr>
            <xdr:cNvSpPr txBox="1"/>
          </xdr:nvSpPr>
          <xdr:spPr>
            <a:xfrm>
              <a:off x="3048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128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07E55880-3F00-4B80-A3C4-6A76E5596553}"/>
                </a:ext>
              </a:extLst>
            </xdr:cNvPr>
            <xdr:cNvSpPr txBox="1"/>
          </xdr:nvSpPr>
          <xdr:spPr>
            <a:xfrm>
              <a:off x="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07E55880-3F00-4B80-A3C4-6A76E5596553}"/>
                </a:ext>
              </a:extLst>
            </xdr:cNvPr>
            <xdr:cNvSpPr txBox="1"/>
          </xdr:nvSpPr>
          <xdr:spPr>
            <a:xfrm>
              <a:off x="0" y="2708521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17</xdr:col>
      <xdr:colOff>30481</xdr:colOff>
      <xdr:row>116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3F3107C3-84AB-4AA5-8859-848754AFCD6A}"/>
                </a:ext>
              </a:extLst>
            </xdr:cNvPr>
            <xdr:cNvSpPr txBox="1"/>
          </xdr:nvSpPr>
          <xdr:spPr>
            <a:xfrm>
              <a:off x="1098042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3F3107C3-84AB-4AA5-8859-848754AFCD6A}"/>
                </a:ext>
              </a:extLst>
            </xdr:cNvPr>
            <xdr:cNvSpPr txBox="1"/>
          </xdr:nvSpPr>
          <xdr:spPr>
            <a:xfrm>
              <a:off x="10980421" y="2315718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16</xdr:col>
      <xdr:colOff>614148</xdr:colOff>
      <xdr:row>128</xdr:row>
      <xdr:rowOff>18970</xdr:rowOff>
    </xdr:from>
    <xdr:ext cx="3059373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348CC95F-4E75-47B0-9451-DD8A4FF79D0D}"/>
                </a:ext>
              </a:extLst>
            </xdr:cNvPr>
            <xdr:cNvSpPr txBox="1"/>
          </xdr:nvSpPr>
          <xdr:spPr>
            <a:xfrm>
              <a:off x="11168417" y="23311149"/>
              <a:ext cx="3059373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348CC95F-4E75-47B0-9451-DD8A4FF79D0D}"/>
                </a:ext>
              </a:extLst>
            </xdr:cNvPr>
            <xdr:cNvSpPr txBox="1"/>
          </xdr:nvSpPr>
          <xdr:spPr>
            <a:xfrm>
              <a:off x="11168417" y="23311149"/>
              <a:ext cx="3059373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8</xdr:col>
      <xdr:colOff>7620</xdr:colOff>
      <xdr:row>4</xdr:row>
      <xdr:rowOff>22860</xdr:rowOff>
    </xdr:from>
    <xdr:ext cx="1298625" cy="4149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BBF0D818-504C-16B4-D9E4-79935F16895D}"/>
                </a:ext>
              </a:extLst>
            </xdr:cNvPr>
            <xdr:cNvSpPr txBox="1"/>
          </xdr:nvSpPr>
          <xdr:spPr>
            <a:xfrm>
              <a:off x="5013960" y="754380"/>
              <a:ext cx="1298625" cy="4149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2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it-IT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it-IT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200" b="1" i="1">
                        <a:latin typeface="Cambria Math" panose="02040503050406030204" pitchFamily="18" charset="0"/>
                      </a:rPr>
                      <m:t>𝑬𝑿𝑷</m:t>
                    </m:r>
                    <m:d>
                      <m:dPr>
                        <m:ctrlPr>
                          <a:rPr lang="it-IT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t-IT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2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num>
                          <m:den>
                            <m:r>
                              <a:rPr lang="it-IT" sz="1200" b="1" i="1">
                                <a:latin typeface="Cambria Math" panose="02040503050406030204" pitchFamily="18" charset="0"/>
                              </a:rPr>
                              <m:t>𝑬</m:t>
                            </m:r>
                            <m:r>
                              <a:rPr lang="it-IT" sz="1200" b="1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it-IT" sz="1200" b="1" i="1">
                                <a:latin typeface="Cambria Math" panose="02040503050406030204" pitchFamily="18" charset="0"/>
                              </a:rPr>
                              <m:t>𝑾</m:t>
                            </m:r>
                            <m:r>
                              <a:rPr lang="it-IT" sz="1200" b="1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it-IT" sz="1200" b="1"/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BBF0D818-504C-16B4-D9E4-79935F16895D}"/>
                </a:ext>
              </a:extLst>
            </xdr:cNvPr>
            <xdr:cNvSpPr txBox="1"/>
          </xdr:nvSpPr>
          <xdr:spPr>
            <a:xfrm>
              <a:off x="5013960" y="754380"/>
              <a:ext cx="1298625" cy="4149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200" b="1" i="0">
                  <a:latin typeface="Cambria Math" panose="02040503050406030204" pitchFamily="18" charset="0"/>
                </a:rPr>
                <a:t>𝑯_𝟎=𝑬𝑿𝑷(𝟏/(𝑬[𝑾]))</a:t>
              </a:r>
              <a:endParaRPr lang="it-IT" sz="1200" b="1"/>
            </a:p>
          </xdr:txBody>
        </xdr:sp>
      </mc:Fallback>
    </mc:AlternateContent>
    <xdr:clientData/>
  </xdr:oneCellAnchor>
  <xdr:oneCellAnchor>
    <xdr:from>
      <xdr:col>10</xdr:col>
      <xdr:colOff>403860</xdr:colOff>
      <xdr:row>12</xdr:row>
      <xdr:rowOff>83820</xdr:rowOff>
    </xdr:from>
    <xdr:ext cx="65" cy="172227"/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BD66D1E5-685B-CDB3-4E22-A1B20C7DCF69}"/>
            </a:ext>
          </a:extLst>
        </xdr:cNvPr>
        <xdr:cNvSpPr txBox="1"/>
      </xdr:nvSpPr>
      <xdr:spPr>
        <a:xfrm>
          <a:off x="6629400" y="22783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7</xdr:col>
      <xdr:colOff>711200</xdr:colOff>
      <xdr:row>68</xdr:row>
      <xdr:rowOff>127000</xdr:rowOff>
    </xdr:from>
    <xdr:ext cx="1209040" cy="4250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47819942-B611-D27C-82AE-5960C6A23EAE}"/>
                </a:ext>
              </a:extLst>
            </xdr:cNvPr>
            <xdr:cNvSpPr txBox="1"/>
          </xdr:nvSpPr>
          <xdr:spPr>
            <a:xfrm>
              <a:off x="5455920" y="12562840"/>
              <a:ext cx="1209040" cy="4250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</m:t>
                    </m:r>
                    <m:d>
                      <m:dPr>
                        <m:begChr m:val="["/>
                        <m:endChr m:val="]"/>
                        <m:ctrlPr>
                          <a:rPr lang="it-IT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𝑾</m:t>
                        </m:r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it-IT" sz="1600" b="1">
                <a:ea typeface="Cambria Math" panose="02040503050406030204" pitchFamily="18" charset="0"/>
              </a:endParaRPr>
            </a:p>
            <a:p>
              <a:r>
                <a:rPr lang="it-IT" sz="1100"/>
                <a:t>	</a:t>
              </a:r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47819942-B611-D27C-82AE-5960C6A23EAE}"/>
                </a:ext>
              </a:extLst>
            </xdr:cNvPr>
            <xdr:cNvSpPr txBox="1"/>
          </xdr:nvSpPr>
          <xdr:spPr>
            <a:xfrm>
              <a:off x="5455920" y="12562840"/>
              <a:ext cx="1209040" cy="4250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𝝁=𝑬[𝑾]=</a:t>
              </a:r>
              <a:endParaRPr lang="it-IT" sz="1600" b="1">
                <a:ea typeface="Cambria Math" panose="02040503050406030204" pitchFamily="18" charset="0"/>
              </a:endParaRPr>
            </a:p>
            <a:p>
              <a:r>
                <a:rPr lang="it-IT" sz="1100"/>
                <a:t>	</a:t>
              </a:r>
            </a:p>
          </xdr:txBody>
        </xdr:sp>
      </mc:Fallback>
    </mc:AlternateContent>
    <xdr:clientData/>
  </xdr:oneCellAnchor>
  <xdr:oneCellAnchor>
    <xdr:from>
      <xdr:col>7</xdr:col>
      <xdr:colOff>426720</xdr:colOff>
      <xdr:row>70</xdr:row>
      <xdr:rowOff>177800</xdr:rowOff>
    </xdr:from>
    <xdr:ext cx="1499449" cy="264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3A70A8C5-AF9F-0250-C460-A2D587B02CFD}"/>
                </a:ext>
              </a:extLst>
            </xdr:cNvPr>
            <xdr:cNvSpPr txBox="1"/>
          </xdr:nvSpPr>
          <xdr:spPr>
            <a:xfrm>
              <a:off x="5171440" y="12979400"/>
              <a:ext cx="1499449" cy="26404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p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𝑽𝑨𝑹</m:t>
                    </m:r>
                    <m:d>
                      <m:dPr>
                        <m:begChr m:val="["/>
                        <m:endChr m:val="]"/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3A70A8C5-AF9F-0250-C460-A2D587B02CFD}"/>
                </a:ext>
              </a:extLst>
            </xdr:cNvPr>
            <xdr:cNvSpPr txBox="1"/>
          </xdr:nvSpPr>
          <xdr:spPr>
            <a:xfrm>
              <a:off x="5171440" y="12979400"/>
              <a:ext cx="1499449" cy="26404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𝝈^</a:t>
              </a:r>
              <a:r>
                <a:rPr lang="it-IT" sz="1600" b="1" i="0">
                  <a:latin typeface="Cambria Math" panose="02040503050406030204" pitchFamily="18" charset="0"/>
                </a:rPr>
                <a:t>𝟐=𝑽𝑨𝑹[𝑾]=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5</xdr:col>
      <xdr:colOff>40640</xdr:colOff>
      <xdr:row>71</xdr:row>
      <xdr:rowOff>25400</xdr:rowOff>
    </xdr:from>
    <xdr:ext cx="2203873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A60C0BC3-9610-88EA-BE23-23296C850A91}"/>
                </a:ext>
              </a:extLst>
            </xdr:cNvPr>
            <xdr:cNvSpPr txBox="1"/>
          </xdr:nvSpPr>
          <xdr:spPr>
            <a:xfrm>
              <a:off x="3291840" y="13009880"/>
              <a:ext cx="220387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𝑵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𝑬</m:t>
                    </m:r>
                    <m:d>
                      <m:dPr>
                        <m:begChr m:val="["/>
                        <m:endChr m:val="]"/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𝑾</m:t>
                        </m:r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𝑽𝑨𝑹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𝑾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])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A60C0BC3-9610-88EA-BE23-23296C850A91}"/>
                </a:ext>
              </a:extLst>
            </xdr:cNvPr>
            <xdr:cNvSpPr txBox="1"/>
          </xdr:nvSpPr>
          <xdr:spPr>
            <a:xfrm>
              <a:off x="3291840" y="13009880"/>
              <a:ext cx="220387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𝑯_𝟎=𝑵(𝑬[𝑾], 𝑽𝑨𝑹[𝑾])</a:t>
              </a:r>
              <a:endParaRPr lang="it-IT" sz="1600" b="1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1514-A6B2-4C67-9628-4D01AC0EE107}">
  <dimension ref="A1:AK101"/>
  <sheetViews>
    <sheetView topLeftCell="N24" zoomScale="79" zoomScaleNormal="100" workbookViewId="0">
      <selection activeCell="O45" sqref="O45"/>
    </sheetView>
  </sheetViews>
  <sheetFormatPr defaultRowHeight="14.4" x14ac:dyDescent="0.3"/>
  <cols>
    <col min="1" max="1" width="16.88671875" customWidth="1"/>
    <col min="3" max="3" width="9.5546875" customWidth="1"/>
    <col min="6" max="9" width="11.109375" customWidth="1"/>
    <col min="10" max="10" width="15.77734375" customWidth="1"/>
    <col min="12" max="12" width="22.33203125" customWidth="1"/>
    <col min="13" max="14" width="10.5546875" customWidth="1"/>
    <col min="15" max="15" width="21.109375" customWidth="1"/>
    <col min="17" max="17" width="11.77734375" customWidth="1"/>
    <col min="19" max="19" width="9.44140625" customWidth="1"/>
    <col min="23" max="23" width="16.21875" customWidth="1"/>
    <col min="30" max="30" width="9.33203125" bestFit="1" customWidth="1"/>
    <col min="31" max="31" width="16.33203125" customWidth="1"/>
    <col min="34" max="34" width="18.6640625" customWidth="1"/>
  </cols>
  <sheetData>
    <row r="1" spans="1:37" x14ac:dyDescent="0.3">
      <c r="A1" s="17" t="s">
        <v>77</v>
      </c>
      <c r="C1" s="41" t="s">
        <v>82</v>
      </c>
      <c r="D1" s="1">
        <v>10</v>
      </c>
      <c r="F1" s="17" t="s">
        <v>33</v>
      </c>
      <c r="G1" s="17"/>
      <c r="I1" s="17" t="s">
        <v>0</v>
      </c>
      <c r="J1" s="17" t="s">
        <v>36</v>
      </c>
      <c r="L1" s="3" t="s">
        <v>85</v>
      </c>
      <c r="M1" s="1">
        <f ca="1">AVERAGE(F2:F101)</f>
        <v>9.2385407501247823</v>
      </c>
      <c r="N1" s="5"/>
      <c r="O1" s="9" t="s">
        <v>78</v>
      </c>
      <c r="P1" s="10"/>
      <c r="Q1" s="10"/>
      <c r="R1" s="10"/>
      <c r="S1" s="10"/>
      <c r="T1" s="10"/>
      <c r="U1" s="10"/>
      <c r="W1" s="11" t="s">
        <v>11</v>
      </c>
      <c r="X1" s="10"/>
      <c r="Y1" s="10"/>
      <c r="Z1" s="10"/>
      <c r="AA1" s="10"/>
      <c r="AB1" s="10"/>
      <c r="AC1" s="10"/>
      <c r="AE1" s="11" t="s">
        <v>13</v>
      </c>
      <c r="AF1" s="10"/>
      <c r="AG1" s="10"/>
      <c r="AH1" s="10"/>
      <c r="AI1" s="10"/>
      <c r="AJ1" s="10"/>
      <c r="AK1" s="10"/>
    </row>
    <row r="2" spans="1:37" x14ac:dyDescent="0.3">
      <c r="A2">
        <f ca="1">RAND()</f>
        <v>0.7383517675473098</v>
      </c>
      <c r="C2" s="3" t="s">
        <v>83</v>
      </c>
      <c r="D2" s="1">
        <v>20</v>
      </c>
      <c r="F2">
        <f ca="1">_xlfn.NORM.INV(A2,$D$1,$D$3)</f>
        <v>12.854440332088391</v>
      </c>
      <c r="I2">
        <f ca="1">F2-$M$1</f>
        <v>3.6158995819636086</v>
      </c>
      <c r="J2">
        <f ca="1">I2^2</f>
        <v>13.0747297868446</v>
      </c>
    </row>
    <row r="3" spans="1:37" ht="18" x14ac:dyDescent="0.35">
      <c r="A3">
        <f t="shared" ref="A3:A66" ca="1" si="0">RAND()</f>
        <v>0.61824519862559302</v>
      </c>
      <c r="C3" s="3" t="s">
        <v>84</v>
      </c>
      <c r="D3" s="1">
        <f>SQRT(D2)</f>
        <v>4.4721359549995796</v>
      </c>
      <c r="F3">
        <f t="shared" ref="F3:F50" ca="1" si="1">_xlfn.NORM.INV(A3,$D$1,$D$3)</f>
        <v>11.345555147997914</v>
      </c>
      <c r="I3">
        <f t="shared" ref="I3:I66" ca="1" si="2">F3-$M$1</f>
        <v>2.1070143978731313</v>
      </c>
      <c r="J3">
        <f t="shared" ref="J3:J66" ca="1" si="3">I3^2</f>
        <v>4.4395096728446743</v>
      </c>
      <c r="L3" s="3" t="s">
        <v>86</v>
      </c>
      <c r="M3" s="1">
        <f ca="1">SUM(J2:J101)/99</f>
        <v>20.475282304822723</v>
      </c>
      <c r="O3" s="14" t="s">
        <v>1</v>
      </c>
      <c r="P3" s="15">
        <v>0.05</v>
      </c>
      <c r="Q3" s="14" t="s">
        <v>3</v>
      </c>
      <c r="R3" s="15">
        <f>P3/2</f>
        <v>2.5000000000000001E-2</v>
      </c>
      <c r="S3" s="16"/>
      <c r="T3" s="16"/>
      <c r="U3" s="16"/>
      <c r="X3">
        <f>TINV(R3,99)</f>
        <v>2.2760034747512714</v>
      </c>
      <c r="AF3">
        <f>CHIINV(R3,99)</f>
        <v>128.42198864384031</v>
      </c>
      <c r="AI3">
        <f>CHIINV(R4,99)</f>
        <v>73.361080191283676</v>
      </c>
    </row>
    <row r="4" spans="1:37" ht="18" x14ac:dyDescent="0.35">
      <c r="A4">
        <f t="shared" ca="1" si="0"/>
        <v>0.87878605335567406</v>
      </c>
      <c r="F4">
        <f t="shared" ca="1" si="1"/>
        <v>15.227657635515854</v>
      </c>
      <c r="I4">
        <f t="shared" ca="1" si="2"/>
        <v>5.9891168853910717</v>
      </c>
      <c r="J4">
        <f t="shared" ca="1" si="3"/>
        <v>35.869521066876452</v>
      </c>
      <c r="N4" s="6"/>
      <c r="O4" s="14" t="s">
        <v>2</v>
      </c>
      <c r="P4" s="15">
        <f>1-P3</f>
        <v>0.95</v>
      </c>
      <c r="Q4" s="14" t="s">
        <v>4</v>
      </c>
      <c r="R4" s="15">
        <f>1-R3</f>
        <v>0.97499999999999998</v>
      </c>
      <c r="S4" s="16"/>
      <c r="T4" s="16"/>
      <c r="U4" s="16"/>
    </row>
    <row r="5" spans="1:37" x14ac:dyDescent="0.3">
      <c r="A5">
        <f t="shared" ca="1" si="0"/>
        <v>0.3185160200511743</v>
      </c>
      <c r="F5">
        <f t="shared" ca="1" si="1"/>
        <v>7.8898112537776832</v>
      </c>
      <c r="I5">
        <f t="shared" ca="1" si="2"/>
        <v>-1.348729496347099</v>
      </c>
      <c r="J5">
        <f t="shared" ca="1" si="3"/>
        <v>1.8190712543166994</v>
      </c>
      <c r="L5" s="3" t="s">
        <v>87</v>
      </c>
      <c r="M5" s="8">
        <f ca="1">SQRT(M3)</f>
        <v>4.5249621329711394</v>
      </c>
      <c r="N5" s="7"/>
    </row>
    <row r="6" spans="1:37" x14ac:dyDescent="0.3">
      <c r="A6">
        <f t="shared" ca="1" si="0"/>
        <v>0.39643266489531603</v>
      </c>
      <c r="F6">
        <f t="shared" ca="1" si="1"/>
        <v>8.8256544010211186</v>
      </c>
      <c r="I6">
        <f t="shared" ca="1" si="2"/>
        <v>-0.41288634910366362</v>
      </c>
      <c r="J6">
        <f t="shared" ca="1" si="3"/>
        <v>0.17047513727615238</v>
      </c>
      <c r="P6">
        <f>NORMSINV(R4)</f>
        <v>1.9599639845400536</v>
      </c>
    </row>
    <row r="7" spans="1:37" x14ac:dyDescent="0.3">
      <c r="A7">
        <f t="shared" ca="1" si="0"/>
        <v>8.0695554226689725E-2</v>
      </c>
      <c r="F7">
        <f t="shared" ca="1" si="1"/>
        <v>3.7371840259876192</v>
      </c>
      <c r="I7">
        <f t="shared" ca="1" si="2"/>
        <v>-5.501356724137163</v>
      </c>
      <c r="J7">
        <f t="shared" ca="1" si="3"/>
        <v>30.264925806209177</v>
      </c>
    </row>
    <row r="8" spans="1:37" x14ac:dyDescent="0.3">
      <c r="A8">
        <f t="shared" ca="1" si="0"/>
        <v>0.62211955188629386</v>
      </c>
      <c r="F8">
        <f t="shared" ca="1" si="1"/>
        <v>11.391067977038819</v>
      </c>
      <c r="I8">
        <f t="shared" ca="1" si="2"/>
        <v>2.152527226914037</v>
      </c>
      <c r="J8">
        <f t="shared" ca="1" si="3"/>
        <v>4.633373462606234</v>
      </c>
    </row>
    <row r="9" spans="1:37" x14ac:dyDescent="0.3">
      <c r="A9">
        <f t="shared" ca="1" si="0"/>
        <v>0.7711859550471073</v>
      </c>
      <c r="F9">
        <f t="shared" ca="1" si="1"/>
        <v>13.321715627858843</v>
      </c>
      <c r="I9">
        <f t="shared" ca="1" si="2"/>
        <v>4.0831748777340611</v>
      </c>
      <c r="J9">
        <f t="shared" ca="1" si="3"/>
        <v>16.672317082158564</v>
      </c>
      <c r="W9" s="2" t="s">
        <v>5</v>
      </c>
      <c r="X9">
        <f ca="1">M5/SQRT(100)*X3</f>
        <v>1.0298829537760237</v>
      </c>
      <c r="Z9" t="s">
        <v>9</v>
      </c>
      <c r="AB9">
        <f ca="1">X9*2</f>
        <v>2.0597659075520474</v>
      </c>
    </row>
    <row r="10" spans="1:37" x14ac:dyDescent="0.3">
      <c r="A10">
        <f t="shared" ca="1" si="0"/>
        <v>0.73533624875008263</v>
      </c>
      <c r="F10">
        <f t="shared" ca="1" si="1"/>
        <v>12.813120751654253</v>
      </c>
      <c r="I10">
        <f t="shared" ca="1" si="2"/>
        <v>3.5745800015294709</v>
      </c>
      <c r="J10">
        <f t="shared" ca="1" si="3"/>
        <v>12.777622187334432</v>
      </c>
    </row>
    <row r="11" spans="1:37" x14ac:dyDescent="0.3">
      <c r="A11">
        <f t="shared" ca="1" si="0"/>
        <v>0.98189960082664407</v>
      </c>
      <c r="F11">
        <f t="shared" ca="1" si="1"/>
        <v>19.367625869757724</v>
      </c>
      <c r="I11">
        <f t="shared" ca="1" si="2"/>
        <v>10.129085119632942</v>
      </c>
      <c r="J11">
        <f t="shared" ca="1" si="3"/>
        <v>102.59836536076948</v>
      </c>
      <c r="W11" s="2" t="s">
        <v>6</v>
      </c>
      <c r="X11">
        <f ca="1">M1-X9</f>
        <v>8.2086577963487581</v>
      </c>
      <c r="Z11">
        <f ca="1">X11</f>
        <v>8.2086577963487581</v>
      </c>
      <c r="AB11">
        <f ca="1">X12</f>
        <v>10.268423703900806</v>
      </c>
      <c r="AE11" s="12" t="s">
        <v>14</v>
      </c>
      <c r="AF11">
        <f ca="1">99*M3/AF3</f>
        <v>15.784313648959182</v>
      </c>
      <c r="AH11" s="4" t="s">
        <v>16</v>
      </c>
      <c r="AI11">
        <f ca="1">ABS(AF12-AF11)</f>
        <v>11.846862758095577</v>
      </c>
    </row>
    <row r="12" spans="1:37" x14ac:dyDescent="0.3">
      <c r="A12">
        <f t="shared" ca="1" si="0"/>
        <v>0.56705257496955863</v>
      </c>
      <c r="F12">
        <f t="shared" ca="1" si="1"/>
        <v>10.755232606376229</v>
      </c>
      <c r="I12">
        <f t="shared" ca="1" si="2"/>
        <v>1.5166918562514464</v>
      </c>
      <c r="J12">
        <f t="shared" ca="1" si="3"/>
        <v>2.3003541868194581</v>
      </c>
      <c r="W12" s="4" t="s">
        <v>7</v>
      </c>
      <c r="X12">
        <f ca="1">M1+X9</f>
        <v>10.268423703900806</v>
      </c>
      <c r="AE12" s="4" t="s">
        <v>15</v>
      </c>
      <c r="AF12">
        <f ca="1">99*M3/AI3</f>
        <v>27.63117640705476</v>
      </c>
    </row>
    <row r="13" spans="1:37" x14ac:dyDescent="0.3">
      <c r="A13">
        <f t="shared" ca="1" si="0"/>
        <v>0.47024483162180741</v>
      </c>
      <c r="F13">
        <f t="shared" ca="1" si="1"/>
        <v>9.6661352237216125</v>
      </c>
      <c r="I13">
        <f t="shared" ca="1" si="2"/>
        <v>0.42759447359683023</v>
      </c>
      <c r="J13">
        <f t="shared" ca="1" si="3"/>
        <v>0.18283703385055033</v>
      </c>
      <c r="O13" s="12" t="s">
        <v>10</v>
      </c>
      <c r="P13">
        <f ca="1">M5/SQRT(100)*P6</f>
        <v>0.88687628120309736</v>
      </c>
      <c r="R13" t="s">
        <v>8</v>
      </c>
      <c r="T13">
        <f ca="1">P13*2</f>
        <v>1.7737525624061947</v>
      </c>
      <c r="AA13">
        <f>D1</f>
        <v>10</v>
      </c>
      <c r="AH13">
        <f ca="1">AF11</f>
        <v>15.784313648959182</v>
      </c>
      <c r="AJ13">
        <f ca="1">AF12</f>
        <v>27.63117640705476</v>
      </c>
    </row>
    <row r="14" spans="1:37" x14ac:dyDescent="0.3">
      <c r="A14">
        <f t="shared" ca="1" si="0"/>
        <v>0.53559674767849252</v>
      </c>
      <c r="F14">
        <f t="shared" ca="1" si="1"/>
        <v>10.399569894940836</v>
      </c>
      <c r="I14">
        <f t="shared" ca="1" si="2"/>
        <v>1.1610291448160535</v>
      </c>
      <c r="J14">
        <f t="shared" ca="1" si="3"/>
        <v>1.3479886751122965</v>
      </c>
    </row>
    <row r="15" spans="1:37" x14ac:dyDescent="0.3">
      <c r="A15">
        <f t="shared" ca="1" si="0"/>
        <v>3.7875507564523403E-2</v>
      </c>
      <c r="F15">
        <f t="shared" ca="1" si="1"/>
        <v>2.057977546068714</v>
      </c>
      <c r="I15">
        <f t="shared" ca="1" si="2"/>
        <v>-7.1805632040560683</v>
      </c>
      <c r="J15">
        <f t="shared" ca="1" si="3"/>
        <v>51.560487927443951</v>
      </c>
      <c r="AI15">
        <f>D2</f>
        <v>20</v>
      </c>
    </row>
    <row r="16" spans="1:37" x14ac:dyDescent="0.3">
      <c r="A16">
        <f t="shared" ca="1" si="0"/>
        <v>0.59292542465474463</v>
      </c>
      <c r="F16">
        <f t="shared" ca="1" si="1"/>
        <v>11.051295262032514</v>
      </c>
      <c r="I16">
        <f t="shared" ca="1" si="2"/>
        <v>1.8127545119077322</v>
      </c>
      <c r="J16">
        <f t="shared" ca="1" si="3"/>
        <v>3.2860789204418404</v>
      </c>
      <c r="O16" s="2" t="s">
        <v>6</v>
      </c>
      <c r="P16">
        <f ca="1">M1-P13</f>
        <v>8.351664468921685</v>
      </c>
      <c r="R16">
        <f ca="1">P16</f>
        <v>8.351664468921685</v>
      </c>
      <c r="T16">
        <f ca="1">P17</f>
        <v>10.12541703132788</v>
      </c>
    </row>
    <row r="17" spans="1:21" x14ac:dyDescent="0.3">
      <c r="A17">
        <f t="shared" ca="1" si="0"/>
        <v>0.13692174509934252</v>
      </c>
      <c r="F17">
        <f t="shared" ca="1" si="1"/>
        <v>5.1063462843979694</v>
      </c>
      <c r="I17">
        <f t="shared" ca="1" si="2"/>
        <v>-4.1321944657268128</v>
      </c>
      <c r="J17">
        <f t="shared" ca="1" si="3"/>
        <v>17.075031102583299</v>
      </c>
      <c r="O17" s="12" t="s">
        <v>7</v>
      </c>
      <c r="P17">
        <f ca="1">M1+P13</f>
        <v>10.12541703132788</v>
      </c>
    </row>
    <row r="18" spans="1:21" x14ac:dyDescent="0.3">
      <c r="A18">
        <f t="shared" ca="1" si="0"/>
        <v>0.65637227300702405</v>
      </c>
      <c r="F18">
        <f t="shared" ca="1" si="1"/>
        <v>11.800403258185876</v>
      </c>
      <c r="I18">
        <f t="shared" ca="1" si="2"/>
        <v>2.5618625080610933</v>
      </c>
      <c r="J18">
        <f t="shared" ca="1" si="3"/>
        <v>6.5631395102090755</v>
      </c>
      <c r="S18">
        <f>D1</f>
        <v>10</v>
      </c>
    </row>
    <row r="19" spans="1:21" x14ac:dyDescent="0.3">
      <c r="A19">
        <f t="shared" ca="1" si="0"/>
        <v>0.45235329771065724</v>
      </c>
      <c r="F19">
        <f t="shared" ca="1" si="1"/>
        <v>9.4646051351046161</v>
      </c>
      <c r="I19">
        <f t="shared" ca="1" si="2"/>
        <v>0.22606438497983383</v>
      </c>
      <c r="J19">
        <f t="shared" ca="1" si="3"/>
        <v>5.1105106156310517E-2</v>
      </c>
    </row>
    <row r="20" spans="1:21" x14ac:dyDescent="0.3">
      <c r="A20">
        <f t="shared" ca="1" si="0"/>
        <v>0.49064239970649715</v>
      </c>
      <c r="F20">
        <f t="shared" ca="1" si="1"/>
        <v>9.8950918443083005</v>
      </c>
      <c r="I20">
        <f t="shared" ca="1" si="2"/>
        <v>0.6565510941835182</v>
      </c>
      <c r="J20">
        <f t="shared" ca="1" si="3"/>
        <v>0.43105933927357498</v>
      </c>
    </row>
    <row r="21" spans="1:21" x14ac:dyDescent="0.3">
      <c r="A21">
        <f t="shared" ca="1" si="0"/>
        <v>2.8936805027407031E-2</v>
      </c>
      <c r="F21">
        <f t="shared" ca="1" si="1"/>
        <v>1.5179051639191865</v>
      </c>
      <c r="I21">
        <f t="shared" ca="1" si="2"/>
        <v>-7.7206355862055958</v>
      </c>
      <c r="J21">
        <f t="shared" ca="1" si="3"/>
        <v>59.608213854984221</v>
      </c>
    </row>
    <row r="22" spans="1:21" x14ac:dyDescent="0.3">
      <c r="A22">
        <f t="shared" ca="1" si="0"/>
        <v>1.109043542927024E-2</v>
      </c>
      <c r="F22">
        <f t="shared" ca="1" si="1"/>
        <v>-0.22892088663143895</v>
      </c>
      <c r="I22">
        <f t="shared" ca="1" si="2"/>
        <v>-9.4674616367562212</v>
      </c>
      <c r="J22">
        <f t="shared" ca="1" si="3"/>
        <v>89.632829843450793</v>
      </c>
      <c r="O22" s="11" t="s">
        <v>41</v>
      </c>
      <c r="P22" s="10"/>
      <c r="Q22" s="10"/>
      <c r="R22" s="10"/>
      <c r="S22" s="10"/>
      <c r="T22" s="10"/>
      <c r="U22" s="10"/>
    </row>
    <row r="23" spans="1:21" x14ac:dyDescent="0.3">
      <c r="A23">
        <f t="shared" ca="1" si="0"/>
        <v>0.780155500532421</v>
      </c>
      <c r="F23">
        <f t="shared" ca="1" si="1"/>
        <v>13.455702161572216</v>
      </c>
      <c r="I23">
        <f t="shared" ca="1" si="2"/>
        <v>4.2171614114474334</v>
      </c>
      <c r="J23">
        <f t="shared" ca="1" si="3"/>
        <v>17.784450370201309</v>
      </c>
    </row>
    <row r="24" spans="1:21" x14ac:dyDescent="0.3">
      <c r="A24">
        <f t="shared" ca="1" si="0"/>
        <v>0.57593379006673762</v>
      </c>
      <c r="F24">
        <f t="shared" ca="1" si="1"/>
        <v>10.856422373942181</v>
      </c>
      <c r="I24">
        <f t="shared" ca="1" si="2"/>
        <v>1.6178816238173983</v>
      </c>
      <c r="J24">
        <f t="shared" ca="1" si="3"/>
        <v>2.6175409486860217</v>
      </c>
      <c r="Q24" s="4"/>
      <c r="R24" s="4"/>
    </row>
    <row r="25" spans="1:21" x14ac:dyDescent="0.3">
      <c r="A25">
        <f t="shared" ca="1" si="0"/>
        <v>0.60852189471719298</v>
      </c>
      <c r="F25">
        <f t="shared" ca="1" si="1"/>
        <v>11.231933239877392</v>
      </c>
      <c r="I25">
        <f t="shared" ca="1" si="2"/>
        <v>1.9933924897526101</v>
      </c>
      <c r="J25">
        <f t="shared" ca="1" si="3"/>
        <v>3.9736136182021098</v>
      </c>
    </row>
    <row r="26" spans="1:21" x14ac:dyDescent="0.3">
      <c r="A26">
        <f t="shared" ca="1" si="0"/>
        <v>0.28637870315656333</v>
      </c>
      <c r="F26">
        <f t="shared" ca="1" si="1"/>
        <v>7.4777368367763879</v>
      </c>
      <c r="I26">
        <f t="shared" ca="1" si="2"/>
        <v>-1.7608039133483944</v>
      </c>
      <c r="J26">
        <f t="shared" ca="1" si="3"/>
        <v>3.1004304212630198</v>
      </c>
      <c r="Q26" s="4"/>
    </row>
    <row r="27" spans="1:21" x14ac:dyDescent="0.3">
      <c r="A27">
        <f t="shared" ca="1" si="0"/>
        <v>0.48051184026407534</v>
      </c>
      <c r="F27">
        <f t="shared" ca="1" si="1"/>
        <v>9.7814511138240761</v>
      </c>
      <c r="I27">
        <f t="shared" ca="1" si="2"/>
        <v>0.5429103636992938</v>
      </c>
      <c r="J27">
        <f t="shared" ca="1" si="3"/>
        <v>0.29475166301209949</v>
      </c>
    </row>
    <row r="28" spans="1:21" x14ac:dyDescent="0.3">
      <c r="A28">
        <f t="shared" ca="1" si="0"/>
        <v>0.90827231360691707</v>
      </c>
      <c r="F28">
        <f t="shared" ca="1" si="1"/>
        <v>15.948794671404444</v>
      </c>
      <c r="I28">
        <f t="shared" ca="1" si="2"/>
        <v>6.7102539212796621</v>
      </c>
      <c r="J28">
        <f t="shared" ca="1" si="3"/>
        <v>45.027507688049084</v>
      </c>
    </row>
    <row r="29" spans="1:21" x14ac:dyDescent="0.3">
      <c r="A29">
        <f t="shared" ca="1" si="0"/>
        <v>0.477167087032767</v>
      </c>
      <c r="F29">
        <f t="shared" ca="1" si="1"/>
        <v>9.743903547349019</v>
      </c>
      <c r="I29">
        <f t="shared" ca="1" si="2"/>
        <v>0.50536279722423672</v>
      </c>
      <c r="J29">
        <f t="shared" ca="1" si="3"/>
        <v>0.255391556818305</v>
      </c>
    </row>
    <row r="30" spans="1:21" x14ac:dyDescent="0.3">
      <c r="A30">
        <f t="shared" ca="1" si="0"/>
        <v>0.19072045091129508</v>
      </c>
      <c r="F30">
        <f t="shared" ca="1" si="1"/>
        <v>6.0857877400889651</v>
      </c>
      <c r="I30">
        <f t="shared" ca="1" si="2"/>
        <v>-3.1527530100358172</v>
      </c>
      <c r="J30">
        <f t="shared" ca="1" si="3"/>
        <v>9.9398515422899063</v>
      </c>
      <c r="O30" s="4" t="s">
        <v>17</v>
      </c>
    </row>
    <row r="31" spans="1:21" x14ac:dyDescent="0.3">
      <c r="A31">
        <f t="shared" ca="1" si="0"/>
        <v>0.51826971125514287</v>
      </c>
      <c r="F31">
        <f t="shared" ca="1" si="1"/>
        <v>10.204874780899258</v>
      </c>
      <c r="I31">
        <f t="shared" ca="1" si="2"/>
        <v>0.9663340307744761</v>
      </c>
      <c r="J31">
        <f t="shared" ca="1" si="3"/>
        <v>0.93380145903284617</v>
      </c>
    </row>
    <row r="32" spans="1:21" x14ac:dyDescent="0.3">
      <c r="A32">
        <f t="shared" ca="1" si="0"/>
        <v>1.4607344101423836E-2</v>
      </c>
      <c r="F32">
        <f t="shared" ca="1" si="1"/>
        <v>0.24816140508036888</v>
      </c>
      <c r="I32">
        <f t="shared" ca="1" si="2"/>
        <v>-8.9903793450444134</v>
      </c>
      <c r="J32">
        <f t="shared" ca="1" si="3"/>
        <v>80.826920767801212</v>
      </c>
      <c r="O32" s="2" t="s">
        <v>18</v>
      </c>
      <c r="P32">
        <f>IF(D1&lt;&gt;0,D1*0.1,0.1)</f>
        <v>1</v>
      </c>
      <c r="S32">
        <f ca="1">M1</f>
        <v>9.2385407501247823</v>
      </c>
    </row>
    <row r="33" spans="1:37" x14ac:dyDescent="0.3">
      <c r="A33">
        <f t="shared" ca="1" si="0"/>
        <v>0.47332791053747114</v>
      </c>
      <c r="F33">
        <f t="shared" ca="1" si="1"/>
        <v>9.7007832532245732</v>
      </c>
      <c r="I33">
        <f t="shared" ca="1" si="2"/>
        <v>0.46224250309979098</v>
      </c>
      <c r="J33">
        <f t="shared" ca="1" si="3"/>
        <v>0.21366813167196028</v>
      </c>
      <c r="O33" s="2" t="s">
        <v>19</v>
      </c>
      <c r="P33">
        <f>0.1*D2</f>
        <v>2</v>
      </c>
      <c r="S33">
        <f ca="1">M3*99/100</f>
        <v>20.270529481774496</v>
      </c>
    </row>
    <row r="34" spans="1:37" x14ac:dyDescent="0.3">
      <c r="A34">
        <f t="shared" ca="1" si="0"/>
        <v>0.24758887764004078</v>
      </c>
      <c r="F34">
        <f t="shared" ca="1" si="1"/>
        <v>6.9495704562860912</v>
      </c>
      <c r="I34">
        <f t="shared" ca="1" si="2"/>
        <v>-2.2889702938386911</v>
      </c>
      <c r="J34">
        <f t="shared" ca="1" si="3"/>
        <v>5.2393850060759837</v>
      </c>
    </row>
    <row r="35" spans="1:37" x14ac:dyDescent="0.3">
      <c r="A35">
        <f t="shared" ca="1" si="0"/>
        <v>0.99950341269719445</v>
      </c>
      <c r="F35">
        <f t="shared" ca="1" si="1"/>
        <v>24.724297897152894</v>
      </c>
      <c r="I35">
        <f t="shared" ca="1" si="2"/>
        <v>15.485757147028112</v>
      </c>
      <c r="J35">
        <f t="shared" ca="1" si="3"/>
        <v>239.80867441673226</v>
      </c>
    </row>
    <row r="36" spans="1:37" x14ac:dyDescent="0.3">
      <c r="A36">
        <f t="shared" ca="1" si="0"/>
        <v>4.2703629683366717E-2</v>
      </c>
      <c r="F36">
        <f t="shared" ca="1" si="1"/>
        <v>2.3073065322662227</v>
      </c>
      <c r="I36">
        <f t="shared" ca="1" si="2"/>
        <v>-6.9312342178585595</v>
      </c>
      <c r="J36">
        <f t="shared" ca="1" si="3"/>
        <v>48.042007782813357</v>
      </c>
    </row>
    <row r="37" spans="1:37" x14ac:dyDescent="0.3">
      <c r="A37">
        <f t="shared" ca="1" si="0"/>
        <v>0.45088473714441324</v>
      </c>
      <c r="F37">
        <f t="shared" ca="1" si="1"/>
        <v>9.4480204805561705</v>
      </c>
      <c r="I37">
        <f t="shared" ca="1" si="2"/>
        <v>0.20947973043138823</v>
      </c>
      <c r="J37">
        <f t="shared" ca="1" si="3"/>
        <v>4.3881757461607079E-2</v>
      </c>
      <c r="O37" s="11" t="s">
        <v>20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37" x14ac:dyDescent="0.3">
      <c r="A38">
        <f t="shared" ca="1" si="0"/>
        <v>0.50346143824307976</v>
      </c>
      <c r="F38">
        <f t="shared" ca="1" si="1"/>
        <v>10.038803148769084</v>
      </c>
      <c r="I38">
        <f t="shared" ca="1" si="2"/>
        <v>0.8002623986443016</v>
      </c>
      <c r="J38">
        <f t="shared" ca="1" si="3"/>
        <v>0.64041990668393112</v>
      </c>
    </row>
    <row r="39" spans="1:37" x14ac:dyDescent="0.3">
      <c r="A39">
        <f t="shared" ca="1" si="0"/>
        <v>0.85586536702012339</v>
      </c>
      <c r="F39">
        <f t="shared" ca="1" si="1"/>
        <v>14.74907759091955</v>
      </c>
      <c r="I39">
        <f t="shared" ca="1" si="2"/>
        <v>5.5105368407947672</v>
      </c>
      <c r="J39">
        <f t="shared" ca="1" si="3"/>
        <v>30.366016273756372</v>
      </c>
      <c r="Q39" s="1"/>
      <c r="R39" s="13" t="s">
        <v>21</v>
      </c>
      <c r="S39">
        <v>20</v>
      </c>
      <c r="U39" s="17" t="s">
        <v>26</v>
      </c>
      <c r="V39" s="16"/>
      <c r="W39" s="16"/>
      <c r="Y39" s="17" t="s">
        <v>28</v>
      </c>
      <c r="Z39" s="17"/>
      <c r="AA39" s="17"/>
      <c r="AB39" s="17"/>
      <c r="AD39" s="17" t="s">
        <v>27</v>
      </c>
      <c r="AE39" s="16"/>
      <c r="AF39" s="16"/>
      <c r="AG39" s="16"/>
      <c r="AH39" s="16"/>
    </row>
    <row r="40" spans="1:37" x14ac:dyDescent="0.3">
      <c r="A40">
        <f t="shared" ca="1" si="0"/>
        <v>0.38568666462618084</v>
      </c>
      <c r="F40">
        <f t="shared" ca="1" si="1"/>
        <v>8.7004912432379697</v>
      </c>
      <c r="I40">
        <f t="shared" ca="1" si="2"/>
        <v>-0.53804950688681252</v>
      </c>
      <c r="J40">
        <f t="shared" ca="1" si="3"/>
        <v>0.2894972718611421</v>
      </c>
      <c r="Q40" s="1"/>
      <c r="R40" s="13" t="s">
        <v>22</v>
      </c>
      <c r="S40">
        <f ca="1">MIN(F2:F101)</f>
        <v>-4.4848482127050371</v>
      </c>
      <c r="U40">
        <f ca="1">S40+S43</f>
        <v>-3.0243909072121404</v>
      </c>
      <c r="Y40">
        <f ca="1">COUNTIF($F$2:$F$101,"&lt;="&amp;U40)</f>
        <v>1</v>
      </c>
      <c r="AD40">
        <f ca="1">INT((100*_xlfn.NORM.DIST(U40,$D$1,$D$3,TRUE)))</f>
        <v>0</v>
      </c>
    </row>
    <row r="41" spans="1:37" x14ac:dyDescent="0.3">
      <c r="A41">
        <f t="shared" ca="1" si="0"/>
        <v>4.0503002060432669E-2</v>
      </c>
      <c r="F41">
        <f t="shared" ca="1" si="1"/>
        <v>2.1966657002229395</v>
      </c>
      <c r="I41">
        <f t="shared" ca="1" si="2"/>
        <v>-7.0418750499018428</v>
      </c>
      <c r="J41">
        <f t="shared" ca="1" si="3"/>
        <v>49.588004218430079</v>
      </c>
      <c r="Q41" s="3" t="s">
        <v>23</v>
      </c>
      <c r="R41" s="3"/>
      <c r="S41">
        <f ca="1">MAX(F2:F101)</f>
        <v>24.724297897152894</v>
      </c>
      <c r="U41">
        <f ca="1">U40+$S$43</f>
        <v>-1.5639336017192438</v>
      </c>
      <c r="Y41">
        <f t="shared" ref="Y41:Y59" ca="1" si="4">COUNTIF($F$2:$F$101,"&lt;="&amp;U41)</f>
        <v>1</v>
      </c>
      <c r="AD41">
        <f t="shared" ref="AD41:AD58" ca="1" si="5">INT((100*_xlfn.NORM.DIST(U41,$D$1,$D$3,TRUE)))</f>
        <v>0</v>
      </c>
    </row>
    <row r="42" spans="1:37" x14ac:dyDescent="0.3">
      <c r="A42">
        <f t="shared" ca="1" si="0"/>
        <v>0.21091421387325926</v>
      </c>
      <c r="F42">
        <f t="shared" ca="1" si="1"/>
        <v>6.4077426829018442</v>
      </c>
      <c r="I42">
        <f t="shared" ca="1" si="2"/>
        <v>-2.830798067222938</v>
      </c>
      <c r="J42">
        <f t="shared" ca="1" si="3"/>
        <v>8.0134176973931215</v>
      </c>
      <c r="U42">
        <f t="shared" ref="U42:U59" ca="1" si="6">U41+$S$43</f>
        <v>-0.10347629622634713</v>
      </c>
      <c r="Y42">
        <f t="shared" ca="1" si="4"/>
        <v>2</v>
      </c>
      <c r="AD42">
        <f t="shared" ca="1" si="5"/>
        <v>1</v>
      </c>
    </row>
    <row r="43" spans="1:37" x14ac:dyDescent="0.3">
      <c r="A43">
        <f t="shared" ca="1" si="0"/>
        <v>0.62565026463171736</v>
      </c>
      <c r="F43">
        <f t="shared" ca="1" si="1"/>
        <v>11.432669718097388</v>
      </c>
      <c r="I43">
        <f t="shared" ca="1" si="2"/>
        <v>2.1941289679726061</v>
      </c>
      <c r="J43">
        <f t="shared" ca="1" si="3"/>
        <v>4.8142019280965336</v>
      </c>
      <c r="Q43" s="3" t="s">
        <v>24</v>
      </c>
      <c r="R43" s="1"/>
      <c r="S43">
        <f ca="1">(S41-S40)/S39</f>
        <v>1.4604573054928967</v>
      </c>
      <c r="U43">
        <f t="shared" ca="1" si="6"/>
        <v>1.3569810092665495</v>
      </c>
      <c r="Y43">
        <f t="shared" ca="1" si="4"/>
        <v>3</v>
      </c>
      <c r="AD43">
        <f t="shared" ca="1" si="5"/>
        <v>2</v>
      </c>
    </row>
    <row r="44" spans="1:37" x14ac:dyDescent="0.3">
      <c r="A44">
        <f t="shared" ca="1" si="0"/>
        <v>2.8202913970087007E-2</v>
      </c>
      <c r="F44">
        <f t="shared" ca="1" si="1"/>
        <v>1.4676701249934325</v>
      </c>
      <c r="I44">
        <f t="shared" ca="1" si="2"/>
        <v>-7.7708706251313497</v>
      </c>
      <c r="J44">
        <f t="shared" ca="1" si="3"/>
        <v>60.386430272529296</v>
      </c>
      <c r="U44">
        <f t="shared" ca="1" si="6"/>
        <v>2.8174383147594462</v>
      </c>
      <c r="Y44">
        <f t="shared" ca="1" si="4"/>
        <v>9</v>
      </c>
      <c r="AD44">
        <f t="shared" ca="1" si="5"/>
        <v>5</v>
      </c>
    </row>
    <row r="45" spans="1:37" x14ac:dyDescent="0.3">
      <c r="A45">
        <f t="shared" ca="1" si="0"/>
        <v>0.71330863782568965</v>
      </c>
      <c r="F45">
        <f t="shared" ca="1" si="1"/>
        <v>12.518155111167324</v>
      </c>
      <c r="I45">
        <f t="shared" ca="1" si="2"/>
        <v>3.2796143610425421</v>
      </c>
      <c r="J45">
        <f t="shared" ca="1" si="3"/>
        <v>10.755870357156482</v>
      </c>
      <c r="U45">
        <f t="shared" ca="1" si="6"/>
        <v>4.2778956202523428</v>
      </c>
      <c r="Y45">
        <f t="shared" ca="1" si="4"/>
        <v>11</v>
      </c>
      <c r="AD45">
        <f t="shared" ca="1" si="5"/>
        <v>10</v>
      </c>
    </row>
    <row r="46" spans="1:37" x14ac:dyDescent="0.3">
      <c r="A46">
        <f t="shared" ca="1" si="0"/>
        <v>0.47920282474105891</v>
      </c>
      <c r="F46">
        <f t="shared" ca="1" si="1"/>
        <v>9.7667583343479194</v>
      </c>
      <c r="I46">
        <f t="shared" ca="1" si="2"/>
        <v>0.52821758422313714</v>
      </c>
      <c r="J46">
        <f t="shared" ca="1" si="3"/>
        <v>0.27901381628252697</v>
      </c>
      <c r="U46">
        <f t="shared" ca="1" si="6"/>
        <v>5.7383529257452395</v>
      </c>
      <c r="Y46">
        <f t="shared" ca="1" si="4"/>
        <v>17</v>
      </c>
      <c r="AD46">
        <f t="shared" ca="1" si="5"/>
        <v>17</v>
      </c>
    </row>
    <row r="47" spans="1:37" x14ac:dyDescent="0.3">
      <c r="A47">
        <f t="shared" ca="1" si="0"/>
        <v>3.9732690284607353E-2</v>
      </c>
      <c r="F47">
        <f t="shared" ca="1" si="1"/>
        <v>2.1567835508216353</v>
      </c>
      <c r="I47">
        <f t="shared" ca="1" si="2"/>
        <v>-7.081757199303147</v>
      </c>
      <c r="J47">
        <f t="shared" ca="1" si="3"/>
        <v>50.151285029881954</v>
      </c>
      <c r="U47">
        <f t="shared" ca="1" si="6"/>
        <v>7.1988102312381361</v>
      </c>
      <c r="Y47">
        <f t="shared" ca="1" si="4"/>
        <v>30</v>
      </c>
      <c r="AD47">
        <f t="shared" ca="1" si="5"/>
        <v>26</v>
      </c>
    </row>
    <row r="48" spans="1:37" x14ac:dyDescent="0.3">
      <c r="A48">
        <f t="shared" ca="1" si="0"/>
        <v>0.98213226559978306</v>
      </c>
      <c r="F48">
        <f t="shared" ca="1" si="1"/>
        <v>19.391148589910603</v>
      </c>
      <c r="I48">
        <f t="shared" ca="1" si="2"/>
        <v>10.152607839785821</v>
      </c>
      <c r="J48">
        <f t="shared" ca="1" si="3"/>
        <v>103.07544594848052</v>
      </c>
      <c r="U48">
        <f t="shared" ca="1" si="6"/>
        <v>8.6592675367310328</v>
      </c>
      <c r="Y48">
        <f t="shared" ca="1" si="4"/>
        <v>42</v>
      </c>
      <c r="AD48">
        <f t="shared" ca="1" si="5"/>
        <v>38</v>
      </c>
    </row>
    <row r="49" spans="1:34" x14ac:dyDescent="0.3">
      <c r="A49">
        <f t="shared" ca="1" si="0"/>
        <v>5.9993604063901529E-4</v>
      </c>
      <c r="F49">
        <f t="shared" ca="1" si="1"/>
        <v>-4.4848482127050371</v>
      </c>
      <c r="I49">
        <f t="shared" ca="1" si="2"/>
        <v>-13.723388962829819</v>
      </c>
      <c r="J49">
        <f t="shared" ca="1" si="3"/>
        <v>188.33140462511932</v>
      </c>
      <c r="U49">
        <f t="shared" ca="1" si="6"/>
        <v>10.119724842223929</v>
      </c>
      <c r="Y49">
        <f t="shared" ca="1" si="4"/>
        <v>60</v>
      </c>
      <c r="AD49">
        <f t="shared" ca="1" si="5"/>
        <v>51</v>
      </c>
    </row>
    <row r="50" spans="1:34" x14ac:dyDescent="0.3">
      <c r="A50">
        <f t="shared" ca="1" si="0"/>
        <v>0.13787754230104221</v>
      </c>
      <c r="F50">
        <f t="shared" ca="1" si="1"/>
        <v>5.1257975829515692</v>
      </c>
      <c r="I50">
        <f t="shared" ca="1" si="2"/>
        <v>-4.1127431671732131</v>
      </c>
      <c r="J50">
        <f t="shared" ca="1" si="3"/>
        <v>16.914656359129953</v>
      </c>
      <c r="U50">
        <f t="shared" ca="1" si="6"/>
        <v>11.580182147716826</v>
      </c>
      <c r="Y50">
        <f t="shared" ca="1" si="4"/>
        <v>74</v>
      </c>
      <c r="AD50">
        <f t="shared" ca="1" si="5"/>
        <v>63</v>
      </c>
    </row>
    <row r="51" spans="1:34" x14ac:dyDescent="0.3">
      <c r="A51">
        <f t="shared" ca="1" si="0"/>
        <v>0.24285992226949216</v>
      </c>
      <c r="F51">
        <f ca="1">_xlfn.NORM.INV(A51,$D$1,$D$3)</f>
        <v>6.8823284510251597</v>
      </c>
      <c r="I51">
        <f t="shared" ca="1" si="2"/>
        <v>-2.3562122990996226</v>
      </c>
      <c r="J51">
        <f t="shared" ca="1" si="3"/>
        <v>5.5517363984283294</v>
      </c>
      <c r="U51">
        <f t="shared" ca="1" si="6"/>
        <v>13.040639453209723</v>
      </c>
      <c r="Y51">
        <f t="shared" ca="1" si="4"/>
        <v>85</v>
      </c>
      <c r="AD51">
        <f t="shared" ca="1" si="5"/>
        <v>75</v>
      </c>
    </row>
    <row r="52" spans="1:34" x14ac:dyDescent="0.3">
      <c r="A52">
        <f t="shared" ca="1" si="0"/>
        <v>0.4416208253976518</v>
      </c>
      <c r="F52">
        <f t="shared" ref="F52:F101" ca="1" si="7">_xlfn.NORM.INV(A52,$D$1,$D$3)</f>
        <v>9.343217161246276</v>
      </c>
      <c r="I52">
        <f t="shared" ca="1" si="2"/>
        <v>0.10467641112149373</v>
      </c>
      <c r="J52">
        <f t="shared" ca="1" si="3"/>
        <v>1.0957151045275976E-2</v>
      </c>
      <c r="U52">
        <f t="shared" ca="1" si="6"/>
        <v>14.501096758702619</v>
      </c>
      <c r="Y52">
        <f t="shared" ca="1" si="4"/>
        <v>89</v>
      </c>
      <c r="AD52">
        <f t="shared" ca="1" si="5"/>
        <v>84</v>
      </c>
    </row>
    <row r="53" spans="1:34" x14ac:dyDescent="0.3">
      <c r="A53">
        <f t="shared" ca="1" si="0"/>
        <v>0.71402768976336339</v>
      </c>
      <c r="F53">
        <f t="shared" ca="1" si="7"/>
        <v>12.527605976102933</v>
      </c>
      <c r="I53">
        <f t="shared" ca="1" si="2"/>
        <v>3.2890652259781508</v>
      </c>
      <c r="J53">
        <f t="shared" ca="1" si="3"/>
        <v>10.817950060738704</v>
      </c>
      <c r="U53">
        <f t="shared" ca="1" si="6"/>
        <v>15.961554064195516</v>
      </c>
      <c r="Y53">
        <f t="shared" ca="1" si="4"/>
        <v>96</v>
      </c>
      <c r="AD53">
        <f t="shared" ca="1" si="5"/>
        <v>90</v>
      </c>
    </row>
    <row r="54" spans="1:34" x14ac:dyDescent="0.3">
      <c r="A54">
        <f t="shared" ca="1" si="0"/>
        <v>0.97707708733056364</v>
      </c>
      <c r="F54">
        <f t="shared" ca="1" si="7"/>
        <v>18.93000585854</v>
      </c>
      <c r="I54">
        <f t="shared" ca="1" si="2"/>
        <v>9.6914651084152172</v>
      </c>
      <c r="J54">
        <f t="shared" ca="1" si="3"/>
        <v>93.92449594762958</v>
      </c>
      <c r="U54">
        <f t="shared" ca="1" si="6"/>
        <v>17.422011369688413</v>
      </c>
      <c r="Y54">
        <f t="shared" ca="1" si="4"/>
        <v>96</v>
      </c>
      <c r="AD54">
        <f t="shared" ca="1" si="5"/>
        <v>95</v>
      </c>
    </row>
    <row r="55" spans="1:34" x14ac:dyDescent="0.3">
      <c r="A55">
        <f t="shared" ca="1" si="0"/>
        <v>0.15357498800951064</v>
      </c>
      <c r="F55">
        <f t="shared" ca="1" si="7"/>
        <v>5.4329630280085794</v>
      </c>
      <c r="I55">
        <f t="shared" ca="1" si="2"/>
        <v>-3.8055777221162028</v>
      </c>
      <c r="J55">
        <f t="shared" ca="1" si="3"/>
        <v>14.482421799067147</v>
      </c>
      <c r="U55">
        <f t="shared" ca="1" si="6"/>
        <v>18.882468675181308</v>
      </c>
      <c r="Y55">
        <f t="shared" ca="1" si="4"/>
        <v>96</v>
      </c>
      <c r="AD55">
        <f t="shared" ca="1" si="5"/>
        <v>97</v>
      </c>
    </row>
    <row r="56" spans="1:34" x14ac:dyDescent="0.3">
      <c r="A56">
        <f t="shared" ca="1" si="0"/>
        <v>6.1546638410939214E-2</v>
      </c>
      <c r="F56">
        <f t="shared" ca="1" si="7"/>
        <v>3.1043285745354305</v>
      </c>
      <c r="I56">
        <f t="shared" ca="1" si="2"/>
        <v>-6.1342121755893517</v>
      </c>
      <c r="J56">
        <f t="shared" ca="1" si="3"/>
        <v>37.628559015148646</v>
      </c>
      <c r="U56">
        <f t="shared" ca="1" si="6"/>
        <v>20.342925980674202</v>
      </c>
      <c r="Y56">
        <f t="shared" ca="1" si="4"/>
        <v>99</v>
      </c>
      <c r="AD56">
        <f t="shared" ca="1" si="5"/>
        <v>98</v>
      </c>
    </row>
    <row r="57" spans="1:34" x14ac:dyDescent="0.3">
      <c r="A57">
        <f t="shared" ca="1" si="0"/>
        <v>0.55605849943023766</v>
      </c>
      <c r="F57">
        <f t="shared" ca="1" si="7"/>
        <v>10.630497244082784</v>
      </c>
      <c r="I57">
        <f t="shared" ca="1" si="2"/>
        <v>1.391956493958002</v>
      </c>
      <c r="J57">
        <f t="shared" ca="1" si="3"/>
        <v>1.9375428810718534</v>
      </c>
      <c r="U57">
        <f t="shared" ca="1" si="6"/>
        <v>21.803383286167097</v>
      </c>
      <c r="Y57">
        <f t="shared" ca="1" si="4"/>
        <v>99</v>
      </c>
      <c r="AD57">
        <f t="shared" ca="1" si="5"/>
        <v>99</v>
      </c>
    </row>
    <row r="58" spans="1:34" x14ac:dyDescent="0.3">
      <c r="A58">
        <f t="shared" ca="1" si="0"/>
        <v>0.36145319307581902</v>
      </c>
      <c r="F58">
        <f t="shared" ca="1" si="7"/>
        <v>8.414282714262141</v>
      </c>
      <c r="I58">
        <f t="shared" ca="1" si="2"/>
        <v>-0.82425803586264124</v>
      </c>
      <c r="J58">
        <f t="shared" ca="1" si="3"/>
        <v>0.67940130968413914</v>
      </c>
      <c r="U58">
        <f t="shared" ca="1" si="6"/>
        <v>23.263840591659992</v>
      </c>
      <c r="Y58">
        <f t="shared" ca="1" si="4"/>
        <v>99</v>
      </c>
      <c r="AD58">
        <f t="shared" ca="1" si="5"/>
        <v>99</v>
      </c>
    </row>
    <row r="59" spans="1:34" x14ac:dyDescent="0.3">
      <c r="A59">
        <f t="shared" ca="1" si="0"/>
        <v>0.51474633020347615</v>
      </c>
      <c r="F59">
        <f t="shared" ca="1" si="7"/>
        <v>10.165343763643778</v>
      </c>
      <c r="I59">
        <f t="shared" ca="1" si="2"/>
        <v>0.9268030135189953</v>
      </c>
      <c r="J59">
        <f t="shared" ca="1" si="3"/>
        <v>0.858963825867891</v>
      </c>
      <c r="U59">
        <f t="shared" ca="1" si="6"/>
        <v>24.724297897152887</v>
      </c>
      <c r="Y59">
        <f t="shared" ca="1" si="4"/>
        <v>100</v>
      </c>
      <c r="AD59">
        <v>100</v>
      </c>
    </row>
    <row r="60" spans="1:34" x14ac:dyDescent="0.3">
      <c r="A60">
        <f t="shared" ca="1" si="0"/>
        <v>0.47296756658395256</v>
      </c>
      <c r="F60">
        <f t="shared" ca="1" si="7"/>
        <v>9.6967346291806891</v>
      </c>
      <c r="I60">
        <f t="shared" ca="1" si="2"/>
        <v>0.45819387905590681</v>
      </c>
      <c r="J60">
        <f t="shared" ca="1" si="3"/>
        <v>0.20994163080429895</v>
      </c>
    </row>
    <row r="61" spans="1:34" x14ac:dyDescent="0.3">
      <c r="A61">
        <f t="shared" ca="1" si="0"/>
        <v>0.3864451995136291</v>
      </c>
      <c r="F61">
        <f t="shared" ca="1" si="7"/>
        <v>8.7093585296685596</v>
      </c>
      <c r="I61">
        <f t="shared" ca="1" si="2"/>
        <v>-0.52918222045622265</v>
      </c>
      <c r="J61">
        <f t="shared" ca="1" si="3"/>
        <v>0.28003382244697822</v>
      </c>
      <c r="Y61" s="22" t="s">
        <v>29</v>
      </c>
      <c r="Z61" s="23"/>
      <c r="AA61" s="23"/>
      <c r="AB61" s="23"/>
      <c r="AD61" s="20" t="s">
        <v>30</v>
      </c>
      <c r="AE61" s="20"/>
      <c r="AF61" s="20"/>
      <c r="AG61" s="20"/>
      <c r="AH61" s="20"/>
    </row>
    <row r="62" spans="1:34" x14ac:dyDescent="0.3">
      <c r="A62">
        <f t="shared" ca="1" si="0"/>
        <v>0.34087082047161865</v>
      </c>
      <c r="F62">
        <f t="shared" ca="1" si="7"/>
        <v>8.1660322090888187</v>
      </c>
      <c r="I62">
        <f t="shared" ca="1" si="2"/>
        <v>-1.0725085410359636</v>
      </c>
      <c r="J62">
        <f t="shared" ca="1" si="3"/>
        <v>1.1502745705950912</v>
      </c>
      <c r="Y62">
        <f ca="1">Y40/100</f>
        <v>0.01</v>
      </c>
      <c r="AD62">
        <f ca="1">_xlfn.NORM.DIST(U40,$D$1,$D$3,TRUE)-_xlfn.NORM.DIST(S40,$D$1,$D$3,TRUE)</f>
        <v>1.1937101448792765E-3</v>
      </c>
    </row>
    <row r="63" spans="1:34" x14ac:dyDescent="0.3">
      <c r="A63">
        <f t="shared" ca="1" si="0"/>
        <v>0.89806290376015296</v>
      </c>
      <c r="F63">
        <f t="shared" ca="1" si="7"/>
        <v>15.68225566918038</v>
      </c>
      <c r="I63">
        <f t="shared" ca="1" si="2"/>
        <v>6.4437149190555978</v>
      </c>
      <c r="J63">
        <f t="shared" ca="1" si="3"/>
        <v>41.521461958059689</v>
      </c>
      <c r="Y63">
        <f ca="1">(Y41-Y40)/100</f>
        <v>0</v>
      </c>
      <c r="AD63">
        <f ca="1">_xlfn.NORM.DIST(U41,$D$1,$D$3,TRUE)-_xlfn.NORM.DIST(U40,$D$1,$D$3,TRUE)</f>
        <v>3.0643822246269473E-3</v>
      </c>
    </row>
    <row r="64" spans="1:34" x14ac:dyDescent="0.3">
      <c r="A64">
        <f t="shared" ca="1" si="0"/>
        <v>0.71497568278165369</v>
      </c>
      <c r="F64">
        <f t="shared" ca="1" si="7"/>
        <v>12.54008321329416</v>
      </c>
      <c r="I64">
        <f t="shared" ca="1" si="2"/>
        <v>3.3015424631693779</v>
      </c>
      <c r="J64">
        <f t="shared" ca="1" si="3"/>
        <v>10.900182636110523</v>
      </c>
      <c r="Y64">
        <f t="shared" ref="Y64:Y81" ca="1" si="8">(Y42-Y41)/100</f>
        <v>0.01</v>
      </c>
      <c r="AD64">
        <f t="shared" ref="AD64:AD81" ca="1" si="9">_xlfn.NORM.DIST(U42,$D$1,$D$3,TRUE)-_xlfn.NORM.DIST(U41,$D$1,$D$3,TRUE)</f>
        <v>7.0772590788249837E-3</v>
      </c>
    </row>
    <row r="65" spans="1:30" x14ac:dyDescent="0.3">
      <c r="A65">
        <f t="shared" ca="1" si="0"/>
        <v>0.13204175079762848</v>
      </c>
      <c r="F65">
        <f t="shared" ca="1" si="7"/>
        <v>5.0055567621871626</v>
      </c>
      <c r="I65">
        <f t="shared" ca="1" si="2"/>
        <v>-4.2329839879376197</v>
      </c>
      <c r="J65">
        <f t="shared" ca="1" si="3"/>
        <v>17.918153442136273</v>
      </c>
      <c r="Y65">
        <f t="shared" ca="1" si="8"/>
        <v>0.01</v>
      </c>
      <c r="AD65">
        <f t="shared" ca="1" si="9"/>
        <v>1.4705128779565113E-2</v>
      </c>
    </row>
    <row r="66" spans="1:30" x14ac:dyDescent="0.3">
      <c r="A66">
        <f t="shared" ca="1" si="0"/>
        <v>0.70713572825887971</v>
      </c>
      <c r="F66">
        <f t="shared" ca="1" si="7"/>
        <v>12.437476488641257</v>
      </c>
      <c r="I66">
        <f t="shared" ca="1" si="2"/>
        <v>3.1989357385164752</v>
      </c>
      <c r="J66">
        <f t="shared" ca="1" si="3"/>
        <v>10.233189859157946</v>
      </c>
      <c r="Y66">
        <f t="shared" ca="1" si="8"/>
        <v>0.06</v>
      </c>
      <c r="AD66">
        <f t="shared" ca="1" si="9"/>
        <v>2.7488890956772729E-2</v>
      </c>
    </row>
    <row r="67" spans="1:30" x14ac:dyDescent="0.3">
      <c r="A67">
        <f t="shared" ref="A67:A101" ca="1" si="10">RAND()</f>
        <v>0.17127772198977143</v>
      </c>
      <c r="F67">
        <f t="shared" ca="1" si="7"/>
        <v>5.7553699196063137</v>
      </c>
      <c r="I67">
        <f t="shared" ref="I67:I101" ca="1" si="11">F67-$M$1</f>
        <v>-3.4831708305184685</v>
      </c>
      <c r="J67">
        <f t="shared" ref="J67:J101" ca="1" si="12">I67^2</f>
        <v>12.132479034574718</v>
      </c>
      <c r="Y67">
        <f t="shared" ca="1" si="8"/>
        <v>0.02</v>
      </c>
      <c r="AD67">
        <f t="shared" ca="1" si="9"/>
        <v>4.6230959772546473E-2</v>
      </c>
    </row>
    <row r="68" spans="1:30" x14ac:dyDescent="0.3">
      <c r="A68">
        <f t="shared" ca="1" si="10"/>
        <v>0.17300801052442294</v>
      </c>
      <c r="F68">
        <f t="shared" ca="1" si="7"/>
        <v>5.7857049114908623</v>
      </c>
      <c r="I68">
        <f t="shared" ca="1" si="11"/>
        <v>-3.45283583863392</v>
      </c>
      <c r="J68">
        <f t="shared" ca="1" si="12"/>
        <v>11.922075328554806</v>
      </c>
      <c r="Y68">
        <f t="shared" ca="1" si="8"/>
        <v>0.06</v>
      </c>
      <c r="AD68">
        <f t="shared" ca="1" si="9"/>
        <v>6.9951677622652711E-2</v>
      </c>
    </row>
    <row r="69" spans="1:30" x14ac:dyDescent="0.3">
      <c r="A69">
        <f t="shared" ca="1" si="10"/>
        <v>0.16058593624666317</v>
      </c>
      <c r="F69">
        <f t="shared" ca="1" si="7"/>
        <v>5.5634059474874347</v>
      </c>
      <c r="I69">
        <f t="shared" ca="1" si="11"/>
        <v>-3.6751348026373476</v>
      </c>
      <c r="J69">
        <f t="shared" ca="1" si="12"/>
        <v>13.506615817556256</v>
      </c>
      <c r="Y69">
        <f t="shared" ca="1" si="8"/>
        <v>0.13</v>
      </c>
      <c r="AD69">
        <f t="shared" ca="1" si="9"/>
        <v>9.5225811574754349E-2</v>
      </c>
    </row>
    <row r="70" spans="1:30" x14ac:dyDescent="0.3">
      <c r="A70">
        <f t="shared" ca="1" si="10"/>
        <v>0.44103057915885879</v>
      </c>
      <c r="F70">
        <f t="shared" ca="1" si="7"/>
        <v>9.3365280334553127</v>
      </c>
      <c r="I70">
        <f t="shared" ca="1" si="11"/>
        <v>9.7987283330530417E-2</v>
      </c>
      <c r="J70">
        <f t="shared" ca="1" si="12"/>
        <v>9.6015076944976439E-3</v>
      </c>
      <c r="Y70">
        <f t="shared" ca="1" si="8"/>
        <v>0.12</v>
      </c>
      <c r="AD70">
        <f t="shared" ca="1" si="9"/>
        <v>0.11662828660527885</v>
      </c>
    </row>
    <row r="71" spans="1:30" x14ac:dyDescent="0.3">
      <c r="A71">
        <f t="shared" ca="1" si="10"/>
        <v>0.71469299955753507</v>
      </c>
      <c r="F71">
        <f t="shared" ca="1" si="7"/>
        <v>12.536360545390684</v>
      </c>
      <c r="I71">
        <f t="shared" ca="1" si="11"/>
        <v>3.2978197952659016</v>
      </c>
      <c r="J71">
        <f t="shared" ca="1" si="12"/>
        <v>10.875615402047634</v>
      </c>
      <c r="Y71">
        <f t="shared" ca="1" si="8"/>
        <v>0.18</v>
      </c>
      <c r="AD71">
        <f t="shared" ca="1" si="9"/>
        <v>0.12851288049918419</v>
      </c>
    </row>
    <row r="72" spans="1:30" x14ac:dyDescent="0.3">
      <c r="A72">
        <f t="shared" ca="1" si="10"/>
        <v>0.46705147234687627</v>
      </c>
      <c r="F72">
        <f t="shared" ca="1" si="7"/>
        <v>9.6302266825568079</v>
      </c>
      <c r="I72">
        <f t="shared" ca="1" si="11"/>
        <v>0.39168593243202565</v>
      </c>
      <c r="J72">
        <f t="shared" ca="1" si="12"/>
        <v>0.15341786966514537</v>
      </c>
      <c r="Y72">
        <f t="shared" ca="1" si="8"/>
        <v>0.14000000000000001</v>
      </c>
      <c r="AD72">
        <f t="shared" ca="1" si="9"/>
        <v>0.12740409735964175</v>
      </c>
    </row>
    <row r="73" spans="1:30" x14ac:dyDescent="0.3">
      <c r="A73">
        <f t="shared" ca="1" si="10"/>
        <v>0.31938107931362048</v>
      </c>
      <c r="F73">
        <f t="shared" ca="1" si="7"/>
        <v>7.900644277831292</v>
      </c>
      <c r="I73">
        <f t="shared" ca="1" si="11"/>
        <v>-1.3378964722934903</v>
      </c>
      <c r="J73">
        <f t="shared" ca="1" si="12"/>
        <v>1.789966970575366</v>
      </c>
      <c r="Y73">
        <f t="shared" ca="1" si="8"/>
        <v>0.11</v>
      </c>
      <c r="AD73">
        <f t="shared" ca="1" si="9"/>
        <v>0.11363551100805069</v>
      </c>
    </row>
    <row r="74" spans="1:30" x14ac:dyDescent="0.3">
      <c r="A74">
        <f t="shared" ca="1" si="10"/>
        <v>0.87168461318347346</v>
      </c>
      <c r="F74">
        <f t="shared" ca="1" si="7"/>
        <v>15.073148633819216</v>
      </c>
      <c r="I74">
        <f t="shared" ca="1" si="11"/>
        <v>5.8346078836944333</v>
      </c>
      <c r="J74">
        <f t="shared" ca="1" si="12"/>
        <v>34.042649156469231</v>
      </c>
      <c r="Y74">
        <f t="shared" ca="1" si="8"/>
        <v>0.04</v>
      </c>
      <c r="AD74">
        <f t="shared" ca="1" si="9"/>
        <v>9.118810264543431E-2</v>
      </c>
    </row>
    <row r="75" spans="1:30" x14ac:dyDescent="0.3">
      <c r="A75">
        <f t="shared" ca="1" si="10"/>
        <v>0.34095393196694868</v>
      </c>
      <c r="F75">
        <f t="shared" ca="1" si="7"/>
        <v>8.1670455694589812</v>
      </c>
      <c r="I75">
        <f t="shared" ca="1" si="11"/>
        <v>-1.0714951806658011</v>
      </c>
      <c r="J75">
        <f t="shared" ca="1" si="12"/>
        <v>1.1481019221900377</v>
      </c>
      <c r="Y75">
        <f t="shared" ca="1" si="8"/>
        <v>7.0000000000000007E-2</v>
      </c>
      <c r="AD75">
        <f t="shared" ca="1" si="9"/>
        <v>6.583468550784477E-2</v>
      </c>
    </row>
    <row r="76" spans="1:30" x14ac:dyDescent="0.3">
      <c r="A76">
        <f t="shared" ca="1" si="10"/>
        <v>0.28654859790172149</v>
      </c>
      <c r="F76">
        <f t="shared" ca="1" si="7"/>
        <v>7.4799693613471714</v>
      </c>
      <c r="I76">
        <f t="shared" ca="1" si="11"/>
        <v>-1.7585713887776109</v>
      </c>
      <c r="J76">
        <f t="shared" ca="1" si="12"/>
        <v>3.0925733294272151</v>
      </c>
      <c r="Y76">
        <f t="shared" ca="1" si="8"/>
        <v>0</v>
      </c>
      <c r="AD76">
        <f t="shared" ca="1" si="9"/>
        <v>4.2762433482619211E-2</v>
      </c>
    </row>
    <row r="77" spans="1:30" x14ac:dyDescent="0.3">
      <c r="A77">
        <f t="shared" ca="1" si="10"/>
        <v>0.55420968325828246</v>
      </c>
      <c r="F77">
        <f t="shared" ca="1" si="7"/>
        <v>10.609571876910296</v>
      </c>
      <c r="I77">
        <f t="shared" ca="1" si="11"/>
        <v>1.371031126785514</v>
      </c>
      <c r="J77">
        <f t="shared" ca="1" si="12"/>
        <v>1.8797263506147561</v>
      </c>
      <c r="Y77">
        <f t="shared" ca="1" si="8"/>
        <v>0</v>
      </c>
      <c r="AD77">
        <f t="shared" ca="1" si="9"/>
        <v>2.4989597208329384E-2</v>
      </c>
    </row>
    <row r="78" spans="1:30" x14ac:dyDescent="0.3">
      <c r="A78">
        <f t="shared" ca="1" si="10"/>
        <v>0.6633811947285424</v>
      </c>
      <c r="F78">
        <f t="shared" ca="1" si="7"/>
        <v>11.88593890262945</v>
      </c>
      <c r="I78">
        <f t="shared" ca="1" si="11"/>
        <v>2.6473981525046675</v>
      </c>
      <c r="J78">
        <f t="shared" ca="1" si="12"/>
        <v>7.0087169778851264</v>
      </c>
      <c r="Y78">
        <f t="shared" ca="1" si="8"/>
        <v>0.03</v>
      </c>
      <c r="AD78">
        <f t="shared" ca="1" si="9"/>
        <v>1.3138415695289951E-2</v>
      </c>
    </row>
    <row r="79" spans="1:30" x14ac:dyDescent="0.3">
      <c r="A79">
        <f t="shared" ca="1" si="10"/>
        <v>0.2840427588417036</v>
      </c>
      <c r="F79">
        <f t="shared" ca="1" si="7"/>
        <v>7.4469769012116398</v>
      </c>
      <c r="I79">
        <f t="shared" ca="1" si="11"/>
        <v>-1.7915638489131425</v>
      </c>
      <c r="J79">
        <f t="shared" ca="1" si="12"/>
        <v>3.2097010247324733</v>
      </c>
      <c r="Y79">
        <f t="shared" ca="1" si="8"/>
        <v>0</v>
      </c>
      <c r="AD79">
        <f t="shared" ca="1" si="9"/>
        <v>6.2145675685959523E-3</v>
      </c>
    </row>
    <row r="80" spans="1:30" x14ac:dyDescent="0.3">
      <c r="A80">
        <f t="shared" ca="1" si="10"/>
        <v>0.90116449391663545</v>
      </c>
      <c r="F80">
        <f t="shared" ca="1" si="7"/>
        <v>15.761074157744432</v>
      </c>
      <c r="I80">
        <f t="shared" ca="1" si="11"/>
        <v>6.5225334076196493</v>
      </c>
      <c r="J80">
        <f t="shared" ca="1" si="12"/>
        <v>42.543442053514397</v>
      </c>
      <c r="Y80">
        <f t="shared" ca="1" si="8"/>
        <v>0</v>
      </c>
      <c r="AD80">
        <f t="shared" ca="1" si="9"/>
        <v>2.6445992251260542E-3</v>
      </c>
    </row>
    <row r="81" spans="1:30" x14ac:dyDescent="0.3">
      <c r="A81">
        <f t="shared" ca="1" si="10"/>
        <v>0.3382662406905369</v>
      </c>
      <c r="F81">
        <f t="shared" ca="1" si="7"/>
        <v>8.1342270575126108</v>
      </c>
      <c r="I81">
        <f t="shared" ca="1" si="11"/>
        <v>-1.1043136926121715</v>
      </c>
      <c r="J81">
        <f t="shared" ca="1" si="12"/>
        <v>1.2195087316907296</v>
      </c>
      <c r="Y81">
        <f t="shared" ca="1" si="8"/>
        <v>0.01</v>
      </c>
      <c r="AD81">
        <f t="shared" ca="1" si="9"/>
        <v>1.012479696537727E-3</v>
      </c>
    </row>
    <row r="82" spans="1:30" x14ac:dyDescent="0.3">
      <c r="A82">
        <f t="shared" ca="1" si="10"/>
        <v>0.17231629259384673</v>
      </c>
      <c r="F82">
        <f t="shared" ca="1" si="7"/>
        <v>5.773601215148477</v>
      </c>
      <c r="I82">
        <f t="shared" ca="1" si="11"/>
        <v>-3.4649395349763052</v>
      </c>
      <c r="J82">
        <f t="shared" ca="1" si="12"/>
        <v>12.005805981041814</v>
      </c>
    </row>
    <row r="83" spans="1:30" x14ac:dyDescent="0.3">
      <c r="A83">
        <f t="shared" ca="1" si="10"/>
        <v>0.80322072359353525</v>
      </c>
      <c r="F83">
        <f t="shared" ca="1" si="7"/>
        <v>13.815544534273265</v>
      </c>
      <c r="I83">
        <f t="shared" ca="1" si="11"/>
        <v>4.5770037841484825</v>
      </c>
      <c r="J83">
        <f t="shared" ca="1" si="12"/>
        <v>20.948963640109529</v>
      </c>
    </row>
    <row r="84" spans="1:30" x14ac:dyDescent="0.3">
      <c r="A84">
        <f t="shared" ca="1" si="10"/>
        <v>0.88656112408985421</v>
      </c>
      <c r="F84">
        <f t="shared" ca="1" si="7"/>
        <v>15.404311577566705</v>
      </c>
      <c r="I84">
        <f t="shared" ca="1" si="11"/>
        <v>6.1657708274419232</v>
      </c>
      <c r="J84">
        <f t="shared" ca="1" si="12"/>
        <v>38.01672989653386</v>
      </c>
    </row>
    <row r="85" spans="1:30" x14ac:dyDescent="0.3">
      <c r="A85">
        <f t="shared" ca="1" si="10"/>
        <v>0.38531483794011168</v>
      </c>
      <c r="F85">
        <f t="shared" ca="1" si="7"/>
        <v>8.6961427180856248</v>
      </c>
      <c r="I85">
        <f t="shared" ca="1" si="11"/>
        <v>-0.54239803203915748</v>
      </c>
      <c r="J85">
        <f t="shared" ca="1" si="12"/>
        <v>0.2941956251599509</v>
      </c>
    </row>
    <row r="86" spans="1:30" x14ac:dyDescent="0.3">
      <c r="A86">
        <f t="shared" ca="1" si="10"/>
        <v>0.77307335019265577</v>
      </c>
      <c r="F86">
        <f t="shared" ca="1" si="7"/>
        <v>13.349658810882982</v>
      </c>
      <c r="I86">
        <f t="shared" ca="1" si="11"/>
        <v>4.1111180607581996</v>
      </c>
      <c r="J86">
        <f t="shared" ca="1" si="12"/>
        <v>16.901291709492259</v>
      </c>
    </row>
    <row r="87" spans="1:30" x14ac:dyDescent="0.3">
      <c r="A87">
        <f t="shared" ca="1" si="10"/>
        <v>0.71991958877318807</v>
      </c>
      <c r="F87">
        <f t="shared" ca="1" si="7"/>
        <v>12.605478249285893</v>
      </c>
      <c r="I87">
        <f t="shared" ca="1" si="11"/>
        <v>3.3669374991611107</v>
      </c>
      <c r="J87">
        <f t="shared" ca="1" si="12"/>
        <v>11.336268123257275</v>
      </c>
      <c r="O87" s="4" t="s">
        <v>31</v>
      </c>
    </row>
    <row r="88" spans="1:30" x14ac:dyDescent="0.3">
      <c r="A88">
        <f t="shared" ca="1" si="10"/>
        <v>0.17208316192198891</v>
      </c>
      <c r="F88">
        <f t="shared" ca="1" si="7"/>
        <v>5.7695149084880093</v>
      </c>
      <c r="I88">
        <f t="shared" ca="1" si="11"/>
        <v>-3.469025841636773</v>
      </c>
      <c r="J88">
        <f t="shared" ca="1" si="12"/>
        <v>12.034140289943721</v>
      </c>
    </row>
    <row r="89" spans="1:30" x14ac:dyDescent="0.3">
      <c r="A89">
        <f t="shared" ca="1" si="10"/>
        <v>0.71984816879744706</v>
      </c>
      <c r="F89">
        <f t="shared" ca="1" si="7"/>
        <v>12.604529605462579</v>
      </c>
      <c r="I89">
        <f t="shared" ca="1" si="11"/>
        <v>3.3659888553377968</v>
      </c>
      <c r="J89">
        <f t="shared" ca="1" si="12"/>
        <v>11.329880974258252</v>
      </c>
    </row>
    <row r="90" spans="1:30" x14ac:dyDescent="0.3">
      <c r="A90">
        <f t="shared" ca="1" si="10"/>
        <v>0.19747090867538519</v>
      </c>
      <c r="F90">
        <f t="shared" ca="1" si="7"/>
        <v>6.1956005779358296</v>
      </c>
      <c r="I90">
        <f t="shared" ca="1" si="11"/>
        <v>-3.0429401721889526</v>
      </c>
      <c r="J90">
        <f t="shared" ca="1" si="12"/>
        <v>9.2594848915213319</v>
      </c>
    </row>
    <row r="91" spans="1:30" x14ac:dyDescent="0.3">
      <c r="A91">
        <f t="shared" ca="1" si="10"/>
        <v>0.27460908643431969</v>
      </c>
      <c r="F91">
        <f t="shared" ca="1" si="7"/>
        <v>7.3214942769193687</v>
      </c>
      <c r="I91">
        <f t="shared" ca="1" si="11"/>
        <v>-1.9170464732054135</v>
      </c>
      <c r="J91">
        <f t="shared" ca="1" si="12"/>
        <v>3.6750671804293145</v>
      </c>
    </row>
    <row r="92" spans="1:30" x14ac:dyDescent="0.3">
      <c r="A92">
        <f t="shared" ca="1" si="10"/>
        <v>0.2702948964874361</v>
      </c>
      <c r="F92">
        <f t="shared" ca="1" si="7"/>
        <v>7.2634045136077106</v>
      </c>
      <c r="I92">
        <f t="shared" ca="1" si="11"/>
        <v>-1.9751362365170717</v>
      </c>
      <c r="J92">
        <f t="shared" ca="1" si="12"/>
        <v>3.9011631528028219</v>
      </c>
    </row>
    <row r="93" spans="1:30" x14ac:dyDescent="0.3">
      <c r="A93">
        <f t="shared" ca="1" si="10"/>
        <v>0.46231483127945183</v>
      </c>
      <c r="F93">
        <f t="shared" ca="1" si="7"/>
        <v>9.5769196829101322</v>
      </c>
      <c r="I93">
        <f t="shared" ca="1" si="11"/>
        <v>0.33837893278534992</v>
      </c>
      <c r="J93">
        <f t="shared" ca="1" si="12"/>
        <v>0.11450030215295236</v>
      </c>
    </row>
    <row r="94" spans="1:30" x14ac:dyDescent="0.3">
      <c r="A94">
        <f t="shared" ca="1" si="10"/>
        <v>0.63576025255213819</v>
      </c>
      <c r="F94">
        <f t="shared" ca="1" si="7"/>
        <v>11.552496858940122</v>
      </c>
      <c r="I94">
        <f t="shared" ca="1" si="11"/>
        <v>2.31395610881534</v>
      </c>
      <c r="J94">
        <f t="shared" ca="1" si="12"/>
        <v>5.3543928735238291</v>
      </c>
    </row>
    <row r="95" spans="1:30" x14ac:dyDescent="0.3">
      <c r="A95">
        <f t="shared" ca="1" si="10"/>
        <v>0.22562780529381399</v>
      </c>
      <c r="F95">
        <f t="shared" ca="1" si="7"/>
        <v>6.6310354113125367</v>
      </c>
      <c r="I95">
        <f t="shared" ca="1" si="11"/>
        <v>-2.6075053388122456</v>
      </c>
      <c r="J95">
        <f t="shared" ca="1" si="12"/>
        <v>6.7990840919343638</v>
      </c>
    </row>
    <row r="96" spans="1:30" x14ac:dyDescent="0.3">
      <c r="A96">
        <f t="shared" ca="1" si="10"/>
        <v>0.17966542693696075</v>
      </c>
      <c r="F96">
        <f t="shared" ca="1" si="7"/>
        <v>5.9006573513499418</v>
      </c>
      <c r="I96">
        <f t="shared" ca="1" si="11"/>
        <v>-3.3378833987748404</v>
      </c>
      <c r="J96">
        <f t="shared" ca="1" si="12"/>
        <v>11.141465583816681</v>
      </c>
    </row>
    <row r="97" spans="1:10" x14ac:dyDescent="0.3">
      <c r="A97">
        <f t="shared" ca="1" si="10"/>
        <v>0.22649788432132845</v>
      </c>
      <c r="F97">
        <f t="shared" ca="1" si="7"/>
        <v>6.6439750176431653</v>
      </c>
      <c r="I97">
        <f t="shared" ca="1" si="11"/>
        <v>-2.5945657324816169</v>
      </c>
      <c r="J97">
        <f t="shared" ca="1" si="12"/>
        <v>6.7317713401678692</v>
      </c>
    </row>
    <row r="98" spans="1:10" x14ac:dyDescent="0.3">
      <c r="A98">
        <f t="shared" ca="1" si="10"/>
        <v>0.57024645824809639</v>
      </c>
      <c r="F98">
        <f t="shared" ca="1" si="7"/>
        <v>10.791575500146852</v>
      </c>
      <c r="I98">
        <f t="shared" ca="1" si="11"/>
        <v>1.5530347500220696</v>
      </c>
      <c r="J98">
        <f t="shared" ca="1" si="12"/>
        <v>2.4119169347761122</v>
      </c>
    </row>
    <row r="99" spans="1:10" x14ac:dyDescent="0.3">
      <c r="A99">
        <f t="shared" ca="1" si="10"/>
        <v>0.29578084034959828</v>
      </c>
      <c r="F99">
        <f t="shared" ca="1" si="7"/>
        <v>7.6003666531621503</v>
      </c>
      <c r="I99">
        <f t="shared" ca="1" si="11"/>
        <v>-1.6381740969626319</v>
      </c>
      <c r="J99">
        <f t="shared" ca="1" si="12"/>
        <v>2.6836143719593348</v>
      </c>
    </row>
    <row r="100" spans="1:10" x14ac:dyDescent="0.3">
      <c r="A100">
        <f t="shared" ca="1" si="10"/>
        <v>0.14618030815629024</v>
      </c>
      <c r="F100">
        <f t="shared" ca="1" si="7"/>
        <v>5.2910323234647345</v>
      </c>
      <c r="I100">
        <f t="shared" ca="1" si="11"/>
        <v>-3.9475084266600478</v>
      </c>
      <c r="J100">
        <f t="shared" ca="1" si="12"/>
        <v>15.582822778552085</v>
      </c>
    </row>
    <row r="101" spans="1:10" x14ac:dyDescent="0.3">
      <c r="A101">
        <f t="shared" ca="1" si="10"/>
        <v>0.21309117199939798</v>
      </c>
      <c r="F101">
        <f t="shared" ca="1" si="7"/>
        <v>6.4413361636925544</v>
      </c>
      <c r="I101">
        <f t="shared" ca="1" si="11"/>
        <v>-2.7972045864322279</v>
      </c>
      <c r="J101">
        <f t="shared" ca="1" si="12"/>
        <v>7.8243534983574916</v>
      </c>
    </row>
  </sheetData>
  <conditionalFormatting sqref="S18">
    <cfRule type="cellIs" dxfId="95" priority="10" operator="between">
      <formula>$R$16</formula>
      <formula>$T$16</formula>
    </cfRule>
    <cfRule type="cellIs" dxfId="94" priority="11" operator="lessThan">
      <formula>$R$16</formula>
    </cfRule>
    <cfRule type="cellIs" dxfId="93" priority="12" operator="greaterThan">
      <formula>$T$16</formula>
    </cfRule>
  </conditionalFormatting>
  <conditionalFormatting sqref="S32">
    <cfRule type="cellIs" dxfId="92" priority="4" operator="between">
      <formula>$D$1-$P$32</formula>
      <formula>$P$32+$D$1</formula>
    </cfRule>
    <cfRule type="cellIs" dxfId="91" priority="5" operator="lessThan">
      <formula>$D$1-$P$32</formula>
    </cfRule>
    <cfRule type="cellIs" dxfId="90" priority="6" operator="greaterThan">
      <formula>$P$32+$D$1</formula>
    </cfRule>
  </conditionalFormatting>
  <conditionalFormatting sqref="S33">
    <cfRule type="cellIs" dxfId="89" priority="1" operator="between">
      <formula>$D$2-$P$33</formula>
      <formula>$D$2+$P$33</formula>
    </cfRule>
    <cfRule type="cellIs" dxfId="88" priority="2" operator="lessThan">
      <formula>$D$2-$P$33</formula>
    </cfRule>
    <cfRule type="cellIs" dxfId="87" priority="3" operator="greaterThan">
      <formula>$D$2+$P$33</formula>
    </cfRule>
  </conditionalFormatting>
  <conditionalFormatting sqref="AA13">
    <cfRule type="cellIs" dxfId="86" priority="13" operator="between">
      <formula>$Z$11</formula>
      <formula>$X$12</formula>
    </cfRule>
    <cfRule type="cellIs" dxfId="85" priority="14" operator="lessThan">
      <formula>$X$11</formula>
    </cfRule>
    <cfRule type="cellIs" dxfId="84" priority="15" operator="greaterThan">
      <formula>$X$12</formula>
    </cfRule>
  </conditionalFormatting>
  <conditionalFormatting sqref="AI15">
    <cfRule type="cellIs" dxfId="83" priority="7" operator="between">
      <formula>$AF$11</formula>
      <formula>$AF$12</formula>
    </cfRule>
    <cfRule type="cellIs" dxfId="82" priority="8" operator="lessThan">
      <formula>$AF$11</formula>
    </cfRule>
    <cfRule type="cellIs" dxfId="81" priority="9" operator="greaterThan">
      <formula>$AF$12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453E-02FF-4D00-A2AF-611E696D4F7E}">
  <dimension ref="A1:AK101"/>
  <sheetViews>
    <sheetView topLeftCell="F1" zoomScale="79" zoomScaleNormal="100" workbookViewId="0">
      <selection activeCell="S23" sqref="S23"/>
    </sheetView>
  </sheetViews>
  <sheetFormatPr defaultRowHeight="14.4" x14ac:dyDescent="0.3"/>
  <cols>
    <col min="1" max="2" width="11.77734375" customWidth="1"/>
    <col min="4" max="4" width="15.44140625" customWidth="1"/>
    <col min="10" max="10" width="8.88671875" customWidth="1"/>
    <col min="11" max="11" width="22.21875" customWidth="1"/>
    <col min="14" max="14" width="13.6640625" customWidth="1"/>
    <col min="16" max="16" width="12" customWidth="1"/>
    <col min="22" max="22" width="14.6640625" customWidth="1"/>
    <col min="29" max="29" width="9.33203125" bestFit="1" customWidth="1"/>
    <col min="30" max="31" width="8.88671875" customWidth="1"/>
    <col min="35" max="35" width="9.33203125" customWidth="1"/>
  </cols>
  <sheetData>
    <row r="1" spans="1:37" x14ac:dyDescent="0.3">
      <c r="A1" s="19" t="s">
        <v>33</v>
      </c>
      <c r="B1" s="19"/>
      <c r="D1" s="13" t="s">
        <v>32</v>
      </c>
      <c r="E1">
        <v>0.25</v>
      </c>
      <c r="G1" s="19" t="s">
        <v>0</v>
      </c>
      <c r="H1" s="19" t="s">
        <v>36</v>
      </c>
      <c r="I1" s="18"/>
      <c r="K1" s="13" t="s">
        <v>45</v>
      </c>
      <c r="L1">
        <f ca="1">AVERAGE(A2:A101)</f>
        <v>4.634598721406566</v>
      </c>
      <c r="N1" s="11" t="s">
        <v>38</v>
      </c>
      <c r="O1" s="10"/>
      <c r="P1" s="10"/>
      <c r="Q1" s="10"/>
      <c r="R1" s="10"/>
      <c r="S1" s="10"/>
      <c r="T1" s="10"/>
      <c r="V1" s="11" t="s">
        <v>39</v>
      </c>
      <c r="W1" s="10"/>
      <c r="X1" s="10"/>
      <c r="Y1" s="10"/>
      <c r="Z1" s="10"/>
      <c r="AA1" s="10"/>
      <c r="AB1" s="10"/>
      <c r="AD1" s="11" t="s">
        <v>13</v>
      </c>
      <c r="AE1" s="10"/>
      <c r="AF1" s="10"/>
      <c r="AG1" s="10"/>
      <c r="AH1" s="10"/>
      <c r="AI1" s="10"/>
      <c r="AJ1" s="10"/>
      <c r="AK1" s="10"/>
    </row>
    <row r="2" spans="1:37" x14ac:dyDescent="0.3">
      <c r="A2">
        <f ca="1">-LN(Normale!A2)/Esponenziale!$E$1</f>
        <v>1.2133396725999595</v>
      </c>
      <c r="G2">
        <f t="shared" ref="G2:G33" ca="1" si="0">A2-$L$1</f>
        <v>-3.4212590488066068</v>
      </c>
      <c r="H2">
        <f ca="1">G2^2</f>
        <v>11.705013479041089</v>
      </c>
    </row>
    <row r="3" spans="1:37" ht="18" x14ac:dyDescent="0.35">
      <c r="A3">
        <f ca="1">-LN(Normale!A3)/Esponenziale!$E$1</f>
        <v>1.9234805547336129</v>
      </c>
      <c r="D3" s="13" t="s">
        <v>34</v>
      </c>
      <c r="E3">
        <f>1/E1</f>
        <v>4</v>
      </c>
      <c r="G3">
        <f t="shared" ca="1" si="0"/>
        <v>-2.7111181666729531</v>
      </c>
      <c r="H3">
        <f t="shared" ref="H3:H66" ca="1" si="1">G3^2</f>
        <v>7.3501617136641144</v>
      </c>
      <c r="K3" s="13" t="s">
        <v>46</v>
      </c>
      <c r="L3">
        <f ca="1">SUM(H2:H101)/99</f>
        <v>21.07569864727509</v>
      </c>
      <c r="N3" s="14" t="s">
        <v>1</v>
      </c>
      <c r="O3" s="15">
        <v>0.05</v>
      </c>
      <c r="P3" s="14" t="s">
        <v>3</v>
      </c>
      <c r="Q3" s="15">
        <f>O3/2</f>
        <v>2.5000000000000001E-2</v>
      </c>
      <c r="R3" s="16"/>
      <c r="S3" s="16"/>
      <c r="T3" s="16"/>
      <c r="W3">
        <f>TINV(Q3,29)</f>
        <v>2.3638460732083098</v>
      </c>
    </row>
    <row r="4" spans="1:37" ht="18" x14ac:dyDescent="0.35">
      <c r="A4">
        <f ca="1">-LN(Normale!A4)/Esponenziale!$E$1</f>
        <v>0.51685523479248296</v>
      </c>
      <c r="D4" s="3" t="s">
        <v>35</v>
      </c>
      <c r="E4">
        <f>1/E1^2</f>
        <v>16</v>
      </c>
      <c r="G4">
        <f t="shared" ca="1" si="0"/>
        <v>-4.1177434866140832</v>
      </c>
      <c r="H4">
        <f t="shared" ca="1" si="1"/>
        <v>16.955811421552706</v>
      </c>
      <c r="N4" s="14" t="s">
        <v>2</v>
      </c>
      <c r="O4" s="15">
        <f>1-O3</f>
        <v>0.95</v>
      </c>
      <c r="P4" s="14" t="s">
        <v>4</v>
      </c>
      <c r="Q4" s="15">
        <f>1-Q3</f>
        <v>0.97499999999999998</v>
      </c>
      <c r="R4" s="16"/>
      <c r="S4" s="16"/>
      <c r="T4" s="16"/>
    </row>
    <row r="5" spans="1:37" x14ac:dyDescent="0.3">
      <c r="A5">
        <f ca="1">-LN(Normale!A5)/Esponenziale!$E$1</f>
        <v>4.5763300272040581</v>
      </c>
      <c r="G5">
        <f t="shared" ca="1" si="0"/>
        <v>-5.8268694202507909E-2</v>
      </c>
      <c r="H5">
        <f t="shared" ca="1" si="1"/>
        <v>3.3952407240653787E-3</v>
      </c>
      <c r="K5" s="13" t="s">
        <v>81</v>
      </c>
      <c r="L5">
        <f ca="1">SQRT(L3)</f>
        <v>4.5908276647326991</v>
      </c>
      <c r="N5" s="7"/>
    </row>
    <row r="6" spans="1:37" x14ac:dyDescent="0.3">
      <c r="A6">
        <f ca="1">-LN(Normale!A6)/Esponenziale!$E$1</f>
        <v>3.7009963041926732</v>
      </c>
      <c r="G6">
        <f t="shared" ca="1" si="0"/>
        <v>-0.93360241721389281</v>
      </c>
      <c r="H6">
        <f t="shared" ca="1" si="1"/>
        <v>0.87161347342762363</v>
      </c>
      <c r="O6">
        <f>NORMSINV(Q4)</f>
        <v>1.9599639845400536</v>
      </c>
    </row>
    <row r="7" spans="1:37" x14ac:dyDescent="0.3">
      <c r="A7">
        <f ca="1">-LN(Normale!A7)/Esponenziale!$E$1</f>
        <v>10.068287181406046</v>
      </c>
      <c r="G7">
        <f t="shared" ca="1" si="0"/>
        <v>5.4336884599994795</v>
      </c>
      <c r="H7">
        <f t="shared" ca="1" si="1"/>
        <v>29.524970280331516</v>
      </c>
      <c r="K7" s="13" t="s">
        <v>40</v>
      </c>
      <c r="L7">
        <f ca="1">AVERAGE(A2:A31)</f>
        <v>4.0922259261243221</v>
      </c>
    </row>
    <row r="8" spans="1:37" x14ac:dyDescent="0.3">
      <c r="A8">
        <f ca="1">-LN(Normale!A8)/Esponenziale!$E$1</f>
        <v>1.8984919964284572</v>
      </c>
      <c r="G8">
        <f t="shared" ca="1" si="0"/>
        <v>-2.736106724978109</v>
      </c>
      <c r="H8">
        <f t="shared" ca="1" si="1"/>
        <v>7.4862800104704332</v>
      </c>
    </row>
    <row r="9" spans="1:37" x14ac:dyDescent="0.3">
      <c r="A9">
        <f ca="1">-LN(Normale!A9)/Esponenziale!$E$1</f>
        <v>1.0393029906725944</v>
      </c>
      <c r="G9">
        <f t="shared" ca="1" si="0"/>
        <v>-3.5952957307339717</v>
      </c>
      <c r="H9">
        <f t="shared" ca="1" si="1"/>
        <v>12.926151391433923</v>
      </c>
      <c r="V9" s="2" t="s">
        <v>5</v>
      </c>
      <c r="W9">
        <f ca="1">L5/SQRT(29)*W3</f>
        <v>2.0151676572047053</v>
      </c>
      <c r="Y9" t="s">
        <v>9</v>
      </c>
      <c r="AA9">
        <f ca="1">W9*2</f>
        <v>4.0303353144094105</v>
      </c>
    </row>
    <row r="10" spans="1:37" x14ac:dyDescent="0.3">
      <c r="A10">
        <f ca="1">-LN(Normale!A10)/Esponenziale!$E$1</f>
        <v>1.2297096123573326</v>
      </c>
      <c r="G10">
        <f t="shared" ca="1" si="0"/>
        <v>-3.4048891090492335</v>
      </c>
      <c r="H10">
        <f t="shared" ca="1" si="1"/>
        <v>11.593269844922084</v>
      </c>
      <c r="AD10" s="12" t="s">
        <v>10</v>
      </c>
      <c r="AE10">
        <f ca="1">L5/SQRT(100)*O6</f>
        <v>0.89978568821062099</v>
      </c>
      <c r="AG10" t="s">
        <v>8</v>
      </c>
      <c r="AI10">
        <f ca="1">AF14-AF13</f>
        <v>16.680582400483491</v>
      </c>
    </row>
    <row r="11" spans="1:37" x14ac:dyDescent="0.3">
      <c r="A11">
        <f ca="1">-LN(Normale!A11)/Esponenziale!$E$1</f>
        <v>7.30648613542106E-2</v>
      </c>
      <c r="G11">
        <f t="shared" ca="1" si="0"/>
        <v>-4.5615338600523554</v>
      </c>
      <c r="H11">
        <f t="shared" ca="1" si="1"/>
        <v>20.80759115640414</v>
      </c>
      <c r="V11" s="2" t="s">
        <v>6</v>
      </c>
      <c r="W11">
        <f ca="1">L1-W9</f>
        <v>2.6194310642018608</v>
      </c>
      <c r="Y11">
        <f ca="1">W11</f>
        <v>2.6194310642018608</v>
      </c>
      <c r="AA11">
        <f ca="1">W12</f>
        <v>6.6497663786112717</v>
      </c>
    </row>
    <row r="12" spans="1:37" x14ac:dyDescent="0.3">
      <c r="A12">
        <f ca="1">-LN(Normale!A12)/Esponenziale!$E$1</f>
        <v>2.2692130189561137</v>
      </c>
      <c r="G12">
        <f t="shared" ca="1" si="0"/>
        <v>-2.3653857024504523</v>
      </c>
      <c r="H12">
        <f t="shared" ca="1" si="1"/>
        <v>5.5950495213570202</v>
      </c>
      <c r="N12" s="12" t="s">
        <v>10</v>
      </c>
      <c r="O12">
        <f ca="1">L5/SQRT(100)*O6</f>
        <v>0.89978568821062099</v>
      </c>
      <c r="Q12" t="s">
        <v>8</v>
      </c>
      <c r="S12">
        <f ca="1">O12*2</f>
        <v>1.799571376421242</v>
      </c>
      <c r="V12" s="4" t="s">
        <v>7</v>
      </c>
      <c r="W12">
        <f ca="1">L1+W9</f>
        <v>6.6497663786112717</v>
      </c>
    </row>
    <row r="13" spans="1:37" x14ac:dyDescent="0.3">
      <c r="A13">
        <f ca="1">-LN(Normale!A13)/Esponenziale!$E$1</f>
        <v>3.0180072062584906</v>
      </c>
      <c r="G13">
        <f t="shared" ca="1" si="0"/>
        <v>-1.6165915151480754</v>
      </c>
      <c r="H13">
        <f t="shared" ca="1" si="1"/>
        <v>2.6133681268487501</v>
      </c>
      <c r="Z13">
        <f>E3</f>
        <v>4</v>
      </c>
      <c r="AE13" s="2" t="s">
        <v>6</v>
      </c>
      <c r="AF13">
        <f ca="1">(L1-AE10)^2</f>
        <v>13.948828392930295</v>
      </c>
      <c r="AH13">
        <f ca="1">AF13</f>
        <v>13.948828392930295</v>
      </c>
      <c r="AJ13">
        <f ca="1">AF14</f>
        <v>30.629410793413786</v>
      </c>
    </row>
    <row r="14" spans="1:37" x14ac:dyDescent="0.3">
      <c r="A14">
        <f ca="1">-LN(Normale!A14)/Esponenziale!$E$1</f>
        <v>2.4974949499165056</v>
      </c>
      <c r="G14">
        <f t="shared" ca="1" si="0"/>
        <v>-2.1371037714900605</v>
      </c>
      <c r="H14">
        <f t="shared" ca="1" si="1"/>
        <v>4.5672125301170405</v>
      </c>
      <c r="AE14" s="12" t="s">
        <v>7</v>
      </c>
      <c r="AF14">
        <f ca="1">(AE10+L1)^2</f>
        <v>30.629410793413786</v>
      </c>
    </row>
    <row r="15" spans="1:37" x14ac:dyDescent="0.3">
      <c r="A15">
        <f ca="1">-LN(Normale!A15)/Esponenziale!$E$1</f>
        <v>13.093802456795499</v>
      </c>
      <c r="G15">
        <f t="shared" ca="1" si="0"/>
        <v>8.4592037353889324</v>
      </c>
      <c r="H15">
        <f t="shared" ca="1" si="1"/>
        <v>71.558127836818073</v>
      </c>
      <c r="O15" s="2" t="s">
        <v>6</v>
      </c>
      <c r="P15">
        <f ca="1">L1-O12</f>
        <v>3.734813033195945</v>
      </c>
      <c r="R15">
        <f ca="1">P15</f>
        <v>3.734813033195945</v>
      </c>
      <c r="T15">
        <f ca="1">P16</f>
        <v>5.5343844096171875</v>
      </c>
      <c r="AI15">
        <f>E4</f>
        <v>16</v>
      </c>
    </row>
    <row r="16" spans="1:37" x14ac:dyDescent="0.3">
      <c r="A16">
        <f ca="1">-LN(Normale!A16)/Esponenziale!$E$1</f>
        <v>2.0907465893131958</v>
      </c>
      <c r="G16">
        <f t="shared" ca="1" si="0"/>
        <v>-2.5438521320933702</v>
      </c>
      <c r="H16">
        <f t="shared" ca="1" si="1"/>
        <v>6.4711836699559857</v>
      </c>
      <c r="O16" s="12" t="s">
        <v>7</v>
      </c>
      <c r="P16">
        <f ca="1">L1+O12</f>
        <v>5.5343844096171875</v>
      </c>
    </row>
    <row r="17" spans="1:37" x14ac:dyDescent="0.3">
      <c r="A17">
        <f ca="1">-LN(Normale!A17)/Esponenziale!$E$1</f>
        <v>7.9533828800296131</v>
      </c>
      <c r="G17">
        <f t="shared" ca="1" si="0"/>
        <v>3.3187841586230471</v>
      </c>
      <c r="H17">
        <f t="shared" ca="1" si="1"/>
        <v>11.014328291527287</v>
      </c>
      <c r="S17">
        <f>E3</f>
        <v>4</v>
      </c>
    </row>
    <row r="18" spans="1:37" x14ac:dyDescent="0.3">
      <c r="A18">
        <f ca="1">-LN(Normale!A18)/Esponenziale!$E$1</f>
        <v>1.6841086466370194</v>
      </c>
      <c r="G18">
        <f t="shared" ca="1" si="0"/>
        <v>-2.9504900747695464</v>
      </c>
      <c r="H18">
        <f t="shared" ca="1" si="1"/>
        <v>8.7053916813136034</v>
      </c>
    </row>
    <row r="19" spans="1:37" x14ac:dyDescent="0.3">
      <c r="A19">
        <f ca="1">-LN(Normale!A19)/Esponenziale!$E$1</f>
        <v>3.1731670894478738</v>
      </c>
      <c r="G19">
        <f t="shared" ca="1" si="0"/>
        <v>-1.4614316319586922</v>
      </c>
      <c r="H19">
        <f t="shared" ca="1" si="1"/>
        <v>2.1357824148894462</v>
      </c>
      <c r="N19" s="11" t="s">
        <v>12</v>
      </c>
      <c r="O19" s="10"/>
      <c r="P19" s="10"/>
      <c r="Q19" s="10"/>
      <c r="R19" s="10"/>
      <c r="S19" s="10"/>
      <c r="T19" s="10"/>
    </row>
    <row r="20" spans="1:37" x14ac:dyDescent="0.3">
      <c r="A20">
        <f ca="1">-LN(Normale!A20)/Esponenziale!$E$1</f>
        <v>2.8481589068175182</v>
      </c>
      <c r="G20">
        <f t="shared" ca="1" si="0"/>
        <v>-1.7864398145890479</v>
      </c>
      <c r="H20">
        <f t="shared" ca="1" si="1"/>
        <v>3.1913672111489517</v>
      </c>
    </row>
    <row r="21" spans="1:37" x14ac:dyDescent="0.3">
      <c r="A21">
        <f ca="1">-LN(Normale!A21)/Esponenziale!$E$1</f>
        <v>14.170563855022349</v>
      </c>
      <c r="G21">
        <f t="shared" ca="1" si="0"/>
        <v>9.5359651336157825</v>
      </c>
      <c r="H21">
        <f t="shared" ca="1" si="1"/>
        <v>90.934631029535865</v>
      </c>
    </row>
    <row r="22" spans="1:37" x14ac:dyDescent="0.3">
      <c r="A22">
        <f ca="1">-LN(Normale!A22)/Esponenziale!$E$1</f>
        <v>18.006688860624699</v>
      </c>
      <c r="G22">
        <f t="shared" ca="1" si="0"/>
        <v>13.372090139218134</v>
      </c>
      <c r="H22">
        <f t="shared" ca="1" si="1"/>
        <v>178.81279469137485</v>
      </c>
    </row>
    <row r="23" spans="1:37" x14ac:dyDescent="0.3">
      <c r="A23">
        <f ca="1">-LN(Normale!A23)/Esponenziale!$E$1</f>
        <v>0.99304807804418116</v>
      </c>
      <c r="G23">
        <f t="shared" ca="1" si="0"/>
        <v>-3.6415506433623848</v>
      </c>
      <c r="H23">
        <f t="shared" ca="1" si="1"/>
        <v>13.260891088172999</v>
      </c>
    </row>
    <row r="24" spans="1:37" x14ac:dyDescent="0.3">
      <c r="A24">
        <f ca="1">-LN(Normale!A24)/Esponenziale!$E$1</f>
        <v>2.2070502907762135</v>
      </c>
      <c r="G24">
        <f t="shared" ca="1" si="0"/>
        <v>-2.4275484306303525</v>
      </c>
      <c r="H24">
        <f t="shared" ca="1" si="1"/>
        <v>5.8929913830558878</v>
      </c>
      <c r="N24" s="4" t="s">
        <v>17</v>
      </c>
    </row>
    <row r="25" spans="1:37" x14ac:dyDescent="0.3">
      <c r="A25">
        <f ca="1">-LN(Normale!A25)/Esponenziale!$E$1</f>
        <v>1.9868895429754894</v>
      </c>
      <c r="G25">
        <f t="shared" ca="1" si="0"/>
        <v>-2.6477091784310769</v>
      </c>
      <c r="H25">
        <f t="shared" ca="1" si="1"/>
        <v>7.0103638935481678</v>
      </c>
    </row>
    <row r="26" spans="1:37" x14ac:dyDescent="0.3">
      <c r="A26">
        <f ca="1">-LN(Normale!A26)/Esponenziale!$E$1</f>
        <v>5.0017608285895374</v>
      </c>
      <c r="G26">
        <f t="shared" ca="1" si="0"/>
        <v>0.36716210718297138</v>
      </c>
      <c r="H26">
        <f t="shared" ca="1" si="1"/>
        <v>0.13480801295103975</v>
      </c>
      <c r="N26" t="s">
        <v>42</v>
      </c>
      <c r="O26">
        <f>E1*0.1</f>
        <v>2.5000000000000001E-2</v>
      </c>
      <c r="Q26">
        <f ca="1">1/L1</f>
        <v>0.21576841062444937</v>
      </c>
    </row>
    <row r="27" spans="1:37" x14ac:dyDescent="0.3">
      <c r="A27">
        <f ca="1">-LN(Normale!A27)/Esponenziale!$E$1</f>
        <v>2.9316136373073758</v>
      </c>
      <c r="G27">
        <f t="shared" ca="1" si="0"/>
        <v>-1.7029850840991902</v>
      </c>
      <c r="H27">
        <f t="shared" ca="1" si="1"/>
        <v>2.9001581966643259</v>
      </c>
    </row>
    <row r="28" spans="1:37" x14ac:dyDescent="0.3">
      <c r="A28">
        <f ca="1">-LN(Normale!A28)/Esponenziale!$E$1</f>
        <v>0.38484416195952798</v>
      </c>
      <c r="G28">
        <f t="shared" ca="1" si="0"/>
        <v>-4.2497545594470383</v>
      </c>
      <c r="H28">
        <f t="shared" ca="1" si="1"/>
        <v>18.06041381554089</v>
      </c>
      <c r="N28" s="11" t="s">
        <v>20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3">
      <c r="A29">
        <f ca="1">-LN(Normale!A29)/Esponenziale!$E$1</f>
        <v>2.9595542485985127</v>
      </c>
      <c r="G29">
        <f t="shared" ca="1" si="0"/>
        <v>-1.6750444728080534</v>
      </c>
      <c r="H29">
        <f t="shared" ca="1" si="1"/>
        <v>2.8057739858848092</v>
      </c>
    </row>
    <row r="30" spans="1:37" x14ac:dyDescent="0.3">
      <c r="A30">
        <f ca="1">-LN(Normale!A30)/Esponenziale!$E$1</f>
        <v>6.6277861233995923</v>
      </c>
      <c r="G30">
        <f t="shared" ca="1" si="0"/>
        <v>1.9931874019930262</v>
      </c>
      <c r="H30">
        <f t="shared" ca="1" si="1"/>
        <v>3.9727960194637095</v>
      </c>
      <c r="P30" s="1"/>
      <c r="Q30" s="13" t="s">
        <v>21</v>
      </c>
      <c r="R30">
        <v>20</v>
      </c>
      <c r="T30" s="17" t="s">
        <v>26</v>
      </c>
      <c r="U30" s="16"/>
      <c r="V30" s="16"/>
      <c r="X30" s="17" t="s">
        <v>28</v>
      </c>
      <c r="Y30" s="17"/>
      <c r="Z30" s="17"/>
      <c r="AA30" s="17"/>
      <c r="AC30" s="17" t="s">
        <v>27</v>
      </c>
      <c r="AD30" s="16"/>
      <c r="AE30" s="16"/>
      <c r="AF30" s="16"/>
      <c r="AG30" s="16"/>
      <c r="AH30" s="16"/>
    </row>
    <row r="31" spans="1:37" x14ac:dyDescent="0.3">
      <c r="A31">
        <f ca="1">-LN(Normale!A31)/Esponenziale!$E$1</f>
        <v>2.6290379765189171</v>
      </c>
      <c r="G31">
        <f t="shared" ca="1" si="0"/>
        <v>-2.0055607448876489</v>
      </c>
      <c r="H31">
        <f t="shared" ca="1" si="1"/>
        <v>4.0222739014343007</v>
      </c>
      <c r="P31" s="1"/>
      <c r="Q31" s="13" t="s">
        <v>22</v>
      </c>
      <c r="R31">
        <f ca="1">MIN(A2:A101)</f>
        <v>1.986842572458865E-3</v>
      </c>
      <c r="T31">
        <f ca="1">R31+R34</f>
        <v>1.4856250019168704</v>
      </c>
      <c r="X31">
        <f ca="1">COUNTIF($A$2:$A$101,"&lt;="&amp;T31)</f>
        <v>24</v>
      </c>
      <c r="AC31">
        <f ca="1">INT(100*(1-EXP(-$E$1*T31)))</f>
        <v>31</v>
      </c>
    </row>
    <row r="32" spans="1:37" x14ac:dyDescent="0.3">
      <c r="A32">
        <f ca="1">-LN(Normale!A32)/Esponenziale!$E$1</f>
        <v>16.904923424379412</v>
      </c>
      <c r="G32">
        <f t="shared" ca="1" si="0"/>
        <v>12.270324702972847</v>
      </c>
      <c r="H32">
        <f t="shared" ca="1" si="1"/>
        <v>150.56086831638567</v>
      </c>
      <c r="P32" s="3" t="s">
        <v>23</v>
      </c>
      <c r="Q32" s="3"/>
      <c r="R32">
        <f ca="1">MAX(A2:A101)</f>
        <v>29.674750029460689</v>
      </c>
      <c r="T32">
        <f ca="1">T31+$R$34</f>
        <v>2.9692631612612819</v>
      </c>
      <c r="X32">
        <f t="shared" ref="X32:X50" ca="1" si="2">COUNTIF($A$2:$A$101,"&lt;="&amp;T32)</f>
        <v>45</v>
      </c>
      <c r="AC32">
        <f t="shared" ref="AC32:AC49" ca="1" si="3">INT(100*(1-EXP(-$E$1*T32)))</f>
        <v>52</v>
      </c>
    </row>
    <row r="33" spans="1:29" x14ac:dyDescent="0.3">
      <c r="A33">
        <f ca="1">-LN(Normale!A33)/Esponenziale!$E$1</f>
        <v>2.991867494926177</v>
      </c>
      <c r="G33">
        <f t="shared" ca="1" si="0"/>
        <v>-1.6427312264803891</v>
      </c>
      <c r="H33">
        <f t="shared" ca="1" si="1"/>
        <v>2.6985658824537633</v>
      </c>
      <c r="T33">
        <f t="shared" ref="T33:T50" ca="1" si="4">T32+$R$34</f>
        <v>4.4529013206056938</v>
      </c>
      <c r="X33">
        <f t="shared" ca="1" si="2"/>
        <v>62</v>
      </c>
      <c r="AC33">
        <f t="shared" ca="1" si="3"/>
        <v>67</v>
      </c>
    </row>
    <row r="34" spans="1:29" x14ac:dyDescent="0.3">
      <c r="A34">
        <f ca="1">-LN(Normale!A34)/Esponenziale!$E$1</f>
        <v>5.5839426394360361</v>
      </c>
      <c r="G34">
        <f t="shared" ref="G34:G65" ca="1" si="5">A34-$L$1</f>
        <v>0.94934391802947005</v>
      </c>
      <c r="H34">
        <f t="shared" ca="1" si="1"/>
        <v>0.9012538746995451</v>
      </c>
      <c r="P34" s="3" t="s">
        <v>24</v>
      </c>
      <c r="Q34" s="1"/>
      <c r="R34">
        <f ca="1">(R32-R31)/R30</f>
        <v>1.4836381593444115</v>
      </c>
      <c r="T34">
        <f t="shared" ca="1" si="4"/>
        <v>5.9365394799501052</v>
      </c>
      <c r="X34">
        <f t="shared" ca="1" si="2"/>
        <v>72</v>
      </c>
      <c r="AC34">
        <f t="shared" ca="1" si="3"/>
        <v>77</v>
      </c>
    </row>
    <row r="35" spans="1:29" x14ac:dyDescent="0.3">
      <c r="A35">
        <f ca="1">-LN(Normale!A35)/Esponenziale!$E$1</f>
        <v>1.986842572458865E-3</v>
      </c>
      <c r="G35">
        <f t="shared" ca="1" si="5"/>
        <v>-4.6326118788341075</v>
      </c>
      <c r="H35">
        <f t="shared" ca="1" si="1"/>
        <v>21.461092819914878</v>
      </c>
      <c r="T35">
        <f t="shared" ca="1" si="4"/>
        <v>7.4201776392945167</v>
      </c>
      <c r="X35">
        <f t="shared" ca="1" si="2"/>
        <v>84</v>
      </c>
      <c r="AC35">
        <f t="shared" ca="1" si="3"/>
        <v>84</v>
      </c>
    </row>
    <row r="36" spans="1:29" x14ac:dyDescent="0.3">
      <c r="A36">
        <f ca="1">-LN(Normale!A36)/Esponenziale!$E$1</f>
        <v>12.613885432263665</v>
      </c>
      <c r="G36">
        <f t="shared" ca="1" si="5"/>
        <v>7.9792867108570986</v>
      </c>
      <c r="H36">
        <f t="shared" ca="1" si="1"/>
        <v>63.669016414060692</v>
      </c>
      <c r="T36">
        <f t="shared" ca="1" si="4"/>
        <v>8.9038157986389272</v>
      </c>
      <c r="X36">
        <f t="shared" ca="1" si="2"/>
        <v>89</v>
      </c>
      <c r="AC36">
        <f t="shared" ca="1" si="3"/>
        <v>89</v>
      </c>
    </row>
    <row r="37" spans="1:29" x14ac:dyDescent="0.3">
      <c r="A37">
        <f ca="1">-LN(Normale!A37)/Esponenziale!$E$1</f>
        <v>3.1861741755414372</v>
      </c>
      <c r="G37">
        <f t="shared" ca="1" si="5"/>
        <v>-1.4484245458651288</v>
      </c>
      <c r="H37">
        <f t="shared" ca="1" si="1"/>
        <v>2.0979336650646045</v>
      </c>
      <c r="T37">
        <f t="shared" ca="1" si="4"/>
        <v>10.38745395798334</v>
      </c>
      <c r="X37">
        <f t="shared" ca="1" si="2"/>
        <v>90</v>
      </c>
      <c r="AC37">
        <f t="shared" ca="1" si="3"/>
        <v>92</v>
      </c>
    </row>
    <row r="38" spans="1:29" x14ac:dyDescent="0.3">
      <c r="A38">
        <f ca="1">-LN(Normale!A38)/Esponenziale!$E$1</f>
        <v>2.7449926286340447</v>
      </c>
      <c r="G38">
        <f t="shared" ca="1" si="5"/>
        <v>-1.8896060927725213</v>
      </c>
      <c r="H38">
        <f t="shared" ca="1" si="1"/>
        <v>3.5706111858430347</v>
      </c>
      <c r="T38">
        <f t="shared" ca="1" si="4"/>
        <v>11.871092117327752</v>
      </c>
      <c r="X38">
        <f t="shared" ca="1" si="2"/>
        <v>91</v>
      </c>
      <c r="AC38">
        <f t="shared" ca="1" si="3"/>
        <v>94</v>
      </c>
    </row>
    <row r="39" spans="1:29" x14ac:dyDescent="0.3">
      <c r="A39">
        <f ca="1">-LN(Normale!A39)/Esponenziale!$E$1</f>
        <v>0.62256878691591</v>
      </c>
      <c r="G39">
        <f t="shared" ca="1" si="5"/>
        <v>-4.0120299344906556</v>
      </c>
      <c r="H39">
        <f t="shared" ca="1" si="1"/>
        <v>16.096384195249094</v>
      </c>
      <c r="T39">
        <f t="shared" ca="1" si="4"/>
        <v>13.354730276672164</v>
      </c>
      <c r="X39">
        <f t="shared" ca="1" si="2"/>
        <v>95</v>
      </c>
      <c r="AC39">
        <f t="shared" ca="1" si="3"/>
        <v>96</v>
      </c>
    </row>
    <row r="40" spans="1:29" x14ac:dyDescent="0.3">
      <c r="A40">
        <f ca="1">-LN(Normale!A40)/Esponenziale!$E$1</f>
        <v>3.810919955350339</v>
      </c>
      <c r="G40">
        <f t="shared" ca="1" si="5"/>
        <v>-0.82367876605622703</v>
      </c>
      <c r="H40">
        <f t="shared" ca="1" si="1"/>
        <v>0.67844670965190879</v>
      </c>
      <c r="T40">
        <f t="shared" ca="1" si="4"/>
        <v>14.838368436016577</v>
      </c>
      <c r="X40">
        <f t="shared" ca="1" si="2"/>
        <v>97</v>
      </c>
      <c r="AC40">
        <f t="shared" ca="1" si="3"/>
        <v>97</v>
      </c>
    </row>
    <row r="41" spans="1:29" x14ac:dyDescent="0.3">
      <c r="A41">
        <f ca="1">-LN(Normale!A41)/Esponenziale!$E$1</f>
        <v>12.825516730671229</v>
      </c>
      <c r="G41">
        <f t="shared" ca="1" si="5"/>
        <v>8.1909180092646636</v>
      </c>
      <c r="H41">
        <f t="shared" ca="1" si="1"/>
        <v>67.091137834496195</v>
      </c>
      <c r="T41">
        <f t="shared" ca="1" si="4"/>
        <v>16.322006595360989</v>
      </c>
      <c r="X41">
        <f t="shared" ca="1" si="2"/>
        <v>97</v>
      </c>
      <c r="AC41">
        <f t="shared" ca="1" si="3"/>
        <v>98</v>
      </c>
    </row>
    <row r="42" spans="1:29" x14ac:dyDescent="0.3">
      <c r="A42">
        <f ca="1">-LN(Normale!A42)/Esponenziale!$E$1</f>
        <v>6.2252151899953265</v>
      </c>
      <c r="G42">
        <f t="shared" ca="1" si="5"/>
        <v>1.5906164685887605</v>
      </c>
      <c r="H42">
        <f t="shared" ca="1" si="1"/>
        <v>2.5300607501457795</v>
      </c>
      <c r="T42">
        <f t="shared" ca="1" si="4"/>
        <v>17.805644754705401</v>
      </c>
      <c r="X42">
        <f t="shared" ca="1" si="2"/>
        <v>98</v>
      </c>
      <c r="AC42">
        <f t="shared" ca="1" si="3"/>
        <v>98</v>
      </c>
    </row>
    <row r="43" spans="1:29" x14ac:dyDescent="0.3">
      <c r="A43">
        <f ca="1">-LN(Normale!A43)/Esponenziale!$E$1</f>
        <v>1.875854986801218</v>
      </c>
      <c r="G43">
        <f t="shared" ca="1" si="5"/>
        <v>-2.7587437346053481</v>
      </c>
      <c r="H43">
        <f t="shared" ca="1" si="1"/>
        <v>7.610666993224263</v>
      </c>
      <c r="T43">
        <f t="shared" ca="1" si="4"/>
        <v>19.289282914049814</v>
      </c>
      <c r="X43">
        <f t="shared" ca="1" si="2"/>
        <v>99</v>
      </c>
      <c r="AC43">
        <f t="shared" ca="1" si="3"/>
        <v>99</v>
      </c>
    </row>
    <row r="44" spans="1:29" x14ac:dyDescent="0.3">
      <c r="A44">
        <f ca="1">-LN(Normale!A44)/Esponenziale!$E$1</f>
        <v>14.273319896415567</v>
      </c>
      <c r="G44">
        <f t="shared" ca="1" si="5"/>
        <v>9.6387211750089996</v>
      </c>
      <c r="H44">
        <f t="shared" ca="1" si="1"/>
        <v>92.904945889566875</v>
      </c>
      <c r="T44">
        <f t="shared" ca="1" si="4"/>
        <v>20.772921073394226</v>
      </c>
      <c r="X44">
        <f t="shared" ca="1" si="2"/>
        <v>99</v>
      </c>
      <c r="AC44">
        <f t="shared" ca="1" si="3"/>
        <v>99</v>
      </c>
    </row>
    <row r="45" spans="1:29" x14ac:dyDescent="0.3">
      <c r="A45">
        <f ca="1">-LN(Normale!A45)/Esponenziale!$E$1</f>
        <v>1.3513643204166386</v>
      </c>
      <c r="G45">
        <f t="shared" ca="1" si="5"/>
        <v>-3.2832344009899277</v>
      </c>
      <c r="H45">
        <f t="shared" ca="1" si="1"/>
        <v>10.779628131843689</v>
      </c>
      <c r="T45">
        <f t="shared" ca="1" si="4"/>
        <v>22.256559232738638</v>
      </c>
      <c r="X45">
        <f t="shared" ca="1" si="2"/>
        <v>99</v>
      </c>
      <c r="AC45">
        <f t="shared" ca="1" si="3"/>
        <v>99</v>
      </c>
    </row>
    <row r="46" spans="1:29" x14ac:dyDescent="0.3">
      <c r="A46">
        <f ca="1">-LN(Normale!A46)/Esponenziale!$E$1</f>
        <v>2.9425253499862492</v>
      </c>
      <c r="G46">
        <f t="shared" ca="1" si="5"/>
        <v>-1.6920733714203169</v>
      </c>
      <c r="H46">
        <f t="shared" ca="1" si="1"/>
        <v>2.8631122942697176</v>
      </c>
      <c r="T46">
        <f t="shared" ca="1" si="4"/>
        <v>23.740197392083051</v>
      </c>
      <c r="X46">
        <f t="shared" ca="1" si="2"/>
        <v>99</v>
      </c>
      <c r="AC46">
        <f t="shared" ca="1" si="3"/>
        <v>99</v>
      </c>
    </row>
    <row r="47" spans="1:29" x14ac:dyDescent="0.3">
      <c r="A47">
        <f ca="1">-LN(Normale!A47)/Esponenziale!$E$1</f>
        <v>12.902323989048771</v>
      </c>
      <c r="G47">
        <f t="shared" ca="1" si="5"/>
        <v>8.2677252676422057</v>
      </c>
      <c r="H47">
        <f t="shared" ca="1" si="1"/>
        <v>68.355281101209385</v>
      </c>
      <c r="T47">
        <f t="shared" ca="1" si="4"/>
        <v>25.223835551427463</v>
      </c>
      <c r="X47">
        <f t="shared" ca="1" si="2"/>
        <v>99</v>
      </c>
      <c r="AC47">
        <f t="shared" ca="1" si="3"/>
        <v>99</v>
      </c>
    </row>
    <row r="48" spans="1:29" x14ac:dyDescent="0.3">
      <c r="A48">
        <f ca="1">-LN(Normale!A48)/Esponenziale!$E$1</f>
        <v>7.2117158709647355E-2</v>
      </c>
      <c r="G48">
        <f t="shared" ca="1" si="5"/>
        <v>-4.5624815626969184</v>
      </c>
      <c r="H48">
        <f t="shared" ca="1" si="1"/>
        <v>20.816238009949316</v>
      </c>
      <c r="T48">
        <f t="shared" ca="1" si="4"/>
        <v>26.707473710771875</v>
      </c>
      <c r="X48">
        <f t="shared" ca="1" si="2"/>
        <v>99</v>
      </c>
      <c r="AC48">
        <f t="shared" ca="1" si="3"/>
        <v>99</v>
      </c>
    </row>
    <row r="49" spans="1:34" x14ac:dyDescent="0.3">
      <c r="A49">
        <f ca="1">-LN(Normale!A49)/Esponenziale!$E$1</f>
        <v>29.674750029460689</v>
      </c>
      <c r="G49">
        <f t="shared" ca="1" si="5"/>
        <v>25.040151308054124</v>
      </c>
      <c r="H49">
        <f t="shared" ca="1" si="1"/>
        <v>627.00917753024464</v>
      </c>
      <c r="T49">
        <f t="shared" ca="1" si="4"/>
        <v>28.191111870116288</v>
      </c>
      <c r="X49">
        <f t="shared" ca="1" si="2"/>
        <v>99</v>
      </c>
      <c r="AC49">
        <f t="shared" ca="1" si="3"/>
        <v>99</v>
      </c>
    </row>
    <row r="50" spans="1:34" x14ac:dyDescent="0.3">
      <c r="A50">
        <f ca="1">-LN(Normale!A50)/Esponenziale!$E$1</f>
        <v>7.9255574496199985</v>
      </c>
      <c r="G50">
        <f t="shared" ca="1" si="5"/>
        <v>3.2909587282134325</v>
      </c>
      <c r="H50">
        <f t="shared" ca="1" si="1"/>
        <v>10.830409350804173</v>
      </c>
      <c r="T50">
        <f t="shared" ca="1" si="4"/>
        <v>29.6747500294607</v>
      </c>
      <c r="X50">
        <f t="shared" ca="1" si="2"/>
        <v>100</v>
      </c>
      <c r="AC50">
        <v>100</v>
      </c>
    </row>
    <row r="51" spans="1:34" x14ac:dyDescent="0.3">
      <c r="A51">
        <f ca="1">-LN(Normale!A51)/Esponenziale!$E$1</f>
        <v>5.6610818136781882</v>
      </c>
      <c r="G51">
        <f t="shared" ca="1" si="5"/>
        <v>1.0264830922716222</v>
      </c>
      <c r="H51">
        <f t="shared" ca="1" si="1"/>
        <v>1.0536675387195116</v>
      </c>
    </row>
    <row r="52" spans="1:34" x14ac:dyDescent="0.3">
      <c r="A52">
        <f ca="1">-LN(Normale!A52)/Esponenziale!$E$1</f>
        <v>3.2692145046765062</v>
      </c>
      <c r="G52">
        <f t="shared" ca="1" si="5"/>
        <v>-1.3653842167300598</v>
      </c>
      <c r="H52">
        <f t="shared" ca="1" si="1"/>
        <v>1.8642740592955589</v>
      </c>
      <c r="X52" s="22" t="s">
        <v>29</v>
      </c>
      <c r="Y52" s="23"/>
      <c r="Z52" s="23"/>
      <c r="AA52" s="23"/>
      <c r="AC52" s="20" t="s">
        <v>30</v>
      </c>
      <c r="AD52" s="20"/>
      <c r="AE52" s="20"/>
      <c r="AF52" s="20"/>
      <c r="AG52" s="20"/>
      <c r="AH52" s="21"/>
    </row>
    <row r="53" spans="1:34" x14ac:dyDescent="0.3">
      <c r="A53">
        <f ca="1">-LN(Normale!A53)/Esponenziale!$E$1</f>
        <v>1.347334144853368</v>
      </c>
      <c r="G53">
        <f t="shared" ca="1" si="5"/>
        <v>-3.287264576553198</v>
      </c>
      <c r="H53">
        <f t="shared" ca="1" si="1"/>
        <v>10.806108396261477</v>
      </c>
      <c r="X53">
        <f ca="1">X31/100</f>
        <v>0.24</v>
      </c>
      <c r="AC53">
        <f ca="1">_xlfn.EXPON.DIST(T31,$E$1,TRUE)-_xlfn.EXPON.DIST(R31,$E$1,TRUE)</f>
        <v>0.30973974488581812</v>
      </c>
    </row>
    <row r="54" spans="1:34" x14ac:dyDescent="0.3">
      <c r="A54">
        <f ca="1">-LN(Normale!A54)/Esponenziale!$E$1</f>
        <v>9.2758911894374033E-2</v>
      </c>
      <c r="G54">
        <f t="shared" ca="1" si="5"/>
        <v>-4.5418398095121919</v>
      </c>
      <c r="H54">
        <f t="shared" ca="1" si="1"/>
        <v>20.628308855269744</v>
      </c>
      <c r="X54">
        <f ca="1">(X32-X31)/100</f>
        <v>0.21</v>
      </c>
      <c r="AC54">
        <f ca="1">_xlfn.EXPON.DIST(T32,$E$1,TRUE)-_xlfn.EXPON.DIST(T31,$E$1,TRUE)</f>
        <v>0.21375336970873116</v>
      </c>
    </row>
    <row r="55" spans="1:34" x14ac:dyDescent="0.3">
      <c r="A55">
        <f ca="1">-LN(Normale!A55)/Esponenziale!$E$1</f>
        <v>7.494265240031754</v>
      </c>
      <c r="G55">
        <f t="shared" ca="1" si="5"/>
        <v>2.8596665186251879</v>
      </c>
      <c r="H55">
        <f t="shared" ca="1" si="1"/>
        <v>8.177692597745903</v>
      </c>
      <c r="X55">
        <f t="shared" ref="X55:X72" ca="1" si="6">(X33-X32)/100</f>
        <v>0.17</v>
      </c>
      <c r="AC55">
        <f t="shared" ref="AC55:AC72" ca="1" si="7">_xlfn.EXPON.DIST(T33,$E$1,TRUE)-_xlfn.EXPON.DIST(T32,$E$1,TRUE)</f>
        <v>0.14751256116221312</v>
      </c>
    </row>
    <row r="56" spans="1:34" x14ac:dyDescent="0.3">
      <c r="A56">
        <f ca="1">-LN(Normale!A56)/Esponenziale!$E$1</f>
        <v>11.151840173699904</v>
      </c>
      <c r="G56">
        <f t="shared" ca="1" si="5"/>
        <v>6.5172414522933382</v>
      </c>
      <c r="H56">
        <f t="shared" ca="1" si="1"/>
        <v>42.474436147490579</v>
      </c>
      <c r="X56">
        <f t="shared" ca="1" si="6"/>
        <v>0.1</v>
      </c>
      <c r="AC56">
        <f t="shared" ca="1" si="7"/>
        <v>0.10179935750386815</v>
      </c>
    </row>
    <row r="57" spans="1:34" x14ac:dyDescent="0.3">
      <c r="A57">
        <f ca="1">-LN(Normale!A57)/Esponenziale!$E$1</f>
        <v>2.3475271018546322</v>
      </c>
      <c r="G57">
        <f t="shared" ca="1" si="5"/>
        <v>-2.2870716195519338</v>
      </c>
      <c r="H57">
        <f t="shared" ca="1" si="1"/>
        <v>5.2306965929599052</v>
      </c>
      <c r="X57">
        <f t="shared" ca="1" si="6"/>
        <v>0.12</v>
      </c>
      <c r="AC57">
        <f t="shared" ca="1" si="7"/>
        <v>7.0252384654921118E-2</v>
      </c>
    </row>
    <row r="58" spans="1:34" x14ac:dyDescent="0.3">
      <c r="A58">
        <f ca="1">-LN(Normale!A58)/Esponenziale!$E$1</f>
        <v>4.0704909020059308</v>
      </c>
      <c r="G58">
        <f t="shared" ca="1" si="5"/>
        <v>-0.56410781940063526</v>
      </c>
      <c r="H58">
        <f t="shared" ca="1" si="1"/>
        <v>0.3182176319089397</v>
      </c>
      <c r="X58">
        <f t="shared" ca="1" si="6"/>
        <v>0.05</v>
      </c>
      <c r="AC58">
        <f t="shared" ca="1" si="7"/>
        <v>4.8481617867926707E-2</v>
      </c>
    </row>
    <row r="59" spans="1:34" x14ac:dyDescent="0.3">
      <c r="A59">
        <f ca="1">-LN(Normale!A59)/Esponenziale!$E$1</f>
        <v>2.6563242495158392</v>
      </c>
      <c r="G59">
        <f t="shared" ca="1" si="5"/>
        <v>-1.9782744718907268</v>
      </c>
      <c r="H59">
        <f t="shared" ca="1" si="1"/>
        <v>3.913569886134534</v>
      </c>
      <c r="X59">
        <f t="shared" ca="1" si="6"/>
        <v>0.01</v>
      </c>
      <c r="AC59">
        <f t="shared" ca="1" si="7"/>
        <v>3.3457473118345349E-2</v>
      </c>
    </row>
    <row r="60" spans="1:34" x14ac:dyDescent="0.3">
      <c r="A60">
        <f ca="1">-LN(Normale!A60)/Esponenziale!$E$1</f>
        <v>2.9949138497246328</v>
      </c>
      <c r="G60">
        <f t="shared" ca="1" si="5"/>
        <v>-1.6396848716819332</v>
      </c>
      <c r="H60">
        <f t="shared" ca="1" si="1"/>
        <v>2.6885664784225978</v>
      </c>
      <c r="X60">
        <f t="shared" ca="1" si="6"/>
        <v>0.01</v>
      </c>
      <c r="AC60">
        <f t="shared" ca="1" si="7"/>
        <v>2.3089215184902812E-2</v>
      </c>
    </row>
    <row r="61" spans="1:34" x14ac:dyDescent="0.3">
      <c r="A61">
        <f ca="1">-LN(Normale!A61)/Esponenziale!$E$1</f>
        <v>3.80306083007192</v>
      </c>
      <c r="G61">
        <f t="shared" ca="1" si="5"/>
        <v>-0.83153789133464606</v>
      </c>
      <c r="H61">
        <f t="shared" ca="1" si="1"/>
        <v>0.69145526472526964</v>
      </c>
      <c r="X61">
        <f t="shared" ca="1" si="6"/>
        <v>0.04</v>
      </c>
      <c r="AC61">
        <f t="shared" ca="1" si="7"/>
        <v>1.5934014382049666E-2</v>
      </c>
    </row>
    <row r="62" spans="1:34" x14ac:dyDescent="0.3">
      <c r="A62">
        <f ca="1">-LN(Normale!A62)/Esponenziale!$E$1</f>
        <v>4.3050067962703578</v>
      </c>
      <c r="G62">
        <f t="shared" ca="1" si="5"/>
        <v>-0.32959192513620827</v>
      </c>
      <c r="H62">
        <f t="shared" ca="1" si="1"/>
        <v>0.10863083711499193</v>
      </c>
      <c r="X62">
        <f t="shared" ca="1" si="6"/>
        <v>0.02</v>
      </c>
      <c r="AC62">
        <f t="shared" ca="1" si="7"/>
        <v>1.0996164758920624E-2</v>
      </c>
    </row>
    <row r="63" spans="1:34" x14ac:dyDescent="0.3">
      <c r="A63">
        <f ca="1">-LN(Normale!A63)/Esponenziale!$E$1</f>
        <v>0.43006065761021051</v>
      </c>
      <c r="G63">
        <f t="shared" ca="1" si="5"/>
        <v>-4.2045380637963552</v>
      </c>
      <c r="H63">
        <f t="shared" ca="1" si="1"/>
        <v>17.678140329912402</v>
      </c>
      <c r="X63">
        <f t="shared" ca="1" si="6"/>
        <v>0</v>
      </c>
      <c r="AC63">
        <f t="shared" ca="1" si="7"/>
        <v>7.5885233002891406E-3</v>
      </c>
    </row>
    <row r="64" spans="1:34" x14ac:dyDescent="0.3">
      <c r="A64">
        <f ca="1">-LN(Normale!A64)/Esponenziale!$E$1</f>
        <v>1.3420269878483002</v>
      </c>
      <c r="G64">
        <f t="shared" ca="1" si="5"/>
        <v>-3.2925717335582658</v>
      </c>
      <c r="H64">
        <f t="shared" ca="1" si="1"/>
        <v>10.841028620626885</v>
      </c>
      <c r="X64">
        <f t="shared" ca="1" si="6"/>
        <v>0.01</v>
      </c>
      <c r="AC64">
        <f t="shared" ca="1" si="7"/>
        <v>5.2368882370843473E-3</v>
      </c>
    </row>
    <row r="65" spans="1:29" x14ac:dyDescent="0.3">
      <c r="A65">
        <f ca="1">-LN(Normale!A65)/Esponenziale!$E$1</f>
        <v>8.0985484499388622</v>
      </c>
      <c r="G65">
        <f t="shared" ca="1" si="5"/>
        <v>3.4639497285322962</v>
      </c>
      <c r="H65">
        <f t="shared" ca="1" si="1"/>
        <v>11.998947721798968</v>
      </c>
      <c r="X65">
        <f t="shared" ca="1" si="6"/>
        <v>0.01</v>
      </c>
      <c r="AC65">
        <f t="shared" ca="1" si="7"/>
        <v>3.6140099097630163E-3</v>
      </c>
    </row>
    <row r="66" spans="1:29" x14ac:dyDescent="0.3">
      <c r="A66">
        <f ca="1">-LN(Normale!A66)/Esponenziale!$E$1</f>
        <v>1.3861306151023984</v>
      </c>
      <c r="G66">
        <f t="shared" ref="G66:G101" ca="1" si="8">A66-$L$1</f>
        <v>-3.2484681063041676</v>
      </c>
      <c r="H66">
        <f t="shared" ca="1" si="1"/>
        <v>10.552545037675385</v>
      </c>
      <c r="X66">
        <f t="shared" ca="1" si="6"/>
        <v>0</v>
      </c>
      <c r="AC66">
        <f t="shared" ca="1" si="7"/>
        <v>2.4940512450455365E-3</v>
      </c>
    </row>
    <row r="67" spans="1:29" x14ac:dyDescent="0.3">
      <c r="A67">
        <f ca="1">-LN(Normale!A67)/Esponenziale!$E$1</f>
        <v>7.0578757388350057</v>
      </c>
      <c r="G67">
        <f t="shared" ca="1" si="8"/>
        <v>2.4232770174284397</v>
      </c>
      <c r="H67">
        <f t="shared" ref="H67:H101" ca="1" si="9">G67^2</f>
        <v>5.8722715031968749</v>
      </c>
      <c r="X67">
        <f t="shared" ca="1" si="6"/>
        <v>0</v>
      </c>
      <c r="AC67">
        <f t="shared" ca="1" si="7"/>
        <v>1.7211606410125757E-3</v>
      </c>
    </row>
    <row r="68" spans="1:29" x14ac:dyDescent="0.3">
      <c r="A68">
        <f ca="1">-LN(Normale!A68)/Esponenziale!$E$1</f>
        <v>7.0176695277878238</v>
      </c>
      <c r="G68">
        <f t="shared" ca="1" si="8"/>
        <v>2.3830708063812578</v>
      </c>
      <c r="H68">
        <f t="shared" ca="1" si="9"/>
        <v>5.6790264682266178</v>
      </c>
      <c r="X68">
        <f t="shared" ca="1" si="6"/>
        <v>0</v>
      </c>
      <c r="AC68">
        <f t="shared" ca="1" si="7"/>
        <v>1.1877839150481462E-3</v>
      </c>
    </row>
    <row r="69" spans="1:29" x14ac:dyDescent="0.3">
      <c r="A69">
        <f ca="1">-LN(Normale!A69)/Esponenziale!$E$1</f>
        <v>7.3157042054981947</v>
      </c>
      <c r="G69">
        <f t="shared" ca="1" si="8"/>
        <v>2.6811054840916286</v>
      </c>
      <c r="H69">
        <f t="shared" ca="1" si="9"/>
        <v>7.1883266168262061</v>
      </c>
      <c r="X69">
        <f t="shared" ca="1" si="6"/>
        <v>0</v>
      </c>
      <c r="AC69">
        <f t="shared" ca="1" si="7"/>
        <v>8.19697241053019E-4</v>
      </c>
    </row>
    <row r="70" spans="1:29" x14ac:dyDescent="0.3">
      <c r="A70">
        <f ca="1">-LN(Normale!A70)/Esponenziale!$E$1</f>
        <v>3.2745642617718147</v>
      </c>
      <c r="G70">
        <f t="shared" ca="1" si="8"/>
        <v>-1.3600344596347513</v>
      </c>
      <c r="H70">
        <f t="shared" ca="1" si="9"/>
        <v>1.8496937313939901</v>
      </c>
      <c r="X70">
        <f t="shared" ca="1" si="6"/>
        <v>0</v>
      </c>
      <c r="AC70">
        <f t="shared" ca="1" si="7"/>
        <v>5.6567828413689458E-4</v>
      </c>
    </row>
    <row r="71" spans="1:29" x14ac:dyDescent="0.3">
      <c r="A71">
        <f ca="1">-LN(Normale!A71)/Esponenziale!$E$1</f>
        <v>1.343608798970245</v>
      </c>
      <c r="G71">
        <f t="shared" ca="1" si="8"/>
        <v>-3.2909899224363208</v>
      </c>
      <c r="H71">
        <f t="shared" ca="1" si="9"/>
        <v>10.830614669577422</v>
      </c>
      <c r="X71">
        <f t="shared" ca="1" si="6"/>
        <v>0</v>
      </c>
      <c r="AC71">
        <f t="shared" ca="1" si="7"/>
        <v>3.9037818491749476E-4</v>
      </c>
    </row>
    <row r="72" spans="1:29" x14ac:dyDescent="0.3">
      <c r="A72">
        <f ca="1">-LN(Normale!A72)/Esponenziale!$E$1</f>
        <v>3.0452632329149263</v>
      </c>
      <c r="G72">
        <f t="shared" ca="1" si="8"/>
        <v>-1.5893354884916397</v>
      </c>
      <c r="H72">
        <f t="shared" ca="1" si="9"/>
        <v>2.5259872949789592</v>
      </c>
      <c r="X72">
        <f t="shared" ca="1" si="6"/>
        <v>0.01</v>
      </c>
      <c r="AC72">
        <f t="shared" ca="1" si="7"/>
        <v>2.6940247050843968E-4</v>
      </c>
    </row>
    <row r="73" spans="1:29" x14ac:dyDescent="0.3">
      <c r="A73">
        <f ca="1">-LN(Normale!A73)/Esponenziale!$E$1</f>
        <v>4.5654811326898779</v>
      </c>
      <c r="G73">
        <f t="shared" ca="1" si="8"/>
        <v>-6.9117588716688161E-2</v>
      </c>
      <c r="H73">
        <f t="shared" ca="1" si="9"/>
        <v>4.7772410700092586E-3</v>
      </c>
    </row>
    <row r="74" spans="1:29" x14ac:dyDescent="0.3">
      <c r="A74">
        <f ca="1">-LN(Normale!A74)/Esponenziale!$E$1</f>
        <v>0.54931041049983265</v>
      </c>
      <c r="G74">
        <f t="shared" ca="1" si="8"/>
        <v>-4.0852883109067335</v>
      </c>
      <c r="H74">
        <f t="shared" ca="1" si="9"/>
        <v>16.689580583231191</v>
      </c>
    </row>
    <row r="75" spans="1:29" x14ac:dyDescent="0.3">
      <c r="A75">
        <f ca="1">-LN(Normale!A75)/Esponenziale!$E$1</f>
        <v>4.3040316307845714</v>
      </c>
      <c r="G75">
        <f t="shared" ca="1" si="8"/>
        <v>-0.33056709062199463</v>
      </c>
      <c r="H75">
        <f t="shared" ca="1" si="9"/>
        <v>0.10927460140229001</v>
      </c>
    </row>
    <row r="76" spans="1:29" x14ac:dyDescent="0.3">
      <c r="A76">
        <f ca="1">-LN(Normale!A76)/Esponenziale!$E$1</f>
        <v>4.9993885241128728</v>
      </c>
      <c r="G76">
        <f t="shared" ca="1" si="8"/>
        <v>0.36478980270630679</v>
      </c>
      <c r="H76">
        <f t="shared" ca="1" si="9"/>
        <v>0.13307160015850622</v>
      </c>
    </row>
    <row r="77" spans="1:29" x14ac:dyDescent="0.3">
      <c r="A77">
        <f ca="1">-LN(Normale!A77)/Esponenziale!$E$1</f>
        <v>2.360848696832393</v>
      </c>
      <c r="G77">
        <f t="shared" ca="1" si="8"/>
        <v>-2.2737500245741731</v>
      </c>
      <c r="H77">
        <f t="shared" ca="1" si="9"/>
        <v>5.169939174251053</v>
      </c>
    </row>
    <row r="78" spans="1:29" x14ac:dyDescent="0.3">
      <c r="A78">
        <f ca="1">-LN(Normale!A78)/Esponenziale!$E$1</f>
        <v>1.6416219987100071</v>
      </c>
      <c r="G78">
        <f t="shared" ca="1" si="8"/>
        <v>-2.9929767226965591</v>
      </c>
      <c r="H78">
        <f t="shared" ca="1" si="9"/>
        <v>8.957909662603436</v>
      </c>
      <c r="N78" s="4"/>
    </row>
    <row r="79" spans="1:29" x14ac:dyDescent="0.3">
      <c r="A79">
        <f ca="1">-LN(Normale!A79)/Esponenziale!$E$1</f>
        <v>5.0345219714082878</v>
      </c>
      <c r="G79">
        <f t="shared" ca="1" si="8"/>
        <v>0.3999232500017218</v>
      </c>
      <c r="H79">
        <f t="shared" ca="1" si="9"/>
        <v>0.15993860589193967</v>
      </c>
    </row>
    <row r="80" spans="1:29" x14ac:dyDescent="0.3">
      <c r="A80">
        <f ca="1">-LN(Normale!A80)/Esponenziale!$E$1</f>
        <v>0.41626987948948496</v>
      </c>
      <c r="G80">
        <f t="shared" ca="1" si="8"/>
        <v>-4.2183288419170815</v>
      </c>
      <c r="H80">
        <f t="shared" ca="1" si="9"/>
        <v>17.794298218549507</v>
      </c>
    </row>
    <row r="81" spans="1:8" x14ac:dyDescent="0.3">
      <c r="A81">
        <f ca="1">-LN(Normale!A81)/Esponenziale!$E$1</f>
        <v>4.335687996867188</v>
      </c>
      <c r="G81">
        <f t="shared" ca="1" si="8"/>
        <v>-0.29891072453937806</v>
      </c>
      <c r="H81">
        <f t="shared" ca="1" si="9"/>
        <v>8.934762124465595E-2</v>
      </c>
    </row>
    <row r="82" spans="1:8" x14ac:dyDescent="0.3">
      <c r="A82">
        <f ca="1">-LN(Normale!A82)/Esponenziale!$E$1</f>
        <v>7.033694321860664</v>
      </c>
      <c r="G82">
        <f t="shared" ca="1" si="8"/>
        <v>2.399095600454098</v>
      </c>
      <c r="H82">
        <f t="shared" ca="1" si="9"/>
        <v>5.7556597001182093</v>
      </c>
    </row>
    <row r="83" spans="1:8" x14ac:dyDescent="0.3">
      <c r="A83">
        <f ca="1">-LN(Normale!A83)/Esponenziale!$E$1</f>
        <v>0.87650291636299127</v>
      </c>
      <c r="G83">
        <f t="shared" ca="1" si="8"/>
        <v>-3.7580958050435749</v>
      </c>
      <c r="H83">
        <f t="shared" ca="1" si="9"/>
        <v>14.123284079886115</v>
      </c>
    </row>
    <row r="84" spans="1:8" x14ac:dyDescent="0.3">
      <c r="A84">
        <f ca="1">-LN(Normale!A84)/Esponenziale!$E$1</f>
        <v>0.48162082376342791</v>
      </c>
      <c r="G84">
        <f t="shared" ca="1" si="8"/>
        <v>-4.1529778976431384</v>
      </c>
      <c r="H84">
        <f t="shared" ca="1" si="9"/>
        <v>17.247225418312421</v>
      </c>
    </row>
    <row r="85" spans="1:8" x14ac:dyDescent="0.3">
      <c r="A85">
        <f ca="1">-LN(Normale!A85)/Esponenziale!$E$1</f>
        <v>3.814778071980804</v>
      </c>
      <c r="G85">
        <f t="shared" ca="1" si="8"/>
        <v>-0.81982064942576205</v>
      </c>
      <c r="H85">
        <f t="shared" ca="1" si="9"/>
        <v>0.67210589722487823</v>
      </c>
    </row>
    <row r="86" spans="1:8" x14ac:dyDescent="0.3">
      <c r="A86">
        <f ca="1">-LN(Normale!A86)/Esponenziale!$E$1</f>
        <v>1.0295253784338902</v>
      </c>
      <c r="G86">
        <f t="shared" ca="1" si="8"/>
        <v>-3.605073342972676</v>
      </c>
      <c r="H86">
        <f t="shared" ca="1" si="9"/>
        <v>12.996553808212186</v>
      </c>
    </row>
    <row r="87" spans="1:8" x14ac:dyDescent="0.3">
      <c r="A87">
        <f ca="1">-LN(Normale!A87)/Esponenziale!$E$1</f>
        <v>1.3144630218736999</v>
      </c>
      <c r="G87">
        <f t="shared" ca="1" si="8"/>
        <v>-3.3201356995328659</v>
      </c>
      <c r="H87">
        <f t="shared" ca="1" si="9"/>
        <v>11.023301063312593</v>
      </c>
    </row>
    <row r="88" spans="1:8" x14ac:dyDescent="0.3">
      <c r="A88">
        <f ca="1">-LN(Normale!A88)/Esponenziale!$E$1</f>
        <v>7.0391096778819202</v>
      </c>
      <c r="G88">
        <f t="shared" ca="1" si="8"/>
        <v>2.4045109564753542</v>
      </c>
      <c r="H88">
        <f t="shared" ca="1" si="9"/>
        <v>5.7816729398100222</v>
      </c>
    </row>
    <row r="89" spans="1:8" x14ac:dyDescent="0.3">
      <c r="A89">
        <f ca="1">-LN(Normale!A89)/Esponenziale!$E$1</f>
        <v>1.3148598635194393</v>
      </c>
      <c r="G89">
        <f t="shared" ca="1" si="8"/>
        <v>-3.3197388578871267</v>
      </c>
      <c r="H89">
        <f t="shared" ca="1" si="9"/>
        <v>11.020666084565725</v>
      </c>
    </row>
    <row r="90" spans="1:8" x14ac:dyDescent="0.3">
      <c r="A90">
        <f ca="1">-LN(Normale!A90)/Esponenziale!$E$1</f>
        <v>6.4886560133460183</v>
      </c>
      <c r="G90">
        <f t="shared" ca="1" si="8"/>
        <v>1.8540572919394522</v>
      </c>
      <c r="H90">
        <f t="shared" ca="1" si="9"/>
        <v>3.4375284417938552</v>
      </c>
    </row>
    <row r="91" spans="1:8" x14ac:dyDescent="0.3">
      <c r="A91">
        <f ca="1">-LN(Normale!A91)/Esponenziale!$E$1</f>
        <v>5.1696267859435494</v>
      </c>
      <c r="G91">
        <f t="shared" ca="1" si="8"/>
        <v>0.53502806453698337</v>
      </c>
      <c r="H91">
        <f t="shared" ca="1" si="9"/>
        <v>0.28625502984219042</v>
      </c>
    </row>
    <row r="92" spans="1:8" x14ac:dyDescent="0.3">
      <c r="A92">
        <f ca="1">-LN(Normale!A92)/Esponenziale!$E$1</f>
        <v>5.2329668271902685</v>
      </c>
      <c r="G92">
        <f t="shared" ca="1" si="8"/>
        <v>0.59836810578370248</v>
      </c>
      <c r="H92">
        <f t="shared" ca="1" si="9"/>
        <v>0.35804439001917615</v>
      </c>
    </row>
    <row r="93" spans="1:8" x14ac:dyDescent="0.3">
      <c r="A93">
        <f ca="1">-LN(Normale!A93)/Esponenziale!$E$1</f>
        <v>3.0860366679929103</v>
      </c>
      <c r="G93">
        <f t="shared" ca="1" si="8"/>
        <v>-1.5485620534136557</v>
      </c>
      <c r="H93">
        <f t="shared" ca="1" si="9"/>
        <v>2.3980444332727178</v>
      </c>
    </row>
    <row r="94" spans="1:8" x14ac:dyDescent="0.3">
      <c r="A94">
        <f ca="1">-LN(Normale!A94)/Esponenziale!$E$1</f>
        <v>1.8117349924233261</v>
      </c>
      <c r="G94">
        <f t="shared" ca="1" si="8"/>
        <v>-2.8228637289832399</v>
      </c>
      <c r="H94">
        <f t="shared" ca="1" si="9"/>
        <v>7.9685596324091623</v>
      </c>
    </row>
    <row r="95" spans="1:8" x14ac:dyDescent="0.3">
      <c r="A95">
        <f ca="1">-LN(Normale!A95)/Esponenziale!$E$1</f>
        <v>5.9554740661483985</v>
      </c>
      <c r="G95">
        <f t="shared" ca="1" si="8"/>
        <v>1.3208753447418324</v>
      </c>
      <c r="H95">
        <f t="shared" ca="1" si="9"/>
        <v>1.7447116763468546</v>
      </c>
    </row>
    <row r="96" spans="1:8" x14ac:dyDescent="0.3">
      <c r="A96">
        <f ca="1">-LN(Normale!A96)/Esponenziale!$E$1</f>
        <v>6.8666355877215794</v>
      </c>
      <c r="G96">
        <f t="shared" ca="1" si="8"/>
        <v>2.2320368663150134</v>
      </c>
      <c r="H96">
        <f t="shared" ca="1" si="9"/>
        <v>4.9819885725893451</v>
      </c>
    </row>
    <row r="97" spans="1:8" x14ac:dyDescent="0.3">
      <c r="A97">
        <f ca="1">-LN(Normale!A97)/Esponenziale!$E$1</f>
        <v>5.9400786993894403</v>
      </c>
      <c r="G97">
        <f t="shared" ca="1" si="8"/>
        <v>1.3054799779828743</v>
      </c>
      <c r="H97">
        <f t="shared" ca="1" si="9"/>
        <v>1.7042779729141659</v>
      </c>
    </row>
    <row r="98" spans="1:8" x14ac:dyDescent="0.3">
      <c r="A98">
        <f ca="1">-LN(Normale!A98)/Esponenziale!$E$1</f>
        <v>2.2467465148507593</v>
      </c>
      <c r="G98">
        <f t="shared" ca="1" si="8"/>
        <v>-2.3878522065558068</v>
      </c>
      <c r="H98">
        <f t="shared" ca="1" si="9"/>
        <v>5.7018381603534349</v>
      </c>
    </row>
    <row r="99" spans="1:8" x14ac:dyDescent="0.3">
      <c r="A99">
        <f ca="1">-LN(Normale!A99)/Esponenziale!$E$1</f>
        <v>4.8725460124679429</v>
      </c>
      <c r="G99">
        <f t="shared" ca="1" si="8"/>
        <v>0.23794729106137691</v>
      </c>
      <c r="H99">
        <f t="shared" ca="1" si="9"/>
        <v>5.6618913323447623E-2</v>
      </c>
    </row>
    <row r="100" spans="1:8" x14ac:dyDescent="0.3">
      <c r="A100">
        <f ca="1">-LN(Normale!A100)/Esponenziale!$E$1</f>
        <v>7.6916577274862794</v>
      </c>
      <c r="G100">
        <f t="shared" ca="1" si="8"/>
        <v>3.0570590060797134</v>
      </c>
      <c r="H100">
        <f t="shared" ca="1" si="9"/>
        <v>9.3456097666530855</v>
      </c>
    </row>
    <row r="101" spans="1:8" x14ac:dyDescent="0.3">
      <c r="A101">
        <f ca="1">-LN(Normale!A101)/Esponenziale!$E$1</f>
        <v>6.1841406691951795</v>
      </c>
      <c r="G101">
        <f t="shared" ca="1" si="8"/>
        <v>1.5495419477886134</v>
      </c>
      <c r="H101">
        <f t="shared" ca="1" si="9"/>
        <v>2.4010802479565299</v>
      </c>
    </row>
  </sheetData>
  <conditionalFormatting sqref="Q26">
    <cfRule type="cellIs" dxfId="80" priority="4" operator="between">
      <formula>$E$1-$O$26</formula>
      <formula>$E$1+$O$26</formula>
    </cfRule>
    <cfRule type="cellIs" dxfId="79" priority="5" operator="lessThan">
      <formula>$E$1-$O$26</formula>
    </cfRule>
    <cfRule type="cellIs" dxfId="78" priority="6" operator="greaterThan">
      <formula>$E$1+$O$26</formula>
    </cfRule>
  </conditionalFormatting>
  <conditionalFormatting sqref="S17">
    <cfRule type="cellIs" dxfId="77" priority="13" operator="between">
      <formula>$P$15</formula>
      <formula>$P$16</formula>
    </cfRule>
    <cfRule type="cellIs" dxfId="76" priority="14" operator="lessThan">
      <formula>$P$15</formula>
    </cfRule>
    <cfRule type="cellIs" dxfId="75" priority="15" operator="greaterThan">
      <formula>$P$16</formula>
    </cfRule>
  </conditionalFormatting>
  <conditionalFormatting sqref="Z13">
    <cfRule type="cellIs" dxfId="74" priority="10" operator="between">
      <formula>$Y$11</formula>
      <formula>$AA$11</formula>
    </cfRule>
    <cfRule type="cellIs" dxfId="73" priority="11" operator="lessThan">
      <formula>$W$11</formula>
    </cfRule>
    <cfRule type="cellIs" dxfId="72" priority="12" operator="greaterThan">
      <formula>$W$12</formula>
    </cfRule>
  </conditionalFormatting>
  <conditionalFormatting sqref="AI15">
    <cfRule type="cellIs" dxfId="71" priority="1" operator="between">
      <formula>$AH$13</formula>
      <formula>$AJ$13</formula>
    </cfRule>
    <cfRule type="cellIs" dxfId="70" priority="2" operator="lessThan">
      <formula>$AH$13</formula>
    </cfRule>
    <cfRule type="cellIs" dxfId="69" priority="3" operator="greaterThan">
      <formula>$AJ$13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2185-8F1B-4EB8-BF6B-192E86708394}">
  <dimension ref="A1:AK104"/>
  <sheetViews>
    <sheetView tabSelected="1" topLeftCell="I1" zoomScale="87" workbookViewId="0">
      <selection activeCell="X11" sqref="X11"/>
    </sheetView>
  </sheetViews>
  <sheetFormatPr defaultRowHeight="14.4" x14ac:dyDescent="0.3"/>
  <cols>
    <col min="4" max="4" width="22" customWidth="1"/>
    <col min="15" max="15" width="16.33203125" customWidth="1"/>
    <col min="18" max="18" width="13.109375" customWidth="1"/>
    <col min="20" max="20" width="12.109375" customWidth="1"/>
    <col min="22" max="22" width="12" bestFit="1" customWidth="1"/>
    <col min="24" max="24" width="13.44140625" customWidth="1"/>
    <col min="27" max="27" width="15.6640625" customWidth="1"/>
    <col min="33" max="33" width="12.77734375" customWidth="1"/>
  </cols>
  <sheetData>
    <row r="1" spans="1:37" x14ac:dyDescent="0.3">
      <c r="A1" s="19" t="s">
        <v>33</v>
      </c>
      <c r="B1" s="18"/>
      <c r="D1" s="24" t="s">
        <v>43</v>
      </c>
      <c r="E1">
        <v>2</v>
      </c>
      <c r="G1" s="17" t="s">
        <v>0</v>
      </c>
      <c r="H1" s="17" t="s">
        <v>36</v>
      </c>
      <c r="I1" s="16"/>
      <c r="K1" s="17" t="s">
        <v>50</v>
      </c>
      <c r="L1" s="16"/>
      <c r="N1" s="3" t="s">
        <v>45</v>
      </c>
      <c r="O1" s="1"/>
      <c r="P1">
        <f ca="1">AVERAGE(A2:A101)</f>
        <v>1.7193974148820783</v>
      </c>
      <c r="R1" s="11" t="s">
        <v>38</v>
      </c>
      <c r="S1" s="10"/>
      <c r="T1" s="10"/>
      <c r="U1" s="10"/>
      <c r="V1" s="10"/>
      <c r="W1" s="10"/>
      <c r="X1" s="10"/>
      <c r="AA1" s="11" t="s">
        <v>39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x14ac:dyDescent="0.3">
      <c r="A2">
        <f ca="1">(-LN(1-RAND())/$E$2)^(1/$E$1)</f>
        <v>1.7794743190504358</v>
      </c>
      <c r="D2" s="13" t="s">
        <v>44</v>
      </c>
      <c r="E2">
        <v>0.25</v>
      </c>
      <c r="G2">
        <f ca="1">A2-$P$1</f>
        <v>6.0076904168357537E-2</v>
      </c>
      <c r="H2">
        <f ca="1">G2^2</f>
        <v>3.6092344144540152E-3</v>
      </c>
      <c r="K2">
        <f ca="1">A2^$E$1</f>
        <v>3.1665288521600123</v>
      </c>
      <c r="N2" s="4"/>
    </row>
    <row r="3" spans="1:37" ht="18" x14ac:dyDescent="0.35">
      <c r="A3">
        <f t="shared" ref="A3:A66" ca="1" si="0">(-LN(1-RAND())/$E$2)^(1/$E$1)</f>
        <v>0.47038925164071982</v>
      </c>
      <c r="G3">
        <f t="shared" ref="G3:G66" ca="1" si="1">A3-$P$1</f>
        <v>-1.2490081632413585</v>
      </c>
      <c r="H3">
        <f t="shared" ref="H3:H66" ca="1" si="2">G3^2</f>
        <v>1.5600213918435522</v>
      </c>
      <c r="K3">
        <f t="shared" ref="K3:K66" ca="1" si="3">A3^$E$1</f>
        <v>0.22126604805911643</v>
      </c>
      <c r="N3" s="3" t="s">
        <v>46</v>
      </c>
      <c r="O3" s="1"/>
      <c r="P3">
        <f ca="1">SUM(H2:H101)/99</f>
        <v>0.67759120172270682</v>
      </c>
      <c r="R3" s="14" t="s">
        <v>1</v>
      </c>
      <c r="S3" s="15">
        <v>0.05</v>
      </c>
      <c r="T3" s="14" t="s">
        <v>3</v>
      </c>
      <c r="U3" s="15">
        <f>S3/2</f>
        <v>2.5000000000000001E-2</v>
      </c>
      <c r="V3" s="16"/>
      <c r="W3" s="16"/>
      <c r="X3" s="16"/>
      <c r="AC3">
        <f>TINV(U3,29)</f>
        <v>2.3638460732083098</v>
      </c>
    </row>
    <row r="4" spans="1:37" ht="18" x14ac:dyDescent="0.35">
      <c r="A4">
        <f t="shared" ca="1" si="0"/>
        <v>1.9387910221526152</v>
      </c>
      <c r="D4" s="13" t="s">
        <v>47</v>
      </c>
      <c r="E4">
        <f>1/(E2^(1/E1))</f>
        <v>2</v>
      </c>
      <c r="G4">
        <f t="shared" ca="1" si="1"/>
        <v>0.21939360727053692</v>
      </c>
      <c r="H4">
        <f t="shared" ca="1" si="2"/>
        <v>4.8133554911178586E-2</v>
      </c>
      <c r="K4">
        <f t="shared" ca="1" si="3"/>
        <v>3.7589106275795827</v>
      </c>
      <c r="R4" s="14" t="s">
        <v>2</v>
      </c>
      <c r="S4" s="15">
        <f>1-S3</f>
        <v>0.95</v>
      </c>
      <c r="T4" s="14" t="s">
        <v>4</v>
      </c>
      <c r="U4" s="15">
        <f>1-U3</f>
        <v>0.97499999999999998</v>
      </c>
      <c r="V4" s="16"/>
      <c r="W4" s="16"/>
      <c r="X4" s="16"/>
    </row>
    <row r="5" spans="1:37" x14ac:dyDescent="0.3">
      <c r="A5">
        <f t="shared" ca="1" si="0"/>
        <v>1.1450734879117415</v>
      </c>
      <c r="G5">
        <f t="shared" ca="1" si="1"/>
        <v>-0.57432392697033685</v>
      </c>
      <c r="H5">
        <f t="shared" ca="1" si="2"/>
        <v>0.3298479730906288</v>
      </c>
      <c r="K5">
        <f t="shared" ca="1" si="3"/>
        <v>1.3111932927183612</v>
      </c>
      <c r="N5" s="3" t="s">
        <v>37</v>
      </c>
      <c r="O5" s="1"/>
      <c r="P5">
        <f ca="1">SQRT(P3)</f>
        <v>0.82315928089447354</v>
      </c>
      <c r="R5" s="7"/>
    </row>
    <row r="6" spans="1:37" x14ac:dyDescent="0.3">
      <c r="A6">
        <f t="shared" ca="1" si="0"/>
        <v>1.2265049462441859</v>
      </c>
      <c r="D6" s="13" t="s">
        <v>34</v>
      </c>
      <c r="E6">
        <f>E4*_xlfn.GAMMA(1+1/E1)</f>
        <v>1.7724538509055161</v>
      </c>
      <c r="G6">
        <f t="shared" ca="1" si="1"/>
        <v>-0.49289246863789238</v>
      </c>
      <c r="H6">
        <f t="shared" ca="1" si="2"/>
        <v>0.24294298563995573</v>
      </c>
      <c r="K6">
        <f t="shared" ca="1" si="3"/>
        <v>1.5043143831614534</v>
      </c>
      <c r="S6">
        <f>NORMSINV(U4)</f>
        <v>1.9599639845400536</v>
      </c>
    </row>
    <row r="7" spans="1:37" x14ac:dyDescent="0.3">
      <c r="A7">
        <f t="shared" ca="1" si="0"/>
        <v>2.7962394646407045</v>
      </c>
      <c r="G7">
        <f t="shared" ca="1" si="1"/>
        <v>1.0768420497586262</v>
      </c>
      <c r="H7">
        <f t="shared" ca="1" si="2"/>
        <v>1.1595888001283596</v>
      </c>
      <c r="K7">
        <f t="shared" ca="1" si="3"/>
        <v>7.8189551436141338</v>
      </c>
      <c r="N7" s="3" t="s">
        <v>48</v>
      </c>
      <c r="O7" s="1"/>
      <c r="P7">
        <f ca="1">AVERAGE(A2:A30)</f>
        <v>1.509044076102694</v>
      </c>
    </row>
    <row r="8" spans="1:37" x14ac:dyDescent="0.3">
      <c r="A8">
        <f t="shared" ca="1" si="0"/>
        <v>2.0022758635886588</v>
      </c>
      <c r="G8">
        <f t="shared" ca="1" si="1"/>
        <v>0.28287844870658052</v>
      </c>
      <c r="H8">
        <f t="shared" ca="1" si="2"/>
        <v>8.0020216742641509E-2</v>
      </c>
      <c r="K8">
        <f t="shared" ca="1" si="3"/>
        <v>4.00910863390971</v>
      </c>
    </row>
    <row r="9" spans="1:37" x14ac:dyDescent="0.3">
      <c r="A9">
        <f t="shared" ca="1" si="0"/>
        <v>1.4208032377460953</v>
      </c>
      <c r="G9">
        <f t="shared" ca="1" si="1"/>
        <v>-0.29859417713598302</v>
      </c>
      <c r="H9">
        <f t="shared" ca="1" si="2"/>
        <v>8.9158482619514798E-2</v>
      </c>
      <c r="K9">
        <f t="shared" ca="1" si="3"/>
        <v>2.0186818403897875</v>
      </c>
      <c r="AA9" s="2" t="s">
        <v>5</v>
      </c>
      <c r="AB9">
        <f ca="1">P5/SQRT(29)*AC3</f>
        <v>0.36133004345372433</v>
      </c>
      <c r="AD9" t="s">
        <v>9</v>
      </c>
      <c r="AF9">
        <f ca="1">AB9*2</f>
        <v>0.72266008690744865</v>
      </c>
    </row>
    <row r="10" spans="1:37" x14ac:dyDescent="0.3">
      <c r="A10">
        <f t="shared" ca="1" si="0"/>
        <v>0.82358321841936988</v>
      </c>
      <c r="D10" s="13" t="s">
        <v>35</v>
      </c>
      <c r="E10">
        <f>2*E4^2/E1*_xlfn.GAMMA(2/E1)-E6^2</f>
        <v>0.85840734641020644</v>
      </c>
      <c r="G10">
        <f t="shared" ca="1" si="1"/>
        <v>-0.89581419646270843</v>
      </c>
      <c r="H10">
        <f t="shared" ca="1" si="2"/>
        <v>0.80248307458412793</v>
      </c>
      <c r="K10">
        <f t="shared" ca="1" si="3"/>
        <v>0.67828931766200751</v>
      </c>
    </row>
    <row r="11" spans="1:37" x14ac:dyDescent="0.3">
      <c r="A11">
        <f t="shared" ca="1" si="0"/>
        <v>0.4015885592863504</v>
      </c>
      <c r="G11">
        <f t="shared" ca="1" si="1"/>
        <v>-1.3178088555957279</v>
      </c>
      <c r="H11">
        <f t="shared" ca="1" si="2"/>
        <v>1.736620179886522</v>
      </c>
      <c r="K11">
        <f t="shared" ca="1" si="3"/>
        <v>0.16127337094968658</v>
      </c>
      <c r="AA11" s="2" t="s">
        <v>6</v>
      </c>
      <c r="AB11">
        <f ca="1">P7-AB9</f>
        <v>1.1477140326489697</v>
      </c>
      <c r="AD11">
        <f ca="1">AB11</f>
        <v>1.1477140326489697</v>
      </c>
      <c r="AF11">
        <f ca="1">AB12</f>
        <v>1.8703741195564183</v>
      </c>
    </row>
    <row r="12" spans="1:37" x14ac:dyDescent="0.3">
      <c r="A12">
        <f t="shared" ca="1" si="0"/>
        <v>0.53291919374903329</v>
      </c>
      <c r="G12">
        <f t="shared" ca="1" si="1"/>
        <v>-1.1864782211330449</v>
      </c>
      <c r="H12">
        <f t="shared" ca="1" si="2"/>
        <v>1.4077305692230346</v>
      </c>
      <c r="K12">
        <f t="shared" ca="1" si="3"/>
        <v>0.28400286706611971</v>
      </c>
      <c r="R12" s="12" t="s">
        <v>10</v>
      </c>
      <c r="S12">
        <f ca="1">P5/SQRT(100)*S6</f>
        <v>0.16133625440930574</v>
      </c>
      <c r="U12" t="s">
        <v>8</v>
      </c>
      <c r="W12">
        <f ca="1">S12*2</f>
        <v>0.32267250881861148</v>
      </c>
      <c r="AA12" s="12" t="s">
        <v>7</v>
      </c>
      <c r="AB12">
        <f ca="1">P7+AB9</f>
        <v>1.8703741195564183</v>
      </c>
    </row>
    <row r="13" spans="1:37" x14ac:dyDescent="0.3">
      <c r="A13">
        <f t="shared" ca="1" si="0"/>
        <v>0.78595813943140214</v>
      </c>
      <c r="G13">
        <f t="shared" ca="1" si="1"/>
        <v>-0.93343927545067618</v>
      </c>
      <c r="H13">
        <f t="shared" ca="1" si="2"/>
        <v>0.87130888095388326</v>
      </c>
      <c r="K13">
        <f t="shared" ca="1" si="3"/>
        <v>0.61773019693847131</v>
      </c>
      <c r="AE13">
        <f>E6</f>
        <v>1.7724538509055161</v>
      </c>
    </row>
    <row r="14" spans="1:37" x14ac:dyDescent="0.3">
      <c r="A14">
        <f t="shared" ca="1" si="0"/>
        <v>1.2680897339506947</v>
      </c>
      <c r="G14">
        <f t="shared" ca="1" si="1"/>
        <v>-0.45130768093138363</v>
      </c>
      <c r="H14">
        <f t="shared" ca="1" si="2"/>
        <v>0.20367862286766356</v>
      </c>
      <c r="K14">
        <f t="shared" ca="1" si="3"/>
        <v>1.6080515733511436</v>
      </c>
    </row>
    <row r="15" spans="1:37" x14ac:dyDescent="0.3">
      <c r="A15">
        <f t="shared" ca="1" si="0"/>
        <v>2.01269162701107</v>
      </c>
      <c r="G15">
        <f t="shared" ca="1" si="1"/>
        <v>0.29329421212899165</v>
      </c>
      <c r="H15">
        <f t="shared" ca="1" si="2"/>
        <v>8.6021494868365952E-2</v>
      </c>
      <c r="K15">
        <f t="shared" ca="1" si="3"/>
        <v>4.0509275854404683</v>
      </c>
      <c r="S15" s="2" t="s">
        <v>6</v>
      </c>
      <c r="T15">
        <f ca="1">P1-S12</f>
        <v>1.5580611604727725</v>
      </c>
      <c r="V15">
        <f ca="1">T15</f>
        <v>1.5580611604727725</v>
      </c>
      <c r="X15">
        <f ca="1">T16</f>
        <v>1.8807336692913841</v>
      </c>
    </row>
    <row r="16" spans="1:37" x14ac:dyDescent="0.3">
      <c r="A16">
        <f t="shared" ca="1" si="0"/>
        <v>3.5402239875019705</v>
      </c>
      <c r="G16">
        <f t="shared" ca="1" si="1"/>
        <v>1.8208265726198922</v>
      </c>
      <c r="H16">
        <f t="shared" ca="1" si="2"/>
        <v>3.3154094075587035</v>
      </c>
      <c r="K16">
        <f t="shared" ca="1" si="3"/>
        <v>12.533185881684352</v>
      </c>
      <c r="S16" s="12" t="s">
        <v>7</v>
      </c>
      <c r="T16">
        <f ca="1">P1+S12</f>
        <v>1.8807336692913841</v>
      </c>
    </row>
    <row r="17" spans="1:37" x14ac:dyDescent="0.3">
      <c r="A17">
        <f t="shared" ca="1" si="0"/>
        <v>1.3618734304074487</v>
      </c>
      <c r="G17">
        <f t="shared" ca="1" si="1"/>
        <v>-0.35752398447462963</v>
      </c>
      <c r="H17">
        <f t="shared" ca="1" si="2"/>
        <v>0.12782339947461521</v>
      </c>
      <c r="K17">
        <f t="shared" ca="1" si="3"/>
        <v>1.854699240449752</v>
      </c>
      <c r="W17">
        <f>E6</f>
        <v>1.7724538509055161</v>
      </c>
    </row>
    <row r="18" spans="1:37" x14ac:dyDescent="0.3">
      <c r="A18">
        <f t="shared" ca="1" si="0"/>
        <v>1.0881618213292141</v>
      </c>
      <c r="G18">
        <f t="shared" ca="1" si="1"/>
        <v>-0.63123559355286418</v>
      </c>
      <c r="H18">
        <f t="shared" ca="1" si="2"/>
        <v>0.39845837456803673</v>
      </c>
      <c r="K18">
        <f t="shared" ca="1" si="3"/>
        <v>1.1840961493985125</v>
      </c>
    </row>
    <row r="19" spans="1:37" x14ac:dyDescent="0.3">
      <c r="A19">
        <f t="shared" ca="1" si="0"/>
        <v>2.2163978780261622</v>
      </c>
      <c r="G19">
        <f t="shared" ca="1" si="1"/>
        <v>0.49700046314408386</v>
      </c>
      <c r="H19">
        <f t="shared" ca="1" si="2"/>
        <v>0.24700946036543386</v>
      </c>
      <c r="K19">
        <f t="shared" ca="1" si="3"/>
        <v>4.9124195537188742</v>
      </c>
      <c r="R19" s="11" t="s">
        <v>12</v>
      </c>
      <c r="S19" s="10"/>
      <c r="T19" s="10"/>
      <c r="U19" s="10"/>
      <c r="V19" s="10"/>
      <c r="W19" s="10"/>
      <c r="X19" s="10"/>
    </row>
    <row r="20" spans="1:37" x14ac:dyDescent="0.3">
      <c r="A20">
        <f t="shared" ca="1" si="0"/>
        <v>1.3634360896622875</v>
      </c>
      <c r="G20">
        <f t="shared" ca="1" si="1"/>
        <v>-0.35596132521979085</v>
      </c>
      <c r="H20">
        <f t="shared" ca="1" si="2"/>
        <v>0.12670846505222971</v>
      </c>
      <c r="K20">
        <f t="shared" ca="1" si="3"/>
        <v>1.8589579705935892</v>
      </c>
    </row>
    <row r="21" spans="1:37" x14ac:dyDescent="0.3">
      <c r="A21">
        <f t="shared" ca="1" si="0"/>
        <v>1.3221624908167751</v>
      </c>
      <c r="G21">
        <f t="shared" ca="1" si="1"/>
        <v>-0.39723492406530325</v>
      </c>
      <c r="H21">
        <f t="shared" ca="1" si="2"/>
        <v>0.15779558489716725</v>
      </c>
      <c r="K21">
        <f t="shared" ca="1" si="3"/>
        <v>1.7481136521228189</v>
      </c>
      <c r="U21" t="s">
        <v>49</v>
      </c>
    </row>
    <row r="22" spans="1:37" x14ac:dyDescent="0.3">
      <c r="A22">
        <f t="shared" ca="1" si="0"/>
        <v>1.7545886824691572</v>
      </c>
      <c r="G22">
        <f t="shared" ca="1" si="1"/>
        <v>3.5191267587078912E-2</v>
      </c>
      <c r="H22">
        <f t="shared" ca="1" si="2"/>
        <v>1.2384253143853908E-3</v>
      </c>
      <c r="K22">
        <f t="shared" ca="1" si="3"/>
        <v>3.0785814446488531</v>
      </c>
    </row>
    <row r="23" spans="1:37" x14ac:dyDescent="0.3">
      <c r="A23">
        <f t="shared" ca="1" si="0"/>
        <v>2.2176052775587061</v>
      </c>
      <c r="G23">
        <f t="shared" ca="1" si="1"/>
        <v>0.49820786267662776</v>
      </c>
      <c r="H23">
        <f t="shared" ca="1" si="2"/>
        <v>0.24821107443281357</v>
      </c>
      <c r="K23">
        <f t="shared" ca="1" si="3"/>
        <v>4.9177731670562261</v>
      </c>
    </row>
    <row r="24" spans="1:37" x14ac:dyDescent="0.3">
      <c r="A24">
        <f t="shared" ca="1" si="0"/>
        <v>1.1162021415557273</v>
      </c>
      <c r="G24">
        <f t="shared" ca="1" si="1"/>
        <v>-0.60319527332635103</v>
      </c>
      <c r="H24">
        <f t="shared" ca="1" si="2"/>
        <v>0.36384453776325132</v>
      </c>
      <c r="K24">
        <f t="shared" ca="1" si="3"/>
        <v>1.2459072208135917</v>
      </c>
    </row>
    <row r="25" spans="1:37" x14ac:dyDescent="0.3">
      <c r="A25">
        <f t="shared" ca="1" si="0"/>
        <v>2.3442789446924537</v>
      </c>
      <c r="G25">
        <f t="shared" ca="1" si="1"/>
        <v>0.62488152981037537</v>
      </c>
      <c r="H25">
        <f t="shared" ca="1" si="2"/>
        <v>0.39047692629815506</v>
      </c>
      <c r="K25">
        <f t="shared" ca="1" si="3"/>
        <v>5.4956437705283641</v>
      </c>
      <c r="R25" s="4" t="s">
        <v>17</v>
      </c>
    </row>
    <row r="26" spans="1:37" x14ac:dyDescent="0.3">
      <c r="A26">
        <f t="shared" ca="1" si="0"/>
        <v>1.3600205186631198</v>
      </c>
      <c r="G26">
        <f t="shared" ca="1" si="1"/>
        <v>-0.35937689621895852</v>
      </c>
      <c r="H26">
        <f t="shared" ca="1" si="2"/>
        <v>0.12915175353597208</v>
      </c>
      <c r="K26">
        <f t="shared" ca="1" si="3"/>
        <v>1.8496558111847015</v>
      </c>
      <c r="R26" t="s">
        <v>42</v>
      </c>
      <c r="S26">
        <f>E2*0.1</f>
        <v>2.5000000000000001E-2</v>
      </c>
      <c r="U26">
        <f ca="1">100/SUM(K2:K101)</f>
        <v>0.27569910151471805</v>
      </c>
    </row>
    <row r="27" spans="1:37" x14ac:dyDescent="0.3">
      <c r="A27">
        <f t="shared" ca="1" si="0"/>
        <v>0.46394152987848764</v>
      </c>
      <c r="G27">
        <f t="shared" ca="1" si="1"/>
        <v>-1.2554558850035906</v>
      </c>
      <c r="H27">
        <f t="shared" ca="1" si="2"/>
        <v>1.576169479190149</v>
      </c>
      <c r="K27">
        <f t="shared" ca="1" si="3"/>
        <v>0.21524174314599165</v>
      </c>
    </row>
    <row r="28" spans="1:37" x14ac:dyDescent="0.3">
      <c r="A28">
        <f t="shared" ca="1" si="0"/>
        <v>1.0844928970278547</v>
      </c>
      <c r="G28">
        <f t="shared" ca="1" si="1"/>
        <v>-0.63490451785422364</v>
      </c>
      <c r="H28">
        <f t="shared" ca="1" si="2"/>
        <v>0.40310374679170419</v>
      </c>
      <c r="K28">
        <f t="shared" ca="1" si="3"/>
        <v>1.1761248437038689</v>
      </c>
      <c r="R28" s="11" t="s">
        <v>20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3">
      <c r="A29">
        <f t="shared" ca="1" si="0"/>
        <v>2.2038775968959259</v>
      </c>
      <c r="G29">
        <f t="shared" ca="1" si="1"/>
        <v>0.48448018201384757</v>
      </c>
      <c r="H29">
        <f t="shared" ca="1" si="2"/>
        <v>0.23472104676417088</v>
      </c>
      <c r="K29">
        <f t="shared" ca="1" si="3"/>
        <v>4.8570764620997613</v>
      </c>
    </row>
    <row r="30" spans="1:37" x14ac:dyDescent="0.3">
      <c r="A30">
        <f t="shared" ca="1" si="0"/>
        <v>1.720632855669745</v>
      </c>
      <c r="G30">
        <f t="shared" ca="1" si="1"/>
        <v>1.2354407876666862E-3</v>
      </c>
      <c r="H30">
        <f t="shared" ca="1" si="2"/>
        <v>1.5263139398304821E-6</v>
      </c>
      <c r="K30">
        <f t="shared" ca="1" si="3"/>
        <v>2.9605774240102214</v>
      </c>
      <c r="T30" s="1"/>
      <c r="U30" s="13" t="s">
        <v>21</v>
      </c>
      <c r="V30">
        <v>20</v>
      </c>
      <c r="X30" s="17" t="s">
        <v>26</v>
      </c>
      <c r="Y30" s="16"/>
      <c r="Z30" s="16"/>
      <c r="AB30" s="17" t="s">
        <v>28</v>
      </c>
      <c r="AC30" s="17"/>
      <c r="AD30" s="17"/>
      <c r="AE30" s="17"/>
      <c r="AG30" s="17" t="s">
        <v>27</v>
      </c>
      <c r="AH30" s="16"/>
      <c r="AI30" s="16"/>
      <c r="AJ30" s="16"/>
      <c r="AK30" s="16"/>
    </row>
    <row r="31" spans="1:37" x14ac:dyDescent="0.3">
      <c r="A31">
        <f t="shared" ca="1" si="0"/>
        <v>1.7893618740882218</v>
      </c>
      <c r="G31">
        <f t="shared" ca="1" si="1"/>
        <v>6.996445920614347E-2</v>
      </c>
      <c r="H31">
        <f t="shared" ca="1" si="2"/>
        <v>4.8950255520081136E-3</v>
      </c>
      <c r="K31">
        <f t="shared" ca="1" si="3"/>
        <v>3.2018159164405131</v>
      </c>
      <c r="T31" s="1"/>
      <c r="U31" s="13" t="s">
        <v>22</v>
      </c>
      <c r="V31">
        <f ca="1">MIN(A2:A101)</f>
        <v>0.18450518121939974</v>
      </c>
      <c r="X31">
        <f ca="1">V31+V34</f>
        <v>0.38217589243168615</v>
      </c>
      <c r="AB31">
        <f ca="1">COUNTIF($A$2:$A$101,"&lt;="&amp;X31)</f>
        <v>1</v>
      </c>
      <c r="AG31">
        <f ca="1">INT((100*_xlfn.WEIBULL.DIST(X31,$E$1,$E$4,TRUE)))</f>
        <v>3</v>
      </c>
    </row>
    <row r="32" spans="1:37" x14ac:dyDescent="0.3">
      <c r="A32">
        <f t="shared" ca="1" si="0"/>
        <v>2.7364798271285302</v>
      </c>
      <c r="G32">
        <f t="shared" ca="1" si="1"/>
        <v>1.0170824122464519</v>
      </c>
      <c r="H32">
        <f t="shared" ca="1" si="2"/>
        <v>1.0344566333010616</v>
      </c>
      <c r="K32">
        <f t="shared" ca="1" si="3"/>
        <v>7.4883218442813906</v>
      </c>
      <c r="T32" s="3" t="s">
        <v>23</v>
      </c>
      <c r="U32" s="3"/>
      <c r="V32">
        <f ca="1">MAX(A2:A101)</f>
        <v>4.1379194054651274</v>
      </c>
      <c r="X32">
        <f ca="1">X31+$V$34</f>
        <v>0.57984660364397256</v>
      </c>
      <c r="AB32">
        <f t="shared" ref="AB32:AB50" ca="1" si="4">COUNTIF($A$2:$A$101,"&lt;="&amp;X32)</f>
        <v>8</v>
      </c>
      <c r="AG32">
        <f t="shared" ref="AG32:AG49" ca="1" si="5">INT((100*_xlfn.WEIBULL.DIST(X32,$E$1,$E$4,TRUE)))</f>
        <v>8</v>
      </c>
    </row>
    <row r="33" spans="1:33" x14ac:dyDescent="0.3">
      <c r="A33">
        <f t="shared" ca="1" si="0"/>
        <v>2.5419156311391462</v>
      </c>
      <c r="G33">
        <f t="shared" ca="1" si="1"/>
        <v>0.82251821625706789</v>
      </c>
      <c r="H33">
        <f t="shared" ca="1" si="2"/>
        <v>0.67653621607470871</v>
      </c>
      <c r="K33">
        <f t="shared" ca="1" si="3"/>
        <v>6.461335075829524</v>
      </c>
      <c r="X33">
        <f t="shared" ref="X33:X50" ca="1" si="6">X32+$V$34</f>
        <v>0.77751731485625897</v>
      </c>
      <c r="AB33">
        <f t="shared" ca="1" si="4"/>
        <v>12</v>
      </c>
      <c r="AG33">
        <f t="shared" ca="1" si="5"/>
        <v>14</v>
      </c>
    </row>
    <row r="34" spans="1:33" x14ac:dyDescent="0.3">
      <c r="A34">
        <f t="shared" ca="1" si="0"/>
        <v>3.4481292900191458</v>
      </c>
      <c r="G34">
        <f t="shared" ca="1" si="1"/>
        <v>1.7287318751370675</v>
      </c>
      <c r="H34">
        <f t="shared" ca="1" si="2"/>
        <v>2.9885138961149216</v>
      </c>
      <c r="K34">
        <f t="shared" ca="1" si="3"/>
        <v>11.889595600687938</v>
      </c>
      <c r="T34" s="3" t="s">
        <v>24</v>
      </c>
      <c r="U34" s="1"/>
      <c r="V34">
        <f ca="1">(V32-V31)/V30</f>
        <v>0.19767071121228638</v>
      </c>
      <c r="X34">
        <f t="shared" ca="1" si="6"/>
        <v>0.97518802606854538</v>
      </c>
      <c r="AB34">
        <f t="shared" ca="1" si="4"/>
        <v>19</v>
      </c>
      <c r="AG34">
        <f t="shared" ca="1" si="5"/>
        <v>21</v>
      </c>
    </row>
    <row r="35" spans="1:33" x14ac:dyDescent="0.3">
      <c r="A35">
        <f t="shared" ca="1" si="0"/>
        <v>2.0727411372753286</v>
      </c>
      <c r="G35">
        <f t="shared" ca="1" si="1"/>
        <v>0.35334372239325029</v>
      </c>
      <c r="H35">
        <f t="shared" ca="1" si="2"/>
        <v>0.12485178615471833</v>
      </c>
      <c r="K35">
        <f t="shared" ca="1" si="3"/>
        <v>4.2962558221534231</v>
      </c>
      <c r="X35">
        <f t="shared" ca="1" si="6"/>
        <v>1.1728587372808317</v>
      </c>
      <c r="AB35">
        <f t="shared" ca="1" si="4"/>
        <v>29</v>
      </c>
      <c r="AG35">
        <f t="shared" ca="1" si="5"/>
        <v>29</v>
      </c>
    </row>
    <row r="36" spans="1:33" x14ac:dyDescent="0.3">
      <c r="A36">
        <f t="shared" ca="1" si="0"/>
        <v>2.9222732933544617</v>
      </c>
      <c r="G36">
        <f t="shared" ca="1" si="1"/>
        <v>1.2028758784723834</v>
      </c>
      <c r="H36">
        <f t="shared" ca="1" si="2"/>
        <v>1.4469103790107081</v>
      </c>
      <c r="K36">
        <f t="shared" ca="1" si="3"/>
        <v>8.5396812010527317</v>
      </c>
      <c r="X36">
        <f t="shared" ca="1" si="6"/>
        <v>1.3705294484931181</v>
      </c>
      <c r="AB36">
        <f t="shared" ca="1" si="4"/>
        <v>40</v>
      </c>
      <c r="AG36">
        <f t="shared" ca="1" si="5"/>
        <v>37</v>
      </c>
    </row>
    <row r="37" spans="1:33" x14ac:dyDescent="0.3">
      <c r="A37">
        <f t="shared" ca="1" si="0"/>
        <v>1.6758603655010786</v>
      </c>
      <c r="G37">
        <f t="shared" ca="1" si="1"/>
        <v>-4.3537049380999671E-2</v>
      </c>
      <c r="H37">
        <f t="shared" ca="1" si="2"/>
        <v>1.8954746688036037E-3</v>
      </c>
      <c r="K37">
        <f t="shared" ca="1" si="3"/>
        <v>2.8085079646574087</v>
      </c>
      <c r="X37">
        <f t="shared" ca="1" si="6"/>
        <v>1.5682001597054045</v>
      </c>
      <c r="AB37">
        <f t="shared" ca="1" si="4"/>
        <v>47</v>
      </c>
      <c r="AG37">
        <f t="shared" ca="1" si="5"/>
        <v>45</v>
      </c>
    </row>
    <row r="38" spans="1:33" x14ac:dyDescent="0.3">
      <c r="A38">
        <f t="shared" ca="1" si="0"/>
        <v>2.3496836184977741</v>
      </c>
      <c r="G38">
        <f t="shared" ca="1" si="1"/>
        <v>0.63028620361569576</v>
      </c>
      <c r="H38">
        <f t="shared" ca="1" si="2"/>
        <v>0.39726069846828632</v>
      </c>
      <c r="K38">
        <f t="shared" ca="1" si="3"/>
        <v>5.5210131070367927</v>
      </c>
      <c r="X38">
        <f t="shared" ca="1" si="6"/>
        <v>1.7658708709176909</v>
      </c>
      <c r="AB38">
        <f t="shared" ca="1" si="4"/>
        <v>53</v>
      </c>
      <c r="AG38">
        <f t="shared" ca="1" si="5"/>
        <v>54</v>
      </c>
    </row>
    <row r="39" spans="1:33" x14ac:dyDescent="0.3">
      <c r="A39">
        <f t="shared" ca="1" si="0"/>
        <v>2.4292486789070855</v>
      </c>
      <c r="G39">
        <f t="shared" ca="1" si="1"/>
        <v>0.7098512640250072</v>
      </c>
      <c r="H39">
        <f t="shared" ca="1" si="2"/>
        <v>0.50388881703790045</v>
      </c>
      <c r="K39">
        <f t="shared" ca="1" si="3"/>
        <v>5.9012491439718202</v>
      </c>
      <c r="X39">
        <f t="shared" ca="1" si="6"/>
        <v>1.9635415821299773</v>
      </c>
      <c r="AB39">
        <f t="shared" ca="1" si="4"/>
        <v>62</v>
      </c>
      <c r="AG39">
        <f t="shared" ca="1" si="5"/>
        <v>61</v>
      </c>
    </row>
    <row r="40" spans="1:33" x14ac:dyDescent="0.3">
      <c r="A40">
        <f t="shared" ca="1" si="0"/>
        <v>1.1304012289857717</v>
      </c>
      <c r="G40">
        <f t="shared" ca="1" si="1"/>
        <v>-0.58899618589630665</v>
      </c>
      <c r="H40">
        <f t="shared" ca="1" si="2"/>
        <v>0.34691650700039661</v>
      </c>
      <c r="K40">
        <f t="shared" ca="1" si="3"/>
        <v>1.277806938492543</v>
      </c>
      <c r="X40">
        <f t="shared" ca="1" si="6"/>
        <v>2.1612122933422637</v>
      </c>
      <c r="AB40">
        <f t="shared" ca="1" si="4"/>
        <v>73</v>
      </c>
      <c r="AG40">
        <f t="shared" ca="1" si="5"/>
        <v>68</v>
      </c>
    </row>
    <row r="41" spans="1:33" x14ac:dyDescent="0.3">
      <c r="A41">
        <f t="shared" ca="1" si="0"/>
        <v>1.3935927124441612</v>
      </c>
      <c r="G41">
        <f t="shared" ca="1" si="1"/>
        <v>-0.32580470243791715</v>
      </c>
      <c r="H41">
        <f t="shared" ca="1" si="2"/>
        <v>0.10614870413065973</v>
      </c>
      <c r="K41">
        <f t="shared" ca="1" si="3"/>
        <v>1.9421006481774745</v>
      </c>
      <c r="X41">
        <f t="shared" ca="1" si="6"/>
        <v>2.3588830045545501</v>
      </c>
      <c r="AB41">
        <f t="shared" ca="1" si="4"/>
        <v>80</v>
      </c>
      <c r="AG41">
        <f t="shared" ca="1" si="5"/>
        <v>75</v>
      </c>
    </row>
    <row r="42" spans="1:33" x14ac:dyDescent="0.3">
      <c r="A42">
        <f t="shared" ca="1" si="0"/>
        <v>2.0594394105406235</v>
      </c>
      <c r="G42">
        <f t="shared" ca="1" si="1"/>
        <v>0.3400419956585452</v>
      </c>
      <c r="H42">
        <f t="shared" ca="1" si="2"/>
        <v>0.11562855881144607</v>
      </c>
      <c r="K42">
        <f t="shared" ca="1" si="3"/>
        <v>4.2412906856879111</v>
      </c>
      <c r="X42">
        <f t="shared" ca="1" si="6"/>
        <v>2.5565537157668365</v>
      </c>
      <c r="AB42">
        <f t="shared" ca="1" si="4"/>
        <v>85</v>
      </c>
      <c r="AG42">
        <f t="shared" ca="1" si="5"/>
        <v>80</v>
      </c>
    </row>
    <row r="43" spans="1:33" x14ac:dyDescent="0.3">
      <c r="A43">
        <f t="shared" ca="1" si="0"/>
        <v>2.6213109629469469</v>
      </c>
      <c r="G43">
        <f t="shared" ca="1" si="1"/>
        <v>0.90191354806486856</v>
      </c>
      <c r="H43">
        <f t="shared" ca="1" si="2"/>
        <v>0.81344804818296002</v>
      </c>
      <c r="K43">
        <f t="shared" ca="1" si="3"/>
        <v>6.87127116446585</v>
      </c>
      <c r="X43">
        <f t="shared" ca="1" si="6"/>
        <v>2.754224426979123</v>
      </c>
      <c r="AB43">
        <f t="shared" ca="1" si="4"/>
        <v>90</v>
      </c>
      <c r="AG43">
        <f t="shared" ca="1" si="5"/>
        <v>84</v>
      </c>
    </row>
    <row r="44" spans="1:33" x14ac:dyDescent="0.3">
      <c r="A44">
        <f t="shared" ca="1" si="0"/>
        <v>2.141638279339559</v>
      </c>
      <c r="G44">
        <f t="shared" ca="1" si="1"/>
        <v>0.42224086445748066</v>
      </c>
      <c r="H44">
        <f t="shared" ca="1" si="2"/>
        <v>0.17828734761780055</v>
      </c>
      <c r="K44">
        <f t="shared" ca="1" si="3"/>
        <v>4.5866145195325068</v>
      </c>
      <c r="X44">
        <f t="shared" ca="1" si="6"/>
        <v>2.9518951381914094</v>
      </c>
      <c r="AB44">
        <f t="shared" ca="1" si="4"/>
        <v>92</v>
      </c>
      <c r="AG44">
        <f t="shared" ca="1" si="5"/>
        <v>88</v>
      </c>
    </row>
    <row r="45" spans="1:33" x14ac:dyDescent="0.3">
      <c r="A45">
        <f t="shared" ca="1" si="0"/>
        <v>1.4150635079744935</v>
      </c>
      <c r="G45">
        <f t="shared" ca="1" si="1"/>
        <v>-0.30433390690758477</v>
      </c>
      <c r="H45">
        <f t="shared" ca="1" si="2"/>
        <v>9.2619126893634468E-2</v>
      </c>
      <c r="K45">
        <f t="shared" ca="1" si="3"/>
        <v>2.0024047316010796</v>
      </c>
      <c r="X45">
        <f t="shared" ca="1" si="6"/>
        <v>3.1495658494036958</v>
      </c>
      <c r="AB45">
        <f t="shared" ca="1" si="4"/>
        <v>94</v>
      </c>
      <c r="AG45">
        <f t="shared" ca="1" si="5"/>
        <v>91</v>
      </c>
    </row>
    <row r="46" spans="1:33" x14ac:dyDescent="0.3">
      <c r="A46">
        <f t="shared" ca="1" si="0"/>
        <v>0.18450518121939974</v>
      </c>
      <c r="G46">
        <f t="shared" ca="1" si="1"/>
        <v>-1.5348922336626787</v>
      </c>
      <c r="H46">
        <f t="shared" ca="1" si="2"/>
        <v>2.3558941689580069</v>
      </c>
      <c r="K46">
        <f t="shared" ca="1" si="3"/>
        <v>3.4042161896803536E-2</v>
      </c>
      <c r="X46">
        <f t="shared" ca="1" si="6"/>
        <v>3.3472365606159822</v>
      </c>
      <c r="AB46">
        <f t="shared" ca="1" si="4"/>
        <v>95</v>
      </c>
      <c r="AG46">
        <f t="shared" ca="1" si="5"/>
        <v>93</v>
      </c>
    </row>
    <row r="47" spans="1:33" x14ac:dyDescent="0.3">
      <c r="A47">
        <f t="shared" ca="1" si="0"/>
        <v>1.9876260718184116</v>
      </c>
      <c r="G47">
        <f t="shared" ca="1" si="1"/>
        <v>0.26822865693633324</v>
      </c>
      <c r="H47">
        <f t="shared" ca="1" si="2"/>
        <v>7.1946612401869156E-2</v>
      </c>
      <c r="K47">
        <f t="shared" ca="1" si="3"/>
        <v>3.9506574013722893</v>
      </c>
      <c r="X47">
        <f t="shared" ca="1" si="6"/>
        <v>3.5449072718282686</v>
      </c>
      <c r="AB47">
        <f t="shared" ca="1" si="4"/>
        <v>98</v>
      </c>
      <c r="AG47">
        <f t="shared" ca="1" si="5"/>
        <v>95</v>
      </c>
    </row>
    <row r="48" spans="1:33" x14ac:dyDescent="0.3">
      <c r="A48">
        <f t="shared" ca="1" si="0"/>
        <v>1.1722392238790522</v>
      </c>
      <c r="G48">
        <f t="shared" ca="1" si="1"/>
        <v>-0.5471581910030261</v>
      </c>
      <c r="H48">
        <f t="shared" ca="1" si="2"/>
        <v>0.29938208598170396</v>
      </c>
      <c r="K48">
        <f t="shared" ca="1" si="3"/>
        <v>1.3741447980005628</v>
      </c>
      <c r="X48">
        <f t="shared" ca="1" si="6"/>
        <v>3.742577983040555</v>
      </c>
      <c r="AB48">
        <f t="shared" ca="1" si="4"/>
        <v>99</v>
      </c>
      <c r="AG48">
        <f t="shared" ca="1" si="5"/>
        <v>96</v>
      </c>
    </row>
    <row r="49" spans="1:37" x14ac:dyDescent="0.3">
      <c r="A49">
        <f t="shared" ca="1" si="0"/>
        <v>1.391861950210691</v>
      </c>
      <c r="G49">
        <f t="shared" ca="1" si="1"/>
        <v>-0.32753546467138728</v>
      </c>
      <c r="H49">
        <f t="shared" ca="1" si="2"/>
        <v>0.10727948061750159</v>
      </c>
      <c r="K49">
        <f t="shared" ca="1" si="3"/>
        <v>1.9372796884443082</v>
      </c>
      <c r="X49">
        <f t="shared" ca="1" si="6"/>
        <v>3.9402486942528414</v>
      </c>
      <c r="AB49">
        <f t="shared" ca="1" si="4"/>
        <v>99</v>
      </c>
      <c r="AG49">
        <f t="shared" ca="1" si="5"/>
        <v>97</v>
      </c>
    </row>
    <row r="50" spans="1:37" x14ac:dyDescent="0.3">
      <c r="A50">
        <f t="shared" ca="1" si="0"/>
        <v>2.03957144331949</v>
      </c>
      <c r="G50">
        <f t="shared" ca="1" si="1"/>
        <v>0.32017402843741172</v>
      </c>
      <c r="H50">
        <f t="shared" ca="1" si="2"/>
        <v>0.10251140848584053</v>
      </c>
      <c r="K50">
        <f t="shared" ca="1" si="3"/>
        <v>4.1598516724043479</v>
      </c>
      <c r="X50">
        <f t="shared" ca="1" si="6"/>
        <v>4.1379194054651274</v>
      </c>
      <c r="AB50">
        <f t="shared" ca="1" si="4"/>
        <v>100</v>
      </c>
      <c r="AG50">
        <v>100</v>
      </c>
    </row>
    <row r="51" spans="1:37" x14ac:dyDescent="0.3">
      <c r="A51">
        <f t="shared" ca="1" si="0"/>
        <v>2.6292688702835103</v>
      </c>
      <c r="G51">
        <f t="shared" ca="1" si="1"/>
        <v>0.90987145540143199</v>
      </c>
      <c r="H51">
        <f t="shared" ca="1" si="2"/>
        <v>0.82786606535432006</v>
      </c>
      <c r="K51">
        <f t="shared" ca="1" si="3"/>
        <v>6.913054792241927</v>
      </c>
    </row>
    <row r="52" spans="1:37" x14ac:dyDescent="0.3">
      <c r="A52">
        <f t="shared" ca="1" si="0"/>
        <v>1.7087850201831833</v>
      </c>
      <c r="G52">
        <f t="shared" ca="1" si="1"/>
        <v>-1.0612394698894967E-2</v>
      </c>
      <c r="H52">
        <f t="shared" ca="1" si="2"/>
        <v>1.1262292124513399E-4</v>
      </c>
      <c r="K52">
        <f t="shared" ca="1" si="3"/>
        <v>2.9199462452024423</v>
      </c>
      <c r="AB52" s="22" t="s">
        <v>29</v>
      </c>
      <c r="AC52" s="23"/>
      <c r="AD52" s="23"/>
      <c r="AE52" s="23"/>
      <c r="AG52" s="20" t="s">
        <v>30</v>
      </c>
      <c r="AH52" s="20"/>
      <c r="AI52" s="20"/>
      <c r="AJ52" s="20"/>
      <c r="AK52" s="20"/>
    </row>
    <row r="53" spans="1:37" x14ac:dyDescent="0.3">
      <c r="A53">
        <f t="shared" ca="1" si="0"/>
        <v>0.67819886183922196</v>
      </c>
      <c r="G53">
        <f t="shared" ca="1" si="1"/>
        <v>-1.0411985530428565</v>
      </c>
      <c r="H53">
        <f t="shared" ca="1" si="2"/>
        <v>1.084094426858538</v>
      </c>
      <c r="K53">
        <f t="shared" ca="1" si="3"/>
        <v>0.45995369620001608</v>
      </c>
      <c r="AB53">
        <f ca="1">AB31/100</f>
        <v>0.01</v>
      </c>
      <c r="AG53">
        <f ca="1">_xlfn.WEIBULL.DIST(X31,$E$1,$E$4,TRUE)-_xlfn.WEIBULL.DIST(V31,$E$1,$E$4,TRUE)</f>
        <v>2.7381557441910918E-2</v>
      </c>
    </row>
    <row r="54" spans="1:37" x14ac:dyDescent="0.3">
      <c r="A54">
        <f t="shared" ca="1" si="0"/>
        <v>2.4310045551099964</v>
      </c>
      <c r="G54">
        <f t="shared" ca="1" si="1"/>
        <v>0.71160714022791804</v>
      </c>
      <c r="H54">
        <f t="shared" ca="1" si="2"/>
        <v>0.50638472202335583</v>
      </c>
      <c r="K54">
        <f t="shared" ca="1" si="3"/>
        <v>5.9097831469655517</v>
      </c>
      <c r="AB54">
        <f ca="1">(AB32-AB31)/100</f>
        <v>7.0000000000000007E-2</v>
      </c>
      <c r="AG54">
        <f ca="1">_xlfn.WEIBULL.DIST(X32,$E$1,$E$4,TRUE)-_xlfn.WEIBULL.DIST(X31,$E$1,$E$4,TRUE)</f>
        <v>4.4763804391079444E-2</v>
      </c>
    </row>
    <row r="55" spans="1:37" x14ac:dyDescent="0.3">
      <c r="A55">
        <f t="shared" ca="1" si="0"/>
        <v>1.4837002504789738</v>
      </c>
      <c r="G55">
        <f t="shared" ca="1" si="1"/>
        <v>-0.23569716440310451</v>
      </c>
      <c r="H55">
        <f t="shared" ca="1" si="2"/>
        <v>5.5553153307664076E-2</v>
      </c>
      <c r="K55">
        <f t="shared" ca="1" si="3"/>
        <v>2.2013664332713696</v>
      </c>
      <c r="AB55">
        <f t="shared" ref="AB55:AB72" ca="1" si="7">(AB33-AB32)/100</f>
        <v>0.04</v>
      </c>
      <c r="AG55">
        <f t="shared" ref="AG55:AG72" ca="1" si="8">_xlfn.WEIBULL.DIST(X33,$E$1,$E$4,TRUE)-_xlfn.WEIBULL.DIST(X32,$E$1,$E$4,TRUE)</f>
        <v>5.964711583073562E-2</v>
      </c>
    </row>
    <row r="56" spans="1:37" x14ac:dyDescent="0.3">
      <c r="A56">
        <f t="shared" ca="1" si="0"/>
        <v>3.1319211142856971</v>
      </c>
      <c r="G56">
        <f t="shared" ca="1" si="1"/>
        <v>1.4125236994036188</v>
      </c>
      <c r="H56">
        <f t="shared" ca="1" si="2"/>
        <v>1.9952232013768847</v>
      </c>
      <c r="K56">
        <f t="shared" ca="1" si="3"/>
        <v>9.8089298661085618</v>
      </c>
      <c r="AB56">
        <f t="shared" ca="1" si="7"/>
        <v>7.0000000000000007E-2</v>
      </c>
      <c r="AG56">
        <f t="shared" ca="1" si="8"/>
        <v>7.1331688940854343E-2</v>
      </c>
    </row>
    <row r="57" spans="1:37" x14ac:dyDescent="0.3">
      <c r="A57">
        <f t="shared" ca="1" si="0"/>
        <v>0.67626615488754982</v>
      </c>
      <c r="G57">
        <f t="shared" ca="1" si="1"/>
        <v>-1.0431312599945284</v>
      </c>
      <c r="H57">
        <f t="shared" ca="1" si="2"/>
        <v>1.0881228255777724</v>
      </c>
      <c r="K57">
        <f t="shared" ca="1" si="3"/>
        <v>0.45733591224639153</v>
      </c>
      <c r="AB57">
        <f t="shared" ca="1" si="7"/>
        <v>0.1</v>
      </c>
      <c r="AG57">
        <f t="shared" ca="1" si="8"/>
        <v>7.9401158288932516E-2</v>
      </c>
    </row>
    <row r="58" spans="1:37" x14ac:dyDescent="0.3">
      <c r="A58">
        <f t="shared" ca="1" si="0"/>
        <v>1.0179748955897854</v>
      </c>
      <c r="G58">
        <f t="shared" ca="1" si="1"/>
        <v>-0.70142251929229293</v>
      </c>
      <c r="H58">
        <f t="shared" ca="1" si="2"/>
        <v>0.49199355057034705</v>
      </c>
      <c r="K58">
        <f t="shared" ca="1" si="3"/>
        <v>1.0362728880510343</v>
      </c>
      <c r="AB58">
        <f t="shared" ca="1" si="7"/>
        <v>0.11</v>
      </c>
      <c r="AG58">
        <f t="shared" ca="1" si="8"/>
        <v>8.3740263363422163E-2</v>
      </c>
    </row>
    <row r="59" spans="1:37" x14ac:dyDescent="0.3">
      <c r="A59">
        <f t="shared" ca="1" si="0"/>
        <v>1.5338739758685118</v>
      </c>
      <c r="G59">
        <f t="shared" ca="1" si="1"/>
        <v>-0.18552343901356649</v>
      </c>
      <c r="H59">
        <f t="shared" ca="1" si="2"/>
        <v>3.4418946423420527E-2</v>
      </c>
      <c r="K59">
        <f t="shared" ca="1" si="3"/>
        <v>2.3527693738466762</v>
      </c>
      <c r="AB59">
        <f t="shared" ca="1" si="7"/>
        <v>7.0000000000000007E-2</v>
      </c>
      <c r="AG59">
        <f t="shared" ca="1" si="8"/>
        <v>8.4517943764522596E-2</v>
      </c>
    </row>
    <row r="60" spans="1:37" x14ac:dyDescent="0.3">
      <c r="A60">
        <f t="shared" ca="1" si="0"/>
        <v>1.0341030470905819</v>
      </c>
      <c r="G60">
        <f t="shared" ca="1" si="1"/>
        <v>-0.68529436779149644</v>
      </c>
      <c r="H60">
        <f t="shared" ca="1" si="2"/>
        <v>0.46962837052674677</v>
      </c>
      <c r="K60">
        <f t="shared" ca="1" si="3"/>
        <v>1.0693691120020261</v>
      </c>
      <c r="AB60">
        <f t="shared" ca="1" si="7"/>
        <v>0.06</v>
      </c>
      <c r="AG60">
        <f t="shared" ca="1" si="8"/>
        <v>8.2141156661449832E-2</v>
      </c>
    </row>
    <row r="61" spans="1:37" x14ac:dyDescent="0.3">
      <c r="A61">
        <f t="shared" ca="1" si="0"/>
        <v>1.823152007730062</v>
      </c>
      <c r="G61">
        <f t="shared" ca="1" si="1"/>
        <v>0.10375459284798372</v>
      </c>
      <c r="H61">
        <f t="shared" ca="1" si="2"/>
        <v>1.0765015537050874E-2</v>
      </c>
      <c r="K61">
        <f t="shared" ca="1" si="3"/>
        <v>3.3238832432901559</v>
      </c>
      <c r="AB61">
        <f t="shared" ca="1" si="7"/>
        <v>0.09</v>
      </c>
      <c r="AG61">
        <f t="shared" ca="1" si="8"/>
        <v>7.7188411133452872E-2</v>
      </c>
    </row>
    <row r="62" spans="1:37" x14ac:dyDescent="0.3">
      <c r="A62">
        <f t="shared" ca="1" si="0"/>
        <v>0.44359575475612983</v>
      </c>
      <c r="G62">
        <f t="shared" ca="1" si="1"/>
        <v>-1.2758016601259485</v>
      </c>
      <c r="H62">
        <f t="shared" ca="1" si="2"/>
        <v>1.6276698759801262</v>
      </c>
      <c r="K62">
        <f t="shared" ca="1" si="3"/>
        <v>0.1967771936376605</v>
      </c>
      <c r="AB62">
        <f t="shared" ca="1" si="7"/>
        <v>0.11</v>
      </c>
      <c r="AG62">
        <f t="shared" ca="1" si="8"/>
        <v>7.0333865187183209E-2</v>
      </c>
    </row>
    <row r="63" spans="1:37" x14ac:dyDescent="0.3">
      <c r="A63">
        <f t="shared" ca="1" si="0"/>
        <v>1.8674047782566592</v>
      </c>
      <c r="G63">
        <f t="shared" ca="1" si="1"/>
        <v>0.14800736337458087</v>
      </c>
      <c r="H63">
        <f t="shared" ca="1" si="2"/>
        <v>2.1906179613095222E-2</v>
      </c>
      <c r="K63">
        <f t="shared" ca="1" si="3"/>
        <v>3.4872006058558025</v>
      </c>
      <c r="AB63">
        <f t="shared" ca="1" si="7"/>
        <v>7.0000000000000007E-2</v>
      </c>
      <c r="AG63">
        <f t="shared" ca="1" si="8"/>
        <v>6.2272719772219709E-2</v>
      </c>
    </row>
    <row r="64" spans="1:37" x14ac:dyDescent="0.3">
      <c r="A64">
        <f t="shared" ca="1" si="0"/>
        <v>1.682753744964496</v>
      </c>
      <c r="G64">
        <f t="shared" ca="1" si="1"/>
        <v>-3.6643669917582278E-2</v>
      </c>
      <c r="H64">
        <f t="shared" ca="1" si="2"/>
        <v>1.3427585450287243E-3</v>
      </c>
      <c r="K64">
        <f t="shared" ca="1" si="3"/>
        <v>2.831660166192036</v>
      </c>
      <c r="AB64">
        <f t="shared" ca="1" si="7"/>
        <v>0.05</v>
      </c>
      <c r="AG64">
        <f t="shared" ca="1" si="8"/>
        <v>5.3656850929775568E-2</v>
      </c>
    </row>
    <row r="65" spans="1:37" x14ac:dyDescent="0.3">
      <c r="A65">
        <f t="shared" ca="1" si="0"/>
        <v>3.3808250407802918</v>
      </c>
      <c r="G65">
        <f t="shared" ca="1" si="1"/>
        <v>1.6614276258982135</v>
      </c>
      <c r="H65">
        <f t="shared" ca="1" si="2"/>
        <v>2.7603417560977741</v>
      </c>
      <c r="K65">
        <f t="shared" ca="1" si="3"/>
        <v>11.429977956367061</v>
      </c>
      <c r="AB65">
        <f t="shared" ca="1" si="7"/>
        <v>0.05</v>
      </c>
      <c r="AG65">
        <f t="shared" ca="1" si="8"/>
        <v>4.5046710615358032E-2</v>
      </c>
    </row>
    <row r="66" spans="1:37" x14ac:dyDescent="0.3">
      <c r="A66">
        <f t="shared" ca="1" si="0"/>
        <v>4.1379194054651274</v>
      </c>
      <c r="G66">
        <f t="shared" ca="1" si="1"/>
        <v>2.4185219905830491</v>
      </c>
      <c r="H66">
        <f t="shared" ca="1" si="2"/>
        <v>5.8492486189337942</v>
      </c>
      <c r="K66">
        <f t="shared" ca="1" si="3"/>
        <v>17.122377006124871</v>
      </c>
      <c r="AB66">
        <f t="shared" ca="1" si="7"/>
        <v>0.02</v>
      </c>
      <c r="AG66">
        <f t="shared" ca="1" si="8"/>
        <v>3.6882186795079819E-2</v>
      </c>
    </row>
    <row r="67" spans="1:37" x14ac:dyDescent="0.3">
      <c r="A67">
        <f t="shared" ref="A67:A101" ca="1" si="9">(-LN(1-RAND())/$E$2)^(1/$E$1)</f>
        <v>1.3679076807624944</v>
      </c>
      <c r="G67">
        <f t="shared" ref="G67:G101" ca="1" si="10">A67-$P$1</f>
        <v>-0.35148973411958395</v>
      </c>
      <c r="H67">
        <f t="shared" ref="H67:H101" ca="1" si="11">G67^2</f>
        <v>0.12354503319145582</v>
      </c>
      <c r="K67">
        <f t="shared" ref="K67:K101" ca="1" si="12">A67^$E$1</f>
        <v>1.8711714230890262</v>
      </c>
      <c r="AB67">
        <f t="shared" ca="1" si="7"/>
        <v>0.02</v>
      </c>
      <c r="AG67">
        <f t="shared" ca="1" si="8"/>
        <v>2.94719937228064E-2</v>
      </c>
    </row>
    <row r="68" spans="1:37" x14ac:dyDescent="0.3">
      <c r="A68">
        <f t="shared" ca="1" si="9"/>
        <v>1.2872974388043734</v>
      </c>
      <c r="G68">
        <f t="shared" ca="1" si="10"/>
        <v>-0.43209997607770489</v>
      </c>
      <c r="H68">
        <f t="shared" ca="1" si="11"/>
        <v>0.18671038932635314</v>
      </c>
      <c r="K68">
        <f t="shared" ca="1" si="12"/>
        <v>1.6571346959522995</v>
      </c>
      <c r="AB68">
        <f t="shared" ca="1" si="7"/>
        <v>0.01</v>
      </c>
      <c r="AG68">
        <f t="shared" ca="1" si="8"/>
        <v>2.2998749365128357E-2</v>
      </c>
    </row>
    <row r="69" spans="1:37" x14ac:dyDescent="0.3">
      <c r="A69">
        <f t="shared" ca="1" si="9"/>
        <v>1.7916138388496774</v>
      </c>
      <c r="G69">
        <f t="shared" ca="1" si="10"/>
        <v>7.2216423967599086E-2</v>
      </c>
      <c r="H69">
        <f t="shared" ca="1" si="11"/>
        <v>5.2152118906680194E-3</v>
      </c>
      <c r="K69">
        <f t="shared" ca="1" si="12"/>
        <v>3.2098801475576777</v>
      </c>
      <c r="AB69">
        <f t="shared" ca="1" si="7"/>
        <v>0.03</v>
      </c>
      <c r="AG69">
        <f t="shared" ca="1" si="8"/>
        <v>1.7535444256094324E-2</v>
      </c>
    </row>
    <row r="70" spans="1:37" x14ac:dyDescent="0.3">
      <c r="A70">
        <f t="shared" ca="1" si="9"/>
        <v>0.95597265562809919</v>
      </c>
      <c r="G70">
        <f t="shared" ca="1" si="10"/>
        <v>-0.76342475925397912</v>
      </c>
      <c r="H70">
        <f t="shared" ca="1" si="11"/>
        <v>0.58281736304199594</v>
      </c>
      <c r="K70">
        <f t="shared" ca="1" si="12"/>
        <v>0.91388371830864035</v>
      </c>
      <c r="AB70">
        <f t="shared" ca="1" si="7"/>
        <v>0.01</v>
      </c>
      <c r="AG70">
        <f t="shared" ca="1" si="8"/>
        <v>1.306853768866123E-2</v>
      </c>
    </row>
    <row r="71" spans="1:37" x14ac:dyDescent="0.3">
      <c r="A71">
        <f t="shared" ca="1" si="9"/>
        <v>1.6703585997290407</v>
      </c>
      <c r="G71">
        <f t="shared" ca="1" si="10"/>
        <v>-4.9038815153037651E-2</v>
      </c>
      <c r="H71">
        <f t="shared" ca="1" si="11"/>
        <v>2.4048053916137951E-3</v>
      </c>
      <c r="K71">
        <f t="shared" ca="1" si="12"/>
        <v>2.7900978516887616</v>
      </c>
      <c r="AB71">
        <f t="shared" ca="1" si="7"/>
        <v>0</v>
      </c>
      <c r="AG71">
        <f t="shared" ca="1" si="8"/>
        <v>9.5232718617438428E-3</v>
      </c>
    </row>
    <row r="72" spans="1:37" x14ac:dyDescent="0.3">
      <c r="A72">
        <f t="shared" ca="1" si="9"/>
        <v>2.5029880558178057</v>
      </c>
      <c r="G72">
        <f t="shared" ca="1" si="10"/>
        <v>0.78359064093572739</v>
      </c>
      <c r="H72">
        <f t="shared" ca="1" si="11"/>
        <v>0.61401429256206408</v>
      </c>
      <c r="K72">
        <f t="shared" ca="1" si="12"/>
        <v>6.2649492075665991</v>
      </c>
      <c r="AB72">
        <f t="shared" ca="1" si="7"/>
        <v>0.01</v>
      </c>
      <c r="AG72">
        <f t="shared" ca="1" si="8"/>
        <v>6.7877031407502786E-3</v>
      </c>
    </row>
    <row r="73" spans="1:37" x14ac:dyDescent="0.3">
      <c r="A73">
        <f t="shared" ca="1" si="9"/>
        <v>1.8129679618016532</v>
      </c>
      <c r="G73">
        <f t="shared" ca="1" si="10"/>
        <v>9.3570546919574893E-2</v>
      </c>
      <c r="H73">
        <f t="shared" ca="1" si="11"/>
        <v>8.7554472508283663E-3</v>
      </c>
      <c r="K73">
        <f t="shared" ca="1" si="12"/>
        <v>3.2868528305192406</v>
      </c>
    </row>
    <row r="74" spans="1:37" x14ac:dyDescent="0.3">
      <c r="A74">
        <f t="shared" ca="1" si="9"/>
        <v>0.85643502474335698</v>
      </c>
      <c r="G74">
        <f t="shared" ca="1" si="10"/>
        <v>-0.86296239013872134</v>
      </c>
      <c r="H74">
        <f t="shared" ca="1" si="11"/>
        <v>0.74470408679393474</v>
      </c>
      <c r="K74">
        <f t="shared" ca="1" si="12"/>
        <v>0.73348095160715443</v>
      </c>
    </row>
    <row r="75" spans="1:37" x14ac:dyDescent="0.3">
      <c r="A75">
        <f t="shared" ca="1" si="9"/>
        <v>2.6287922947317601</v>
      </c>
      <c r="G75">
        <f t="shared" ca="1" si="10"/>
        <v>0.90939487984968181</v>
      </c>
      <c r="H75">
        <f t="shared" ca="1" si="11"/>
        <v>0.82699904749681719</v>
      </c>
      <c r="K75">
        <f t="shared" ca="1" si="12"/>
        <v>6.9105489288410729</v>
      </c>
    </row>
    <row r="76" spans="1:37" x14ac:dyDescent="0.3">
      <c r="A76">
        <f t="shared" ca="1" si="9"/>
        <v>0.76208198559556928</v>
      </c>
      <c r="G76">
        <f t="shared" ca="1" si="10"/>
        <v>-0.95731542928650903</v>
      </c>
      <c r="H76">
        <f t="shared" ca="1" si="11"/>
        <v>0.91645283115001308</v>
      </c>
      <c r="K76">
        <f t="shared" ca="1" si="12"/>
        <v>0.58076895276928542</v>
      </c>
      <c r="R76" s="11" t="s">
        <v>51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3">
      <c r="A77">
        <f t="shared" ca="1" si="9"/>
        <v>0.85131169511810845</v>
      </c>
      <c r="G77">
        <f t="shared" ca="1" si="10"/>
        <v>-0.86808571976396987</v>
      </c>
      <c r="H77">
        <f t="shared" ca="1" si="11"/>
        <v>0.7535728168581296</v>
      </c>
      <c r="K77">
        <f t="shared" ca="1" si="12"/>
        <v>0.72473160224486721</v>
      </c>
    </row>
    <row r="78" spans="1:37" x14ac:dyDescent="0.3">
      <c r="A78">
        <f t="shared" ca="1" si="9"/>
        <v>0.83127296789142902</v>
      </c>
      <c r="G78">
        <f t="shared" ca="1" si="10"/>
        <v>-0.8881244469906493</v>
      </c>
      <c r="H78">
        <f t="shared" ca="1" si="11"/>
        <v>0.78876503334244663</v>
      </c>
      <c r="K78">
        <f t="shared" ca="1" si="12"/>
        <v>0.69101474714702482</v>
      </c>
      <c r="R78" s="17" t="s">
        <v>26</v>
      </c>
      <c r="S78" s="16"/>
      <c r="T78" s="16"/>
      <c r="V78" s="17" t="s">
        <v>52</v>
      </c>
      <c r="W78" s="16"/>
      <c r="X78" s="16"/>
      <c r="Z78" s="17" t="s">
        <v>27</v>
      </c>
      <c r="AA78" s="16"/>
      <c r="AB78" s="16"/>
      <c r="AC78" s="16"/>
      <c r="AD78" s="16"/>
    </row>
    <row r="79" spans="1:37" x14ac:dyDescent="0.3">
      <c r="A79">
        <f t="shared" ca="1" si="9"/>
        <v>2.7308446293465298</v>
      </c>
      <c r="G79">
        <f t="shared" ca="1" si="10"/>
        <v>1.0114472144644515</v>
      </c>
      <c r="H79">
        <f t="shared" ca="1" si="11"/>
        <v>1.0230254676478983</v>
      </c>
      <c r="K79">
        <f t="shared" ca="1" si="12"/>
        <v>7.4575123896307858</v>
      </c>
      <c r="R79">
        <v>1</v>
      </c>
      <c r="V79">
        <f t="shared" ref="V79:V88" ca="1" si="13">COUNTIF($A$2:$A$101,"&lt;="&amp;R79)</f>
        <v>19</v>
      </c>
      <c r="Z79">
        <f t="shared" ref="Z79:Z87" si="14">INT((100*_xlfn.WEIBULL.DIST(R79,$E$1,$E$4,TRUE)))</f>
        <v>22</v>
      </c>
    </row>
    <row r="80" spans="1:37" x14ac:dyDescent="0.3">
      <c r="A80">
        <f t="shared" ca="1" si="9"/>
        <v>1.455968500476241</v>
      </c>
      <c r="G80">
        <f t="shared" ca="1" si="10"/>
        <v>-0.26342891440583727</v>
      </c>
      <c r="H80">
        <f t="shared" ca="1" si="11"/>
        <v>6.9394792945037934E-2</v>
      </c>
      <c r="K80">
        <f t="shared" ca="1" si="12"/>
        <v>2.1198442743790338</v>
      </c>
      <c r="R80">
        <f t="shared" ref="R80:R88" si="15">R79+1</f>
        <v>2</v>
      </c>
      <c r="V80">
        <f t="shared" ca="1" si="13"/>
        <v>64</v>
      </c>
      <c r="Z80">
        <f t="shared" si="14"/>
        <v>63</v>
      </c>
    </row>
    <row r="81" spans="1:35" x14ac:dyDescent="0.3">
      <c r="A81">
        <f t="shared" ca="1" si="9"/>
        <v>0.54759467873567269</v>
      </c>
      <c r="G81">
        <f t="shared" ca="1" si="10"/>
        <v>-1.1718027361464056</v>
      </c>
      <c r="H81">
        <f t="shared" ca="1" si="11"/>
        <v>1.3731216524402028</v>
      </c>
      <c r="K81">
        <f t="shared" ca="1" si="12"/>
        <v>0.29985993217962459</v>
      </c>
      <c r="R81">
        <f t="shared" si="15"/>
        <v>3</v>
      </c>
      <c r="V81">
        <f t="shared" ca="1" si="13"/>
        <v>92</v>
      </c>
      <c r="Z81">
        <f t="shared" si="14"/>
        <v>89</v>
      </c>
    </row>
    <row r="82" spans="1:35" x14ac:dyDescent="0.3">
      <c r="A82">
        <f t="shared" ca="1" si="9"/>
        <v>1.3358254333409472</v>
      </c>
      <c r="G82">
        <f t="shared" ca="1" si="10"/>
        <v>-0.38357198154113115</v>
      </c>
      <c r="H82">
        <f t="shared" ca="1" si="11"/>
        <v>0.14712746502338986</v>
      </c>
      <c r="K82">
        <f t="shared" ca="1" si="12"/>
        <v>1.7844295883605292</v>
      </c>
      <c r="R82">
        <f t="shared" si="15"/>
        <v>4</v>
      </c>
      <c r="V82">
        <f t="shared" ca="1" si="13"/>
        <v>99</v>
      </c>
      <c r="Z82">
        <f t="shared" si="14"/>
        <v>98</v>
      </c>
    </row>
    <row r="83" spans="1:35" x14ac:dyDescent="0.3">
      <c r="A83">
        <f t="shared" ca="1" si="9"/>
        <v>2.0541681072918903</v>
      </c>
      <c r="G83">
        <f t="shared" ca="1" si="10"/>
        <v>0.33477069240981194</v>
      </c>
      <c r="H83">
        <f t="shared" ca="1" si="11"/>
        <v>0.11207141649654492</v>
      </c>
      <c r="K83">
        <f t="shared" ca="1" si="12"/>
        <v>4.2196066130151468</v>
      </c>
      <c r="R83">
        <f t="shared" si="15"/>
        <v>5</v>
      </c>
      <c r="V83">
        <f t="shared" ca="1" si="13"/>
        <v>100</v>
      </c>
      <c r="Z83">
        <f t="shared" si="14"/>
        <v>99</v>
      </c>
    </row>
    <row r="84" spans="1:35" x14ac:dyDescent="0.3">
      <c r="A84">
        <f t="shared" ca="1" si="9"/>
        <v>0.47047420210566021</v>
      </c>
      <c r="G84">
        <f t="shared" ca="1" si="10"/>
        <v>-1.248923212776418</v>
      </c>
      <c r="H84">
        <f t="shared" ca="1" si="11"/>
        <v>1.55980919141177</v>
      </c>
      <c r="K84">
        <f t="shared" ca="1" si="12"/>
        <v>0.22134597484695762</v>
      </c>
      <c r="R84">
        <f t="shared" si="15"/>
        <v>6</v>
      </c>
      <c r="V84">
        <f t="shared" ca="1" si="13"/>
        <v>100</v>
      </c>
      <c r="Z84">
        <f t="shared" si="14"/>
        <v>99</v>
      </c>
    </row>
    <row r="85" spans="1:35" x14ac:dyDescent="0.3">
      <c r="A85">
        <f t="shared" ca="1" si="9"/>
        <v>1.1251345317796588</v>
      </c>
      <c r="G85">
        <f t="shared" ca="1" si="10"/>
        <v>-0.59426288310241948</v>
      </c>
      <c r="H85">
        <f t="shared" ca="1" si="11"/>
        <v>0.35314837423319989</v>
      </c>
      <c r="K85">
        <f t="shared" ca="1" si="12"/>
        <v>1.2659277146030321</v>
      </c>
      <c r="R85">
        <f t="shared" si="15"/>
        <v>7</v>
      </c>
      <c r="V85">
        <f t="shared" ca="1" si="13"/>
        <v>100</v>
      </c>
      <c r="Z85">
        <f t="shared" si="14"/>
        <v>99</v>
      </c>
    </row>
    <row r="86" spans="1:35" x14ac:dyDescent="0.3">
      <c r="A86">
        <f t="shared" ca="1" si="9"/>
        <v>0.81447358994007857</v>
      </c>
      <c r="G86">
        <f t="shared" ca="1" si="10"/>
        <v>-0.90492382494199974</v>
      </c>
      <c r="H86">
        <f t="shared" ca="1" si="11"/>
        <v>0.81888712894765903</v>
      </c>
      <c r="K86">
        <f t="shared" ca="1" si="12"/>
        <v>0.6633672287098793</v>
      </c>
      <c r="R86">
        <f t="shared" si="15"/>
        <v>8</v>
      </c>
      <c r="V86">
        <f t="shared" ca="1" si="13"/>
        <v>100</v>
      </c>
      <c r="Z86">
        <f t="shared" si="14"/>
        <v>99</v>
      </c>
    </row>
    <row r="87" spans="1:35" x14ac:dyDescent="0.3">
      <c r="A87">
        <f t="shared" ca="1" si="9"/>
        <v>0.72398589559349413</v>
      </c>
      <c r="G87">
        <f t="shared" ca="1" si="10"/>
        <v>-0.99541151928858418</v>
      </c>
      <c r="H87">
        <f t="shared" ca="1" si="11"/>
        <v>0.99084409273240737</v>
      </c>
      <c r="K87">
        <f t="shared" ca="1" si="12"/>
        <v>0.52415557701831383</v>
      </c>
      <c r="R87">
        <f t="shared" si="15"/>
        <v>9</v>
      </c>
      <c r="V87">
        <f t="shared" ca="1" si="13"/>
        <v>100</v>
      </c>
      <c r="Z87">
        <f t="shared" si="14"/>
        <v>99</v>
      </c>
    </row>
    <row r="88" spans="1:35" x14ac:dyDescent="0.3">
      <c r="A88">
        <f t="shared" ca="1" si="9"/>
        <v>3.2142189623728177</v>
      </c>
      <c r="G88">
        <f t="shared" ca="1" si="10"/>
        <v>1.4948215474907394</v>
      </c>
      <c r="H88">
        <f t="shared" ca="1" si="11"/>
        <v>2.2344914588426086</v>
      </c>
      <c r="K88">
        <f t="shared" ca="1" si="12"/>
        <v>10.331203538076993</v>
      </c>
      <c r="R88">
        <f t="shared" si="15"/>
        <v>10</v>
      </c>
      <c r="V88">
        <f t="shared" ca="1" si="13"/>
        <v>100</v>
      </c>
      <c r="Z88">
        <v>100</v>
      </c>
    </row>
    <row r="89" spans="1:35" x14ac:dyDescent="0.3">
      <c r="A89">
        <f t="shared" ca="1" si="9"/>
        <v>2.1099277766956641</v>
      </c>
      <c r="G89">
        <f t="shared" ca="1" si="10"/>
        <v>0.3905303618135858</v>
      </c>
      <c r="H89">
        <f t="shared" ca="1" si="11"/>
        <v>0.15251396349825025</v>
      </c>
      <c r="K89">
        <f t="shared" ca="1" si="12"/>
        <v>4.4517952228719082</v>
      </c>
      <c r="U89" s="25"/>
      <c r="Y89" s="25"/>
      <c r="Z89" s="25"/>
    </row>
    <row r="90" spans="1:35" x14ac:dyDescent="0.3">
      <c r="A90">
        <f t="shared" ca="1" si="9"/>
        <v>3.6203589047224192</v>
      </c>
      <c r="G90">
        <f t="shared" ca="1" si="10"/>
        <v>1.9009614898403409</v>
      </c>
      <c r="H90">
        <f t="shared" ca="1" si="11"/>
        <v>3.6136545858560085</v>
      </c>
      <c r="K90">
        <f t="shared" ca="1" si="12"/>
        <v>13.106998599002914</v>
      </c>
      <c r="Y90" s="28"/>
      <c r="Z90" s="29"/>
      <c r="AC90" s="22" t="s">
        <v>29</v>
      </c>
      <c r="AD90" s="23"/>
      <c r="AE90" s="26"/>
      <c r="AF90" s="27"/>
      <c r="AG90" s="20" t="s">
        <v>30</v>
      </c>
      <c r="AH90" s="20"/>
      <c r="AI90" s="20"/>
    </row>
    <row r="91" spans="1:35" x14ac:dyDescent="0.3">
      <c r="A91">
        <f t="shared" ca="1" si="9"/>
        <v>1.8091740517302535</v>
      </c>
      <c r="G91">
        <f t="shared" ca="1" si="10"/>
        <v>8.9776636848175162E-2</v>
      </c>
      <c r="H91">
        <f t="shared" ca="1" si="11"/>
        <v>8.0598445237691219E-3</v>
      </c>
      <c r="K91">
        <f t="shared" ca="1" si="12"/>
        <v>3.2731107494540619</v>
      </c>
      <c r="AC91">
        <f ca="1">V79/100</f>
        <v>0.19</v>
      </c>
      <c r="AG91">
        <f>_xlfn.WEIBULL.DIST(R79,$E$1,$E$4,TRUE)</f>
        <v>0.22119921692859512</v>
      </c>
    </row>
    <row r="92" spans="1:35" x14ac:dyDescent="0.3">
      <c r="A92">
        <f t="shared" ca="1" si="9"/>
        <v>1.0230693734866572</v>
      </c>
      <c r="G92">
        <f t="shared" ca="1" si="10"/>
        <v>-0.69632804139542115</v>
      </c>
      <c r="H92">
        <f t="shared" ca="1" si="11"/>
        <v>0.48487274123358337</v>
      </c>
      <c r="K92">
        <f t="shared" ca="1" si="12"/>
        <v>1.0466709429663812</v>
      </c>
      <c r="AC92">
        <f t="shared" ref="AC92:AC100" ca="1" si="16">(V80-V79)/100</f>
        <v>0.45</v>
      </c>
      <c r="AG92">
        <f t="shared" ref="AG92:AG100" si="17">_xlfn.WEIBULL.DIST(R80,$E$1,$E$4,TRUE)-_xlfn.WEIBULL.DIST(R79,$E$1,$E$4,TRUE)</f>
        <v>0.41092134189996254</v>
      </c>
    </row>
    <row r="93" spans="1:35" x14ac:dyDescent="0.3">
      <c r="A93">
        <f t="shared" ca="1" si="9"/>
        <v>2.1896360366647802</v>
      </c>
      <c r="G93">
        <f t="shared" ca="1" si="10"/>
        <v>0.47023862178270193</v>
      </c>
      <c r="H93">
        <f t="shared" ca="1" si="11"/>
        <v>0.22112436141609498</v>
      </c>
      <c r="K93">
        <f t="shared" ca="1" si="12"/>
        <v>4.7945059730610469</v>
      </c>
      <c r="AC93">
        <f t="shared" ca="1" si="16"/>
        <v>0.28000000000000003</v>
      </c>
      <c r="AG93">
        <f t="shared" si="17"/>
        <v>0.26248021660957799</v>
      </c>
    </row>
    <row r="94" spans="1:35" x14ac:dyDescent="0.3">
      <c r="A94">
        <f t="shared" ca="1" si="9"/>
        <v>1.9669708598271771</v>
      </c>
      <c r="G94">
        <f t="shared" ca="1" si="10"/>
        <v>0.24757344494509881</v>
      </c>
      <c r="H94">
        <f t="shared" ca="1" si="11"/>
        <v>6.1292610641983873E-2</v>
      </c>
      <c r="K94">
        <f t="shared" ca="1" si="12"/>
        <v>3.8689743634092646</v>
      </c>
      <c r="AC94">
        <f t="shared" ca="1" si="16"/>
        <v>7.0000000000000007E-2</v>
      </c>
      <c r="AG94">
        <f t="shared" si="17"/>
        <v>8.7083585673130126E-2</v>
      </c>
    </row>
    <row r="95" spans="1:35" x14ac:dyDescent="0.3">
      <c r="A95">
        <f t="shared" ca="1" si="9"/>
        <v>3.1010604341343746</v>
      </c>
      <c r="G95">
        <f t="shared" ca="1" si="10"/>
        <v>1.3816630192522963</v>
      </c>
      <c r="H95">
        <f t="shared" ca="1" si="11"/>
        <v>1.9089926987693713</v>
      </c>
      <c r="K95">
        <f t="shared" ca="1" si="12"/>
        <v>9.6165758161536754</v>
      </c>
      <c r="AC95">
        <f t="shared" ca="1" si="16"/>
        <v>0.01</v>
      </c>
      <c r="AG95">
        <f t="shared" si="17"/>
        <v>1.6385184752506499E-2</v>
      </c>
    </row>
    <row r="96" spans="1:35" x14ac:dyDescent="0.3">
      <c r="A96">
        <f t="shared" ca="1" si="9"/>
        <v>2.499600067470376</v>
      </c>
      <c r="G96">
        <f t="shared" ca="1" si="10"/>
        <v>0.78020265258829768</v>
      </c>
      <c r="H96">
        <f t="shared" ca="1" si="11"/>
        <v>0.60871617910581588</v>
      </c>
      <c r="K96">
        <f t="shared" ca="1" si="12"/>
        <v>6.248000497297908</v>
      </c>
      <c r="AC96">
        <f t="shared" ca="1" si="16"/>
        <v>0</v>
      </c>
      <c r="AG96">
        <f t="shared" si="17"/>
        <v>1.8070443321410723E-3</v>
      </c>
    </row>
    <row r="97" spans="1:33" x14ac:dyDescent="0.3">
      <c r="A97">
        <f t="shared" ca="1" si="9"/>
        <v>1.8170285893909748</v>
      </c>
      <c r="G97">
        <f t="shared" ca="1" si="10"/>
        <v>9.7631174508896468E-2</v>
      </c>
      <c r="H97">
        <f t="shared" ca="1" si="11"/>
        <v>9.5318462359865949E-3</v>
      </c>
      <c r="K97">
        <f t="shared" ca="1" si="12"/>
        <v>3.3015928946641555</v>
      </c>
      <c r="AC97">
        <f t="shared" ca="1" si="16"/>
        <v>0</v>
      </c>
      <c r="AG97">
        <f t="shared" si="17"/>
        <v>1.1862468669454618E-4</v>
      </c>
    </row>
    <row r="98" spans="1:33" x14ac:dyDescent="0.3">
      <c r="A98">
        <f t="shared" ca="1" si="9"/>
        <v>2.3416540816866798</v>
      </c>
      <c r="G98">
        <f t="shared" ca="1" si="10"/>
        <v>0.62225666680460145</v>
      </c>
      <c r="H98">
        <f t="shared" ca="1" si="11"/>
        <v>0.38720335938277278</v>
      </c>
      <c r="K98">
        <f t="shared" ca="1" si="12"/>
        <v>5.4833438382798878</v>
      </c>
      <c r="AC98">
        <f t="shared" ca="1" si="16"/>
        <v>0</v>
      </c>
      <c r="AG98">
        <f t="shared" si="17"/>
        <v>4.6725822173687703E-6</v>
      </c>
    </row>
    <row r="99" spans="1:33" x14ac:dyDescent="0.3">
      <c r="A99">
        <f t="shared" ca="1" si="9"/>
        <v>2.0953094686413363</v>
      </c>
      <c r="G99">
        <f t="shared" ca="1" si="10"/>
        <v>0.37591205375925796</v>
      </c>
      <c r="H99">
        <f t="shared" ca="1" si="11"/>
        <v>0.14130987216150326</v>
      </c>
      <c r="K99">
        <f t="shared" ca="1" si="12"/>
        <v>4.3903217693780388</v>
      </c>
      <c r="AC99">
        <f t="shared" ca="1" si="16"/>
        <v>0</v>
      </c>
      <c r="AG99">
        <f t="shared" si="17"/>
        <v>1.1092994667283307E-7</v>
      </c>
    </row>
    <row r="100" spans="1:33" x14ac:dyDescent="0.3">
      <c r="A100">
        <f t="shared" ca="1" si="9"/>
        <v>1.3428790238441162</v>
      </c>
      <c r="G100">
        <f t="shared" ca="1" si="10"/>
        <v>-0.37651839103796214</v>
      </c>
      <c r="H100">
        <f t="shared" ca="1" si="11"/>
        <v>0.14176609878981578</v>
      </c>
      <c r="K100">
        <f t="shared" ca="1" si="12"/>
        <v>1.8033240726805264</v>
      </c>
      <c r="AC100">
        <f t="shared" ca="1" si="16"/>
        <v>0</v>
      </c>
      <c r="AG100">
        <f t="shared" si="17"/>
        <v>1.5913401707479125E-9</v>
      </c>
    </row>
    <row r="101" spans="1:33" x14ac:dyDescent="0.3">
      <c r="A101">
        <f t="shared" ca="1" si="9"/>
        <v>1.3054147163193468</v>
      </c>
      <c r="G101">
        <f t="shared" ca="1" si="10"/>
        <v>-0.41398269856273151</v>
      </c>
      <c r="H101">
        <f t="shared" ca="1" si="11"/>
        <v>0.17138167470928142</v>
      </c>
      <c r="K101">
        <f t="shared" ca="1" si="12"/>
        <v>1.7041075815831206</v>
      </c>
    </row>
    <row r="104" spans="1:33" x14ac:dyDescent="0.3">
      <c r="R104" s="4"/>
    </row>
  </sheetData>
  <conditionalFormatting sqref="U26">
    <cfRule type="cellIs" dxfId="68" priority="1" operator="lessThan">
      <formula>$E$2-$S$26</formula>
    </cfRule>
    <cfRule type="cellIs" dxfId="67" priority="2" operator="greaterThan">
      <formula>$E$2+$S$26</formula>
    </cfRule>
    <cfRule type="cellIs" dxfId="66" priority="3" operator="between">
      <formula>$E$2-$S$26</formula>
      <formula>$E$2+$S$26</formula>
    </cfRule>
  </conditionalFormatting>
  <conditionalFormatting sqref="W17">
    <cfRule type="cellIs" dxfId="65" priority="7" operator="between">
      <formula>$V$15</formula>
      <formula>$X$15</formula>
    </cfRule>
    <cfRule type="cellIs" dxfId="64" priority="8" operator="lessThan">
      <formula>$V$15</formula>
    </cfRule>
    <cfRule type="cellIs" dxfId="63" priority="9" operator="greaterThan">
      <formula>$X$15</formula>
    </cfRule>
  </conditionalFormatting>
  <conditionalFormatting sqref="AE13">
    <cfRule type="cellIs" dxfId="62" priority="4" operator="between">
      <formula>$AD$11</formula>
      <formula>$AF$11</formula>
    </cfRule>
    <cfRule type="cellIs" dxfId="61" priority="5" operator="lessThan">
      <formula>$AD$11</formula>
    </cfRule>
    <cfRule type="cellIs" dxfId="60" priority="6" operator="greaterThan">
      <formula>$AF$11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30DF-1F50-4043-8E86-1F301FB6386F}">
  <dimension ref="A1:AJ151"/>
  <sheetViews>
    <sheetView topLeftCell="A43" zoomScale="79" zoomScaleNormal="100" workbookViewId="0">
      <selection activeCell="B87" sqref="B87"/>
    </sheetView>
  </sheetViews>
  <sheetFormatPr defaultRowHeight="14.4" x14ac:dyDescent="0.3"/>
  <cols>
    <col min="1" max="1" width="10.109375" customWidth="1"/>
    <col min="4" max="4" width="11.44140625" customWidth="1"/>
    <col min="5" max="5" width="10" customWidth="1"/>
    <col min="7" max="7" width="16.5546875" customWidth="1"/>
    <col min="8" max="8" width="13.88671875" customWidth="1"/>
    <col min="14" max="14" width="9.5546875" bestFit="1" customWidth="1"/>
    <col min="18" max="18" width="12.6640625" customWidth="1"/>
    <col min="24" max="24" width="17.88671875" customWidth="1"/>
  </cols>
  <sheetData>
    <row r="1" spans="1:36" x14ac:dyDescent="0.3">
      <c r="A1" s="11" t="s">
        <v>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3" spans="1:36" x14ac:dyDescent="0.3">
      <c r="A3" s="17" t="s">
        <v>57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R3" s="17" t="s">
        <v>58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5" spans="1:36" x14ac:dyDescent="0.3">
      <c r="C5" s="30" t="s">
        <v>53</v>
      </c>
      <c r="D5">
        <f>1/10</f>
        <v>0.1</v>
      </c>
      <c r="F5" s="30" t="s">
        <v>68</v>
      </c>
      <c r="G5">
        <f>100*D5</f>
        <v>10</v>
      </c>
      <c r="R5" s="34" t="s">
        <v>55</v>
      </c>
      <c r="S5">
        <v>10</v>
      </c>
    </row>
    <row r="7" spans="1:36" x14ac:dyDescent="0.3">
      <c r="R7" s="34" t="s">
        <v>56</v>
      </c>
      <c r="S7" s="33"/>
      <c r="T7">
        <f ca="1">Normale!S40</f>
        <v>-4.4848482127050371</v>
      </c>
      <c r="V7" s="34" t="s">
        <v>24</v>
      </c>
      <c r="W7" s="33"/>
      <c r="X7">
        <f ca="1">(T8-T7)/S5</f>
        <v>2.9209146109857933</v>
      </c>
    </row>
    <row r="8" spans="1:36" x14ac:dyDescent="0.3">
      <c r="R8" s="34" t="s">
        <v>23</v>
      </c>
      <c r="S8" s="33"/>
      <c r="T8">
        <f ca="1">Normale!S41</f>
        <v>24.724297897152894</v>
      </c>
    </row>
    <row r="11" spans="1:36" x14ac:dyDescent="0.3">
      <c r="A11" s="17" t="s">
        <v>25</v>
      </c>
      <c r="B11" s="17"/>
      <c r="C11" s="16"/>
      <c r="D11" s="16"/>
      <c r="F11" s="17" t="s">
        <v>52</v>
      </c>
      <c r="G11" s="16"/>
      <c r="H11" s="16"/>
      <c r="J11" s="22" t="s">
        <v>29</v>
      </c>
      <c r="K11" s="23"/>
      <c r="L11" s="23"/>
      <c r="N11" s="31" t="s">
        <v>30</v>
      </c>
      <c r="O11" s="32"/>
      <c r="P11" s="32"/>
      <c r="R11" s="17" t="s">
        <v>25</v>
      </c>
      <c r="S11" s="16"/>
      <c r="T11" s="16"/>
      <c r="V11" s="17" t="s">
        <v>52</v>
      </c>
      <c r="W11" s="16"/>
      <c r="X11" s="16"/>
      <c r="Y11" s="16"/>
      <c r="AA11" s="22" t="s">
        <v>29</v>
      </c>
      <c r="AB11" s="23"/>
      <c r="AC11" s="23"/>
      <c r="AE11" s="31" t="s">
        <v>30</v>
      </c>
      <c r="AF11" s="32"/>
      <c r="AG11" s="32"/>
      <c r="AI11" s="17" t="s">
        <v>69</v>
      </c>
      <c r="AJ11" s="16"/>
    </row>
    <row r="13" spans="1:36" x14ac:dyDescent="0.3">
      <c r="A13">
        <v>1</v>
      </c>
      <c r="B13">
        <f>_xlfn.NORM.INV($D$5*A13,Normale!$D$1,Normale!$D$3)</f>
        <v>4.2687271655419909</v>
      </c>
      <c r="F13">
        <f ca="1">COUNTIF(Normale!$F$2:$F$101,"&lt;="&amp;'Test sulla forma per Normale'!B13)</f>
        <v>11</v>
      </c>
      <c r="J13">
        <f ca="1">F13/100</f>
        <v>0.11</v>
      </c>
      <c r="N13">
        <f>_xlfn.NORM.DIST(B13,Normale!$D$1,Normale!$D$3,TRUE)</f>
        <v>9.9999999999999978E-2</v>
      </c>
      <c r="R13">
        <f ca="1">T7+X7</f>
        <v>-1.5639336017192438</v>
      </c>
      <c r="V13">
        <f ca="1">COUNTIF(Normale!$F$2:$F$101,"&lt;="&amp;R13)</f>
        <v>1</v>
      </c>
      <c r="AA13">
        <f ca="1">V13/100</f>
        <v>0.01</v>
      </c>
      <c r="AE13">
        <f ca="1">_xlfn.NORM.DIST(R13,Normale!$D$1,Normale!$D$3,TRUE)-_xlfn.NORM.DIST(T7,Normale!$D$1,Normale!$D$3,TRUE)</f>
        <v>4.258092369506224E-3</v>
      </c>
      <c r="AI13">
        <f ca="1">100*AE13</f>
        <v>0.42580923695062239</v>
      </c>
    </row>
    <row r="14" spans="1:36" x14ac:dyDescent="0.3">
      <c r="A14">
        <f>A13+1</f>
        <v>2</v>
      </c>
      <c r="B14">
        <f>_xlfn.NORM.INV($D$5*A14,Normale!$D$1,Normale!$D$3)</f>
        <v>6.2361554208474699</v>
      </c>
      <c r="F14">
        <f ca="1">COUNTIF(Normale!$F$2:$F$101,"&lt;="&amp;'Test sulla forma per Normale'!B14)</f>
        <v>24</v>
      </c>
      <c r="J14">
        <f ca="1">(F14-F13)/100</f>
        <v>0.13</v>
      </c>
      <c r="N14">
        <f>_xlfn.NORM.DIST(B14,Normale!$D$1,Normale!$D$3,TRUE)-_xlfn.NORM.DIST(B13,Normale!$D$1,Normale!$D$3,TRUE)</f>
        <v>9.9999999999999922E-2</v>
      </c>
      <c r="R14">
        <f ca="1">R13+$X$7</f>
        <v>1.3569810092665495</v>
      </c>
      <c r="V14">
        <f ca="1">COUNTIF(Normale!$F$2:$F$101,"&lt;="&amp;R14)</f>
        <v>3</v>
      </c>
      <c r="AA14">
        <f ca="1">(V14-V13)/100</f>
        <v>0.02</v>
      </c>
      <c r="AE14">
        <f ca="1">_xlfn.NORM.DIST(R14,Normale!$D$1,Normale!$D$3,TRUE)-_xlfn.NORM.DIST(R13,Normale!$D$1,Normale!$D$3,TRUE)</f>
        <v>2.1782387858390095E-2</v>
      </c>
      <c r="AI14">
        <f t="shared" ref="AI14:AI22" ca="1" si="0">100*AE14</f>
        <v>2.1782387858390093</v>
      </c>
    </row>
    <row r="15" spans="1:36" x14ac:dyDescent="0.3">
      <c r="A15">
        <f t="shared" ref="A15:A22" si="1">A14+1</f>
        <v>3</v>
      </c>
      <c r="B15">
        <f>_xlfn.NORM.INV($D$5*A15,Normale!$D$1,Normale!$D$3)</f>
        <v>7.6548096122981573</v>
      </c>
      <c r="F15">
        <f ca="1">COUNTIF(Normale!$F$2:$F$101,"&lt;="&amp;'Test sulla forma per Normale'!B15)</f>
        <v>36</v>
      </c>
      <c r="J15">
        <f t="shared" ref="J15:J22" ca="1" si="2">(F15-F14)/100</f>
        <v>0.12</v>
      </c>
      <c r="N15">
        <f>_xlfn.NORM.DIST(B15,Normale!$D$1,Normale!$D$3,TRUE)-_xlfn.NORM.DIST(B14,Normale!$D$1,Normale!$D$3,TRUE)</f>
        <v>0.10000000000000009</v>
      </c>
      <c r="R15">
        <f t="shared" ref="R15:R22" ca="1" si="3">R14+$X$7</f>
        <v>4.2778956202523428</v>
      </c>
      <c r="V15">
        <f ca="1">COUNTIF(Normale!$F$2:$F$101,"&lt;="&amp;R15)</f>
        <v>11</v>
      </c>
      <c r="AA15">
        <f t="shared" ref="AA15:AA22" ca="1" si="4">(V15-V14)/100</f>
        <v>0.08</v>
      </c>
      <c r="AE15">
        <f ca="1">_xlfn.NORM.DIST(R15,Normale!$D$1,Normale!$D$3,TRUE)-_xlfn.NORM.DIST(R14,Normale!$D$1,Normale!$D$3,TRUE)</f>
        <v>7.3719850729319206E-2</v>
      </c>
      <c r="AI15">
        <f t="shared" ca="1" si="0"/>
        <v>7.3719850729319205</v>
      </c>
    </row>
    <row r="16" spans="1:36" x14ac:dyDescent="0.3">
      <c r="A16">
        <f t="shared" si="1"/>
        <v>4</v>
      </c>
      <c r="B16">
        <f>_xlfn.NORM.INV($D$5*A16,Normale!$D$1,Normale!$D$3)</f>
        <v>8.8669973109714029</v>
      </c>
      <c r="F16">
        <f ca="1">COUNTIF(Normale!$F$2:$F$101,"&lt;="&amp;'Test sulla forma per Normale'!B16)</f>
        <v>46</v>
      </c>
      <c r="J16">
        <f t="shared" ca="1" si="2"/>
        <v>0.1</v>
      </c>
      <c r="N16">
        <f>_xlfn.NORM.DIST(B16,Normale!$D$1,Normale!$D$3,TRUE)-_xlfn.NORM.DIST(B15,Normale!$D$1,Normale!$D$3,TRUE)</f>
        <v>9.9999999999999978E-2</v>
      </c>
      <c r="R16">
        <f t="shared" ca="1" si="3"/>
        <v>7.1988102312381361</v>
      </c>
      <c r="V16">
        <f ca="1">COUNTIF(Normale!$F$2:$F$101,"&lt;="&amp;R16)</f>
        <v>30</v>
      </c>
      <c r="AA16">
        <f t="shared" ca="1" si="4"/>
        <v>0.19</v>
      </c>
      <c r="AE16">
        <f ca="1">_xlfn.NORM.DIST(R16,Normale!$D$1,Normale!$D$3,TRUE)-_xlfn.NORM.DIST(R15,Normale!$D$1,Normale!$D$3,TRUE)</f>
        <v>0.16517748919740705</v>
      </c>
      <c r="AI16">
        <f t="shared" ca="1" si="0"/>
        <v>16.517748919740704</v>
      </c>
    </row>
    <row r="17" spans="1:35" x14ac:dyDescent="0.3">
      <c r="A17">
        <f t="shared" si="1"/>
        <v>5</v>
      </c>
      <c r="B17">
        <f>_xlfn.NORM.INV($D$5*A17,Normale!$D$1,Normale!$D$3)</f>
        <v>10</v>
      </c>
      <c r="F17">
        <f ca="1">COUNTIF(Normale!$F$2:$F$101,"&lt;="&amp;'Test sulla forma per Normale'!B17)</f>
        <v>59</v>
      </c>
      <c r="J17">
        <f t="shared" ca="1" si="2"/>
        <v>0.13</v>
      </c>
      <c r="N17">
        <f>_xlfn.NORM.DIST(B17,Normale!$D$1,Normale!$D$3,TRUE)-_xlfn.NORM.DIST(B16,Normale!$D$1,Normale!$D$3,TRUE)</f>
        <v>0.10000000000000003</v>
      </c>
      <c r="R17">
        <f t="shared" ca="1" si="3"/>
        <v>10.119724842223929</v>
      </c>
      <c r="V17">
        <f ca="1">COUNTIF(Normale!$F$2:$F$101,"&lt;="&amp;R17)</f>
        <v>60</v>
      </c>
      <c r="AA17">
        <f t="shared" ca="1" si="4"/>
        <v>0.3</v>
      </c>
      <c r="AE17">
        <f ca="1">_xlfn.NORM.DIST(R17,Normale!$D$1,Normale!$D$3,TRUE)-_xlfn.NORM.DIST(R16,Normale!$D$1,Normale!$D$3,TRUE)</f>
        <v>0.24514116710446304</v>
      </c>
      <c r="AI17">
        <f t="shared" ca="1" si="0"/>
        <v>24.514116710446306</v>
      </c>
    </row>
    <row r="18" spans="1:35" x14ac:dyDescent="0.3">
      <c r="A18">
        <f t="shared" si="1"/>
        <v>6</v>
      </c>
      <c r="B18">
        <f>_xlfn.NORM.INV($D$5*A18,Normale!$D$1,Normale!$D$3)</f>
        <v>11.133002689028599</v>
      </c>
      <c r="F18">
        <f ca="1">COUNTIF(Normale!$F$2:$F$101,"&lt;="&amp;'Test sulla forma per Normale'!B18)</f>
        <v>69</v>
      </c>
      <c r="J18">
        <f t="shared" ca="1" si="2"/>
        <v>0.1</v>
      </c>
      <c r="N18">
        <f>_xlfn.NORM.DIST(B18,Normale!$D$1,Normale!$D$3,TRUE)-_xlfn.NORM.DIST(B17,Normale!$D$1,Normale!$D$3,TRUE)</f>
        <v>0.1000000000000002</v>
      </c>
      <c r="R18">
        <f t="shared" ca="1" si="3"/>
        <v>13.040639453209723</v>
      </c>
      <c r="V18">
        <f ca="1">COUNTIF(Normale!$F$2:$F$101,"&lt;="&amp;R18)</f>
        <v>85</v>
      </c>
      <c r="AA18">
        <f t="shared" ca="1" si="4"/>
        <v>0.25</v>
      </c>
      <c r="AE18">
        <f ca="1">_xlfn.NORM.DIST(R18,Normale!$D$1,Normale!$D$3,TRUE)-_xlfn.NORM.DIST(R17,Normale!$D$1,Normale!$D$3,TRUE)</f>
        <v>0.24103960836769245</v>
      </c>
      <c r="AI18">
        <f t="shared" ca="1" si="0"/>
        <v>24.103960836769247</v>
      </c>
    </row>
    <row r="19" spans="1:35" x14ac:dyDescent="0.3">
      <c r="A19">
        <f t="shared" si="1"/>
        <v>7</v>
      </c>
      <c r="B19">
        <f>_xlfn.NORM.INV($D$5*A19,Normale!$D$1,Normale!$D$3)</f>
        <v>12.345190387701845</v>
      </c>
      <c r="F19">
        <f ca="1">COUNTIF(Normale!$F$2:$F$101,"&lt;="&amp;'Test sulla forma per Normale'!B19)</f>
        <v>76</v>
      </c>
      <c r="J19">
        <f t="shared" ca="1" si="2"/>
        <v>7.0000000000000007E-2</v>
      </c>
      <c r="N19">
        <f>_xlfn.NORM.DIST(B19,Normale!$D$1,Normale!$D$3,TRUE)-_xlfn.NORM.DIST(B18,Normale!$D$1,Normale!$D$3,TRUE)</f>
        <v>9.9999999999999978E-2</v>
      </c>
      <c r="R19">
        <f t="shared" ca="1" si="3"/>
        <v>15.961554064195516</v>
      </c>
      <c r="V19">
        <f ca="1">COUNTIF(Normale!$F$2:$F$101,"&lt;="&amp;R19)</f>
        <v>96</v>
      </c>
      <c r="AA19">
        <f t="shared" ca="1" si="4"/>
        <v>0.11</v>
      </c>
      <c r="AE19">
        <f ca="1">_xlfn.NORM.DIST(R19,Normale!$D$1,Normale!$D$3,TRUE)-_xlfn.NORM.DIST(R18,Normale!$D$1,Normale!$D$3,TRUE)</f>
        <v>0.15702278815327908</v>
      </c>
      <c r="AI19">
        <f t="shared" ca="1" si="0"/>
        <v>15.702278815327908</v>
      </c>
    </row>
    <row r="20" spans="1:35" x14ac:dyDescent="0.3">
      <c r="A20">
        <f t="shared" si="1"/>
        <v>8</v>
      </c>
      <c r="B20">
        <f>_xlfn.NORM.INV($D$5*A20,Normale!$D$1,Normale!$D$3)</f>
        <v>13.763844579152531</v>
      </c>
      <c r="F20">
        <f ca="1">COUNTIF(Normale!$F$2:$F$101,"&lt;="&amp;'Test sulla forma per Normale'!B20)</f>
        <v>88</v>
      </c>
      <c r="J20">
        <f t="shared" ca="1" si="2"/>
        <v>0.12</v>
      </c>
      <c r="N20">
        <f>_xlfn.NORM.DIST(B20,Normale!$D$1,Normale!$D$3,TRUE)-_xlfn.NORM.DIST(B19,Normale!$D$1,Normale!$D$3,TRUE)</f>
        <v>9.9999999999999978E-2</v>
      </c>
      <c r="R20">
        <f t="shared" ca="1" si="3"/>
        <v>18.882468675181308</v>
      </c>
      <c r="V20">
        <f ca="1">COUNTIF(Normale!$F$2:$F$101,"&lt;="&amp;R20)</f>
        <v>96</v>
      </c>
      <c r="AA20">
        <f t="shared" ca="1" si="4"/>
        <v>0</v>
      </c>
      <c r="AE20">
        <f ca="1">_xlfn.NORM.DIST(R20,Normale!$D$1,Normale!$D$3,TRUE)-_xlfn.NORM.DIST(R19,Normale!$D$1,Normale!$D$3,TRUE)</f>
        <v>6.7752030690948595E-2</v>
      </c>
      <c r="AI20">
        <f t="shared" ca="1" si="0"/>
        <v>6.775203069094859</v>
      </c>
    </row>
    <row r="21" spans="1:35" x14ac:dyDescent="0.3">
      <c r="A21">
        <f t="shared" si="1"/>
        <v>9</v>
      </c>
      <c r="B21">
        <f>_xlfn.NORM.INV($D$5*A21,Normale!$D$1,Normale!$D$3)</f>
        <v>15.731272834458009</v>
      </c>
      <c r="F21">
        <f ca="1">COUNTIF(Normale!$F$2:$F$101,"&lt;="&amp;'Test sulla forma per Normale'!B21)</f>
        <v>94</v>
      </c>
      <c r="J21">
        <f t="shared" ca="1" si="2"/>
        <v>0.06</v>
      </c>
      <c r="N21">
        <f>_xlfn.NORM.DIST(B21,Normale!$D$1,Normale!$D$3,TRUE)-_xlfn.NORM.DIST(B20,Normale!$D$1,Normale!$D$3,TRUE)</f>
        <v>9.9999999999999867E-2</v>
      </c>
      <c r="R21">
        <f t="shared" ca="1" si="3"/>
        <v>21.803383286167101</v>
      </c>
      <c r="V21">
        <f ca="1">COUNTIF(Normale!$F$2:$F$101,"&lt;="&amp;R21)</f>
        <v>99</v>
      </c>
      <c r="AA21">
        <f t="shared" ca="1" si="4"/>
        <v>0.03</v>
      </c>
      <c r="AE21">
        <f ca="1">_xlfn.NORM.DIST(R21,Normale!$D$1,Normale!$D$3,TRUE)-_xlfn.NORM.DIST(R20,Normale!$D$1,Normale!$D$3,TRUE)</f>
        <v>1.9352983263885903E-2</v>
      </c>
      <c r="AI21">
        <f t="shared" ca="1" si="0"/>
        <v>1.9352983263885903</v>
      </c>
    </row>
    <row r="22" spans="1:35" x14ac:dyDescent="0.3">
      <c r="A22">
        <f t="shared" si="1"/>
        <v>10</v>
      </c>
      <c r="B22" t="s">
        <v>54</v>
      </c>
      <c r="F22">
        <v>100</v>
      </c>
      <c r="J22">
        <f t="shared" ca="1" si="2"/>
        <v>0.06</v>
      </c>
      <c r="N22">
        <f>1-_xlfn.NORM.DIST(B21,Normale!$D$1,Normale!$D$3,TRUE)</f>
        <v>9.9999999999999978E-2</v>
      </c>
      <c r="R22">
        <f t="shared" ca="1" si="3"/>
        <v>24.724297897152894</v>
      </c>
      <c r="V22">
        <f ca="1">COUNTIF(Normale!$F$2:$F$101,"&lt;="&amp;R22)</f>
        <v>100</v>
      </c>
      <c r="AA22">
        <f t="shared" ca="1" si="4"/>
        <v>0.01</v>
      </c>
      <c r="AE22">
        <f ca="1">_xlfn.NORM.DIST(R22,Normale!$D$1,Normale!$D$3,TRUE)-_xlfn.NORM.DIST(R21,Normale!$D$1,Normale!$D$3,TRUE)</f>
        <v>3.6570789216637811E-3</v>
      </c>
      <c r="AI22">
        <f t="shared" ca="1" si="0"/>
        <v>0.36570789216637811</v>
      </c>
    </row>
    <row r="46" spans="1:36" x14ac:dyDescent="0.3">
      <c r="Q46" s="25"/>
    </row>
    <row r="47" spans="1:36" x14ac:dyDescent="0.3">
      <c r="A47" s="37" t="s">
        <v>60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8"/>
      <c r="Q47" s="39"/>
      <c r="R47" s="37" t="s">
        <v>60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9" spans="1:30" x14ac:dyDescent="0.3">
      <c r="A49" s="35" t="s">
        <v>59</v>
      </c>
      <c r="B49">
        <v>0.05</v>
      </c>
      <c r="E49" s="17" t="s">
        <v>61</v>
      </c>
      <c r="F49" s="16"/>
      <c r="G49" s="16"/>
      <c r="H49" s="16"/>
      <c r="J49" s="17" t="s">
        <v>62</v>
      </c>
      <c r="K49" s="16"/>
      <c r="L49" s="16"/>
      <c r="R49" s="35" t="s">
        <v>59</v>
      </c>
      <c r="S49">
        <v>0.05</v>
      </c>
      <c r="V49" s="17" t="s">
        <v>63</v>
      </c>
      <c r="W49" s="16"/>
      <c r="X49" s="16"/>
      <c r="Y49" s="16"/>
      <c r="Z49" s="16"/>
      <c r="AB49" s="17" t="s">
        <v>62</v>
      </c>
      <c r="AC49" s="16"/>
      <c r="AD49" s="16"/>
    </row>
    <row r="51" spans="1:30" x14ac:dyDescent="0.3">
      <c r="C51">
        <f>_xlfn.CHISQ.INV(1-B49,9)</f>
        <v>16.918977604620448</v>
      </c>
      <c r="E51">
        <f ca="1">F13</f>
        <v>11</v>
      </c>
      <c r="J51">
        <f ca="1">((E51-100*$D$5)^2)/(100*$D$5)</f>
        <v>0.1</v>
      </c>
      <c r="V51">
        <f ca="1">V13</f>
        <v>1</v>
      </c>
      <c r="AB51">
        <f ca="1">((V51-100*AE13)^2)/(100*AE13)</f>
        <v>0.77427872333699177</v>
      </c>
    </row>
    <row r="52" spans="1:30" x14ac:dyDescent="0.3">
      <c r="E52">
        <f ca="1">F14-F13</f>
        <v>13</v>
      </c>
      <c r="J52">
        <f t="shared" ref="J52:J60" ca="1" si="5">((E52-100*$D$5)^2)/(100*$D$5)</f>
        <v>0.9</v>
      </c>
      <c r="T52">
        <f>_xlfn.CHISQ.INV(1-S49,9)</f>
        <v>16.918977604620448</v>
      </c>
      <c r="V52">
        <f ca="1">V14-V13</f>
        <v>2</v>
      </c>
      <c r="AB52">
        <f t="shared" ref="AB52:AB60" ca="1" si="6">((V52-100*AE14)^2)/(100*AE14)</f>
        <v>1.4584748460039695E-2</v>
      </c>
    </row>
    <row r="53" spans="1:30" x14ac:dyDescent="0.3">
      <c r="E53">
        <f t="shared" ref="E53:E60" ca="1" si="7">F15-F14</f>
        <v>12</v>
      </c>
      <c r="J53">
        <f t="shared" ca="1" si="5"/>
        <v>0.4</v>
      </c>
      <c r="V53">
        <f t="shared" ref="V53:V60" ca="1" si="8">V15-V14</f>
        <v>8</v>
      </c>
      <c r="AB53">
        <f t="shared" ca="1" si="6"/>
        <v>5.3500209878133524E-2</v>
      </c>
    </row>
    <row r="54" spans="1:30" x14ac:dyDescent="0.3">
      <c r="E54">
        <f t="shared" ca="1" si="7"/>
        <v>10</v>
      </c>
      <c r="J54">
        <f t="shared" ca="1" si="5"/>
        <v>0</v>
      </c>
      <c r="V54">
        <f t="shared" ca="1" si="8"/>
        <v>19</v>
      </c>
      <c r="AB54">
        <f t="shared" ca="1" si="6"/>
        <v>0.37302724816724997</v>
      </c>
    </row>
    <row r="55" spans="1:30" x14ac:dyDescent="0.3">
      <c r="E55">
        <f t="shared" ca="1" si="7"/>
        <v>13</v>
      </c>
      <c r="J55">
        <f t="shared" ca="1" si="5"/>
        <v>0.9</v>
      </c>
      <c r="V55">
        <f t="shared" ca="1" si="8"/>
        <v>30</v>
      </c>
      <c r="AB55">
        <f t="shared" ca="1" si="6"/>
        <v>1.227656530401521</v>
      </c>
    </row>
    <row r="56" spans="1:30" x14ac:dyDescent="0.3">
      <c r="E56">
        <f t="shared" ca="1" si="7"/>
        <v>10</v>
      </c>
      <c r="J56">
        <f t="shared" ca="1" si="5"/>
        <v>0</v>
      </c>
      <c r="V56">
        <f t="shared" ca="1" si="8"/>
        <v>25</v>
      </c>
      <c r="AB56">
        <f t="shared" ca="1" si="6"/>
        <v>3.330930495118091E-2</v>
      </c>
    </row>
    <row r="57" spans="1:30" x14ac:dyDescent="0.3">
      <c r="E57">
        <f t="shared" ca="1" si="7"/>
        <v>7</v>
      </c>
      <c r="J57">
        <f t="shared" ca="1" si="5"/>
        <v>0.9</v>
      </c>
      <c r="V57">
        <f t="shared" ca="1" si="8"/>
        <v>11</v>
      </c>
      <c r="AB57">
        <f t="shared" ca="1" si="6"/>
        <v>1.4081666946008744</v>
      </c>
    </row>
    <row r="58" spans="1:30" x14ac:dyDescent="0.3">
      <c r="E58">
        <f t="shared" ca="1" si="7"/>
        <v>12</v>
      </c>
      <c r="J58">
        <f t="shared" ca="1" si="5"/>
        <v>0.4</v>
      </c>
      <c r="V58">
        <f t="shared" ca="1" si="8"/>
        <v>0</v>
      </c>
      <c r="AB58">
        <f t="shared" ca="1" si="6"/>
        <v>6.775203069094859</v>
      </c>
    </row>
    <row r="59" spans="1:30" x14ac:dyDescent="0.3">
      <c r="E59">
        <f t="shared" ca="1" si="7"/>
        <v>6</v>
      </c>
      <c r="J59">
        <f t="shared" ca="1" si="5"/>
        <v>1.6</v>
      </c>
      <c r="V59">
        <f t="shared" ca="1" si="8"/>
        <v>3</v>
      </c>
      <c r="AB59">
        <f t="shared" ca="1" si="6"/>
        <v>0.58574413997778763</v>
      </c>
    </row>
    <row r="60" spans="1:30" x14ac:dyDescent="0.3">
      <c r="E60">
        <f t="shared" ca="1" si="7"/>
        <v>6</v>
      </c>
      <c r="J60">
        <f t="shared" ca="1" si="5"/>
        <v>1.6</v>
      </c>
      <c r="V60">
        <f t="shared" ca="1" si="8"/>
        <v>1</v>
      </c>
      <c r="AB60">
        <f t="shared" ca="1" si="6"/>
        <v>1.1001306963235602</v>
      </c>
    </row>
    <row r="64" spans="1:30" x14ac:dyDescent="0.3">
      <c r="E64">
        <f ca="1">SUM(J51:J60)</f>
        <v>6.7999999999999989</v>
      </c>
      <c r="G64" t="str">
        <f ca="1">IF(E64&lt;=C51,"Test verificato","Test non verificato")</f>
        <v>Test verificato</v>
      </c>
      <c r="V64">
        <f ca="1">SUM(AB51:AB60)</f>
        <v>12.345601365192199</v>
      </c>
      <c r="X64" t="str">
        <f ca="1">IF(V64&lt;=T52,"Test verificato","Test non verificato")</f>
        <v>Test verificato</v>
      </c>
    </row>
    <row r="68" spans="1:36" x14ac:dyDescent="0.3">
      <c r="A68" s="17" t="s">
        <v>64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R68" s="17" t="s">
        <v>65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70" spans="1:36" x14ac:dyDescent="0.3">
      <c r="C70" s="30" t="s">
        <v>53</v>
      </c>
      <c r="D70">
        <f>1/20</f>
        <v>0.05</v>
      </c>
      <c r="F70" s="30" t="s">
        <v>68</v>
      </c>
      <c r="G70">
        <f>100*D70</f>
        <v>5</v>
      </c>
      <c r="R70" s="34" t="s">
        <v>55</v>
      </c>
      <c r="S70">
        <v>20</v>
      </c>
    </row>
    <row r="72" spans="1:36" x14ac:dyDescent="0.3">
      <c r="R72" s="34" t="s">
        <v>56</v>
      </c>
      <c r="S72" s="33"/>
      <c r="T72">
        <f ca="1">Normale!$S$40</f>
        <v>-4.4848482127050371</v>
      </c>
      <c r="V72" s="34" t="s">
        <v>24</v>
      </c>
      <c r="W72" s="33"/>
      <c r="X72">
        <f ca="1">(T73-T72)/S70</f>
        <v>1.4604573054928967</v>
      </c>
    </row>
    <row r="73" spans="1:36" x14ac:dyDescent="0.3">
      <c r="R73" s="34" t="s">
        <v>23</v>
      </c>
      <c r="S73" s="33"/>
      <c r="T73">
        <f ca="1">Normale!$S$41</f>
        <v>24.724297897152894</v>
      </c>
    </row>
    <row r="76" spans="1:36" x14ac:dyDescent="0.3">
      <c r="A76" s="17" t="s">
        <v>25</v>
      </c>
      <c r="B76" s="17"/>
      <c r="C76" s="16"/>
      <c r="D76" s="16"/>
      <c r="F76" s="17" t="s">
        <v>52</v>
      </c>
      <c r="G76" s="16"/>
      <c r="H76" s="16"/>
      <c r="J76" s="22" t="s">
        <v>29</v>
      </c>
      <c r="K76" s="23"/>
      <c r="L76" s="23"/>
      <c r="N76" s="31" t="s">
        <v>30</v>
      </c>
      <c r="O76" s="32"/>
      <c r="P76" s="32"/>
      <c r="R76" s="17" t="s">
        <v>25</v>
      </c>
      <c r="S76" s="16"/>
      <c r="T76" s="16"/>
      <c r="V76" s="17" t="s">
        <v>52</v>
      </c>
      <c r="W76" s="16"/>
      <c r="X76" s="16"/>
      <c r="Y76" s="16"/>
      <c r="AA76" s="22" t="s">
        <v>29</v>
      </c>
      <c r="AB76" s="23"/>
      <c r="AC76" s="23"/>
      <c r="AE76" s="31" t="s">
        <v>30</v>
      </c>
      <c r="AF76" s="32"/>
      <c r="AG76" s="32"/>
      <c r="AI76" s="17" t="s">
        <v>69</v>
      </c>
      <c r="AJ76" s="16"/>
    </row>
    <row r="78" spans="1:36" x14ac:dyDescent="0.3">
      <c r="A78">
        <v>1</v>
      </c>
      <c r="B78">
        <f>_xlfn.NORM.INV($D$70*A78,Normale!$D$1,Normale!$D$3)</f>
        <v>2.6439909541988538</v>
      </c>
      <c r="F78">
        <f ca="1">COUNTIF(Normale!$F$2:$F$101,"&lt;="&amp;'Test sulla forma per Normale'!B78)</f>
        <v>9</v>
      </c>
      <c r="J78">
        <f ca="1">F78/100</f>
        <v>0.09</v>
      </c>
      <c r="N78">
        <f>_xlfn.NORM.DIST(B78,Normale!$D$1,Normale!$D$3,TRUE)</f>
        <v>5.000000000000001E-2</v>
      </c>
      <c r="R78">
        <f ca="1">T72+X72</f>
        <v>-3.0243909072121404</v>
      </c>
      <c r="V78">
        <f ca="1">COUNTIF(Normale!$F$2:$F$101,"&lt;="&amp;R78)</f>
        <v>1</v>
      </c>
      <c r="AA78">
        <f ca="1">V78/100</f>
        <v>0.01</v>
      </c>
      <c r="AE78">
        <f ca="1">_xlfn.NORM.DIST(R78,Normale!$D$1,Normale!$D$3,TRUE)-_xlfn.NORM.DIST(T72,Normale!$D$1,Normale!$D$3,TRUE)</f>
        <v>1.1937101448792765E-3</v>
      </c>
      <c r="AI78">
        <f ca="1">100*AE78</f>
        <v>0.11937101448792765</v>
      </c>
    </row>
    <row r="79" spans="1:36" x14ac:dyDescent="0.3">
      <c r="A79">
        <f>A78+1</f>
        <v>2</v>
      </c>
      <c r="B79">
        <f>_xlfn.NORM.INV($D$70*A79,Normale!$D$1,Normale!$D$3)</f>
        <v>4.2687271655419909</v>
      </c>
      <c r="F79">
        <f ca="1">COUNTIF(Normale!$F$2:$F$101,"&lt;="&amp;'Test sulla forma per Normale'!B79)</f>
        <v>11</v>
      </c>
      <c r="J79">
        <f ca="1">(F79-F78)/100</f>
        <v>0.02</v>
      </c>
      <c r="N79">
        <f>_xlfn.NORM.DIST(B79,Normale!$D$1,Normale!$D$3,TRUE)-_xlfn.NORM.DIST(B78,Normale!$D$1,Normale!$D$3,TRUE)</f>
        <v>4.9999999999999968E-2</v>
      </c>
      <c r="R79">
        <f ca="1">R78+$X$72</f>
        <v>-1.5639336017192438</v>
      </c>
      <c r="V79">
        <f ca="1">COUNTIF(Normale!$F$2:$F$101,"&lt;="&amp;R79)</f>
        <v>1</v>
      </c>
      <c r="AA79">
        <f ca="1">(V79-V78)/100</f>
        <v>0</v>
      </c>
      <c r="AE79">
        <f ca="1">_xlfn.NORM.DIST(R79,Normale!$D$1,Normale!$D$3,TRUE)-_xlfn.NORM.DIST(R78,Normale!$D$1,Normale!$D$3,TRUE)</f>
        <v>3.0643822246269473E-3</v>
      </c>
      <c r="AI79">
        <f t="shared" ref="AI79:AI97" ca="1" si="9">100*AE79</f>
        <v>0.30643822246269475</v>
      </c>
    </row>
    <row r="80" spans="1:36" x14ac:dyDescent="0.3">
      <c r="A80">
        <f t="shared" ref="A80:A97" si="10">A79+1</f>
        <v>3</v>
      </c>
      <c r="B80">
        <f>_xlfn.NORM.INV($D$70*A80,Normale!$D$1,Normale!$D$3)</f>
        <v>5.3649289738827388</v>
      </c>
      <c r="F80">
        <f ca="1">COUNTIF(Normale!$F$2:$F$101,"&lt;="&amp;'Test sulla forma per Normale'!B80)</f>
        <v>15</v>
      </c>
      <c r="J80">
        <f t="shared" ref="J80:J97" ca="1" si="11">(F80-F79)/100</f>
        <v>0.04</v>
      </c>
      <c r="N80">
        <f>_xlfn.NORM.DIST(B80,Normale!$D$1,Normale!$D$3,TRUE)-_xlfn.NORM.DIST(B79,Normale!$D$1,Normale!$D$3,TRUE)</f>
        <v>4.9999999999999961E-2</v>
      </c>
      <c r="R80">
        <f t="shared" ref="R80:R97" ca="1" si="12">R79+$X$72</f>
        <v>-0.10347629622634713</v>
      </c>
      <c r="V80">
        <f ca="1">COUNTIF(Normale!$F$2:$F$101,"&lt;="&amp;R80)</f>
        <v>2</v>
      </c>
      <c r="AA80">
        <f t="shared" ref="AA80:AA97" ca="1" si="13">(V80-V79)/100</f>
        <v>0.01</v>
      </c>
      <c r="AE80">
        <f ca="1">_xlfn.NORM.DIST(R80,Normale!$D$1,Normale!$D$3,TRUE)-_xlfn.NORM.DIST(R79,Normale!$D$1,Normale!$D$3,TRUE)</f>
        <v>7.0772590788249837E-3</v>
      </c>
      <c r="AI80">
        <f t="shared" ca="1" si="9"/>
        <v>0.70772590788249834</v>
      </c>
    </row>
    <row r="81" spans="1:35" x14ac:dyDescent="0.3">
      <c r="A81">
        <f t="shared" si="10"/>
        <v>4</v>
      </c>
      <c r="B81">
        <f>_xlfn.NORM.INV($D$70*A81,Normale!$D$1,Normale!$D$3)</f>
        <v>6.2361554208474699</v>
      </c>
      <c r="F81">
        <f ca="1">COUNTIF(Normale!$F$2:$F$101,"&lt;="&amp;'Test sulla forma per Normale'!B81)</f>
        <v>24</v>
      </c>
      <c r="J81">
        <f t="shared" ca="1" si="11"/>
        <v>0.09</v>
      </c>
      <c r="N81">
        <f>_xlfn.NORM.DIST(B81,Normale!$D$1,Normale!$D$3,TRUE)-_xlfn.NORM.DIST(B80,Normale!$D$1,Normale!$D$3,TRUE)</f>
        <v>4.9999999999999961E-2</v>
      </c>
      <c r="R81">
        <f t="shared" ca="1" si="12"/>
        <v>1.3569810092665495</v>
      </c>
      <c r="V81">
        <f ca="1">COUNTIF(Normale!$F$2:$F$101,"&lt;="&amp;R81)</f>
        <v>3</v>
      </c>
      <c r="AA81">
        <f t="shared" ca="1" si="13"/>
        <v>0.01</v>
      </c>
      <c r="AE81">
        <f ca="1">_xlfn.NORM.DIST(R81,Normale!$D$1,Normale!$D$3,TRUE)-_xlfn.NORM.DIST(R80,Normale!$D$1,Normale!$D$3,TRUE)</f>
        <v>1.4705128779565113E-2</v>
      </c>
      <c r="AI81">
        <f t="shared" ca="1" si="9"/>
        <v>1.4705128779565113</v>
      </c>
    </row>
    <row r="82" spans="1:35" x14ac:dyDescent="0.3">
      <c r="A82">
        <f t="shared" si="10"/>
        <v>5</v>
      </c>
      <c r="B82">
        <f>_xlfn.NORM.INV($D$70*A82,Normale!$D$1,Normale!$D$3)</f>
        <v>6.9835901368694167</v>
      </c>
      <c r="F82">
        <f ca="1">COUNTIF(Normale!$F$2:$F$101,"&lt;="&amp;'Test sulla forma per Normale'!B82)</f>
        <v>30</v>
      </c>
      <c r="J82">
        <f t="shared" ca="1" si="11"/>
        <v>0.06</v>
      </c>
      <c r="N82">
        <f>_xlfn.NORM.DIST(B82,Normale!$D$1,Normale!$D$3,TRUE)-_xlfn.NORM.DIST(B81,Normale!$D$1,Normale!$D$3,TRUE)</f>
        <v>4.9999999999999933E-2</v>
      </c>
      <c r="R82">
        <f t="shared" ca="1" si="12"/>
        <v>2.8174383147594462</v>
      </c>
      <c r="V82">
        <f ca="1">COUNTIF(Normale!$F$2:$F$101,"&lt;="&amp;R82)</f>
        <v>9</v>
      </c>
      <c r="AA82">
        <f t="shared" ca="1" si="13"/>
        <v>0.06</v>
      </c>
      <c r="AE82">
        <f ca="1">_xlfn.NORM.DIST(R82,Normale!$D$1,Normale!$D$3,TRUE)-_xlfn.NORM.DIST(R81,Normale!$D$1,Normale!$D$3,TRUE)</f>
        <v>2.7488890956772729E-2</v>
      </c>
      <c r="AI82">
        <f t="shared" ca="1" si="9"/>
        <v>2.7488890956772729</v>
      </c>
    </row>
    <row r="83" spans="1:35" x14ac:dyDescent="0.3">
      <c r="A83">
        <f t="shared" si="10"/>
        <v>6</v>
      </c>
      <c r="B83">
        <f>_xlfn.NORM.INV($D$70*A83,Normale!$D$1,Normale!$D$3)</f>
        <v>7.6548096122981573</v>
      </c>
      <c r="F83">
        <f ca="1">COUNTIF(Normale!$F$2:$F$101,"&lt;="&amp;'Test sulla forma per Normale'!B83)</f>
        <v>36</v>
      </c>
      <c r="J83">
        <f t="shared" ca="1" si="11"/>
        <v>0.06</v>
      </c>
      <c r="N83">
        <f>_xlfn.NORM.DIST(B83,Normale!$D$1,Normale!$D$3,TRUE)-_xlfn.NORM.DIST(B82,Normale!$D$1,Normale!$D$3,TRUE)</f>
        <v>5.0000000000000155E-2</v>
      </c>
      <c r="R83">
        <f t="shared" ca="1" si="12"/>
        <v>4.2778956202523428</v>
      </c>
      <c r="V83">
        <f ca="1">COUNTIF(Normale!$F$2:$F$101,"&lt;="&amp;R83)</f>
        <v>11</v>
      </c>
      <c r="AA83">
        <f t="shared" ca="1" si="13"/>
        <v>0.02</v>
      </c>
      <c r="AE83">
        <f ca="1">_xlfn.NORM.DIST(R83,Normale!$D$1,Normale!$D$3,TRUE)-_xlfn.NORM.DIST(R82,Normale!$D$1,Normale!$D$3,TRUE)</f>
        <v>4.6230959772546473E-2</v>
      </c>
      <c r="AI83">
        <f t="shared" ca="1" si="9"/>
        <v>4.6230959772546472</v>
      </c>
    </row>
    <row r="84" spans="1:35" x14ac:dyDescent="0.3">
      <c r="A84">
        <f t="shared" si="10"/>
        <v>7</v>
      </c>
      <c r="B84">
        <f>_xlfn.NORM.INV($D$70*A84,Normale!$D$1,Normale!$D$3)</f>
        <v>8.2767944879815083</v>
      </c>
      <c r="F84">
        <f ca="1">COUNTIF(Normale!$F$2:$F$101,"&lt;="&amp;'Test sulla forma per Normale'!B84)</f>
        <v>41</v>
      </c>
      <c r="J84">
        <f t="shared" ca="1" si="11"/>
        <v>0.05</v>
      </c>
      <c r="N84">
        <f>_xlfn.NORM.DIST(B84,Normale!$D$1,Normale!$D$3,TRUE)-_xlfn.NORM.DIST(B83,Normale!$D$1,Normale!$D$3,TRUE)</f>
        <v>4.9999999999999933E-2</v>
      </c>
      <c r="R84">
        <f t="shared" ca="1" si="12"/>
        <v>5.7383529257452395</v>
      </c>
      <c r="V84">
        <f ca="1">COUNTIF(Normale!$F$2:$F$101,"&lt;="&amp;R84)</f>
        <v>17</v>
      </c>
      <c r="AA84">
        <f t="shared" ca="1" si="13"/>
        <v>0.06</v>
      </c>
      <c r="AE84">
        <f ca="1">_xlfn.NORM.DIST(R84,Normale!$D$1,Normale!$D$3,TRUE)-_xlfn.NORM.DIST(R83,Normale!$D$1,Normale!$D$3,TRUE)</f>
        <v>6.9951677622652711E-2</v>
      </c>
      <c r="AI84">
        <f t="shared" ca="1" si="9"/>
        <v>6.9951677622652708</v>
      </c>
    </row>
    <row r="85" spans="1:35" x14ac:dyDescent="0.3">
      <c r="A85">
        <f t="shared" si="10"/>
        <v>8</v>
      </c>
      <c r="B85">
        <f>_xlfn.NORM.INV($D$70*A85,Normale!$D$1,Normale!$D$3)</f>
        <v>8.8669973109714029</v>
      </c>
      <c r="F85">
        <f ca="1">COUNTIF(Normale!$F$2:$F$101,"&lt;="&amp;'Test sulla forma per Normale'!B85)</f>
        <v>46</v>
      </c>
      <c r="J85">
        <f t="shared" ca="1" si="11"/>
        <v>0.05</v>
      </c>
      <c r="N85">
        <f>_xlfn.NORM.DIST(B85,Normale!$D$1,Normale!$D$3,TRUE)-_xlfn.NORM.DIST(B84,Normale!$D$1,Normale!$D$3,TRUE)</f>
        <v>5.0000000000000044E-2</v>
      </c>
      <c r="R85">
        <f t="shared" ca="1" si="12"/>
        <v>7.1988102312381361</v>
      </c>
      <c r="V85">
        <f ca="1">COUNTIF(Normale!$F$2:$F$101,"&lt;="&amp;R85)</f>
        <v>30</v>
      </c>
      <c r="AA85">
        <f t="shared" ca="1" si="13"/>
        <v>0.13</v>
      </c>
      <c r="AE85">
        <f ca="1">_xlfn.NORM.DIST(R85,Normale!$D$1,Normale!$D$3,TRUE)-_xlfn.NORM.DIST(R84,Normale!$D$1,Normale!$D$3,TRUE)</f>
        <v>9.5225811574754349E-2</v>
      </c>
      <c r="AI85">
        <f t="shared" ca="1" si="9"/>
        <v>9.5225811574754342</v>
      </c>
    </row>
    <row r="86" spans="1:35" x14ac:dyDescent="0.3">
      <c r="A86">
        <f t="shared" si="10"/>
        <v>9</v>
      </c>
      <c r="B86">
        <f>_xlfn.NORM.INV($D$70*A86,Normale!$D$1,Normale!$D$3)</f>
        <v>9.4380253725757495</v>
      </c>
      <c r="F86">
        <f ca="1">COUNTIF(Normale!$F$2:$F$101,"&lt;="&amp;'Test sulla forma per Normale'!B86)</f>
        <v>48</v>
      </c>
      <c r="J86">
        <f t="shared" ca="1" si="11"/>
        <v>0.02</v>
      </c>
      <c r="N86">
        <f>_xlfn.NORM.DIST(B86,Normale!$D$1,Normale!$D$3,TRUE)-_xlfn.NORM.DIST(B85,Normale!$D$1,Normale!$D$3,TRUE)</f>
        <v>4.9999999999999989E-2</v>
      </c>
      <c r="R86">
        <f t="shared" ca="1" si="12"/>
        <v>8.6592675367310328</v>
      </c>
      <c r="V86">
        <f ca="1">COUNTIF(Normale!$F$2:$F$101,"&lt;="&amp;R86)</f>
        <v>42</v>
      </c>
      <c r="AA86">
        <f t="shared" ca="1" si="13"/>
        <v>0.12</v>
      </c>
      <c r="AE86">
        <f ca="1">_xlfn.NORM.DIST(R86,Normale!$D$1,Normale!$D$3,TRUE)-_xlfn.NORM.DIST(R85,Normale!$D$1,Normale!$D$3,TRUE)</f>
        <v>0.11662828660527885</v>
      </c>
      <c r="AI86">
        <f t="shared" ca="1" si="9"/>
        <v>11.662828660527886</v>
      </c>
    </row>
    <row r="87" spans="1:35" x14ac:dyDescent="0.3">
      <c r="A87">
        <f t="shared" si="10"/>
        <v>10</v>
      </c>
      <c r="B87">
        <f>_xlfn.NORM.INV($D$70*A87,Normale!$D$1,Normale!$D$3)</f>
        <v>10</v>
      </c>
      <c r="F87">
        <f ca="1">COUNTIF(Normale!$F$2:$F$101,"&lt;="&amp;'Test sulla forma per Normale'!B87)</f>
        <v>59</v>
      </c>
      <c r="J87">
        <f t="shared" ca="1" si="11"/>
        <v>0.11</v>
      </c>
      <c r="N87">
        <f>_xlfn.NORM.DIST(B87,Normale!$D$1,Normale!$D$3,TRUE)-_xlfn.NORM.DIST(B86,Normale!$D$1,Normale!$D$3,TRUE)</f>
        <v>5.0000000000000044E-2</v>
      </c>
      <c r="R87">
        <f t="shared" ca="1" si="12"/>
        <v>10.119724842223929</v>
      </c>
      <c r="V87">
        <f ca="1">COUNTIF(Normale!$F$2:$F$101,"&lt;="&amp;R87)</f>
        <v>60</v>
      </c>
      <c r="AA87">
        <f t="shared" ca="1" si="13"/>
        <v>0.18</v>
      </c>
      <c r="AE87">
        <f ca="1">_xlfn.NORM.DIST(R87,Normale!$D$1,Normale!$D$3,TRUE)-_xlfn.NORM.DIST(R86,Normale!$D$1,Normale!$D$3,TRUE)</f>
        <v>0.12851288049918419</v>
      </c>
      <c r="AI87">
        <f t="shared" ca="1" si="9"/>
        <v>12.85128804991842</v>
      </c>
    </row>
    <row r="88" spans="1:35" x14ac:dyDescent="0.3">
      <c r="A88">
        <f t="shared" si="10"/>
        <v>11</v>
      </c>
      <c r="B88">
        <f>_xlfn.NORM.INV($D$70*A88,Normale!$D$1,Normale!$D$3)</f>
        <v>10.561974627424251</v>
      </c>
      <c r="F88">
        <f ca="1">COUNTIF(Normale!$F$2:$F$101,"&lt;="&amp;'Test sulla forma per Normale'!B88)</f>
        <v>63</v>
      </c>
      <c r="J88">
        <f t="shared" ca="1" si="11"/>
        <v>0.04</v>
      </c>
      <c r="N88">
        <f>_xlfn.NORM.DIST(B88,Normale!$D$1,Normale!$D$3,TRUE)-_xlfn.NORM.DIST(B87,Normale!$D$1,Normale!$D$3,TRUE)</f>
        <v>5.0000000000000044E-2</v>
      </c>
      <c r="R88">
        <f t="shared" ca="1" si="12"/>
        <v>11.580182147716826</v>
      </c>
      <c r="V88">
        <f ca="1">COUNTIF(Normale!$F$2:$F$101,"&lt;="&amp;R88)</f>
        <v>74</v>
      </c>
      <c r="AA88">
        <f t="shared" ca="1" si="13"/>
        <v>0.14000000000000001</v>
      </c>
      <c r="AE88">
        <f ca="1">_xlfn.NORM.DIST(R88,Normale!$D$1,Normale!$D$3,TRUE)-_xlfn.NORM.DIST(R87,Normale!$D$1,Normale!$D$3,TRUE)</f>
        <v>0.12740409735964175</v>
      </c>
      <c r="AI88">
        <f t="shared" ca="1" si="9"/>
        <v>12.740409735964175</v>
      </c>
    </row>
    <row r="89" spans="1:35" x14ac:dyDescent="0.3">
      <c r="A89">
        <f t="shared" si="10"/>
        <v>12</v>
      </c>
      <c r="B89">
        <f>_xlfn.NORM.INV($D$70*A89,Normale!$D$1,Normale!$D$3)</f>
        <v>11.133002689028599</v>
      </c>
      <c r="F89">
        <f ca="1">COUNTIF(Normale!$F$2:$F$101,"&lt;="&amp;'Test sulla forma per Normale'!B89)</f>
        <v>69</v>
      </c>
      <c r="J89">
        <f t="shared" ca="1" si="11"/>
        <v>0.06</v>
      </c>
      <c r="N89">
        <f>_xlfn.NORM.DIST(B89,Normale!$D$1,Normale!$D$3,TRUE)-_xlfn.NORM.DIST(B88,Normale!$D$1,Normale!$D$3,TRUE)</f>
        <v>5.0000000000000155E-2</v>
      </c>
      <c r="R89">
        <f t="shared" ca="1" si="12"/>
        <v>13.040639453209723</v>
      </c>
      <c r="V89">
        <f ca="1">COUNTIF(Normale!$F$2:$F$101,"&lt;="&amp;R89)</f>
        <v>85</v>
      </c>
      <c r="AA89">
        <f t="shared" ca="1" si="13"/>
        <v>0.11</v>
      </c>
      <c r="AE89">
        <f ca="1">_xlfn.NORM.DIST(R89,Normale!$D$1,Normale!$D$3,TRUE)-_xlfn.NORM.DIST(R88,Normale!$D$1,Normale!$D$3,TRUE)</f>
        <v>0.11363551100805069</v>
      </c>
      <c r="AI89">
        <f t="shared" ca="1" si="9"/>
        <v>11.363551100805068</v>
      </c>
    </row>
    <row r="90" spans="1:35" x14ac:dyDescent="0.3">
      <c r="A90">
        <f t="shared" si="10"/>
        <v>13</v>
      </c>
      <c r="B90">
        <f>_xlfn.NORM.INV($D$70*A90,Normale!$D$1,Normale!$D$3)</f>
        <v>11.723205512018492</v>
      </c>
      <c r="F90">
        <f ca="1">COUNTIF(Normale!$F$2:$F$101,"&lt;="&amp;'Test sulla forma per Normale'!B90)</f>
        <v>74</v>
      </c>
      <c r="J90">
        <f t="shared" ca="1" si="11"/>
        <v>0.05</v>
      </c>
      <c r="N90">
        <f>_xlfn.NORM.DIST(B90,Normale!$D$1,Normale!$D$3,TRUE)-_xlfn.NORM.DIST(B89,Normale!$D$1,Normale!$D$3,TRUE)</f>
        <v>4.9999999999999933E-2</v>
      </c>
      <c r="R90">
        <f t="shared" ca="1" si="12"/>
        <v>14.501096758702619</v>
      </c>
      <c r="V90">
        <f ca="1">COUNTIF(Normale!$F$2:$F$101,"&lt;="&amp;R90)</f>
        <v>89</v>
      </c>
      <c r="AA90">
        <f t="shared" ca="1" si="13"/>
        <v>0.04</v>
      </c>
      <c r="AE90">
        <f ca="1">_xlfn.NORM.DIST(R90,Normale!$D$1,Normale!$D$3,TRUE)-_xlfn.NORM.DIST(R89,Normale!$D$1,Normale!$D$3,TRUE)</f>
        <v>9.118810264543431E-2</v>
      </c>
      <c r="AI90">
        <f t="shared" ca="1" si="9"/>
        <v>9.1188102645434306</v>
      </c>
    </row>
    <row r="91" spans="1:35" x14ac:dyDescent="0.3">
      <c r="A91">
        <f t="shared" si="10"/>
        <v>14</v>
      </c>
      <c r="B91">
        <f>_xlfn.NORM.INV($D$70*A91,Normale!$D$1,Normale!$D$3)</f>
        <v>12.345190387701845</v>
      </c>
      <c r="F91">
        <f ca="1">COUNTIF(Normale!$F$2:$F$101,"&lt;="&amp;'Test sulla forma per Normale'!B91)</f>
        <v>76</v>
      </c>
      <c r="J91">
        <f t="shared" ca="1" si="11"/>
        <v>0.02</v>
      </c>
      <c r="N91">
        <f>_xlfn.NORM.DIST(B91,Normale!$D$1,Normale!$D$3,TRUE)-_xlfn.NORM.DIST(B90,Normale!$D$1,Normale!$D$3,TRUE)</f>
        <v>5.0000000000000044E-2</v>
      </c>
      <c r="R91">
        <f t="shared" ca="1" si="12"/>
        <v>15.961554064195516</v>
      </c>
      <c r="V91">
        <f ca="1">COUNTIF(Normale!$F$2:$F$101,"&lt;="&amp;R91)</f>
        <v>96</v>
      </c>
      <c r="AA91">
        <f t="shared" ca="1" si="13"/>
        <v>7.0000000000000007E-2</v>
      </c>
      <c r="AE91">
        <f ca="1">_xlfn.NORM.DIST(R91,Normale!$D$1,Normale!$D$3,TRUE)-_xlfn.NORM.DIST(R90,Normale!$D$1,Normale!$D$3,TRUE)</f>
        <v>6.583468550784477E-2</v>
      </c>
      <c r="AI91">
        <f t="shared" ca="1" si="9"/>
        <v>6.5834685507844775</v>
      </c>
    </row>
    <row r="92" spans="1:35" x14ac:dyDescent="0.3">
      <c r="A92">
        <f t="shared" si="10"/>
        <v>15</v>
      </c>
      <c r="B92">
        <f>_xlfn.NORM.INV($D$70*A92,Normale!$D$1,Normale!$D$3)</f>
        <v>13.016409863130583</v>
      </c>
      <c r="F92">
        <f ca="1">COUNTIF(Normale!$F$2:$F$101,"&lt;="&amp;'Test sulla forma per Normale'!B92)</f>
        <v>85</v>
      </c>
      <c r="J92">
        <f t="shared" ca="1" si="11"/>
        <v>0.09</v>
      </c>
      <c r="N92">
        <f>_xlfn.NORM.DIST(B92,Normale!$D$1,Normale!$D$3,TRUE)-_xlfn.NORM.DIST(B91,Normale!$D$1,Normale!$D$3,TRUE)</f>
        <v>5.0000000000000044E-2</v>
      </c>
      <c r="R92">
        <f t="shared" ca="1" si="12"/>
        <v>17.422011369688413</v>
      </c>
      <c r="V92">
        <f ca="1">COUNTIF(Normale!$F$2:$F$101,"&lt;="&amp;R92)</f>
        <v>96</v>
      </c>
      <c r="AA92">
        <f t="shared" ca="1" si="13"/>
        <v>0</v>
      </c>
      <c r="AE92">
        <f ca="1">_xlfn.NORM.DIST(R92,Normale!$D$1,Normale!$D$3,TRUE)-_xlfn.NORM.DIST(R91,Normale!$D$1,Normale!$D$3,TRUE)</f>
        <v>4.2762433482619211E-2</v>
      </c>
      <c r="AI92">
        <f t="shared" ca="1" si="9"/>
        <v>4.2762433482619215</v>
      </c>
    </row>
    <row r="93" spans="1:35" x14ac:dyDescent="0.3">
      <c r="A93">
        <f t="shared" si="10"/>
        <v>16</v>
      </c>
      <c r="B93">
        <f>_xlfn.NORM.INV($D$70*A93,Normale!$D$1,Normale!$D$3)</f>
        <v>13.763844579152531</v>
      </c>
      <c r="F93">
        <f ca="1">COUNTIF(Normale!$F$2:$F$101,"&lt;="&amp;'Test sulla forma per Normale'!B93)</f>
        <v>88</v>
      </c>
      <c r="J93">
        <f t="shared" ca="1" si="11"/>
        <v>0.03</v>
      </c>
      <c r="N93">
        <f>_xlfn.NORM.DIST(B93,Normale!$D$1,Normale!$D$3,TRUE)-_xlfn.NORM.DIST(B92,Normale!$D$1,Normale!$D$3,TRUE)</f>
        <v>4.9999999999999933E-2</v>
      </c>
      <c r="R93">
        <f t="shared" ca="1" si="12"/>
        <v>18.882468675181308</v>
      </c>
      <c r="V93">
        <f ca="1">COUNTIF(Normale!$F$2:$F$101,"&lt;="&amp;R93)</f>
        <v>96</v>
      </c>
      <c r="AA93">
        <f t="shared" ca="1" si="13"/>
        <v>0</v>
      </c>
      <c r="AE93">
        <f ca="1">_xlfn.NORM.DIST(R93,Normale!$D$1,Normale!$D$3,TRUE)-_xlfn.NORM.DIST(R92,Normale!$D$1,Normale!$D$3,TRUE)</f>
        <v>2.4989597208329384E-2</v>
      </c>
      <c r="AI93">
        <f t="shared" ca="1" si="9"/>
        <v>2.4989597208329384</v>
      </c>
    </row>
    <row r="94" spans="1:35" x14ac:dyDescent="0.3">
      <c r="A94">
        <f t="shared" si="10"/>
        <v>17</v>
      </c>
      <c r="B94">
        <f>_xlfn.NORM.INV($D$70*A94,Normale!$D$1,Normale!$D$3)</f>
        <v>14.635071026117251</v>
      </c>
      <c r="F94">
        <f ca="1">COUNTIF(Normale!$F$2:$F$101,"&lt;="&amp;'Test sulla forma per Normale'!B94)</f>
        <v>89</v>
      </c>
      <c r="J94">
        <f t="shared" ca="1" si="11"/>
        <v>0.01</v>
      </c>
      <c r="N94">
        <f>_xlfn.NORM.DIST(B94,Normale!$D$1,Normale!$D$3,TRUE)-_xlfn.NORM.DIST(B93,Normale!$D$1,Normale!$D$3,TRUE)</f>
        <v>4.9999999999999378E-2</v>
      </c>
      <c r="R94">
        <f t="shared" ca="1" si="12"/>
        <v>20.342925980674202</v>
      </c>
      <c r="V94">
        <f ca="1">COUNTIF(Normale!$F$2:$F$101,"&lt;="&amp;R94)</f>
        <v>99</v>
      </c>
      <c r="AA94">
        <f t="shared" ca="1" si="13"/>
        <v>0.03</v>
      </c>
      <c r="AE94">
        <f ca="1">_xlfn.NORM.DIST(R94,Normale!$D$1,Normale!$D$3,TRUE)-_xlfn.NORM.DIST(R93,Normale!$D$1,Normale!$D$3,TRUE)</f>
        <v>1.3138415695289951E-2</v>
      </c>
      <c r="AI94">
        <f t="shared" ca="1" si="9"/>
        <v>1.3138415695289951</v>
      </c>
    </row>
    <row r="95" spans="1:35" x14ac:dyDescent="0.3">
      <c r="A95">
        <f t="shared" si="10"/>
        <v>18</v>
      </c>
      <c r="B95">
        <f>_xlfn.NORM.INV($D$70*A95,Normale!$D$1,Normale!$D$3)</f>
        <v>15.731272834458009</v>
      </c>
      <c r="F95">
        <f ca="1">COUNTIF(Normale!$F$2:$F$101,"&lt;="&amp;'Test sulla forma per Normale'!B95)</f>
        <v>94</v>
      </c>
      <c r="J95">
        <f t="shared" ca="1" si="11"/>
        <v>0.05</v>
      </c>
      <c r="N95">
        <f>_xlfn.NORM.DIST(B95,Normale!$D$1,Normale!$D$3,TRUE)-_xlfn.NORM.DIST(B94,Normale!$D$1,Normale!$D$3,TRUE)</f>
        <v>5.0000000000000488E-2</v>
      </c>
      <c r="R95">
        <f t="shared" ca="1" si="12"/>
        <v>21.803383286167097</v>
      </c>
      <c r="V95">
        <f ca="1">COUNTIF(Normale!$F$2:$F$101,"&lt;="&amp;R95)</f>
        <v>99</v>
      </c>
      <c r="AA95">
        <f t="shared" ca="1" si="13"/>
        <v>0</v>
      </c>
      <c r="AE95">
        <f ca="1">_xlfn.NORM.DIST(R95,Normale!$D$1,Normale!$D$3,TRUE)-_xlfn.NORM.DIST(R94,Normale!$D$1,Normale!$D$3,TRUE)</f>
        <v>6.2145675685959523E-3</v>
      </c>
      <c r="AI95">
        <f t="shared" ca="1" si="9"/>
        <v>0.62145675685959523</v>
      </c>
    </row>
    <row r="96" spans="1:35" x14ac:dyDescent="0.3">
      <c r="A96">
        <f t="shared" si="10"/>
        <v>19</v>
      </c>
      <c r="B96">
        <f>_xlfn.NORM.INV($D$70*A96,Normale!$D$1,Normale!$D$3)</f>
        <v>17.356009045801148</v>
      </c>
      <c r="F96">
        <f ca="1">COUNTIF(Normale!$F$2:$F$101,"&lt;="&amp;'Test sulla forma per Normale'!B96)</f>
        <v>96</v>
      </c>
      <c r="J96">
        <f t="shared" ca="1" si="11"/>
        <v>0.02</v>
      </c>
      <c r="N96">
        <f>_xlfn.NORM.DIST(B96,Normale!$D$1,Normale!$D$3,TRUE)-_xlfn.NORM.DIST(B95,Normale!$D$1,Normale!$D$3,TRUE)</f>
        <v>5.0000000000000044E-2</v>
      </c>
      <c r="R96">
        <f t="shared" ca="1" si="12"/>
        <v>23.263840591659992</v>
      </c>
      <c r="V96">
        <f ca="1">COUNTIF(Normale!$F$2:$F$101,"&lt;="&amp;R96)</f>
        <v>99</v>
      </c>
      <c r="AA96">
        <f t="shared" ca="1" si="13"/>
        <v>0</v>
      </c>
      <c r="AE96">
        <f ca="1">_xlfn.NORM.DIST(R96,Normale!$D$1,Normale!$D$3,TRUE)-_xlfn.NORM.DIST(R95,Normale!$D$1,Normale!$D$3,TRUE)</f>
        <v>2.6445992251260542E-3</v>
      </c>
      <c r="AI96">
        <f t="shared" ca="1" si="9"/>
        <v>0.26445992251260542</v>
      </c>
    </row>
    <row r="97" spans="1:35" x14ac:dyDescent="0.3">
      <c r="A97">
        <f t="shared" si="10"/>
        <v>20</v>
      </c>
      <c r="B97" t="s">
        <v>54</v>
      </c>
      <c r="F97">
        <v>100</v>
      </c>
      <c r="J97">
        <f t="shared" ca="1" si="11"/>
        <v>0.04</v>
      </c>
      <c r="N97">
        <f>1-_xlfn.NORM.DIST(B96,Normale!$D$1,Normale!$D$3,TRUE)</f>
        <v>4.9999999999999933E-2</v>
      </c>
      <c r="R97">
        <f t="shared" ca="1" si="12"/>
        <v>24.724297897152887</v>
      </c>
      <c r="V97">
        <f ca="1">COUNTIF(Normale!$F$2:$F$101,"&lt;="&amp;R97)</f>
        <v>100</v>
      </c>
      <c r="AA97">
        <f t="shared" ca="1" si="13"/>
        <v>0.01</v>
      </c>
      <c r="AE97">
        <f ca="1">_xlfn.NORM.DIST(R97,Normale!$D$1,Normale!$D$3,TRUE)-_xlfn.NORM.DIST(R96,Normale!$D$1,Normale!$D$3,TRUE)</f>
        <v>1.012479696537727E-3</v>
      </c>
      <c r="AI97">
        <f t="shared" ca="1" si="9"/>
        <v>0.1012479696537727</v>
      </c>
    </row>
    <row r="124" spans="1:36" x14ac:dyDescent="0.3">
      <c r="A124" s="37" t="s">
        <v>60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8"/>
      <c r="R124" s="37" t="s">
        <v>60</v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8"/>
      <c r="AH124" s="36"/>
      <c r="AI124" s="36"/>
      <c r="AJ124" s="36"/>
    </row>
    <row r="126" spans="1:36" x14ac:dyDescent="0.3">
      <c r="A126" s="35" t="s">
        <v>59</v>
      </c>
      <c r="B126">
        <v>0.05</v>
      </c>
      <c r="E126" s="17" t="s">
        <v>61</v>
      </c>
      <c r="F126" s="16"/>
      <c r="G126" s="16"/>
      <c r="H126" s="16"/>
      <c r="J126" s="17" t="s">
        <v>62</v>
      </c>
      <c r="K126" s="16"/>
      <c r="L126" s="16"/>
      <c r="R126" s="35" t="s">
        <v>59</v>
      </c>
      <c r="S126">
        <v>0.05</v>
      </c>
      <c r="V126" s="17" t="s">
        <v>61</v>
      </c>
      <c r="W126" s="16"/>
      <c r="X126" s="16"/>
      <c r="Y126" s="16"/>
      <c r="AA126" s="17" t="s">
        <v>62</v>
      </c>
      <c r="AB126" s="16"/>
      <c r="AC126" s="16"/>
    </row>
    <row r="128" spans="1:36" x14ac:dyDescent="0.3">
      <c r="C128">
        <f>_xlfn.CHISQ.INV(1-B126,19)</f>
        <v>30.143527205646159</v>
      </c>
      <c r="E128">
        <f ca="1">F78</f>
        <v>9</v>
      </c>
      <c r="J128">
        <f ca="1">((E128-100*$D$70)^2)/(100*$D$70)</f>
        <v>3.2</v>
      </c>
      <c r="T128">
        <f>_xlfn.CHISQ.INV(1-S126,19)</f>
        <v>30.143527205646159</v>
      </c>
      <c r="V128">
        <f ca="1">V78</f>
        <v>1</v>
      </c>
      <c r="AA128">
        <f ca="1">((V128-100*AE78)^2)/(100*AE78)</f>
        <v>6.4966140520021396</v>
      </c>
    </row>
    <row r="129" spans="5:27" x14ac:dyDescent="0.3">
      <c r="E129">
        <f ca="1">F79-F78</f>
        <v>2</v>
      </c>
      <c r="J129">
        <f t="shared" ref="J129:J147" ca="1" si="14">((E129-100*$D$70)^2)/(100*$D$70)</f>
        <v>1.8</v>
      </c>
      <c r="V129">
        <f ca="1">V79-V78</f>
        <v>0</v>
      </c>
      <c r="AA129">
        <f t="shared" ref="AA129:AA147" ca="1" si="15">((V129-100*AE79)^2)/(100*AE79)</f>
        <v>0.30643822246269475</v>
      </c>
    </row>
    <row r="130" spans="5:27" x14ac:dyDescent="0.3">
      <c r="E130">
        <f t="shared" ref="E130:E146" ca="1" si="16">F80-F79</f>
        <v>4</v>
      </c>
      <c r="J130">
        <f t="shared" ca="1" si="14"/>
        <v>0.2</v>
      </c>
      <c r="V130">
        <f t="shared" ref="V130:V147" ca="1" si="17">V80-V79</f>
        <v>1</v>
      </c>
      <c r="AA130">
        <f t="shared" ca="1" si="15"/>
        <v>0.12070230010188149</v>
      </c>
    </row>
    <row r="131" spans="5:27" x14ac:dyDescent="0.3">
      <c r="E131">
        <f t="shared" ca="1" si="16"/>
        <v>9</v>
      </c>
      <c r="J131">
        <f t="shared" ca="1" si="14"/>
        <v>3.2</v>
      </c>
      <c r="V131">
        <f t="shared" ca="1" si="17"/>
        <v>1</v>
      </c>
      <c r="AA131">
        <f t="shared" ca="1" si="15"/>
        <v>0.15054772497508589</v>
      </c>
    </row>
    <row r="132" spans="5:27" x14ac:dyDescent="0.3">
      <c r="E132">
        <f t="shared" ca="1" si="16"/>
        <v>6</v>
      </c>
      <c r="J132">
        <f t="shared" ca="1" si="14"/>
        <v>0.2</v>
      </c>
      <c r="V132">
        <f t="shared" ca="1" si="17"/>
        <v>6</v>
      </c>
      <c r="AA132">
        <f t="shared" ca="1" si="15"/>
        <v>3.8450885955447998</v>
      </c>
    </row>
    <row r="133" spans="5:27" x14ac:dyDescent="0.3">
      <c r="E133">
        <f t="shared" ca="1" si="16"/>
        <v>6</v>
      </c>
      <c r="J133">
        <f t="shared" ca="1" si="14"/>
        <v>0.2</v>
      </c>
      <c r="V133">
        <f t="shared" ca="1" si="17"/>
        <v>2</v>
      </c>
      <c r="AA133">
        <f t="shared" ca="1" si="15"/>
        <v>1.4883170368389083</v>
      </c>
    </row>
    <row r="134" spans="5:27" x14ac:dyDescent="0.3">
      <c r="E134">
        <f t="shared" ca="1" si="16"/>
        <v>5</v>
      </c>
      <c r="J134">
        <f t="shared" ca="1" si="14"/>
        <v>0</v>
      </c>
      <c r="V134">
        <f t="shared" ca="1" si="17"/>
        <v>6</v>
      </c>
      <c r="AA134">
        <f t="shared" ca="1" si="15"/>
        <v>0.14157757307758334</v>
      </c>
    </row>
    <row r="135" spans="5:27" x14ac:dyDescent="0.3">
      <c r="E135">
        <f t="shared" ca="1" si="16"/>
        <v>5</v>
      </c>
      <c r="J135">
        <f t="shared" ca="1" si="14"/>
        <v>0</v>
      </c>
      <c r="V135">
        <f t="shared" ca="1" si="17"/>
        <v>13</v>
      </c>
      <c r="AA135">
        <f t="shared" ca="1" si="15"/>
        <v>1.269870175572309</v>
      </c>
    </row>
    <row r="136" spans="5:27" x14ac:dyDescent="0.3">
      <c r="E136">
        <f t="shared" ca="1" si="16"/>
        <v>2</v>
      </c>
      <c r="J136">
        <f t="shared" ca="1" si="14"/>
        <v>1.8</v>
      </c>
      <c r="V136">
        <f t="shared" ca="1" si="17"/>
        <v>12</v>
      </c>
      <c r="AA136">
        <f t="shared" ca="1" si="15"/>
        <v>9.7475934415617131E-3</v>
      </c>
    </row>
    <row r="137" spans="5:27" x14ac:dyDescent="0.3">
      <c r="E137">
        <f t="shared" ca="1" si="16"/>
        <v>11</v>
      </c>
      <c r="J137">
        <f t="shared" ca="1" si="14"/>
        <v>7.2</v>
      </c>
      <c r="V137">
        <f t="shared" ca="1" si="17"/>
        <v>18</v>
      </c>
      <c r="AA137">
        <f t="shared" ca="1" si="15"/>
        <v>2.0627687000666945</v>
      </c>
    </row>
    <row r="138" spans="5:27" x14ac:dyDescent="0.3">
      <c r="E138">
        <f t="shared" ca="1" si="16"/>
        <v>4</v>
      </c>
      <c r="J138">
        <f t="shared" ca="1" si="14"/>
        <v>0.2</v>
      </c>
      <c r="V138">
        <f t="shared" ca="1" si="17"/>
        <v>14</v>
      </c>
      <c r="AA138">
        <f t="shared" ca="1" si="15"/>
        <v>0.1245303460512113</v>
      </c>
    </row>
    <row r="139" spans="5:27" x14ac:dyDescent="0.3">
      <c r="E139">
        <f t="shared" ca="1" si="16"/>
        <v>6</v>
      </c>
      <c r="J139">
        <f t="shared" ca="1" si="14"/>
        <v>0.2</v>
      </c>
      <c r="V139">
        <f t="shared" ca="1" si="17"/>
        <v>11</v>
      </c>
      <c r="AA139">
        <f t="shared" ca="1" si="15"/>
        <v>1.1630994723754381E-2</v>
      </c>
    </row>
    <row r="140" spans="5:27" x14ac:dyDescent="0.3">
      <c r="E140">
        <f t="shared" ca="1" si="16"/>
        <v>5</v>
      </c>
      <c r="J140">
        <f t="shared" ca="1" si="14"/>
        <v>0</v>
      </c>
      <c r="V140">
        <f t="shared" ca="1" si="17"/>
        <v>4</v>
      </c>
      <c r="AA140">
        <f t="shared" ca="1" si="15"/>
        <v>2.8734251250162517</v>
      </c>
    </row>
    <row r="141" spans="5:27" x14ac:dyDescent="0.3">
      <c r="E141">
        <f t="shared" ca="1" si="16"/>
        <v>2</v>
      </c>
      <c r="J141">
        <f t="shared" ca="1" si="14"/>
        <v>1.8</v>
      </c>
      <c r="V141">
        <f t="shared" ca="1" si="17"/>
        <v>7</v>
      </c>
      <c r="AA141">
        <f t="shared" ca="1" si="15"/>
        <v>2.6353653373936081E-2</v>
      </c>
    </row>
    <row r="142" spans="5:27" x14ac:dyDescent="0.3">
      <c r="E142">
        <f t="shared" ca="1" si="16"/>
        <v>9</v>
      </c>
      <c r="J142">
        <f t="shared" ca="1" si="14"/>
        <v>3.2</v>
      </c>
      <c r="V142">
        <f t="shared" ca="1" si="17"/>
        <v>0</v>
      </c>
      <c r="AA142">
        <f t="shared" ca="1" si="15"/>
        <v>4.2762433482619215</v>
      </c>
    </row>
    <row r="143" spans="5:27" x14ac:dyDescent="0.3">
      <c r="E143">
        <f t="shared" ca="1" si="16"/>
        <v>3</v>
      </c>
      <c r="J143">
        <f t="shared" ca="1" si="14"/>
        <v>0.8</v>
      </c>
      <c r="V143">
        <f t="shared" ca="1" si="17"/>
        <v>0</v>
      </c>
      <c r="AA143">
        <f t="shared" ca="1" si="15"/>
        <v>2.4989597208329384</v>
      </c>
    </row>
    <row r="144" spans="5:27" x14ac:dyDescent="0.3">
      <c r="E144">
        <f t="shared" ca="1" si="16"/>
        <v>1</v>
      </c>
      <c r="J144">
        <f t="shared" ca="1" si="14"/>
        <v>3.2</v>
      </c>
      <c r="V144">
        <f t="shared" ca="1" si="17"/>
        <v>3</v>
      </c>
      <c r="AA144">
        <f t="shared" ca="1" si="15"/>
        <v>2.1639825672951489</v>
      </c>
    </row>
    <row r="145" spans="5:27" x14ac:dyDescent="0.3">
      <c r="E145">
        <f t="shared" ca="1" si="16"/>
        <v>5</v>
      </c>
      <c r="J145">
        <f t="shared" ca="1" si="14"/>
        <v>0</v>
      </c>
      <c r="V145">
        <f t="shared" ca="1" si="17"/>
        <v>0</v>
      </c>
      <c r="AA145">
        <f t="shared" ca="1" si="15"/>
        <v>0.62145675685959523</v>
      </c>
    </row>
    <row r="146" spans="5:27" x14ac:dyDescent="0.3">
      <c r="E146">
        <f t="shared" ca="1" si="16"/>
        <v>2</v>
      </c>
      <c r="J146">
        <f t="shared" ca="1" si="14"/>
        <v>1.8</v>
      </c>
      <c r="V146">
        <f t="shared" ca="1" si="17"/>
        <v>0</v>
      </c>
      <c r="AA146">
        <f t="shared" ca="1" si="15"/>
        <v>0.26445992251260542</v>
      </c>
    </row>
    <row r="147" spans="5:27" x14ac:dyDescent="0.3">
      <c r="E147">
        <f ca="1">F97-F96</f>
        <v>4</v>
      </c>
      <c r="J147">
        <f t="shared" ca="1" si="14"/>
        <v>0.2</v>
      </c>
      <c r="V147">
        <f t="shared" ca="1" si="17"/>
        <v>1</v>
      </c>
      <c r="AA147">
        <f t="shared" ca="1" si="15"/>
        <v>7.9779892358697513</v>
      </c>
    </row>
    <row r="151" spans="5:27" x14ac:dyDescent="0.3">
      <c r="E151">
        <f ca="1">SUM(J128:J147)</f>
        <v>29.2</v>
      </c>
      <c r="G151" t="str">
        <f ca="1">IF(E151&lt;=C128,"Test verificato","Test non verificato")</f>
        <v>Test verificato</v>
      </c>
      <c r="V151">
        <f ca="1">SUM(AA128:AA147)</f>
        <v>36.730703644880769</v>
      </c>
      <c r="X151" t="str">
        <f ca="1">IF(V151&lt;=T128,"Test verificato","Test non verificato")</f>
        <v>Test non verificato</v>
      </c>
    </row>
  </sheetData>
  <conditionalFormatting sqref="G5">
    <cfRule type="cellIs" dxfId="59" priority="7" operator="lessThan">
      <formula>5</formula>
    </cfRule>
    <cfRule type="cellIs" dxfId="58" priority="9" operator="equal">
      <formula>5</formula>
    </cfRule>
    <cfRule type="cellIs" dxfId="57" priority="10" operator="greaterThan">
      <formula>5</formula>
    </cfRule>
  </conditionalFormatting>
  <conditionalFormatting sqref="G64">
    <cfRule type="containsText" dxfId="56" priority="19" operator="containsText" text="non">
      <formula>NOT(ISERROR(SEARCH("non",G64)))</formula>
    </cfRule>
    <cfRule type="notContainsText" dxfId="55" priority="20" operator="notContains" text="non">
      <formula>ISERROR(SEARCH("non",G64))</formula>
    </cfRule>
  </conditionalFormatting>
  <conditionalFormatting sqref="G70">
    <cfRule type="cellIs" dxfId="54" priority="8" operator="lessThan">
      <formula>5</formula>
    </cfRule>
    <cfRule type="cellIs" dxfId="53" priority="11" operator="equal">
      <formula>5</formula>
    </cfRule>
    <cfRule type="cellIs" dxfId="52" priority="12" operator="greaterThan">
      <formula>5</formula>
    </cfRule>
  </conditionalFormatting>
  <conditionalFormatting sqref="G151">
    <cfRule type="containsText" dxfId="51" priority="15" operator="containsText" text="non">
      <formula>NOT(ISERROR(SEARCH("non",G151)))</formula>
    </cfRule>
    <cfRule type="notContainsText" dxfId="50" priority="16" operator="notContains" text="non">
      <formula>ISERROR(SEARCH("non",G151))</formula>
    </cfRule>
  </conditionalFormatting>
  <conditionalFormatting sqref="X64">
    <cfRule type="containsText" dxfId="49" priority="17" operator="containsText" text="non">
      <formula>NOT(ISERROR(SEARCH("non",X64)))</formula>
    </cfRule>
    <cfRule type="notContainsText" dxfId="48" priority="18" operator="notContains" text="non">
      <formula>ISERROR(SEARCH("non",X64))</formula>
    </cfRule>
  </conditionalFormatting>
  <conditionalFormatting sqref="X151">
    <cfRule type="containsText" dxfId="47" priority="13" operator="containsText" text="non">
      <formula>NOT(ISERROR(SEARCH("non",X151)))</formula>
    </cfRule>
    <cfRule type="notContainsText" dxfId="46" priority="14" operator="notContains" text="non">
      <formula>ISERROR(SEARCH("non",X151))</formula>
    </cfRule>
  </conditionalFormatting>
  <conditionalFormatting sqref="AI13:AI22">
    <cfRule type="cellIs" dxfId="45" priority="4" operator="equal">
      <formula>5</formula>
    </cfRule>
    <cfRule type="cellIs" dxfId="44" priority="5" operator="lessThan">
      <formula>5</formula>
    </cfRule>
    <cfRule type="cellIs" dxfId="43" priority="6" operator="greaterThan">
      <formula>5</formula>
    </cfRule>
  </conditionalFormatting>
  <conditionalFormatting sqref="AI78:AI97">
    <cfRule type="cellIs" dxfId="42" priority="1" operator="equal">
      <formula>5</formula>
    </cfRule>
    <cfRule type="cellIs" dxfId="41" priority="2" operator="greaterThan">
      <formula>5</formula>
    </cfRule>
    <cfRule type="cellIs" dxfId="40" priority="3" operator="less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FAD-122E-4405-AC87-FDE52D9C0F1B}">
  <dimension ref="A1:AJ151"/>
  <sheetViews>
    <sheetView zoomScale="74" zoomScaleNormal="80" workbookViewId="0">
      <selection activeCell="AE72" sqref="AE72"/>
    </sheetView>
  </sheetViews>
  <sheetFormatPr defaultRowHeight="14.4" x14ac:dyDescent="0.3"/>
  <cols>
    <col min="7" max="7" width="13.21875" customWidth="1"/>
    <col min="8" max="8" width="13.109375" customWidth="1"/>
    <col min="18" max="18" width="12.21875" customWidth="1"/>
    <col min="21" max="21" width="12.5546875" customWidth="1"/>
    <col min="24" max="24" width="16.21875" customWidth="1"/>
  </cols>
  <sheetData>
    <row r="1" spans="1:36" x14ac:dyDescent="0.3">
      <c r="A1" s="11" t="s">
        <v>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3" spans="1:36" x14ac:dyDescent="0.3">
      <c r="A3" s="17" t="s">
        <v>57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R3" s="17" t="s">
        <v>58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5" spans="1:36" x14ac:dyDescent="0.3">
      <c r="C5" s="30" t="s">
        <v>53</v>
      </c>
      <c r="D5">
        <f>1/10</f>
        <v>0.1</v>
      </c>
      <c r="F5" s="30" t="s">
        <v>68</v>
      </c>
      <c r="G5">
        <f>100*D5</f>
        <v>10</v>
      </c>
      <c r="R5" s="34" t="s">
        <v>55</v>
      </c>
      <c r="S5">
        <v>10</v>
      </c>
    </row>
    <row r="7" spans="1:36" x14ac:dyDescent="0.3">
      <c r="R7" s="34" t="s">
        <v>56</v>
      </c>
      <c r="S7" s="33"/>
      <c r="T7">
        <f ca="1">Esponenziale!$R$31</f>
        <v>1.986842572458865E-3</v>
      </c>
      <c r="V7" s="34" t="s">
        <v>24</v>
      </c>
      <c r="W7" s="33"/>
      <c r="X7">
        <f ca="1">(T8-T7)/S5</f>
        <v>2.9672763186888229</v>
      </c>
    </row>
    <row r="8" spans="1:36" x14ac:dyDescent="0.3">
      <c r="R8" s="34" t="s">
        <v>23</v>
      </c>
      <c r="S8" s="33"/>
      <c r="T8">
        <f ca="1">Esponenziale!$R$32</f>
        <v>29.674750029460689</v>
      </c>
    </row>
    <row r="11" spans="1:36" x14ac:dyDescent="0.3">
      <c r="A11" s="17" t="s">
        <v>25</v>
      </c>
      <c r="B11" s="17"/>
      <c r="C11" s="16"/>
      <c r="D11" s="16"/>
      <c r="F11" s="17" t="s">
        <v>52</v>
      </c>
      <c r="G11" s="16"/>
      <c r="H11" s="16"/>
      <c r="J11" s="22" t="s">
        <v>29</v>
      </c>
      <c r="K11" s="23"/>
      <c r="L11" s="23"/>
      <c r="N11" s="31" t="s">
        <v>30</v>
      </c>
      <c r="O11" s="32"/>
      <c r="P11" s="32"/>
      <c r="R11" s="17" t="s">
        <v>25</v>
      </c>
      <c r="S11" s="16"/>
      <c r="T11" s="16"/>
      <c r="V11" s="17" t="s">
        <v>52</v>
      </c>
      <c r="W11" s="16"/>
      <c r="X11" s="16"/>
      <c r="Y11" s="16"/>
      <c r="AA11" s="22" t="s">
        <v>29</v>
      </c>
      <c r="AB11" s="23"/>
      <c r="AC11" s="23"/>
      <c r="AE11" s="31" t="s">
        <v>30</v>
      </c>
      <c r="AF11" s="32"/>
      <c r="AG11" s="32"/>
      <c r="AI11" s="17" t="s">
        <v>69</v>
      </c>
      <c r="AJ11" s="17"/>
    </row>
    <row r="13" spans="1:36" x14ac:dyDescent="0.3">
      <c r="A13">
        <v>1</v>
      </c>
      <c r="B13">
        <f>-LN(1-$D$5*A13)/Esponenziale!$E$1</f>
        <v>0.42144206263130513</v>
      </c>
      <c r="F13">
        <f ca="1">COUNTIF(Esponenziale!$A$2:$A$101,"&lt;="&amp;B13)</f>
        <v>6</v>
      </c>
      <c r="J13">
        <f ca="1">F13/100</f>
        <v>0.06</v>
      </c>
      <c r="N13">
        <f>1-EXP(-Esponenziale!$E$1*'Test sulla forma per Exp'!B13)</f>
        <v>9.9999999999999978E-2</v>
      </c>
      <c r="R13">
        <f ca="1">T7+$X$7</f>
        <v>2.9692631612612819</v>
      </c>
      <c r="V13">
        <f ca="1">COUNTIF(Esponenziale!$A$2:$A$101,"&lt;="&amp;R13)</f>
        <v>45</v>
      </c>
      <c r="AA13">
        <f ca="1">V13/100</f>
        <v>0.45</v>
      </c>
      <c r="AE13">
        <f ca="1">1-EXP(-Esponenziale!$E$1*R13)-(1-EXP(-Esponenziale!$E$1*T7))</f>
        <v>0.52349311459454928</v>
      </c>
      <c r="AI13">
        <f ca="1">100*AE13</f>
        <v>52.349311459454931</v>
      </c>
    </row>
    <row r="14" spans="1:36" x14ac:dyDescent="0.3">
      <c r="A14">
        <f>A13+1</f>
        <v>2</v>
      </c>
      <c r="B14">
        <f>-LN(1-$D$5*A14)/Esponenziale!$E$1</f>
        <v>0.89257420525683884</v>
      </c>
      <c r="F14">
        <f ca="1">COUNTIF(Esponenziale!$A$2:$A$101,"&lt;="&amp;B14)</f>
        <v>12</v>
      </c>
      <c r="J14">
        <f ca="1">(F14-F13)/100</f>
        <v>0.06</v>
      </c>
      <c r="N14">
        <f>1-EXP(-Esponenziale!$E$1*'Test sulla forma per Exp'!B14)-(1-EXP(-Esponenziale!$E$1*'Test sulla forma per Exp'!B13))</f>
        <v>9.9999999999999978E-2</v>
      </c>
      <c r="R14">
        <f ca="1">R13+$X$7</f>
        <v>5.9365394799501043</v>
      </c>
      <c r="V14">
        <f ca="1">COUNTIF(Esponenziale!$A$2:$A$101,"&lt;="&amp;R14)</f>
        <v>72</v>
      </c>
      <c r="AA14">
        <f ca="1">(V14-V13)/100</f>
        <v>0.27</v>
      </c>
      <c r="AE14">
        <f ca="1">1-EXP(-Esponenziale!$E$1*R14)-(1-EXP(-Esponenziale!$E$1*R13))</f>
        <v>0.24931191866608116</v>
      </c>
      <c r="AI14">
        <f t="shared" ref="AI14:AI22" ca="1" si="0">100*AE14</f>
        <v>24.931191866608117</v>
      </c>
    </row>
    <row r="15" spans="1:36" x14ac:dyDescent="0.3">
      <c r="A15">
        <f t="shared" ref="A15:A22" si="1">A14+1</f>
        <v>3</v>
      </c>
      <c r="B15">
        <f>-LN(1-$D$5*A15)/Esponenziale!$E$1</f>
        <v>1.4266997757549298</v>
      </c>
      <c r="F15">
        <f ca="1">COUNTIF(Esponenziale!$A$2:$A$101,"&lt;="&amp;B15)</f>
        <v>24</v>
      </c>
      <c r="J15">
        <f t="shared" ref="J15:J22" ca="1" si="2">(F15-F14)/100</f>
        <v>0.12</v>
      </c>
      <c r="N15">
        <f>1-EXP(-Esponenziale!$E$1*'Test sulla forma per Exp'!B15)-(1-EXP(-Esponenziale!$E$1*'Test sulla forma per Exp'!B14))</f>
        <v>0.10000000000000009</v>
      </c>
      <c r="R15">
        <f t="shared" ref="R15:R22" ca="1" si="3">R14+$X$7</f>
        <v>8.9038157986389272</v>
      </c>
      <c r="V15">
        <f ca="1">COUNTIF(Esponenziale!$A$2:$A$101,"&lt;="&amp;R15)</f>
        <v>89</v>
      </c>
      <c r="AA15">
        <f t="shared" ref="AA15:AA22" ca="1" si="4">(V15-V14)/100</f>
        <v>0.17</v>
      </c>
      <c r="AE15">
        <f ca="1">1-EXP(-Esponenziale!$E$1*R15)-(1-EXP(-Esponenziale!$E$1*R14))</f>
        <v>0.11873400252284794</v>
      </c>
      <c r="AI15">
        <f t="shared" ca="1" si="0"/>
        <v>11.873400252284794</v>
      </c>
    </row>
    <row r="16" spans="1:36" x14ac:dyDescent="0.3">
      <c r="A16">
        <f t="shared" si="1"/>
        <v>4</v>
      </c>
      <c r="B16">
        <f>-LN(1-$D$5*A16)/Esponenziale!$E$1</f>
        <v>2.0433024950639629</v>
      </c>
      <c r="F16">
        <f ca="1">COUNTIF(Esponenziale!$A$2:$A$101,"&lt;="&amp;B16)</f>
        <v>31</v>
      </c>
      <c r="J16">
        <f t="shared" ca="1" si="2"/>
        <v>7.0000000000000007E-2</v>
      </c>
      <c r="N16">
        <f>1-EXP(-Esponenziale!$E$1*'Test sulla forma per Exp'!B16)-(1-EXP(-Esponenziale!$E$1*'Test sulla forma per Exp'!B15))</f>
        <v>9.9999999999999978E-2</v>
      </c>
      <c r="R16">
        <f t="shared" ca="1" si="3"/>
        <v>11.87109211732775</v>
      </c>
      <c r="V16">
        <f ca="1">COUNTIF(Esponenziale!$A$2:$A$101,"&lt;="&amp;R16)</f>
        <v>91</v>
      </c>
      <c r="AA16">
        <f t="shared" ca="1" si="4"/>
        <v>0.02</v>
      </c>
      <c r="AE16">
        <f ca="1">1-EXP(-Esponenziale!$E$1*R16)-(1-EXP(-Esponenziale!$E$1*R15))</f>
        <v>5.654668830324816E-2</v>
      </c>
      <c r="AI16">
        <f t="shared" ca="1" si="0"/>
        <v>5.654668830324816</v>
      </c>
    </row>
    <row r="17" spans="1:35" x14ac:dyDescent="0.3">
      <c r="A17">
        <f t="shared" si="1"/>
        <v>5</v>
      </c>
      <c r="B17">
        <f>-LN(1-$D$5*A17)/Esponenziale!$E$1</f>
        <v>2.7725887222397811</v>
      </c>
      <c r="F17">
        <f ca="1">COUNTIF(Esponenziale!$A$2:$A$101,"&lt;="&amp;B17)</f>
        <v>41</v>
      </c>
      <c r="J17">
        <f t="shared" ca="1" si="2"/>
        <v>0.1</v>
      </c>
      <c r="N17">
        <f>1-EXP(-Esponenziale!$E$1*'Test sulla forma per Exp'!B17)-(1-EXP(-Esponenziale!$E$1*'Test sulla forma per Exp'!B16))</f>
        <v>9.9999999999999978E-2</v>
      </c>
      <c r="R17">
        <f t="shared" ca="1" si="3"/>
        <v>14.838368436016573</v>
      </c>
      <c r="V17">
        <f ca="1">COUNTIF(Esponenziale!$A$2:$A$101,"&lt;="&amp;R17)</f>
        <v>97</v>
      </c>
      <c r="AA17">
        <f t="shared" ca="1" si="4"/>
        <v>0.06</v>
      </c>
      <c r="AE17">
        <f ca="1">1-EXP(-Esponenziale!$E$1*R17)-(1-EXP(-Esponenziale!$E$1*R16))</f>
        <v>2.6930179140970179E-2</v>
      </c>
      <c r="AI17">
        <f t="shared" ca="1" si="0"/>
        <v>2.6930179140970179</v>
      </c>
    </row>
    <row r="18" spans="1:35" x14ac:dyDescent="0.3">
      <c r="A18">
        <f t="shared" si="1"/>
        <v>6</v>
      </c>
      <c r="B18">
        <f>-LN(1-$D$5*A18)/Esponenziale!$E$1</f>
        <v>3.6651629274966213</v>
      </c>
      <c r="F18">
        <f ca="1">COUNTIF(Esponenziale!$A$2:$A$101,"&lt;="&amp;B18)</f>
        <v>54</v>
      </c>
      <c r="J18">
        <f t="shared" ca="1" si="2"/>
        <v>0.13</v>
      </c>
      <c r="N18">
        <f>1-EXP(-Esponenziale!$E$1*'Test sulla forma per Exp'!B18)-(1-EXP(-Esponenziale!$E$1*'Test sulla forma per Exp'!B17))</f>
        <v>0.10000000000000009</v>
      </c>
      <c r="R18">
        <f t="shared" ca="1" si="3"/>
        <v>17.805644754705398</v>
      </c>
      <c r="V18">
        <f ca="1">COUNTIF(Esponenziale!$A$2:$A$101,"&lt;="&amp;R18)</f>
        <v>98</v>
      </c>
      <c r="AA18">
        <f t="shared" ca="1" si="4"/>
        <v>0.01</v>
      </c>
      <c r="AE18">
        <f ca="1">1-EXP(-Esponenziale!$E$1*R18)-(1-EXP(-Esponenziale!$E$1*R17))</f>
        <v>1.2825411537373599E-2</v>
      </c>
      <c r="AI18">
        <f t="shared" ca="1" si="0"/>
        <v>1.2825411537373599</v>
      </c>
    </row>
    <row r="19" spans="1:35" x14ac:dyDescent="0.3">
      <c r="A19">
        <f t="shared" si="1"/>
        <v>7</v>
      </c>
      <c r="B19">
        <f>-LN(1-$D$5*A19)/Esponenziale!$E$1</f>
        <v>4.8158912173037445</v>
      </c>
      <c r="F19">
        <f ca="1">COUNTIF(Esponenziale!$A$2:$A$101,"&lt;="&amp;B19)</f>
        <v>64</v>
      </c>
      <c r="J19">
        <f t="shared" ca="1" si="2"/>
        <v>0.1</v>
      </c>
      <c r="N19">
        <f>1-EXP(-Esponenziale!$E$1*'Test sulla forma per Exp'!B19)-(1-EXP(-Esponenziale!$E$1*'Test sulla forma per Exp'!B18))</f>
        <v>9.9999999999999867E-2</v>
      </c>
      <c r="R19">
        <f t="shared" ca="1" si="3"/>
        <v>20.772921073394222</v>
      </c>
      <c r="V19">
        <f ca="1">COUNTIF(Esponenziale!$A$2:$A$101,"&lt;="&amp;R19)</f>
        <v>99</v>
      </c>
      <c r="AA19">
        <f t="shared" ca="1" si="4"/>
        <v>0.01</v>
      </c>
      <c r="AE19">
        <f ca="1">1-EXP(-Esponenziale!$E$1*R19)-(1-EXP(-Esponenziale!$E$1*R18))</f>
        <v>6.1080611548085528E-3</v>
      </c>
      <c r="AI19">
        <f t="shared" ca="1" si="0"/>
        <v>0.61080611548085528</v>
      </c>
    </row>
    <row r="20" spans="1:35" x14ac:dyDescent="0.3">
      <c r="A20">
        <f t="shared" si="1"/>
        <v>8</v>
      </c>
      <c r="B20">
        <f>-LN(1-$D$5*A20)/Esponenziale!$E$1</f>
        <v>6.437751649736402</v>
      </c>
      <c r="F20">
        <f ca="1">COUNTIF(Esponenziale!$A$2:$A$101,"&lt;="&amp;B20)</f>
        <v>76</v>
      </c>
      <c r="J20">
        <f t="shared" ca="1" si="2"/>
        <v>0.12</v>
      </c>
      <c r="N20">
        <f>1-EXP(-Esponenziale!$E$1*'Test sulla forma per Exp'!B20)-(1-EXP(-Esponenziale!$E$1*'Test sulla forma per Exp'!B19))</f>
        <v>0.10000000000000009</v>
      </c>
      <c r="R20">
        <f t="shared" ca="1" si="3"/>
        <v>23.740197392083047</v>
      </c>
      <c r="V20">
        <f ca="1">COUNTIF(Esponenziale!$A$2:$A$101,"&lt;="&amp;R20)</f>
        <v>99</v>
      </c>
      <c r="AA20">
        <f t="shared" ca="1" si="4"/>
        <v>0</v>
      </c>
      <c r="AE20">
        <f ca="1">1-EXP(-Esponenziale!$E$1*R20)-(1-EXP(-Esponenziale!$E$1*R19))</f>
        <v>2.9089445560607219E-3</v>
      </c>
      <c r="AI20">
        <f t="shared" ca="1" si="0"/>
        <v>0.29089445560607219</v>
      </c>
    </row>
    <row r="21" spans="1:35" x14ac:dyDescent="0.3">
      <c r="A21">
        <f t="shared" si="1"/>
        <v>9</v>
      </c>
      <c r="B21">
        <f>-LN(1-$D$5*A21)/Esponenziale!$E$1</f>
        <v>9.2103403719761836</v>
      </c>
      <c r="F21">
        <f ca="1">COUNTIF(Esponenziale!$A$2:$A$101,"&lt;="&amp;B21)</f>
        <v>89</v>
      </c>
      <c r="J21">
        <f t="shared" ca="1" si="2"/>
        <v>0.13</v>
      </c>
      <c r="N21">
        <f>1-EXP(-Esponenziale!$E$1*'Test sulla forma per Exp'!B21)-(1-EXP(-Esponenziale!$E$1*'Test sulla forma per Exp'!B20))</f>
        <v>9.9999999999999978E-2</v>
      </c>
      <c r="R21">
        <f t="shared" ca="1" si="3"/>
        <v>26.707473710771872</v>
      </c>
      <c r="V21">
        <f ca="1">COUNTIF(Esponenziale!$A$2:$A$101,"&lt;="&amp;R21)</f>
        <v>99</v>
      </c>
      <c r="AA21">
        <f t="shared" ca="1" si="4"/>
        <v>0</v>
      </c>
      <c r="AE21">
        <f ca="1">1-EXP(-Esponenziale!$E$1*R21)-(1-EXP(-Esponenziale!$E$1*R20))</f>
        <v>1.3853755251899136E-3</v>
      </c>
      <c r="AI21">
        <f t="shared" ca="1" si="0"/>
        <v>0.13853755251899136</v>
      </c>
    </row>
    <row r="22" spans="1:35" x14ac:dyDescent="0.3">
      <c r="A22">
        <f t="shared" si="1"/>
        <v>10</v>
      </c>
      <c r="B22" t="s">
        <v>54</v>
      </c>
      <c r="F22">
        <v>100</v>
      </c>
      <c r="J22">
        <f t="shared" ca="1" si="2"/>
        <v>0.11</v>
      </c>
      <c r="N22">
        <f>EXP(-Esponenziale!$E$1*'Test sulla forma per Exp'!B21)</f>
        <v>9.9999999999999978E-2</v>
      </c>
      <c r="R22">
        <f t="shared" ca="1" si="3"/>
        <v>29.674750029460697</v>
      </c>
      <c r="V22">
        <f ca="1">COUNTIF(Esponenziale!$A$2:$A$101,"&lt;="&amp;R22)</f>
        <v>100</v>
      </c>
      <c r="AA22">
        <f t="shared" ca="1" si="4"/>
        <v>0.01</v>
      </c>
      <c r="AE22">
        <f ca="1">1-EXP(-Esponenziale!$E$1*R22)-(1-EXP(-Esponenziale!$E$1*R21))</f>
        <v>6.5978065542593445E-4</v>
      </c>
      <c r="AI22">
        <f t="shared" ca="1" si="0"/>
        <v>6.5978065542593445E-2</v>
      </c>
    </row>
    <row r="46" spans="1:36" x14ac:dyDescent="0.3">
      <c r="Q46" s="25"/>
    </row>
    <row r="47" spans="1:36" x14ac:dyDescent="0.3">
      <c r="A47" s="37" t="s">
        <v>60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8"/>
      <c r="Q47" s="39"/>
      <c r="R47" s="37" t="s">
        <v>60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9" spans="1:30" x14ac:dyDescent="0.3">
      <c r="A49" s="35" t="s">
        <v>59</v>
      </c>
      <c r="B49">
        <v>0.05</v>
      </c>
      <c r="E49" s="17" t="s">
        <v>61</v>
      </c>
      <c r="F49" s="16"/>
      <c r="G49" s="16"/>
      <c r="H49" s="16"/>
      <c r="J49" s="17" t="s">
        <v>62</v>
      </c>
      <c r="K49" s="16"/>
      <c r="L49" s="16"/>
      <c r="R49" s="35" t="s">
        <v>59</v>
      </c>
      <c r="S49">
        <v>0.05</v>
      </c>
      <c r="V49" s="17" t="s">
        <v>63</v>
      </c>
      <c r="W49" s="16"/>
      <c r="X49" s="16"/>
      <c r="Y49" s="16"/>
      <c r="Z49" s="16"/>
      <c r="AB49" s="17" t="s">
        <v>62</v>
      </c>
      <c r="AC49" s="16"/>
      <c r="AD49" s="16"/>
    </row>
    <row r="51" spans="1:30" x14ac:dyDescent="0.3">
      <c r="C51">
        <f>_xlfn.CHISQ.INV(1-B49,9)</f>
        <v>16.918977604620448</v>
      </c>
      <c r="E51">
        <f ca="1">F13</f>
        <v>6</v>
      </c>
      <c r="J51">
        <f ca="1">((E51-100*$D$5)^2)/(100*$D$5)</f>
        <v>1.6</v>
      </c>
      <c r="V51">
        <f ca="1">V13</f>
        <v>45</v>
      </c>
      <c r="AB51">
        <f ca="1">((V51-100*AE13)^2)/(100*AE13)</f>
        <v>1.0317686598401337</v>
      </c>
    </row>
    <row r="52" spans="1:30" x14ac:dyDescent="0.3">
      <c r="E52">
        <f ca="1">F14-F13</f>
        <v>6</v>
      </c>
      <c r="J52">
        <f t="shared" ref="J52:J60" ca="1" si="5">((E52-100*$D$5)^2)/(100*$D$5)</f>
        <v>1.6</v>
      </c>
      <c r="T52">
        <f>_xlfn.CHISQ.INV(1-S49,9)</f>
        <v>16.918977604620448</v>
      </c>
      <c r="V52">
        <f ca="1">V14-V13</f>
        <v>27</v>
      </c>
      <c r="AB52">
        <f t="shared" ref="AB52:AB60" ca="1" si="6">((V52-100*AE14)^2)/(100*AE14)</f>
        <v>0.17167117864592873</v>
      </c>
    </row>
    <row r="53" spans="1:30" x14ac:dyDescent="0.3">
      <c r="E53">
        <f t="shared" ref="E53:E60" ca="1" si="7">F15-F14</f>
        <v>12</v>
      </c>
      <c r="J53">
        <f t="shared" ca="1" si="5"/>
        <v>0.4</v>
      </c>
      <c r="V53">
        <f t="shared" ref="V53:V60" ca="1" si="8">V15-V14</f>
        <v>17</v>
      </c>
      <c r="AB53">
        <f t="shared" ca="1" si="6"/>
        <v>2.2135213514945873</v>
      </c>
    </row>
    <row r="54" spans="1:30" x14ac:dyDescent="0.3">
      <c r="E54">
        <f t="shared" ca="1" si="7"/>
        <v>7</v>
      </c>
      <c r="J54">
        <f t="shared" ca="1" si="5"/>
        <v>0.9</v>
      </c>
      <c r="V54">
        <f t="shared" ca="1" si="8"/>
        <v>2</v>
      </c>
      <c r="AB54">
        <f t="shared" ca="1" si="6"/>
        <v>2.3620488944850422</v>
      </c>
    </row>
    <row r="55" spans="1:30" x14ac:dyDescent="0.3">
      <c r="E55">
        <f t="shared" ca="1" si="7"/>
        <v>10</v>
      </c>
      <c r="J55">
        <f t="shared" ca="1" si="5"/>
        <v>0</v>
      </c>
      <c r="V55">
        <f t="shared" ca="1" si="8"/>
        <v>6</v>
      </c>
      <c r="AB55">
        <f t="shared" ca="1" si="6"/>
        <v>4.0609200775220904</v>
      </c>
    </row>
    <row r="56" spans="1:30" x14ac:dyDescent="0.3">
      <c r="E56">
        <f t="shared" ca="1" si="7"/>
        <v>13</v>
      </c>
      <c r="J56">
        <f t="shared" ca="1" si="5"/>
        <v>0.9</v>
      </c>
      <c r="V56">
        <f t="shared" ca="1" si="8"/>
        <v>1</v>
      </c>
      <c r="AB56">
        <f t="shared" ca="1" si="6"/>
        <v>6.2243229640322327E-2</v>
      </c>
    </row>
    <row r="57" spans="1:30" x14ac:dyDescent="0.3">
      <c r="E57">
        <f t="shared" ca="1" si="7"/>
        <v>10</v>
      </c>
      <c r="J57">
        <f t="shared" ca="1" si="5"/>
        <v>0</v>
      </c>
      <c r="V57">
        <f t="shared" ca="1" si="8"/>
        <v>1</v>
      </c>
      <c r="AB57">
        <f t="shared" ca="1" si="6"/>
        <v>0.24798684215506842</v>
      </c>
    </row>
    <row r="58" spans="1:30" x14ac:dyDescent="0.3">
      <c r="E58">
        <f t="shared" ca="1" si="7"/>
        <v>12</v>
      </c>
      <c r="J58">
        <f t="shared" ca="1" si="5"/>
        <v>0.4</v>
      </c>
      <c r="V58">
        <f t="shared" ca="1" si="8"/>
        <v>0</v>
      </c>
      <c r="AB58">
        <f t="shared" ca="1" si="6"/>
        <v>0.29089445560607219</v>
      </c>
    </row>
    <row r="59" spans="1:30" x14ac:dyDescent="0.3">
      <c r="E59">
        <f t="shared" ca="1" si="7"/>
        <v>13</v>
      </c>
      <c r="J59">
        <f t="shared" ca="1" si="5"/>
        <v>0.9</v>
      </c>
      <c r="V59">
        <f t="shared" ca="1" si="8"/>
        <v>0</v>
      </c>
      <c r="AB59">
        <f t="shared" ca="1" si="6"/>
        <v>0.13853755251899136</v>
      </c>
    </row>
    <row r="60" spans="1:30" x14ac:dyDescent="0.3">
      <c r="E60">
        <f t="shared" ca="1" si="7"/>
        <v>11</v>
      </c>
      <c r="J60">
        <f t="shared" ca="1" si="5"/>
        <v>0.1</v>
      </c>
      <c r="V60">
        <f t="shared" ca="1" si="8"/>
        <v>1</v>
      </c>
      <c r="AB60">
        <f t="shared" ca="1" si="6"/>
        <v>13.222530349641167</v>
      </c>
    </row>
    <row r="64" spans="1:30" x14ac:dyDescent="0.3">
      <c r="E64">
        <f ca="1">SUM(J51:J60)</f>
        <v>6.8000000000000007</v>
      </c>
      <c r="G64" t="str">
        <f ca="1">IF(E64&lt;=C51,"Test verificato","Test non verificato")</f>
        <v>Test verificato</v>
      </c>
      <c r="V64">
        <f ca="1">SUM(AB51:AB60)</f>
        <v>23.802122591549402</v>
      </c>
      <c r="X64" t="str">
        <f ca="1">IF(V64&lt;=T52,"Test verificato","Test non verificato")</f>
        <v>Test non verificato</v>
      </c>
    </row>
    <row r="68" spans="1:36" x14ac:dyDescent="0.3">
      <c r="A68" s="17" t="s">
        <v>64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R68" s="17" t="s">
        <v>65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70" spans="1:36" x14ac:dyDescent="0.3">
      <c r="C70" s="30" t="s">
        <v>53</v>
      </c>
      <c r="D70">
        <f>1/20</f>
        <v>0.05</v>
      </c>
      <c r="F70" s="30" t="s">
        <v>68</v>
      </c>
      <c r="G70">
        <f>100*D70</f>
        <v>5</v>
      </c>
      <c r="R70" s="34" t="s">
        <v>55</v>
      </c>
      <c r="S70">
        <v>20</v>
      </c>
    </row>
    <row r="72" spans="1:36" x14ac:dyDescent="0.3">
      <c r="R72" s="34" t="s">
        <v>56</v>
      </c>
      <c r="S72" s="33"/>
      <c r="T72">
        <f ca="1">Esponenziale!$R$31</f>
        <v>1.986842572458865E-3</v>
      </c>
      <c r="V72" s="34" t="s">
        <v>24</v>
      </c>
      <c r="W72" s="33"/>
      <c r="X72">
        <f ca="1">(T73-T72)/S70</f>
        <v>1.4836381593444115</v>
      </c>
    </row>
    <row r="73" spans="1:36" x14ac:dyDescent="0.3">
      <c r="R73" s="34" t="s">
        <v>23</v>
      </c>
      <c r="S73" s="33"/>
      <c r="T73">
        <f ca="1">Esponenziale!$R$32</f>
        <v>29.674750029460689</v>
      </c>
    </row>
    <row r="76" spans="1:36" x14ac:dyDescent="0.3">
      <c r="A76" s="17" t="s">
        <v>25</v>
      </c>
      <c r="B76" s="17"/>
      <c r="C76" s="16"/>
      <c r="D76" s="16"/>
      <c r="F76" s="17" t="s">
        <v>52</v>
      </c>
      <c r="G76" s="16"/>
      <c r="H76" s="16"/>
      <c r="J76" s="22" t="s">
        <v>29</v>
      </c>
      <c r="K76" s="23"/>
      <c r="L76" s="23"/>
      <c r="N76" s="31" t="s">
        <v>30</v>
      </c>
      <c r="O76" s="32"/>
      <c r="P76" s="32"/>
      <c r="R76" s="17" t="s">
        <v>25</v>
      </c>
      <c r="S76" s="16"/>
      <c r="T76" s="16"/>
      <c r="V76" s="17" t="s">
        <v>52</v>
      </c>
      <c r="W76" s="16"/>
      <c r="X76" s="16"/>
      <c r="Y76" s="16"/>
      <c r="AA76" s="22" t="s">
        <v>29</v>
      </c>
      <c r="AB76" s="23"/>
      <c r="AC76" s="23"/>
      <c r="AE76" s="31" t="s">
        <v>30</v>
      </c>
      <c r="AF76" s="32"/>
      <c r="AG76" s="32"/>
      <c r="AI76" s="17" t="s">
        <v>69</v>
      </c>
      <c r="AJ76" s="16"/>
    </row>
    <row r="78" spans="1:36" x14ac:dyDescent="0.3">
      <c r="A78">
        <v>1</v>
      </c>
      <c r="B78">
        <f>-LN(1-$D$70*A78)/Esponenziale!$E$1</f>
        <v>0.20517317755020231</v>
      </c>
      <c r="F78">
        <f ca="1">COUNTIF(Esponenziale!$A$2:$A$101,"&lt;="&amp;'Test sulla forma per Exp'!B78)</f>
        <v>4</v>
      </c>
      <c r="J78">
        <f ca="1">F78/100</f>
        <v>0.04</v>
      </c>
      <c r="N78">
        <f>1-EXP(-Esponenziale!$E$1*'Test sulla forma per Exp'!B78)</f>
        <v>5.0000000000000044E-2</v>
      </c>
      <c r="R78">
        <f ca="1">T72+X72</f>
        <v>1.4856250019168704</v>
      </c>
      <c r="V78">
        <f ca="1">COUNTIF(Esponenziale!$A$2:$A$101,"&lt;="&amp;R78)</f>
        <v>24</v>
      </c>
      <c r="AA78">
        <f ca="1">V78/100</f>
        <v>0.24</v>
      </c>
      <c r="AE78">
        <f ca="1">1-EXP(-Esponenziale!$E$1*R78)-(1-EXP(-Esponenziale!$E$1*T72))</f>
        <v>0.30973974488581812</v>
      </c>
      <c r="AI78">
        <f ca="1">100*AE78</f>
        <v>30.973974488581813</v>
      </c>
    </row>
    <row r="79" spans="1:36" x14ac:dyDescent="0.3">
      <c r="A79">
        <f>A78+1</f>
        <v>2</v>
      </c>
      <c r="B79">
        <f>-LN(1-$D$70*A79)/Esponenziale!$E$1</f>
        <v>0.42144206263130513</v>
      </c>
      <c r="F79">
        <f ca="1">COUNTIF(Esponenziale!$A$2:$A$101,"&lt;="&amp;'Test sulla forma per Exp'!B79)</f>
        <v>6</v>
      </c>
      <c r="J79">
        <f ca="1">(F79-F78)/100</f>
        <v>0.02</v>
      </c>
      <c r="N79">
        <f>1-EXP(-Esponenziale!$E$1*'Test sulla forma per Exp'!B79)-(1-EXP(-Esponenziale!$E$1*'Test sulla forma per Exp'!B78))</f>
        <v>4.9999999999999933E-2</v>
      </c>
      <c r="R79">
        <f ca="1">R78+$X$72</f>
        <v>2.9692631612612819</v>
      </c>
      <c r="V79">
        <f ca="1">COUNTIF(Esponenziale!$A$2:$A$101,"&lt;="&amp;R79)</f>
        <v>45</v>
      </c>
      <c r="AA79">
        <f ca="1">(V79-V78)/100</f>
        <v>0.21</v>
      </c>
      <c r="AE79">
        <f ca="1">1-EXP(-Esponenziale!$E$1*R79)-(1-EXP(-Esponenziale!$E$1*R78))</f>
        <v>0.21375336970873116</v>
      </c>
      <c r="AI79">
        <f t="shared" ref="AI79:AI97" ca="1" si="9">100*AE79</f>
        <v>21.375336970873114</v>
      </c>
    </row>
    <row r="80" spans="1:36" x14ac:dyDescent="0.3">
      <c r="A80">
        <f t="shared" ref="A80:A97" si="10">A79+1</f>
        <v>3</v>
      </c>
      <c r="B80">
        <f>-LN(1-$D$70*A80)/Esponenziale!$E$1</f>
        <v>0.65007571799109976</v>
      </c>
      <c r="F80">
        <f ca="1">COUNTIF(Esponenziale!$A$2:$A$101,"&lt;="&amp;'Test sulla forma per Exp'!B80)</f>
        <v>11</v>
      </c>
      <c r="J80">
        <f t="shared" ref="J80:J97" ca="1" si="11">(F80-F79)/100</f>
        <v>0.05</v>
      </c>
      <c r="N80">
        <f>1-EXP(-Esponenziale!$E$1*'Test sulla forma per Exp'!B80)-(1-EXP(-Esponenziale!$E$1*'Test sulla forma per Exp'!B79))</f>
        <v>5.0000000000000044E-2</v>
      </c>
      <c r="R80">
        <f t="shared" ref="R80:R97" ca="1" si="12">R79+$X$72</f>
        <v>4.4529013206056938</v>
      </c>
      <c r="V80">
        <f ca="1">COUNTIF(Esponenziale!$A$2:$A$101,"&lt;="&amp;R80)</f>
        <v>62</v>
      </c>
      <c r="AA80">
        <f t="shared" ref="AA80:AA97" ca="1" si="13">(V80-V79)/100</f>
        <v>0.17</v>
      </c>
      <c r="AE80">
        <f ca="1">1-EXP(-Esponenziale!$E$1*R80)-(1-EXP(-Esponenziale!$E$1*R79))</f>
        <v>0.14751256116221312</v>
      </c>
      <c r="AI80">
        <f t="shared" ca="1" si="9"/>
        <v>14.751256116221311</v>
      </c>
    </row>
    <row r="81" spans="1:35" x14ac:dyDescent="0.3">
      <c r="A81">
        <f t="shared" si="10"/>
        <v>4</v>
      </c>
      <c r="B81">
        <f>-LN(1-$D$70*A81)/Esponenziale!$E$1</f>
        <v>0.89257420525683884</v>
      </c>
      <c r="F81">
        <f ca="1">COUNTIF(Esponenziale!$A$2:$A$101,"&lt;="&amp;'Test sulla forma per Exp'!B81)</f>
        <v>12</v>
      </c>
      <c r="J81">
        <f t="shared" ca="1" si="11"/>
        <v>0.01</v>
      </c>
      <c r="N81">
        <f>1-EXP(-Esponenziale!$E$1*'Test sulla forma per Exp'!B81)-(1-EXP(-Esponenziale!$E$1*'Test sulla forma per Exp'!B80))</f>
        <v>4.9999999999999933E-2</v>
      </c>
      <c r="R81">
        <f t="shared" ca="1" si="12"/>
        <v>5.9365394799501052</v>
      </c>
      <c r="V81">
        <f ca="1">COUNTIF(Esponenziale!$A$2:$A$101,"&lt;="&amp;R81)</f>
        <v>72</v>
      </c>
      <c r="AA81">
        <f t="shared" ca="1" si="13"/>
        <v>0.1</v>
      </c>
      <c r="AE81">
        <f ca="1">1-EXP(-Esponenziale!$E$1*R81)-(1-EXP(-Esponenziale!$E$1*R80))</f>
        <v>0.10179935750386815</v>
      </c>
      <c r="AI81">
        <f t="shared" ca="1" si="9"/>
        <v>10.179935750386814</v>
      </c>
    </row>
    <row r="82" spans="1:35" x14ac:dyDescent="0.3">
      <c r="A82">
        <f t="shared" si="10"/>
        <v>5</v>
      </c>
      <c r="B82">
        <f>-LN(1-$D$70*A82)/Esponenziale!$E$1</f>
        <v>1.1507282898071236</v>
      </c>
      <c r="F82">
        <f ca="1">COUNTIF(Esponenziale!$A$2:$A$101,"&lt;="&amp;'Test sulla forma per Exp'!B82)</f>
        <v>15</v>
      </c>
      <c r="J82">
        <f t="shared" ca="1" si="11"/>
        <v>0.03</v>
      </c>
      <c r="N82">
        <f>1-EXP(-Esponenziale!$E$1*'Test sulla forma per Exp'!B82)-(1-EXP(-Esponenziale!$E$1*'Test sulla forma per Exp'!B81))</f>
        <v>5.0000000000000044E-2</v>
      </c>
      <c r="R82">
        <f t="shared" ca="1" si="12"/>
        <v>7.4201776392945167</v>
      </c>
      <c r="V82">
        <f ca="1">COUNTIF(Esponenziale!$A$2:$A$101,"&lt;="&amp;R82)</f>
        <v>84</v>
      </c>
      <c r="AA82">
        <f t="shared" ca="1" si="13"/>
        <v>0.12</v>
      </c>
      <c r="AE82">
        <f ca="1">1-EXP(-Esponenziale!$E$1*R82)-(1-EXP(-Esponenziale!$E$1*R81))</f>
        <v>7.0252384654921118E-2</v>
      </c>
      <c r="AI82">
        <f t="shared" ca="1" si="9"/>
        <v>7.0252384654921123</v>
      </c>
    </row>
    <row r="83" spans="1:35" x14ac:dyDescent="0.3">
      <c r="A83">
        <f t="shared" si="10"/>
        <v>6</v>
      </c>
      <c r="B83">
        <f>-LN(1-$D$70*A83)/Esponenziale!$E$1</f>
        <v>1.4266997757549298</v>
      </c>
      <c r="F83">
        <f ca="1">COUNTIF(Esponenziale!$A$2:$A$101,"&lt;="&amp;'Test sulla forma per Exp'!B83)</f>
        <v>24</v>
      </c>
      <c r="J83">
        <f t="shared" ca="1" si="11"/>
        <v>0.09</v>
      </c>
      <c r="N83">
        <f>1-EXP(-Esponenziale!$E$1*'Test sulla forma per Exp'!B83)-(1-EXP(-Esponenziale!$E$1*'Test sulla forma per Exp'!B82))</f>
        <v>5.0000000000000044E-2</v>
      </c>
      <c r="R83">
        <f t="shared" ca="1" si="12"/>
        <v>8.9038157986389272</v>
      </c>
      <c r="V83">
        <f ca="1">COUNTIF(Esponenziale!$A$2:$A$101,"&lt;="&amp;R83)</f>
        <v>89</v>
      </c>
      <c r="AA83">
        <f t="shared" ca="1" si="13"/>
        <v>0.05</v>
      </c>
      <c r="AE83">
        <f ca="1">1-EXP(-Esponenziale!$E$1*R83)-(1-EXP(-Esponenziale!$E$1*R82))</f>
        <v>4.8481617867926707E-2</v>
      </c>
      <c r="AI83">
        <f t="shared" ca="1" si="9"/>
        <v>4.8481617867926712</v>
      </c>
    </row>
    <row r="84" spans="1:35" x14ac:dyDescent="0.3">
      <c r="A84">
        <f t="shared" si="10"/>
        <v>7</v>
      </c>
      <c r="B84">
        <f>-LN(1-$D$70*A84)/Esponenziale!$E$1</f>
        <v>1.7231316643698176</v>
      </c>
      <c r="F84">
        <f ca="1">COUNTIF(Esponenziale!$A$2:$A$101,"&lt;="&amp;'Test sulla forma per Exp'!B84)</f>
        <v>26</v>
      </c>
      <c r="J84">
        <f t="shared" ca="1" si="11"/>
        <v>0.02</v>
      </c>
      <c r="N84">
        <f>1-EXP(-Esponenziale!$E$1*'Test sulla forma per Exp'!B84)-(1-EXP(-Esponenziale!$E$1*'Test sulla forma per Exp'!B83))</f>
        <v>5.0000000000000044E-2</v>
      </c>
      <c r="R84">
        <f t="shared" ca="1" si="12"/>
        <v>10.38745395798334</v>
      </c>
      <c r="V84">
        <f ca="1">COUNTIF(Esponenziale!$A$2:$A$101,"&lt;="&amp;R84)</f>
        <v>90</v>
      </c>
      <c r="AA84">
        <f t="shared" ca="1" si="13"/>
        <v>0.01</v>
      </c>
      <c r="AE84">
        <f ca="1">1-EXP(-Esponenziale!$E$1*R84)-(1-EXP(-Esponenziale!$E$1*R83))</f>
        <v>3.3457473118345349E-2</v>
      </c>
      <c r="AI84">
        <f t="shared" ca="1" si="9"/>
        <v>3.3457473118345349</v>
      </c>
    </row>
    <row r="85" spans="1:35" x14ac:dyDescent="0.3">
      <c r="A85">
        <f t="shared" si="10"/>
        <v>8</v>
      </c>
      <c r="B85">
        <f>-LN(1-$D$70*A85)/Esponenziale!$E$1</f>
        <v>2.0433024950639629</v>
      </c>
      <c r="F85">
        <f ca="1">COUNTIF(Esponenziale!$A$2:$A$101,"&lt;="&amp;'Test sulla forma per Exp'!B85)</f>
        <v>31</v>
      </c>
      <c r="J85">
        <f t="shared" ca="1" si="11"/>
        <v>0.05</v>
      </c>
      <c r="N85">
        <f>1-EXP(-Esponenziale!$E$1*'Test sulla forma per Exp'!B85)-(1-EXP(-Esponenziale!$E$1*'Test sulla forma per Exp'!B84))</f>
        <v>4.9999999999999933E-2</v>
      </c>
      <c r="R85">
        <f t="shared" ca="1" si="12"/>
        <v>11.871092117327752</v>
      </c>
      <c r="V85">
        <f ca="1">COUNTIF(Esponenziale!$A$2:$A$101,"&lt;="&amp;R85)</f>
        <v>91</v>
      </c>
      <c r="AA85">
        <f t="shared" ca="1" si="13"/>
        <v>0.01</v>
      </c>
      <c r="AE85">
        <f ca="1">1-EXP(-Esponenziale!$E$1*R85)-(1-EXP(-Esponenziale!$E$1*R84))</f>
        <v>2.3089215184902812E-2</v>
      </c>
      <c r="AI85">
        <f t="shared" ca="1" si="9"/>
        <v>2.3089215184902812</v>
      </c>
    </row>
    <row r="86" spans="1:35" x14ac:dyDescent="0.3">
      <c r="A86">
        <f t="shared" si="10"/>
        <v>9</v>
      </c>
      <c r="B86">
        <f>-LN(1-$D$70*A86)/Esponenziale!$E$1</f>
        <v>2.3913480030224816</v>
      </c>
      <c r="F86">
        <f ca="1">COUNTIF(Esponenziale!$A$2:$A$101,"&lt;="&amp;'Test sulla forma per Exp'!B86)</f>
        <v>37</v>
      </c>
      <c r="J86">
        <f t="shared" ca="1" si="11"/>
        <v>0.06</v>
      </c>
      <c r="N86">
        <f>1-EXP(-Esponenziale!$E$1*'Test sulla forma per Exp'!B86)-(1-EXP(-Esponenziale!$E$1*'Test sulla forma per Exp'!B85))</f>
        <v>4.9999999999999933E-2</v>
      </c>
      <c r="R86">
        <f t="shared" ca="1" si="12"/>
        <v>13.354730276672164</v>
      </c>
      <c r="V86">
        <f ca="1">COUNTIF(Esponenziale!$A$2:$A$101,"&lt;="&amp;R86)</f>
        <v>95</v>
      </c>
      <c r="AA86">
        <f t="shared" ca="1" si="13"/>
        <v>0.04</v>
      </c>
      <c r="AE86">
        <f ca="1">1-EXP(-Esponenziale!$E$1*R86)-(1-EXP(-Esponenziale!$E$1*R85))</f>
        <v>1.5934014382049666E-2</v>
      </c>
      <c r="AI86">
        <f t="shared" ca="1" si="9"/>
        <v>1.5934014382049666</v>
      </c>
    </row>
    <row r="87" spans="1:35" x14ac:dyDescent="0.3">
      <c r="A87">
        <f t="shared" si="10"/>
        <v>10</v>
      </c>
      <c r="B87">
        <f>-LN(1-$D$70*A87)/Esponenziale!$E$1</f>
        <v>2.7725887222397811</v>
      </c>
      <c r="F87">
        <f ca="1">COUNTIF(Esponenziale!$A$2:$A$101,"&lt;="&amp;'Test sulla forma per Exp'!B87)</f>
        <v>41</v>
      </c>
      <c r="J87">
        <f t="shared" ca="1" si="11"/>
        <v>0.04</v>
      </c>
      <c r="N87">
        <f>1-EXP(-Esponenziale!$E$1*'Test sulla forma per Exp'!B87)-(1-EXP(-Esponenziale!$E$1*'Test sulla forma per Exp'!B86))</f>
        <v>5.0000000000000044E-2</v>
      </c>
      <c r="R87">
        <f t="shared" ca="1" si="12"/>
        <v>14.838368436016577</v>
      </c>
      <c r="V87">
        <f ca="1">COUNTIF(Esponenziale!$A$2:$A$101,"&lt;="&amp;R87)</f>
        <v>97</v>
      </c>
      <c r="AA87">
        <f t="shared" ca="1" si="13"/>
        <v>0.02</v>
      </c>
      <c r="AE87">
        <f ca="1">1-EXP(-Esponenziale!$E$1*R87)-(1-EXP(-Esponenziale!$E$1*R86))</f>
        <v>1.0996164758920624E-2</v>
      </c>
      <c r="AI87">
        <f t="shared" ca="1" si="9"/>
        <v>1.0996164758920624</v>
      </c>
    </row>
    <row r="88" spans="1:35" x14ac:dyDescent="0.3">
      <c r="A88">
        <f t="shared" si="10"/>
        <v>11</v>
      </c>
      <c r="B88">
        <f>-LN(1-$D$70*A88)/Esponenziale!$E$1</f>
        <v>3.1940307848710869</v>
      </c>
      <c r="F88">
        <f ca="1">COUNTIF(Esponenziale!$A$2:$A$101,"&lt;="&amp;'Test sulla forma per Exp'!B88)</f>
        <v>52</v>
      </c>
      <c r="J88">
        <f t="shared" ca="1" si="11"/>
        <v>0.11</v>
      </c>
      <c r="N88">
        <f>1-EXP(-Esponenziale!$E$1*'Test sulla forma per Exp'!B88)-(1-EXP(-Esponenziale!$E$1*'Test sulla forma per Exp'!B87))</f>
        <v>5.0000000000000044E-2</v>
      </c>
      <c r="R88">
        <f t="shared" ca="1" si="12"/>
        <v>16.322006595360989</v>
      </c>
      <c r="V88">
        <f ca="1">COUNTIF(Esponenziale!$A$2:$A$101,"&lt;="&amp;R88)</f>
        <v>97</v>
      </c>
      <c r="AA88">
        <f t="shared" ca="1" si="13"/>
        <v>0</v>
      </c>
      <c r="AE88">
        <f ca="1">1-EXP(-Esponenziale!$E$1*R88)-(1-EXP(-Esponenziale!$E$1*R87))</f>
        <v>7.5885233002891406E-3</v>
      </c>
      <c r="AI88">
        <f t="shared" ca="1" si="9"/>
        <v>0.75885233002891406</v>
      </c>
    </row>
    <row r="89" spans="1:35" x14ac:dyDescent="0.3">
      <c r="A89">
        <f t="shared" si="10"/>
        <v>12</v>
      </c>
      <c r="B89">
        <f>-LN(1-$D$70*A89)/Esponenziale!$E$1</f>
        <v>3.6651629274966213</v>
      </c>
      <c r="F89">
        <f ca="1">COUNTIF(Esponenziale!$A$2:$A$101,"&lt;="&amp;'Test sulla forma per Exp'!B89)</f>
        <v>54</v>
      </c>
      <c r="J89">
        <f t="shared" ca="1" si="11"/>
        <v>0.02</v>
      </c>
      <c r="N89">
        <f>1-EXP(-Esponenziale!$E$1*'Test sulla forma per Exp'!B89)-(1-EXP(-Esponenziale!$E$1*'Test sulla forma per Exp'!B88))</f>
        <v>5.0000000000000044E-2</v>
      </c>
      <c r="R89">
        <f t="shared" ca="1" si="12"/>
        <v>17.805644754705401</v>
      </c>
      <c r="V89">
        <f ca="1">COUNTIF(Esponenziale!$A$2:$A$101,"&lt;="&amp;R89)</f>
        <v>98</v>
      </c>
      <c r="AA89">
        <f t="shared" ca="1" si="13"/>
        <v>0.01</v>
      </c>
      <c r="AE89">
        <f ca="1">1-EXP(-Esponenziale!$E$1*R89)-(1-EXP(-Esponenziale!$E$1*R88))</f>
        <v>5.2368882370843473E-3</v>
      </c>
      <c r="AI89">
        <f t="shared" ca="1" si="9"/>
        <v>0.52368882370843473</v>
      </c>
    </row>
    <row r="90" spans="1:35" x14ac:dyDescent="0.3">
      <c r="A90">
        <f t="shared" si="10"/>
        <v>13</v>
      </c>
      <c r="B90">
        <f>-LN(1-$D$70*A90)/Esponenziale!$E$1</f>
        <v>4.1992884979947114</v>
      </c>
      <c r="F90">
        <f ca="1">COUNTIF(Esponenziale!$A$2:$A$101,"&lt;="&amp;'Test sulla forma per Exp'!B90)</f>
        <v>59</v>
      </c>
      <c r="J90">
        <f t="shared" ca="1" si="11"/>
        <v>0.05</v>
      </c>
      <c r="N90">
        <f>1-EXP(-Esponenziale!$E$1*'Test sulla forma per Exp'!B90)-(1-EXP(-Esponenziale!$E$1*'Test sulla forma per Exp'!B89))</f>
        <v>5.0000000000000044E-2</v>
      </c>
      <c r="R90">
        <f t="shared" ca="1" si="12"/>
        <v>19.289282914049814</v>
      </c>
      <c r="V90">
        <f ca="1">COUNTIF(Esponenziale!$A$2:$A$101,"&lt;="&amp;R90)</f>
        <v>99</v>
      </c>
      <c r="AA90">
        <f t="shared" ca="1" si="13"/>
        <v>0.01</v>
      </c>
      <c r="AE90">
        <f ca="1">1-EXP(-Esponenziale!$E$1*R90)-(1-EXP(-Esponenziale!$E$1*R89))</f>
        <v>3.6140099097630163E-3</v>
      </c>
      <c r="AI90">
        <f t="shared" ca="1" si="9"/>
        <v>0.36140099097630163</v>
      </c>
    </row>
    <row r="91" spans="1:35" x14ac:dyDescent="0.3">
      <c r="A91">
        <f t="shared" si="10"/>
        <v>14</v>
      </c>
      <c r="B91">
        <f>-LN(1-$D$70*A91)/Esponenziale!$E$1</f>
        <v>4.8158912173037445</v>
      </c>
      <c r="F91">
        <f ca="1">COUNTIF(Esponenziale!$A$2:$A$101,"&lt;="&amp;'Test sulla forma per Exp'!B91)</f>
        <v>64</v>
      </c>
      <c r="J91">
        <f t="shared" ca="1" si="11"/>
        <v>0.05</v>
      </c>
      <c r="N91">
        <f>1-EXP(-Esponenziale!$E$1*'Test sulla forma per Exp'!B91)-(1-EXP(-Esponenziale!$E$1*'Test sulla forma per Exp'!B90))</f>
        <v>4.9999999999999822E-2</v>
      </c>
      <c r="R91">
        <f t="shared" ca="1" si="12"/>
        <v>20.772921073394226</v>
      </c>
      <c r="V91">
        <f ca="1">COUNTIF(Esponenziale!$A$2:$A$101,"&lt;="&amp;R91)</f>
        <v>99</v>
      </c>
      <c r="AA91">
        <f t="shared" ca="1" si="13"/>
        <v>0</v>
      </c>
      <c r="AE91">
        <f ca="1">1-EXP(-Esponenziale!$E$1*R91)-(1-EXP(-Esponenziale!$E$1*R90))</f>
        <v>2.4940512450455365E-3</v>
      </c>
      <c r="AI91">
        <f t="shared" ca="1" si="9"/>
        <v>0.24940512450455365</v>
      </c>
    </row>
    <row r="92" spans="1:35" x14ac:dyDescent="0.3">
      <c r="A92">
        <f t="shared" si="10"/>
        <v>15</v>
      </c>
      <c r="B92">
        <f>-LN(1-$D$70*A92)/Esponenziale!$E$1</f>
        <v>5.5451774444795623</v>
      </c>
      <c r="F92">
        <f ca="1">COUNTIF(Esponenziale!$A$2:$A$101,"&lt;="&amp;'Test sulla forma per Exp'!B92)</f>
        <v>70</v>
      </c>
      <c r="J92">
        <f t="shared" ca="1" si="11"/>
        <v>0.06</v>
      </c>
      <c r="N92">
        <f>1-EXP(-Esponenziale!$E$1*'Test sulla forma per Exp'!B92)-(1-EXP(-Esponenziale!$E$1*'Test sulla forma per Exp'!B91))</f>
        <v>5.0000000000000044E-2</v>
      </c>
      <c r="R92">
        <f t="shared" ca="1" si="12"/>
        <v>22.256559232738638</v>
      </c>
      <c r="V92">
        <f ca="1">COUNTIF(Esponenziale!$A$2:$A$101,"&lt;="&amp;R92)</f>
        <v>99</v>
      </c>
      <c r="AA92">
        <f t="shared" ca="1" si="13"/>
        <v>0</v>
      </c>
      <c r="AE92">
        <f ca="1">1-EXP(-Esponenziale!$E$1*R92)-(1-EXP(-Esponenziale!$E$1*R91))</f>
        <v>1.7211606410125757E-3</v>
      </c>
      <c r="AI92">
        <f t="shared" ca="1" si="9"/>
        <v>0.17211606410125757</v>
      </c>
    </row>
    <row r="93" spans="1:35" x14ac:dyDescent="0.3">
      <c r="A93">
        <f t="shared" si="10"/>
        <v>16</v>
      </c>
      <c r="B93">
        <f>-LN(1-$D$70*A93)/Esponenziale!$E$1</f>
        <v>6.437751649736402</v>
      </c>
      <c r="F93">
        <f ca="1">COUNTIF(Esponenziale!$A$2:$A$101,"&lt;="&amp;'Test sulla forma per Exp'!B93)</f>
        <v>76</v>
      </c>
      <c r="J93">
        <f t="shared" ca="1" si="11"/>
        <v>0.06</v>
      </c>
      <c r="N93">
        <f>1-EXP(-Esponenziale!$E$1*'Test sulla forma per Exp'!B93)-(1-EXP(-Esponenziale!$E$1*'Test sulla forma per Exp'!B92))</f>
        <v>5.0000000000000044E-2</v>
      </c>
      <c r="R93">
        <f t="shared" ca="1" si="12"/>
        <v>23.740197392083051</v>
      </c>
      <c r="V93">
        <f ca="1">COUNTIF(Esponenziale!$A$2:$A$101,"&lt;="&amp;R93)</f>
        <v>99</v>
      </c>
      <c r="AA93">
        <f t="shared" ca="1" si="13"/>
        <v>0</v>
      </c>
      <c r="AE93">
        <f ca="1">1-EXP(-Esponenziale!$E$1*R93)-(1-EXP(-Esponenziale!$E$1*R92))</f>
        <v>1.1877839150481462E-3</v>
      </c>
      <c r="AI93">
        <f t="shared" ca="1" si="9"/>
        <v>0.11877839150481462</v>
      </c>
    </row>
    <row r="94" spans="1:35" x14ac:dyDescent="0.3">
      <c r="A94">
        <f t="shared" si="10"/>
        <v>17</v>
      </c>
      <c r="B94">
        <f>-LN(1-$D$70*A94)/Esponenziale!$E$1</f>
        <v>7.5884799395435278</v>
      </c>
      <c r="F94">
        <f ca="1">COUNTIF(Esponenziale!$A$2:$A$101,"&lt;="&amp;'Test sulla forma per Exp'!B94)</f>
        <v>85</v>
      </c>
      <c r="J94">
        <f t="shared" ca="1" si="11"/>
        <v>0.09</v>
      </c>
      <c r="N94">
        <f>1-EXP(-Esponenziale!$E$1*'Test sulla forma per Exp'!B94)-(1-EXP(-Esponenziale!$E$1*'Test sulla forma per Exp'!B93))</f>
        <v>5.0000000000000044E-2</v>
      </c>
      <c r="R94">
        <f t="shared" ca="1" si="12"/>
        <v>25.223835551427463</v>
      </c>
      <c r="V94">
        <f ca="1">COUNTIF(Esponenziale!$A$2:$A$101,"&lt;="&amp;R94)</f>
        <v>99</v>
      </c>
      <c r="AA94">
        <f t="shared" ca="1" si="13"/>
        <v>0</v>
      </c>
      <c r="AE94">
        <f ca="1">1-EXP(-Esponenziale!$E$1*R94)-(1-EXP(-Esponenziale!$E$1*R93))</f>
        <v>8.19697241053019E-4</v>
      </c>
      <c r="AI94">
        <f t="shared" ca="1" si="9"/>
        <v>8.19697241053019E-2</v>
      </c>
    </row>
    <row r="95" spans="1:35" x14ac:dyDescent="0.3">
      <c r="A95">
        <f t="shared" si="10"/>
        <v>18</v>
      </c>
      <c r="B95">
        <f>-LN(1-$D$70*A95)/Esponenziale!$E$1</f>
        <v>9.2103403719761836</v>
      </c>
      <c r="F95">
        <f ca="1">COUNTIF(Esponenziale!$A$2:$A$101,"&lt;="&amp;'Test sulla forma per Exp'!B95)</f>
        <v>89</v>
      </c>
      <c r="J95">
        <f t="shared" ca="1" si="11"/>
        <v>0.04</v>
      </c>
      <c r="N95">
        <f>1-EXP(-Esponenziale!$E$1*'Test sulla forma per Exp'!B95)-(1-EXP(-Esponenziale!$E$1*'Test sulla forma per Exp'!B94))</f>
        <v>4.9999999999999933E-2</v>
      </c>
      <c r="R95">
        <f t="shared" ca="1" si="12"/>
        <v>26.707473710771875</v>
      </c>
      <c r="V95">
        <f ca="1">COUNTIF(Esponenziale!$A$2:$A$101,"&lt;="&amp;R95)</f>
        <v>99</v>
      </c>
      <c r="AA95">
        <f t="shared" ca="1" si="13"/>
        <v>0</v>
      </c>
      <c r="AE95">
        <f ca="1">1-EXP(-Esponenziale!$E$1*R95)-(1-EXP(-Esponenziale!$E$1*R94))</f>
        <v>5.6567828413689458E-4</v>
      </c>
      <c r="AI95">
        <f t="shared" ca="1" si="9"/>
        <v>5.6567828413689458E-2</v>
      </c>
    </row>
    <row r="96" spans="1:35" x14ac:dyDescent="0.3">
      <c r="A96">
        <f t="shared" si="10"/>
        <v>19</v>
      </c>
      <c r="B96">
        <f>-LN(1-$D$70*A96)/Esponenziale!$E$1</f>
        <v>11.982929094215969</v>
      </c>
      <c r="F96">
        <f ca="1">COUNTIF(Esponenziale!$A$2:$A$101,"&lt;="&amp;'Test sulla forma per Exp'!B96)</f>
        <v>91</v>
      </c>
      <c r="J96">
        <f t="shared" ca="1" si="11"/>
        <v>0.02</v>
      </c>
      <c r="N96">
        <f>1-EXP(-Esponenziale!$E$1*'Test sulla forma per Exp'!B96)-(1-EXP(-Esponenziale!$E$1*'Test sulla forma per Exp'!B95))</f>
        <v>5.0000000000000044E-2</v>
      </c>
      <c r="R96">
        <f t="shared" ca="1" si="12"/>
        <v>28.191111870116288</v>
      </c>
      <c r="V96">
        <f ca="1">COUNTIF(Esponenziale!$A$2:$A$101,"&lt;="&amp;R96)</f>
        <v>99</v>
      </c>
      <c r="AA96">
        <f t="shared" ca="1" si="13"/>
        <v>0</v>
      </c>
      <c r="AE96">
        <f ca="1">1-EXP(-Esponenziale!$E$1*R96)-(1-EXP(-Esponenziale!$E$1*R95))</f>
        <v>3.9037818491749476E-4</v>
      </c>
      <c r="AI96">
        <f t="shared" ca="1" si="9"/>
        <v>3.9037818491749476E-2</v>
      </c>
    </row>
    <row r="97" spans="1:35" x14ac:dyDescent="0.3">
      <c r="A97">
        <f t="shared" si="10"/>
        <v>20</v>
      </c>
      <c r="B97" t="s">
        <v>54</v>
      </c>
      <c r="F97">
        <v>100</v>
      </c>
      <c r="J97">
        <f t="shared" ca="1" si="11"/>
        <v>0.09</v>
      </c>
      <c r="N97">
        <f>EXP(-Esponenziale!$E$1*'Test sulla forma per Exp'!B96)</f>
        <v>4.999999999999994E-2</v>
      </c>
      <c r="R97">
        <f t="shared" ca="1" si="12"/>
        <v>29.6747500294607</v>
      </c>
      <c r="V97">
        <f ca="1">COUNTIF(Esponenziale!$A$2:$A$101,"&lt;="&amp;R97)</f>
        <v>100</v>
      </c>
      <c r="AA97">
        <f t="shared" ca="1" si="13"/>
        <v>0.01</v>
      </c>
      <c r="AE97">
        <f ca="1">1-EXP(-Esponenziale!$E$1*R97)-(1-EXP(-Esponenziale!$E$1*R96))</f>
        <v>2.6940247050843968E-4</v>
      </c>
      <c r="AI97">
        <f t="shared" ca="1" si="9"/>
        <v>2.6940247050843968E-2</v>
      </c>
    </row>
    <row r="124" spans="1:36" x14ac:dyDescent="0.3">
      <c r="A124" s="37" t="s">
        <v>60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8"/>
      <c r="R124" s="37" t="s">
        <v>60</v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8"/>
      <c r="AH124" s="36"/>
      <c r="AI124" s="36"/>
      <c r="AJ124" s="36"/>
    </row>
    <row r="126" spans="1:36" x14ac:dyDescent="0.3">
      <c r="A126" s="35" t="s">
        <v>59</v>
      </c>
      <c r="B126">
        <v>0.05</v>
      </c>
      <c r="E126" s="17" t="s">
        <v>61</v>
      </c>
      <c r="F126" s="16"/>
      <c r="G126" s="16"/>
      <c r="H126" s="16"/>
      <c r="J126" s="17" t="s">
        <v>62</v>
      </c>
      <c r="K126" s="16"/>
      <c r="L126" s="16"/>
      <c r="R126" s="35" t="s">
        <v>59</v>
      </c>
      <c r="S126">
        <v>0.05</v>
      </c>
      <c r="V126" s="17" t="s">
        <v>61</v>
      </c>
      <c r="W126" s="16"/>
      <c r="X126" s="16"/>
      <c r="Y126" s="16"/>
      <c r="AA126" s="17" t="s">
        <v>62</v>
      </c>
      <c r="AB126" s="16"/>
      <c r="AC126" s="16"/>
    </row>
    <row r="128" spans="1:36" x14ac:dyDescent="0.3">
      <c r="C128">
        <f>_xlfn.CHISQ.INV(1-B126,19)</f>
        <v>30.143527205646159</v>
      </c>
      <c r="E128">
        <f ca="1">F78</f>
        <v>4</v>
      </c>
      <c r="J128">
        <f ca="1">((E128-100*$D$70)^2)/(100*$D$70)</f>
        <v>0.2</v>
      </c>
      <c r="T128">
        <f>_xlfn.CHISQ.INV(1-S126,19)</f>
        <v>30.143527205646159</v>
      </c>
      <c r="V128">
        <f ca="1">V78</f>
        <v>24</v>
      </c>
      <c r="AA128">
        <f ca="1">((V128-100*AE78)^2)/(100*AE78)</f>
        <v>1.5702318146261522</v>
      </c>
    </row>
    <row r="129" spans="5:27" x14ac:dyDescent="0.3">
      <c r="E129">
        <f ca="1">F79-F78</f>
        <v>2</v>
      </c>
      <c r="J129">
        <f t="shared" ref="J129:J147" ca="1" si="14">((E129-100*$D$70)^2)/(100*$D$70)</f>
        <v>1.8</v>
      </c>
      <c r="V129">
        <f ca="1">V79-V78</f>
        <v>21</v>
      </c>
      <c r="AA129">
        <f t="shared" ref="AA129:AA146" ca="1" si="15">((V129-100*AE79)^2)/(100*AE79)</f>
        <v>6.5906723199812365E-3</v>
      </c>
    </row>
    <row r="130" spans="5:27" x14ac:dyDescent="0.3">
      <c r="E130">
        <f t="shared" ref="E130:E146" ca="1" si="16">F80-F79</f>
        <v>5</v>
      </c>
      <c r="J130">
        <f t="shared" ca="1" si="14"/>
        <v>0</v>
      </c>
      <c r="V130">
        <f t="shared" ref="V130:V147" ca="1" si="17">V80-V79</f>
        <v>17</v>
      </c>
      <c r="AA130">
        <f t="shared" ca="1" si="15"/>
        <v>0.34280803037995283</v>
      </c>
    </row>
    <row r="131" spans="5:27" x14ac:dyDescent="0.3">
      <c r="E131">
        <f t="shared" ca="1" si="16"/>
        <v>1</v>
      </c>
      <c r="J131">
        <f t="shared" ca="1" si="14"/>
        <v>3.2</v>
      </c>
      <c r="V131">
        <f t="shared" ca="1" si="17"/>
        <v>10</v>
      </c>
      <c r="AA131">
        <f t="shared" ca="1" si="15"/>
        <v>3.1804595884640766E-3</v>
      </c>
    </row>
    <row r="132" spans="5:27" x14ac:dyDescent="0.3">
      <c r="E132">
        <f t="shared" ca="1" si="16"/>
        <v>3</v>
      </c>
      <c r="J132">
        <f t="shared" ca="1" si="14"/>
        <v>0.8</v>
      </c>
      <c r="V132">
        <f t="shared" ca="1" si="17"/>
        <v>12</v>
      </c>
      <c r="AA132">
        <f t="shared" ca="1" si="15"/>
        <v>3.5227633121327333</v>
      </c>
    </row>
    <row r="133" spans="5:27" x14ac:dyDescent="0.3">
      <c r="E133">
        <f t="shared" ca="1" si="16"/>
        <v>9</v>
      </c>
      <c r="J133">
        <f t="shared" ca="1" si="14"/>
        <v>3.2</v>
      </c>
      <c r="V133">
        <f t="shared" ca="1" si="17"/>
        <v>5</v>
      </c>
      <c r="AA133">
        <f t="shared" ca="1" si="15"/>
        <v>4.7553782245468969E-3</v>
      </c>
    </row>
    <row r="134" spans="5:27" x14ac:dyDescent="0.3">
      <c r="E134">
        <f t="shared" ca="1" si="16"/>
        <v>2</v>
      </c>
      <c r="J134">
        <f t="shared" ca="1" si="14"/>
        <v>1.8</v>
      </c>
      <c r="V134">
        <f t="shared" ca="1" si="17"/>
        <v>1</v>
      </c>
      <c r="AA134">
        <f t="shared" ca="1" si="15"/>
        <v>1.6446341992162605</v>
      </c>
    </row>
    <row r="135" spans="5:27" x14ac:dyDescent="0.3">
      <c r="E135">
        <f t="shared" ca="1" si="16"/>
        <v>5</v>
      </c>
      <c r="J135">
        <f t="shared" ca="1" si="14"/>
        <v>0</v>
      </c>
      <c r="V135">
        <f t="shared" ca="1" si="17"/>
        <v>1</v>
      </c>
      <c r="AA135">
        <f t="shared" ca="1" si="15"/>
        <v>0.74202415623340512</v>
      </c>
    </row>
    <row r="136" spans="5:27" x14ac:dyDescent="0.3">
      <c r="E136">
        <f t="shared" ca="1" si="16"/>
        <v>6</v>
      </c>
      <c r="J136">
        <f t="shared" ca="1" si="14"/>
        <v>0.2</v>
      </c>
      <c r="V136">
        <f t="shared" ca="1" si="17"/>
        <v>4</v>
      </c>
      <c r="AA136">
        <f t="shared" ca="1" si="15"/>
        <v>3.6348132358651153</v>
      </c>
    </row>
    <row r="137" spans="5:27" x14ac:dyDescent="0.3">
      <c r="E137">
        <f t="shared" ca="1" si="16"/>
        <v>4</v>
      </c>
      <c r="J137">
        <f t="shared" ca="1" si="14"/>
        <v>0.2</v>
      </c>
      <c r="V137">
        <f t="shared" ca="1" si="17"/>
        <v>2</v>
      </c>
      <c r="AA137">
        <f t="shared" ca="1" si="15"/>
        <v>0.7372484027463827</v>
      </c>
    </row>
    <row r="138" spans="5:27" x14ac:dyDescent="0.3">
      <c r="E138">
        <f t="shared" ca="1" si="16"/>
        <v>11</v>
      </c>
      <c r="J138">
        <f t="shared" ca="1" si="14"/>
        <v>7.2</v>
      </c>
      <c r="V138">
        <f t="shared" ca="1" si="17"/>
        <v>0</v>
      </c>
      <c r="AA138">
        <f t="shared" ca="1" si="15"/>
        <v>0.75885233002891406</v>
      </c>
    </row>
    <row r="139" spans="5:27" x14ac:dyDescent="0.3">
      <c r="E139">
        <f t="shared" ca="1" si="16"/>
        <v>2</v>
      </c>
      <c r="J139">
        <f t="shared" ca="1" si="14"/>
        <v>1.8</v>
      </c>
      <c r="V139">
        <f t="shared" ca="1" si="17"/>
        <v>1</v>
      </c>
      <c r="AA139">
        <f t="shared" ca="1" si="15"/>
        <v>0.4332197411693598</v>
      </c>
    </row>
    <row r="140" spans="5:27" x14ac:dyDescent="0.3">
      <c r="E140">
        <f t="shared" ca="1" si="16"/>
        <v>5</v>
      </c>
      <c r="J140">
        <f t="shared" ca="1" si="14"/>
        <v>0</v>
      </c>
      <c r="V140">
        <f t="shared" ca="1" si="17"/>
        <v>1</v>
      </c>
      <c r="AA140">
        <f t="shared" ca="1" si="15"/>
        <v>1.1284105592084308</v>
      </c>
    </row>
    <row r="141" spans="5:27" x14ac:dyDescent="0.3">
      <c r="E141">
        <f t="shared" ca="1" si="16"/>
        <v>5</v>
      </c>
      <c r="J141">
        <f t="shared" ca="1" si="14"/>
        <v>0</v>
      </c>
      <c r="V141">
        <f t="shared" ca="1" si="17"/>
        <v>0</v>
      </c>
      <c r="AA141">
        <f t="shared" ca="1" si="15"/>
        <v>0.24940512450455365</v>
      </c>
    </row>
    <row r="142" spans="5:27" x14ac:dyDescent="0.3">
      <c r="E142">
        <f t="shared" ca="1" si="16"/>
        <v>6</v>
      </c>
      <c r="J142">
        <f t="shared" ca="1" si="14"/>
        <v>0.2</v>
      </c>
      <c r="V142">
        <f t="shared" ca="1" si="17"/>
        <v>0</v>
      </c>
      <c r="AA142">
        <f t="shared" ca="1" si="15"/>
        <v>0.17211606410125757</v>
      </c>
    </row>
    <row r="143" spans="5:27" x14ac:dyDescent="0.3">
      <c r="E143">
        <f t="shared" ca="1" si="16"/>
        <v>6</v>
      </c>
      <c r="J143">
        <f t="shared" ca="1" si="14"/>
        <v>0.2</v>
      </c>
      <c r="V143">
        <f t="shared" ca="1" si="17"/>
        <v>0</v>
      </c>
      <c r="AA143">
        <f t="shared" ca="1" si="15"/>
        <v>0.11877839150481462</v>
      </c>
    </row>
    <row r="144" spans="5:27" x14ac:dyDescent="0.3">
      <c r="E144">
        <f t="shared" ca="1" si="16"/>
        <v>9</v>
      </c>
      <c r="J144">
        <f t="shared" ca="1" si="14"/>
        <v>3.2</v>
      </c>
      <c r="V144">
        <f t="shared" ca="1" si="17"/>
        <v>0</v>
      </c>
      <c r="AA144">
        <f t="shared" ca="1" si="15"/>
        <v>8.19697241053019E-2</v>
      </c>
    </row>
    <row r="145" spans="5:27" x14ac:dyDescent="0.3">
      <c r="E145">
        <f t="shared" ca="1" si="16"/>
        <v>4</v>
      </c>
      <c r="J145">
        <f t="shared" ca="1" si="14"/>
        <v>0.2</v>
      </c>
      <c r="V145">
        <f t="shared" ca="1" si="17"/>
        <v>0</v>
      </c>
      <c r="AA145">
        <f t="shared" ca="1" si="15"/>
        <v>5.6567828413689458E-2</v>
      </c>
    </row>
    <row r="146" spans="5:27" x14ac:dyDescent="0.3">
      <c r="E146">
        <f t="shared" ca="1" si="16"/>
        <v>2</v>
      </c>
      <c r="J146">
        <f t="shared" ca="1" si="14"/>
        <v>1.8</v>
      </c>
      <c r="V146">
        <f t="shared" ca="1" si="17"/>
        <v>0</v>
      </c>
      <c r="AA146">
        <f t="shared" ca="1" si="15"/>
        <v>3.9037818491749476E-2</v>
      </c>
    </row>
    <row r="147" spans="5:27" x14ac:dyDescent="0.3">
      <c r="E147">
        <f ca="1">F97-F96</f>
        <v>9</v>
      </c>
      <c r="J147">
        <f t="shared" ca="1" si="14"/>
        <v>3.2</v>
      </c>
      <c r="V147">
        <f t="shared" ca="1" si="17"/>
        <v>1</v>
      </c>
      <c r="AA147">
        <f ca="1">((V147-100*AE97)^2)/(100*AE97)</f>
        <v>35.146124718994002</v>
      </c>
    </row>
    <row r="151" spans="5:27" x14ac:dyDescent="0.3">
      <c r="E151">
        <f ca="1">SUM(J128:J147)</f>
        <v>29.199999999999996</v>
      </c>
      <c r="G151" t="str">
        <f ca="1">IF(E151&lt;=C128,"Test verificato","Test non verificato")</f>
        <v>Test verificato</v>
      </c>
      <c r="V151">
        <f ca="1">SUM(AA128:AA147)</f>
        <v>50.393531961855068</v>
      </c>
      <c r="X151" t="str">
        <f ca="1">IF(V151&lt;=T128,"Test verificato","Test non verificato")</f>
        <v>Test non verificato</v>
      </c>
    </row>
  </sheetData>
  <conditionalFormatting sqref="G5">
    <cfRule type="cellIs" dxfId="39" priority="4" operator="lessThan">
      <formula>5</formula>
    </cfRule>
    <cfRule type="cellIs" dxfId="38" priority="5" operator="equal">
      <formula>5</formula>
    </cfRule>
    <cfRule type="cellIs" dxfId="37" priority="6" operator="greaterThan">
      <formula>5</formula>
    </cfRule>
  </conditionalFormatting>
  <conditionalFormatting sqref="G64">
    <cfRule type="containsText" dxfId="36" priority="19" operator="containsText" text="non">
      <formula>NOT(ISERROR(SEARCH("non",G64)))</formula>
    </cfRule>
    <cfRule type="notContainsText" dxfId="35" priority="20" operator="notContains" text="non">
      <formula>ISERROR(SEARCH("non",G64))</formula>
    </cfRule>
  </conditionalFormatting>
  <conditionalFormatting sqref="G70">
    <cfRule type="cellIs" dxfId="34" priority="1" operator="equal">
      <formula>5</formula>
    </cfRule>
    <cfRule type="cellIs" dxfId="33" priority="2" operator="lessThan">
      <formula>5</formula>
    </cfRule>
    <cfRule type="cellIs" dxfId="32" priority="3" operator="greaterThan">
      <formula>5</formula>
    </cfRule>
  </conditionalFormatting>
  <conditionalFormatting sqref="G151">
    <cfRule type="containsText" dxfId="31" priority="15" operator="containsText" text="non">
      <formula>NOT(ISERROR(SEARCH("non",G151)))</formula>
    </cfRule>
    <cfRule type="notContainsText" dxfId="30" priority="16" operator="notContains" text="non">
      <formula>ISERROR(SEARCH("non",G151))</formula>
    </cfRule>
  </conditionalFormatting>
  <conditionalFormatting sqref="X64">
    <cfRule type="containsText" dxfId="29" priority="17" operator="containsText" text="non">
      <formula>NOT(ISERROR(SEARCH("non",X64)))</formula>
    </cfRule>
    <cfRule type="notContainsText" dxfId="28" priority="18" operator="notContains" text="non">
      <formula>ISERROR(SEARCH("non",X64))</formula>
    </cfRule>
  </conditionalFormatting>
  <conditionalFormatting sqref="X151">
    <cfRule type="containsText" dxfId="27" priority="13" operator="containsText" text="non">
      <formula>NOT(ISERROR(SEARCH("non",X151)))</formula>
    </cfRule>
    <cfRule type="notContainsText" dxfId="26" priority="14" operator="notContains" text="non">
      <formula>ISERROR(SEARCH("non",X151))</formula>
    </cfRule>
  </conditionalFormatting>
  <conditionalFormatting sqref="AI13:AI22">
    <cfRule type="cellIs" dxfId="25" priority="10" operator="equal">
      <formula>5</formula>
    </cfRule>
    <cfRule type="cellIs" dxfId="24" priority="11" operator="lessThan">
      <formula>5</formula>
    </cfRule>
    <cfRule type="cellIs" dxfId="23" priority="12" operator="greaterThan">
      <formula>5</formula>
    </cfRule>
  </conditionalFormatting>
  <conditionalFormatting sqref="AI78:AI97">
    <cfRule type="cellIs" dxfId="22" priority="7" operator="equal">
      <formula>5</formula>
    </cfRule>
    <cfRule type="cellIs" dxfId="21" priority="8" operator="greaterThan">
      <formula>5</formula>
    </cfRule>
    <cfRule type="cellIs" dxfId="20" priority="9" operator="less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E54E-7B2E-4364-944A-5C46909DEB3B}">
  <dimension ref="A1:AJ131"/>
  <sheetViews>
    <sheetView zoomScale="68" workbookViewId="0">
      <selection activeCell="N83" sqref="N83"/>
    </sheetView>
  </sheetViews>
  <sheetFormatPr defaultRowHeight="14.4" x14ac:dyDescent="0.3"/>
  <cols>
    <col min="4" max="4" width="11.88671875" customWidth="1"/>
    <col min="6" max="6" width="8.88671875" customWidth="1"/>
    <col min="7" max="7" width="32.21875" customWidth="1"/>
    <col min="8" max="8" width="10.77734375" customWidth="1"/>
    <col min="14" max="14" width="9" bestFit="1" customWidth="1"/>
    <col min="18" max="18" width="13" customWidth="1"/>
    <col min="19" max="19" width="9" bestFit="1" customWidth="1"/>
    <col min="20" max="20" width="13.88671875" customWidth="1"/>
    <col min="22" max="22" width="9" bestFit="1" customWidth="1"/>
    <col min="24" max="24" width="32" customWidth="1"/>
    <col min="27" max="27" width="9" bestFit="1" customWidth="1"/>
    <col min="28" max="28" width="14.5546875" bestFit="1" customWidth="1"/>
    <col min="31" max="31" width="14.5546875" bestFit="1" customWidth="1"/>
    <col min="35" max="35" width="14.5546875" bestFit="1" customWidth="1"/>
  </cols>
  <sheetData>
    <row r="1" spans="1:36" x14ac:dyDescent="0.3">
      <c r="A1" s="11" t="s">
        <v>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3" spans="1:36" x14ac:dyDescent="0.3">
      <c r="A3" s="17" t="s">
        <v>79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R3" s="17" t="s">
        <v>80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5" spans="1:36" x14ac:dyDescent="0.3">
      <c r="C5" s="30" t="s">
        <v>53</v>
      </c>
      <c r="D5">
        <f>1/10</f>
        <v>0.1</v>
      </c>
      <c r="F5" s="30" t="s">
        <v>68</v>
      </c>
      <c r="G5">
        <f>100*D5</f>
        <v>10</v>
      </c>
      <c r="L5" s="40" t="s">
        <v>44</v>
      </c>
      <c r="M5">
        <f>1/Weibull!$E$6</f>
        <v>0.56418958354775628</v>
      </c>
      <c r="R5" s="34" t="s">
        <v>55</v>
      </c>
      <c r="S5">
        <v>10</v>
      </c>
    </row>
    <row r="7" spans="1:36" x14ac:dyDescent="0.3">
      <c r="R7" s="34" t="s">
        <v>56</v>
      </c>
      <c r="S7" s="33"/>
      <c r="T7">
        <f ca="1">Weibull!$V$31</f>
        <v>0.18450518121939974</v>
      </c>
      <c r="V7" s="34" t="s">
        <v>24</v>
      </c>
      <c r="W7" s="33"/>
      <c r="X7">
        <f ca="1">(T8-T7)/S5</f>
        <v>0.39534142242457276</v>
      </c>
    </row>
    <row r="8" spans="1:36" x14ac:dyDescent="0.3">
      <c r="R8" s="34" t="s">
        <v>23</v>
      </c>
      <c r="S8" s="33"/>
      <c r="T8">
        <f ca="1">Weibull!$V$32</f>
        <v>4.1379194054651274</v>
      </c>
    </row>
    <row r="11" spans="1:36" x14ac:dyDescent="0.3">
      <c r="A11" s="17" t="s">
        <v>72</v>
      </c>
      <c r="B11" s="17"/>
      <c r="C11" s="16"/>
      <c r="D11" s="16"/>
      <c r="F11" s="17" t="s">
        <v>52</v>
      </c>
      <c r="G11" s="16"/>
      <c r="H11" s="16"/>
      <c r="J11" s="22" t="s">
        <v>29</v>
      </c>
      <c r="K11" s="23"/>
      <c r="L11" s="23"/>
      <c r="N11" s="31" t="s">
        <v>71</v>
      </c>
      <c r="O11" s="32"/>
      <c r="P11" s="32"/>
      <c r="R11" s="17" t="s">
        <v>25</v>
      </c>
      <c r="S11" s="16"/>
      <c r="T11" s="16"/>
      <c r="V11" s="17" t="s">
        <v>52</v>
      </c>
      <c r="W11" s="16"/>
      <c r="X11" s="16"/>
      <c r="Y11" s="16"/>
      <c r="AA11" s="22" t="s">
        <v>29</v>
      </c>
      <c r="AB11" s="23"/>
      <c r="AC11" s="23"/>
      <c r="AE11" s="31" t="s">
        <v>71</v>
      </c>
      <c r="AF11" s="32"/>
      <c r="AG11" s="32"/>
      <c r="AI11" s="17" t="s">
        <v>69</v>
      </c>
      <c r="AJ11" s="17"/>
    </row>
    <row r="13" spans="1:36" x14ac:dyDescent="0.3">
      <c r="A13">
        <v>1</v>
      </c>
      <c r="B13">
        <f>-LN(1-$D$5*A13)/$M$5</f>
        <v>0.1867466517111051</v>
      </c>
      <c r="F13">
        <f ca="1">COUNTIF(Weibull!$A$2:$A$101,"&lt;="&amp;B13)</f>
        <v>1</v>
      </c>
      <c r="J13">
        <f ca="1">F13/100</f>
        <v>0.01</v>
      </c>
      <c r="N13">
        <f>1-EXP(-$M$5*B13)</f>
        <v>9.9999999999999978E-2</v>
      </c>
      <c r="R13">
        <f ca="1">T7+$X$7</f>
        <v>0.57984660364397245</v>
      </c>
      <c r="V13">
        <f ca="1">COUNTIF(Weibull!$A$2:$A$101,"&lt;="&amp;R13)</f>
        <v>8</v>
      </c>
      <c r="AA13">
        <f ca="1">V13/100</f>
        <v>0.08</v>
      </c>
      <c r="AE13">
        <f ca="1">1-EXP(-$M$5*R13)-(1-EXP(-$M$5*T7))</f>
        <v>0.18015853577928065</v>
      </c>
      <c r="AI13">
        <f ca="1">100*AE13</f>
        <v>18.015853577928066</v>
      </c>
    </row>
    <row r="14" spans="1:36" x14ac:dyDescent="0.3">
      <c r="A14">
        <f>A13+1</f>
        <v>2</v>
      </c>
      <c r="B14">
        <f t="shared" ref="B14:B21" si="0">-LN(1-$D$5*A14)/$M$5</f>
        <v>0.39551164683160361</v>
      </c>
      <c r="F14">
        <f ca="1">COUNTIF(Weibull!$A$2:$A$101,"&lt;="&amp;B14)</f>
        <v>1</v>
      </c>
      <c r="J14">
        <f ca="1">(F14-F13)/100</f>
        <v>0</v>
      </c>
      <c r="N14">
        <f>1-EXP(-$M$5*B14)-(1-EXP(-$M$5*B13))</f>
        <v>9.9999999999999978E-2</v>
      </c>
      <c r="R14">
        <f ca="1">R13+$X$7</f>
        <v>0.97518802606854527</v>
      </c>
      <c r="V14">
        <f ca="1">COUNTIF(Weibull!$A$2:$A$101,"&lt;="&amp;R14)</f>
        <v>19</v>
      </c>
      <c r="AA14">
        <f ca="1">(V14-V13)/100</f>
        <v>0.11</v>
      </c>
      <c r="AE14">
        <f ca="1">1-EXP(-$M$5*R14)-(1-EXP(-$M$5*R13))</f>
        <v>0.14414067106116635</v>
      </c>
      <c r="AI14">
        <f t="shared" ref="AI14:AI22" ca="1" si="1">100*AE14</f>
        <v>14.414067106116635</v>
      </c>
    </row>
    <row r="15" spans="1:36" x14ac:dyDescent="0.3">
      <c r="A15">
        <f t="shared" ref="A15:A22" si="2">A14+1</f>
        <v>3</v>
      </c>
      <c r="B15">
        <f t="shared" si="0"/>
        <v>0.63218987790571535</v>
      </c>
      <c r="F15">
        <f ca="1">COUNTIF(Weibull!$A$2:$A$101,"&lt;="&amp;B15)</f>
        <v>8</v>
      </c>
      <c r="J15">
        <f t="shared" ref="J15:J22" ca="1" si="3">(F15-F14)/100</f>
        <v>7.0000000000000007E-2</v>
      </c>
      <c r="N15">
        <f t="shared" ref="N15:N21" si="4">1-EXP(-$M$5*B15)-(1-EXP(-$M$5*B14))</f>
        <v>0.10000000000000009</v>
      </c>
      <c r="R15">
        <f t="shared" ref="R15:R22" ca="1" si="5">R14+$X$7</f>
        <v>1.3705294484931181</v>
      </c>
      <c r="V15">
        <f ca="1">COUNTIF(Weibull!$A$2:$A$101,"&lt;="&amp;R15)</f>
        <v>40</v>
      </c>
      <c r="AA15">
        <f t="shared" ref="AA15:AA22" ca="1" si="6">(V15-V14)/100</f>
        <v>0.21</v>
      </c>
      <c r="AE15">
        <f t="shared" ref="AE15:AE22" ca="1" si="7">1-EXP(-$M$5*R15)-(1-EXP(-$M$5*R14))</f>
        <v>0.11532361186270679</v>
      </c>
      <c r="AI15">
        <f t="shared" ca="1" si="1"/>
        <v>11.532361186270679</v>
      </c>
    </row>
    <row r="16" spans="1:36" x14ac:dyDescent="0.3">
      <c r="A16">
        <f t="shared" si="2"/>
        <v>4</v>
      </c>
      <c r="B16">
        <f t="shared" si="0"/>
        <v>0.90541484398524252</v>
      </c>
      <c r="F16">
        <f ca="1">COUNTIF(Weibull!$A$2:$A$101,"&lt;="&amp;B16)</f>
        <v>18</v>
      </c>
      <c r="J16">
        <f t="shared" ca="1" si="3"/>
        <v>0.1</v>
      </c>
      <c r="N16">
        <f t="shared" si="4"/>
        <v>9.9999999999999978E-2</v>
      </c>
      <c r="R16">
        <f t="shared" ca="1" si="5"/>
        <v>1.7658708709176909</v>
      </c>
      <c r="V16">
        <f ca="1">COUNTIF(Weibull!$A$2:$A$101,"&lt;="&amp;R16)</f>
        <v>53</v>
      </c>
      <c r="AA16">
        <f t="shared" ca="1" si="6"/>
        <v>0.13</v>
      </c>
      <c r="AE16">
        <f t="shared" ca="1" si="7"/>
        <v>9.2267750352130307E-2</v>
      </c>
      <c r="AI16">
        <f t="shared" ca="1" si="1"/>
        <v>9.2267750352130307</v>
      </c>
    </row>
    <row r="17" spans="1:35" x14ac:dyDescent="0.3">
      <c r="A17">
        <f t="shared" si="2"/>
        <v>5</v>
      </c>
      <c r="B17">
        <f t="shared" si="0"/>
        <v>1.2285713894277761</v>
      </c>
      <c r="F17">
        <f ca="1">COUNTIF(Weibull!$A$2:$A$101,"&lt;="&amp;B17)</f>
        <v>30</v>
      </c>
      <c r="J17">
        <f t="shared" ca="1" si="3"/>
        <v>0.12</v>
      </c>
      <c r="N17">
        <f t="shared" si="4"/>
        <v>9.9999999999999978E-2</v>
      </c>
      <c r="R17">
        <f t="shared" ca="1" si="5"/>
        <v>2.1612122933422637</v>
      </c>
      <c r="V17">
        <f ca="1">COUNTIF(Weibull!$A$2:$A$101,"&lt;="&amp;R17)</f>
        <v>73</v>
      </c>
      <c r="AA17">
        <f t="shared" ca="1" si="6"/>
        <v>0.2</v>
      </c>
      <c r="AE17">
        <f t="shared" ca="1" si="7"/>
        <v>7.3821289652098554E-2</v>
      </c>
      <c r="AI17">
        <f t="shared" ca="1" si="1"/>
        <v>7.382128965209855</v>
      </c>
    </row>
    <row r="18" spans="1:35" x14ac:dyDescent="0.3">
      <c r="A18">
        <f t="shared" si="2"/>
        <v>6</v>
      </c>
      <c r="B18">
        <f t="shared" si="0"/>
        <v>1.6240830362593803</v>
      </c>
      <c r="F18">
        <f ca="1">COUNTIF(Weibull!$A$2:$A$101,"&lt;="&amp;B18)</f>
        <v>47</v>
      </c>
      <c r="J18">
        <f t="shared" ca="1" si="3"/>
        <v>0.17</v>
      </c>
      <c r="N18">
        <f t="shared" si="4"/>
        <v>0.10000000000000009</v>
      </c>
      <c r="R18">
        <f t="shared" ca="1" si="5"/>
        <v>2.5565537157668365</v>
      </c>
      <c r="V18">
        <f ca="1">COUNTIF(Weibull!$A$2:$A$101,"&lt;="&amp;R18)</f>
        <v>85</v>
      </c>
      <c r="AA18">
        <f t="shared" ca="1" si="6"/>
        <v>0.12</v>
      </c>
      <c r="AE18">
        <f t="shared" ca="1" si="7"/>
        <v>5.9062703762704172E-2</v>
      </c>
      <c r="AI18">
        <f t="shared" ca="1" si="1"/>
        <v>5.9062703762704167</v>
      </c>
    </row>
    <row r="19" spans="1:35" x14ac:dyDescent="0.3">
      <c r="A19">
        <f t="shared" si="2"/>
        <v>7</v>
      </c>
      <c r="B19">
        <f t="shared" si="0"/>
        <v>2.1339862334130189</v>
      </c>
      <c r="F19">
        <f ca="1">COUNTIF(Weibull!$A$2:$A$101,"&lt;="&amp;B19)</f>
        <v>72</v>
      </c>
      <c r="J19">
        <f t="shared" ca="1" si="3"/>
        <v>0.25</v>
      </c>
      <c r="N19">
        <f t="shared" si="4"/>
        <v>9.9999999999999867E-2</v>
      </c>
      <c r="R19">
        <f t="shared" ca="1" si="5"/>
        <v>2.9518951381914094</v>
      </c>
      <c r="V19">
        <f ca="1">COUNTIF(Weibull!$A$2:$A$101,"&lt;="&amp;R19)</f>
        <v>92</v>
      </c>
      <c r="AA19">
        <f t="shared" ca="1" si="6"/>
        <v>7.0000000000000007E-2</v>
      </c>
      <c r="AE19">
        <f t="shared" ca="1" si="7"/>
        <v>4.7254701078793593E-2</v>
      </c>
      <c r="AI19">
        <f t="shared" ca="1" si="1"/>
        <v>4.7254701078793593</v>
      </c>
    </row>
    <row r="20" spans="1:35" x14ac:dyDescent="0.3">
      <c r="A20">
        <f t="shared" si="2"/>
        <v>8</v>
      </c>
      <c r="B20">
        <f t="shared" si="0"/>
        <v>2.852654425687156</v>
      </c>
      <c r="F20">
        <f ca="1">COUNTIF(Weibull!$A$2:$A$101,"&lt;="&amp;B20)</f>
        <v>91</v>
      </c>
      <c r="J20">
        <f t="shared" ca="1" si="3"/>
        <v>0.19</v>
      </c>
      <c r="N20">
        <f t="shared" si="4"/>
        <v>0.10000000000000009</v>
      </c>
      <c r="R20">
        <f t="shared" ca="1" si="5"/>
        <v>3.3472365606159822</v>
      </c>
      <c r="V20">
        <f ca="1">COUNTIF(Weibull!$A$2:$A$101,"&lt;="&amp;R20)</f>
        <v>95</v>
      </c>
      <c r="AA20">
        <f t="shared" ca="1" si="6"/>
        <v>0.03</v>
      </c>
      <c r="AE20">
        <f t="shared" ca="1" si="7"/>
        <v>3.7807391666620616E-2</v>
      </c>
      <c r="AI20">
        <f t="shared" ca="1" si="1"/>
        <v>3.7807391666620616</v>
      </c>
    </row>
    <row r="21" spans="1:35" x14ac:dyDescent="0.3">
      <c r="A21">
        <f t="shared" si="2"/>
        <v>9</v>
      </c>
      <c r="B21">
        <f t="shared" si="0"/>
        <v>4.0812258151149328</v>
      </c>
      <c r="F21">
        <f ca="1">COUNTIF(Weibull!$A$2:$A$101,"&lt;="&amp;B21)</f>
        <v>99</v>
      </c>
      <c r="J21">
        <f t="shared" ca="1" si="3"/>
        <v>0.08</v>
      </c>
      <c r="N21">
        <f t="shared" si="4"/>
        <v>9.9999999999999978E-2</v>
      </c>
      <c r="R21">
        <f t="shared" ca="1" si="5"/>
        <v>3.742577983040555</v>
      </c>
      <c r="V21">
        <f ca="1">COUNTIF(Weibull!$A$2:$A$101,"&lt;="&amp;R21)</f>
        <v>99</v>
      </c>
      <c r="AA21">
        <f t="shared" ca="1" si="6"/>
        <v>0.04</v>
      </c>
      <c r="AE21">
        <f t="shared" ca="1" si="7"/>
        <v>3.0248818255136811E-2</v>
      </c>
      <c r="AI21">
        <f t="shared" ca="1" si="1"/>
        <v>3.0248818255136811</v>
      </c>
    </row>
    <row r="22" spans="1:35" x14ac:dyDescent="0.3">
      <c r="A22">
        <f t="shared" si="2"/>
        <v>10</v>
      </c>
      <c r="B22" t="s">
        <v>54</v>
      </c>
      <c r="F22">
        <f ca="1">COUNTIF(Weibull!$A$2:$A$101,"&lt;="&amp;Weibull!V32)</f>
        <v>100</v>
      </c>
      <c r="J22">
        <f t="shared" ca="1" si="3"/>
        <v>0.01</v>
      </c>
      <c r="N22">
        <f>EXP(-$M$5*B21)</f>
        <v>9.9999999999999978E-2</v>
      </c>
      <c r="R22">
        <f t="shared" ca="1" si="5"/>
        <v>4.1379194054651274</v>
      </c>
      <c r="V22">
        <f ca="1">COUNTIF(Weibull!$A$2:$A$101,"&lt;="&amp;R22)</f>
        <v>100</v>
      </c>
      <c r="AA22">
        <f t="shared" ca="1" si="6"/>
        <v>0.01</v>
      </c>
      <c r="AE22">
        <f t="shared" ca="1" si="7"/>
        <v>2.4201378764780679E-2</v>
      </c>
      <c r="AI22">
        <f t="shared" ca="1" si="1"/>
        <v>2.4201378764780679</v>
      </c>
    </row>
    <row r="46" spans="1:36" x14ac:dyDescent="0.3">
      <c r="Q46" s="25"/>
    </row>
    <row r="47" spans="1:36" x14ac:dyDescent="0.3">
      <c r="A47" s="37" t="s">
        <v>60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8"/>
      <c r="Q47" s="39"/>
      <c r="R47" s="37" t="s">
        <v>60</v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9" spans="1:30" x14ac:dyDescent="0.3">
      <c r="A49" s="35" t="s">
        <v>59</v>
      </c>
      <c r="B49">
        <v>0.05</v>
      </c>
      <c r="E49" s="17" t="s">
        <v>61</v>
      </c>
      <c r="F49" s="16"/>
      <c r="G49" s="16"/>
      <c r="H49" s="16"/>
      <c r="J49" s="17" t="s">
        <v>62</v>
      </c>
      <c r="K49" s="16"/>
      <c r="L49" s="16"/>
      <c r="R49" s="35" t="s">
        <v>59</v>
      </c>
      <c r="S49">
        <v>0.05</v>
      </c>
      <c r="V49" s="17" t="s">
        <v>63</v>
      </c>
      <c r="W49" s="16"/>
      <c r="X49" s="16"/>
      <c r="Y49" s="16"/>
      <c r="Z49" s="16"/>
      <c r="AB49" s="17" t="s">
        <v>62</v>
      </c>
      <c r="AC49" s="16"/>
      <c r="AD49" s="16"/>
    </row>
    <row r="51" spans="1:30" x14ac:dyDescent="0.3">
      <c r="C51">
        <f>_xlfn.CHISQ.INV(1-B49,9)</f>
        <v>16.918977604620448</v>
      </c>
      <c r="E51">
        <f ca="1">F13</f>
        <v>1</v>
      </c>
      <c r="J51">
        <f ca="1">((E51-100*$D$5)^2)/(100*$D$5)</f>
        <v>8.1</v>
      </c>
      <c r="V51">
        <f ca="1">V13</f>
        <v>8</v>
      </c>
      <c r="AB51">
        <f ca="1">((V51-100*AE13)^2)/(100*AE13)</f>
        <v>5.5682803182524285</v>
      </c>
    </row>
    <row r="52" spans="1:30" x14ac:dyDescent="0.3">
      <c r="E52">
        <f ca="1">F14-F13</f>
        <v>0</v>
      </c>
      <c r="J52">
        <f t="shared" ref="J52:J60" ca="1" si="8">((E52-100*$D$5)^2)/(100*$D$5)</f>
        <v>10</v>
      </c>
      <c r="T52">
        <f>_xlfn.CHISQ.INV(1-S49,9)</f>
        <v>16.918977604620448</v>
      </c>
      <c r="V52">
        <f ca="1">V14-V13</f>
        <v>11</v>
      </c>
      <c r="AB52">
        <f t="shared" ref="AB52:AB60" ca="1" si="9">((V52-100*AE14)^2)/(100*AE14)</f>
        <v>0.80864436936896389</v>
      </c>
    </row>
    <row r="53" spans="1:30" x14ac:dyDescent="0.3">
      <c r="E53">
        <f t="shared" ref="E53:E60" ca="1" si="10">F15-F14</f>
        <v>7</v>
      </c>
      <c r="J53">
        <f t="shared" ca="1" si="8"/>
        <v>0.9</v>
      </c>
      <c r="V53">
        <f t="shared" ref="V53:V60" ca="1" si="11">V15-V14</f>
        <v>21</v>
      </c>
      <c r="AB53">
        <f t="shared" ca="1" si="9"/>
        <v>7.7725786818007556</v>
      </c>
    </row>
    <row r="54" spans="1:30" x14ac:dyDescent="0.3">
      <c r="E54">
        <f t="shared" ca="1" si="10"/>
        <v>10</v>
      </c>
      <c r="J54">
        <f t="shared" ca="1" si="8"/>
        <v>0</v>
      </c>
      <c r="V54">
        <f t="shared" ca="1" si="11"/>
        <v>13</v>
      </c>
      <c r="AB54">
        <f t="shared" ca="1" si="9"/>
        <v>1.5430338965192849</v>
      </c>
    </row>
    <row r="55" spans="1:30" x14ac:dyDescent="0.3">
      <c r="E55">
        <f t="shared" ca="1" si="10"/>
        <v>12</v>
      </c>
      <c r="J55">
        <f t="shared" ca="1" si="8"/>
        <v>0.4</v>
      </c>
      <c r="V55">
        <f t="shared" ca="1" si="11"/>
        <v>20</v>
      </c>
      <c r="AB55">
        <f t="shared" ca="1" si="9"/>
        <v>21.567039833754812</v>
      </c>
    </row>
    <row r="56" spans="1:30" x14ac:dyDescent="0.3">
      <c r="E56">
        <f t="shared" ca="1" si="10"/>
        <v>17</v>
      </c>
      <c r="J56">
        <f t="shared" ca="1" si="8"/>
        <v>4.9000000000000004</v>
      </c>
      <c r="V56">
        <f t="shared" ca="1" si="11"/>
        <v>12</v>
      </c>
      <c r="AB56">
        <f t="shared" ca="1" si="9"/>
        <v>6.2871386444329858</v>
      </c>
    </row>
    <row r="57" spans="1:30" x14ac:dyDescent="0.3">
      <c r="E57">
        <f t="shared" ca="1" si="10"/>
        <v>25</v>
      </c>
      <c r="J57">
        <f t="shared" ca="1" si="8"/>
        <v>22.5</v>
      </c>
      <c r="V57">
        <f t="shared" ca="1" si="11"/>
        <v>7</v>
      </c>
      <c r="AB57">
        <f t="shared" ca="1" si="9"/>
        <v>1.0948087940549962</v>
      </c>
    </row>
    <row r="58" spans="1:30" x14ac:dyDescent="0.3">
      <c r="E58">
        <f t="shared" ca="1" si="10"/>
        <v>19</v>
      </c>
      <c r="J58">
        <f t="shared" ca="1" si="8"/>
        <v>8.1</v>
      </c>
      <c r="V58">
        <f t="shared" ca="1" si="11"/>
        <v>3</v>
      </c>
      <c r="AB58">
        <f t="shared" ca="1" si="9"/>
        <v>0.16122605117409697</v>
      </c>
    </row>
    <row r="59" spans="1:30" x14ac:dyDescent="0.3">
      <c r="E59">
        <f t="shared" ca="1" si="10"/>
        <v>8</v>
      </c>
      <c r="J59">
        <f t="shared" ca="1" si="8"/>
        <v>0.4</v>
      </c>
      <c r="V59">
        <f t="shared" ca="1" si="11"/>
        <v>4</v>
      </c>
      <c r="AB59">
        <f t="shared" ca="1" si="9"/>
        <v>0.31434466172973818</v>
      </c>
    </row>
    <row r="60" spans="1:30" x14ac:dyDescent="0.3">
      <c r="E60">
        <f t="shared" ca="1" si="10"/>
        <v>1</v>
      </c>
      <c r="J60">
        <f t="shared" ca="1" si="8"/>
        <v>8.1</v>
      </c>
      <c r="V60">
        <f t="shared" ca="1" si="11"/>
        <v>1</v>
      </c>
      <c r="AB60">
        <f t="shared" ca="1" si="9"/>
        <v>0.83333747544276027</v>
      </c>
    </row>
    <row r="64" spans="1:30" x14ac:dyDescent="0.3">
      <c r="E64">
        <f ca="1">SUM(J51:J60)</f>
        <v>63.4</v>
      </c>
      <c r="G64" t="str">
        <f ca="1">IF(E64&lt;=C51,"Test verificato","Test non verificato")</f>
        <v>Test non verificato</v>
      </c>
      <c r="V64">
        <f ca="1">SUM(AB51:AB60)</f>
        <v>45.950432726530828</v>
      </c>
      <c r="X64" t="str">
        <f ca="1">IF(V64&lt;=T52,"Test verificato","Test non verificato")</f>
        <v>Test non verificato</v>
      </c>
    </row>
    <row r="68" spans="1:36" x14ac:dyDescent="0.3">
      <c r="A68" s="17" t="s">
        <v>75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R68" s="17" t="s">
        <v>76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70" spans="1:36" x14ac:dyDescent="0.3">
      <c r="C70" s="30" t="s">
        <v>53</v>
      </c>
      <c r="D70">
        <f>1/10</f>
        <v>0.1</v>
      </c>
      <c r="F70" s="30" t="s">
        <v>68</v>
      </c>
      <c r="G70">
        <f>100*D70</f>
        <v>10</v>
      </c>
      <c r="K70">
        <f>Weibull!$E$6</f>
        <v>1.7724538509055161</v>
      </c>
      <c r="R70" s="34" t="s">
        <v>55</v>
      </c>
      <c r="S70">
        <v>10</v>
      </c>
    </row>
    <row r="72" spans="1:36" x14ac:dyDescent="0.3">
      <c r="K72">
        <f>Weibull!$E$10</f>
        <v>0.85840734641020644</v>
      </c>
      <c r="R72" s="34" t="s">
        <v>56</v>
      </c>
      <c r="S72" s="33"/>
      <c r="T72">
        <f ca="1">Weibull!$V$31</f>
        <v>0.18450518121939974</v>
      </c>
      <c r="V72" s="34" t="s">
        <v>24</v>
      </c>
      <c r="W72" s="33"/>
      <c r="X72">
        <f ca="1">(T73-T72)/S70</f>
        <v>0.39534142242457276</v>
      </c>
    </row>
    <row r="73" spans="1:36" x14ac:dyDescent="0.3">
      <c r="R73" s="34" t="s">
        <v>23</v>
      </c>
      <c r="S73" s="33"/>
      <c r="T73">
        <f ca="1">Weibull!$V$32</f>
        <v>4.1379194054651274</v>
      </c>
    </row>
    <row r="76" spans="1:36" x14ac:dyDescent="0.3">
      <c r="A76" s="17" t="s">
        <v>73</v>
      </c>
      <c r="B76" s="17"/>
      <c r="C76" s="16"/>
      <c r="D76" s="16"/>
      <c r="F76" s="17" t="s">
        <v>52</v>
      </c>
      <c r="G76" s="16"/>
      <c r="H76" s="16"/>
      <c r="J76" s="22" t="s">
        <v>29</v>
      </c>
      <c r="K76" s="23"/>
      <c r="L76" s="23"/>
      <c r="N76" s="31" t="s">
        <v>30</v>
      </c>
      <c r="O76" s="32"/>
      <c r="P76" s="32"/>
      <c r="R76" s="17" t="s">
        <v>73</v>
      </c>
      <c r="S76" s="16"/>
      <c r="T76" s="16"/>
      <c r="V76" s="17" t="s">
        <v>52</v>
      </c>
      <c r="W76" s="16"/>
      <c r="X76" s="16"/>
      <c r="Y76" s="16"/>
      <c r="AA76" s="22" t="s">
        <v>29</v>
      </c>
      <c r="AB76" s="23"/>
      <c r="AC76" s="23"/>
      <c r="AE76" s="31" t="s">
        <v>74</v>
      </c>
      <c r="AF76" s="32"/>
      <c r="AG76" s="32"/>
      <c r="AI76" s="17" t="s">
        <v>69</v>
      </c>
      <c r="AJ76" s="16"/>
    </row>
    <row r="78" spans="1:36" x14ac:dyDescent="0.3">
      <c r="A78">
        <v>1</v>
      </c>
      <c r="B78">
        <f>_xlfn.NORM.INV($D$70*A78,$K$70,SQRT($K$72))</f>
        <v>0.58509280071026537</v>
      </c>
      <c r="F78">
        <f ca="1">COUNTIF(Weibull!$A$2:$A$101,"&lt;="&amp;B78)</f>
        <v>8</v>
      </c>
      <c r="J78">
        <f ca="1">F78/100</f>
        <v>0.08</v>
      </c>
      <c r="N78">
        <f>_xlfn.NORM.DIST(B78,$K$70,SQRT($K$72),TRUE)</f>
        <v>9.9999999999999978E-2</v>
      </c>
      <c r="R78">
        <f ca="1">T72+X72</f>
        <v>0.57984660364397245</v>
      </c>
      <c r="V78">
        <f ca="1">COUNTIF(Weibull!$A$2:$A$101,"&lt;="&amp;R78)</f>
        <v>8</v>
      </c>
      <c r="AA78">
        <f ca="1">V78/100</f>
        <v>0.08</v>
      </c>
      <c r="AE78">
        <f ca="1">_xlfn.NORM.DIST(R78,$K$70,SQRT($K$72),TRUE)-_xlfn.NORM.DIST(T72,$K$70,SQRT($K$72),TRUE)</f>
        <v>5.5737866926800793E-2</v>
      </c>
      <c r="AI78">
        <f ca="1">100*AE78</f>
        <v>5.5737866926800796</v>
      </c>
    </row>
    <row r="79" spans="1:36" x14ac:dyDescent="0.3">
      <c r="A79">
        <f>A78+1</f>
        <v>2</v>
      </c>
      <c r="B79">
        <f t="shared" ref="B79:B86" si="12">_xlfn.NORM.INV($D$70*A79,$K$70,SQRT($K$72))</f>
        <v>0.99268946324539253</v>
      </c>
      <c r="F79">
        <f ca="1">COUNTIF(Weibull!$A$2:$A$101,"&lt;="&amp;B79)</f>
        <v>19</v>
      </c>
      <c r="J79">
        <f ca="1">(F79-F78)/100</f>
        <v>0.11</v>
      </c>
      <c r="N79">
        <f>_xlfn.NORM.DIST(B79,$K$70,SQRT($K$72),TRUE)-_xlfn.NORM.DIST(B78,$K$70,SQRT($K$72),TRUE)</f>
        <v>9.9999999999999922E-2</v>
      </c>
      <c r="R79">
        <f ca="1">R78+$X$72</f>
        <v>0.97518802606854527</v>
      </c>
      <c r="V79">
        <f ca="1">COUNTIF(Weibull!$A$2:$A$101,"&lt;="&amp;R79)</f>
        <v>19</v>
      </c>
      <c r="AA79">
        <f ca="1">(V79-V78)/100</f>
        <v>0.11</v>
      </c>
      <c r="AE79">
        <f ca="1">_xlfn.NORM.DIST(R79,$K$70,SQRT($K$72),TRUE)-_xlfn.NORM.DIST(R78,$K$70,SQRT($K$72),TRUE)</f>
        <v>9.5743839851021112E-2</v>
      </c>
      <c r="AI79">
        <f t="shared" ref="AI79:AI87" ca="1" si="13">100*AE79</f>
        <v>9.5743839851021111</v>
      </c>
    </row>
    <row r="80" spans="1:36" x14ac:dyDescent="0.3">
      <c r="A80">
        <f t="shared" ref="A80:A87" si="14">A79+1</f>
        <v>3</v>
      </c>
      <c r="B80">
        <f t="shared" si="12"/>
        <v>1.2865953335954081</v>
      </c>
      <c r="F80">
        <f ca="1">COUNTIF(Weibull!$A$2:$A$101,"&lt;="&amp;B80)</f>
        <v>31</v>
      </c>
      <c r="J80">
        <f t="shared" ref="J80:J87" ca="1" si="15">(F80-F79)/100</f>
        <v>0.12</v>
      </c>
      <c r="N80">
        <f t="shared" ref="N80:N86" si="16">_xlfn.NORM.DIST(B80,$K$70,SQRT($K$72),TRUE)-_xlfn.NORM.DIST(B79,$K$70,SQRT($K$72),TRUE)</f>
        <v>0.10000000000000003</v>
      </c>
      <c r="R80">
        <f t="shared" ref="R80:R87" ca="1" si="17">R79+$X$72</f>
        <v>1.3705294484931181</v>
      </c>
      <c r="V80">
        <f ca="1">COUNTIF(Weibull!$A$2:$A$101,"&lt;="&amp;R80)</f>
        <v>40</v>
      </c>
      <c r="AA80">
        <f t="shared" ref="AA80:AA87" ca="1" si="18">(V80-V79)/100</f>
        <v>0.21</v>
      </c>
      <c r="AE80">
        <f t="shared" ref="AE80:AE87" ca="1" si="19">_xlfn.NORM.DIST(R80,$K$70,SQRT($K$72),TRUE)-_xlfn.NORM.DIST(R79,$K$70,SQRT($K$72),TRUE)</f>
        <v>0.1374601914139108</v>
      </c>
      <c r="AI80">
        <f t="shared" ca="1" si="13"/>
        <v>13.746019141391081</v>
      </c>
    </row>
    <row r="81" spans="1:35" x14ac:dyDescent="0.3">
      <c r="A81">
        <f t="shared" si="14"/>
        <v>4</v>
      </c>
      <c r="B81">
        <f t="shared" si="12"/>
        <v>1.537727063056433</v>
      </c>
      <c r="F81">
        <f ca="1">COUNTIF(Weibull!$A$2:$A$101,"&lt;="&amp;B81)</f>
        <v>47</v>
      </c>
      <c r="J81">
        <f t="shared" ca="1" si="15"/>
        <v>0.16</v>
      </c>
      <c r="N81">
        <f t="shared" si="16"/>
        <v>0.10000000000000009</v>
      </c>
      <c r="R81">
        <f t="shared" ca="1" si="17"/>
        <v>1.7658708709176909</v>
      </c>
      <c r="V81">
        <f ca="1">COUNTIF(Weibull!$A$2:$A$101,"&lt;="&amp;R81)</f>
        <v>53</v>
      </c>
      <c r="AA81">
        <f t="shared" ca="1" si="18"/>
        <v>0.13</v>
      </c>
      <c r="AE81">
        <f t="shared" ca="1" si="19"/>
        <v>0.16495156458009974</v>
      </c>
      <c r="AI81">
        <f t="shared" ca="1" si="13"/>
        <v>16.495156458009973</v>
      </c>
    </row>
    <row r="82" spans="1:35" x14ac:dyDescent="0.3">
      <c r="A82">
        <f t="shared" si="14"/>
        <v>5</v>
      </c>
      <c r="B82">
        <f t="shared" si="12"/>
        <v>1.7724538509055161</v>
      </c>
      <c r="F82">
        <f ca="1">COUNTIF(Weibull!$A$2:$A$101,"&lt;="&amp;B82)</f>
        <v>53</v>
      </c>
      <c r="J82">
        <f t="shared" ca="1" si="15"/>
        <v>0.06</v>
      </c>
      <c r="N82">
        <f t="shared" si="16"/>
        <v>9.9999999999999978E-2</v>
      </c>
      <c r="R82">
        <f t="shared" ca="1" si="17"/>
        <v>2.1612122933422637</v>
      </c>
      <c r="V82">
        <f ca="1">COUNTIF(Weibull!$A$2:$A$101,"&lt;="&amp;R82)</f>
        <v>73</v>
      </c>
      <c r="AA82">
        <f t="shared" ca="1" si="18"/>
        <v>0.2</v>
      </c>
      <c r="AE82">
        <f t="shared" ca="1" si="19"/>
        <v>0.16544486086984711</v>
      </c>
      <c r="AI82">
        <f t="shared" ca="1" si="13"/>
        <v>16.544486086984712</v>
      </c>
    </row>
    <row r="83" spans="1:35" x14ac:dyDescent="0.3">
      <c r="A83">
        <f t="shared" si="14"/>
        <v>6</v>
      </c>
      <c r="B83">
        <f t="shared" si="12"/>
        <v>2.0071806387545994</v>
      </c>
      <c r="F83">
        <f ca="1">COUNTIF(Weibull!$A$2:$A$101,"&lt;="&amp;B83)</f>
        <v>65</v>
      </c>
      <c r="J83">
        <f t="shared" ca="1" si="15"/>
        <v>0.12</v>
      </c>
      <c r="N83">
        <f t="shared" si="16"/>
        <v>0.10000000000000009</v>
      </c>
      <c r="R83">
        <f t="shared" ca="1" si="17"/>
        <v>2.5565537157668365</v>
      </c>
      <c r="V83">
        <f ca="1">COUNTIF(Weibull!$A$2:$A$101,"&lt;="&amp;R83)</f>
        <v>85</v>
      </c>
      <c r="AA83">
        <f t="shared" ca="1" si="18"/>
        <v>0.12</v>
      </c>
      <c r="AE83">
        <f t="shared" ca="1" si="19"/>
        <v>0.13869714961991564</v>
      </c>
      <c r="AI83">
        <f t="shared" ca="1" si="13"/>
        <v>13.869714961991564</v>
      </c>
    </row>
    <row r="84" spans="1:35" x14ac:dyDescent="0.3">
      <c r="A84">
        <f t="shared" si="14"/>
        <v>7</v>
      </c>
      <c r="B84">
        <f t="shared" si="12"/>
        <v>2.2583123682156243</v>
      </c>
      <c r="F84">
        <f ca="1">COUNTIF(Weibull!$A$2:$A$101,"&lt;="&amp;B84)</f>
        <v>77</v>
      </c>
      <c r="J84">
        <f t="shared" ca="1" si="15"/>
        <v>0.12</v>
      </c>
      <c r="N84">
        <f t="shared" si="16"/>
        <v>0.10000000000000009</v>
      </c>
      <c r="R84">
        <f t="shared" ca="1" si="17"/>
        <v>2.9518951381914094</v>
      </c>
      <c r="V84">
        <f ca="1">COUNTIF(Weibull!$A$2:$A$101,"&lt;="&amp;R84)</f>
        <v>92</v>
      </c>
      <c r="AA84">
        <f t="shared" ca="1" si="18"/>
        <v>7.0000000000000007E-2</v>
      </c>
      <c r="AE84">
        <f t="shared" ca="1" si="19"/>
        <v>9.7184135541974137E-2</v>
      </c>
      <c r="AI84">
        <f t="shared" ca="1" si="13"/>
        <v>9.7184135541974133</v>
      </c>
    </row>
    <row r="85" spans="1:35" x14ac:dyDescent="0.3">
      <c r="A85">
        <f t="shared" si="14"/>
        <v>8</v>
      </c>
      <c r="B85">
        <f t="shared" si="12"/>
        <v>2.55221823856564</v>
      </c>
      <c r="F85">
        <f ca="1">COUNTIF(Weibull!$A$2:$A$101,"&lt;="&amp;B85)</f>
        <v>85</v>
      </c>
      <c r="J85">
        <f t="shared" ca="1" si="15"/>
        <v>0.08</v>
      </c>
      <c r="N85">
        <f t="shared" si="16"/>
        <v>9.9999999999999978E-2</v>
      </c>
      <c r="R85">
        <f t="shared" ca="1" si="17"/>
        <v>3.3472365606159822</v>
      </c>
      <c r="V85">
        <f ca="1">COUNTIF(Weibull!$A$2:$A$101,"&lt;="&amp;R85)</f>
        <v>95</v>
      </c>
      <c r="AA85">
        <f t="shared" ca="1" si="18"/>
        <v>0.03</v>
      </c>
      <c r="AE85">
        <f t="shared" ca="1" si="19"/>
        <v>5.6915314801502914E-2</v>
      </c>
      <c r="AI85">
        <f t="shared" ca="1" si="13"/>
        <v>5.6915314801502914</v>
      </c>
    </row>
    <row r="86" spans="1:35" x14ac:dyDescent="0.3">
      <c r="A86">
        <f t="shared" si="14"/>
        <v>9</v>
      </c>
      <c r="B86">
        <f t="shared" si="12"/>
        <v>2.9598149011007671</v>
      </c>
      <c r="F86">
        <f ca="1">COUNTIF(Weibull!$A$2:$A$101,"&lt;="&amp;B86)</f>
        <v>92</v>
      </c>
      <c r="J86">
        <f t="shared" ca="1" si="15"/>
        <v>7.0000000000000007E-2</v>
      </c>
      <c r="N86">
        <f t="shared" si="16"/>
        <v>9.9999999999999978E-2</v>
      </c>
      <c r="R86">
        <f t="shared" ca="1" si="17"/>
        <v>3.742577983040555</v>
      </c>
      <c r="V86">
        <f ca="1">COUNTIF(Weibull!$A$2:$A$101,"&lt;="&amp;R86)</f>
        <v>99</v>
      </c>
      <c r="AA86">
        <f t="shared" ca="1" si="18"/>
        <v>0.04</v>
      </c>
      <c r="AE86">
        <f t="shared" ca="1" si="19"/>
        <v>2.7858482825561914E-2</v>
      </c>
      <c r="AI86">
        <f t="shared" ca="1" si="13"/>
        <v>2.7858482825561914</v>
      </c>
    </row>
    <row r="87" spans="1:35" x14ac:dyDescent="0.3">
      <c r="A87">
        <f t="shared" si="14"/>
        <v>10</v>
      </c>
      <c r="B87" t="s">
        <v>54</v>
      </c>
      <c r="F87">
        <f ca="1">COUNTIF(Weibull!$A$2:$A$101,"&lt;="&amp;Weibull!$V$32)</f>
        <v>100</v>
      </c>
      <c r="J87">
        <f t="shared" ca="1" si="15"/>
        <v>0.08</v>
      </c>
      <c r="N87">
        <f>1-_xlfn.NORM.DIST(B86,$K$70,SQRT($K$72),TRUE)</f>
        <v>9.9999999999999867E-2</v>
      </c>
      <c r="R87">
        <f t="shared" ca="1" si="17"/>
        <v>4.1379194054651274</v>
      </c>
      <c r="V87">
        <f ca="1">COUNTIF(Weibull!$A$2:$A$101,"&lt;="&amp;R87)</f>
        <v>100</v>
      </c>
      <c r="AA87">
        <f t="shared" ca="1" si="18"/>
        <v>0.01</v>
      </c>
      <c r="AE87">
        <f t="shared" ca="1" si="19"/>
        <v>1.1396340468316613E-2</v>
      </c>
      <c r="AI87">
        <f t="shared" ca="1" si="13"/>
        <v>1.1396340468316613</v>
      </c>
    </row>
    <row r="114" spans="1:36" x14ac:dyDescent="0.3">
      <c r="A114" s="37" t="s">
        <v>60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8"/>
      <c r="R114" s="37" t="s">
        <v>60</v>
      </c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8"/>
      <c r="AH114" s="36"/>
      <c r="AI114" s="36"/>
      <c r="AJ114" s="36"/>
    </row>
    <row r="116" spans="1:36" x14ac:dyDescent="0.3">
      <c r="A116" s="35" t="s">
        <v>59</v>
      </c>
      <c r="B116">
        <v>0.05</v>
      </c>
      <c r="E116" s="17" t="s">
        <v>61</v>
      </c>
      <c r="F116" s="16"/>
      <c r="G116" s="16"/>
      <c r="H116" s="16"/>
      <c r="J116" s="17" t="s">
        <v>62</v>
      </c>
      <c r="K116" s="16"/>
      <c r="L116" s="16"/>
      <c r="R116" s="35" t="s">
        <v>59</v>
      </c>
      <c r="S116">
        <v>0.05</v>
      </c>
      <c r="V116" s="17" t="s">
        <v>61</v>
      </c>
      <c r="W116" s="16"/>
      <c r="X116" s="16"/>
      <c r="Y116" s="16"/>
      <c r="AA116" s="17" t="s">
        <v>62</v>
      </c>
      <c r="AB116" s="16"/>
      <c r="AC116" s="16"/>
    </row>
    <row r="118" spans="1:36" x14ac:dyDescent="0.3">
      <c r="C118">
        <f>_xlfn.CHISQ.INV(1-B116,9)</f>
        <v>16.918977604620448</v>
      </c>
      <c r="E118">
        <f ca="1">F78</f>
        <v>8</v>
      </c>
      <c r="J118">
        <f ca="1">((E118-100*$D$70)^2)/(100*$D$70)</f>
        <v>0.4</v>
      </c>
      <c r="T118">
        <f>_xlfn.CHISQ.INV(1-S116,9)</f>
        <v>16.918977604620448</v>
      </c>
      <c r="V118">
        <f ca="1">V78</f>
        <v>8</v>
      </c>
      <c r="AA118">
        <f t="shared" ref="AA118:AA127" ca="1" si="20">((V118-100*AE78)^2)/(100*AE78)</f>
        <v>1.0561062590261805</v>
      </c>
    </row>
    <row r="119" spans="1:36" x14ac:dyDescent="0.3">
      <c r="E119">
        <f t="shared" ref="E119:E127" ca="1" si="21">F79-F78</f>
        <v>11</v>
      </c>
      <c r="J119">
        <f t="shared" ref="J119:J127" ca="1" si="22">((E119-100*$D$70)^2)/(100*$D$70)</f>
        <v>0.1</v>
      </c>
      <c r="V119">
        <f t="shared" ref="V119:V127" ca="1" si="23">V79-V78</f>
        <v>11</v>
      </c>
      <c r="AA119">
        <f t="shared" ca="1" si="20"/>
        <v>0.21227277129220573</v>
      </c>
    </row>
    <row r="120" spans="1:36" x14ac:dyDescent="0.3">
      <c r="E120">
        <f t="shared" ca="1" si="21"/>
        <v>12</v>
      </c>
      <c r="J120">
        <f t="shared" ca="1" si="22"/>
        <v>0.4</v>
      </c>
      <c r="V120">
        <f t="shared" ca="1" si="23"/>
        <v>21</v>
      </c>
      <c r="AA120">
        <f t="shared" ca="1" si="20"/>
        <v>3.8280347026884387</v>
      </c>
    </row>
    <row r="121" spans="1:36" x14ac:dyDescent="0.3">
      <c r="E121">
        <f t="shared" ca="1" si="21"/>
        <v>16</v>
      </c>
      <c r="J121">
        <f t="shared" ca="1" si="22"/>
        <v>3.6</v>
      </c>
      <c r="V121">
        <f t="shared" ca="1" si="23"/>
        <v>13</v>
      </c>
      <c r="AA121">
        <f t="shared" ca="1" si="20"/>
        <v>0.74058822643277966</v>
      </c>
    </row>
    <row r="122" spans="1:36" x14ac:dyDescent="0.3">
      <c r="E122">
        <f t="shared" ca="1" si="21"/>
        <v>6</v>
      </c>
      <c r="J122">
        <f t="shared" ca="1" si="22"/>
        <v>1.6</v>
      </c>
      <c r="V122">
        <f t="shared" ca="1" si="23"/>
        <v>20</v>
      </c>
      <c r="AA122">
        <f t="shared" ca="1" si="20"/>
        <v>0.72172543409708512</v>
      </c>
    </row>
    <row r="123" spans="1:36" x14ac:dyDescent="0.3">
      <c r="E123">
        <f t="shared" ca="1" si="21"/>
        <v>12</v>
      </c>
      <c r="J123">
        <f t="shared" ca="1" si="22"/>
        <v>0.4</v>
      </c>
      <c r="V123">
        <f t="shared" ca="1" si="23"/>
        <v>12</v>
      </c>
      <c r="AA123">
        <f t="shared" ca="1" si="20"/>
        <v>0.25204800882174333</v>
      </c>
    </row>
    <row r="124" spans="1:36" x14ac:dyDescent="0.3">
      <c r="E124">
        <f t="shared" ca="1" si="21"/>
        <v>12</v>
      </c>
      <c r="J124">
        <f t="shared" ca="1" si="22"/>
        <v>0.4</v>
      </c>
      <c r="V124">
        <f t="shared" ca="1" si="23"/>
        <v>7</v>
      </c>
      <c r="AA124">
        <f t="shared" ca="1" si="20"/>
        <v>0.76038874147854585</v>
      </c>
    </row>
    <row r="125" spans="1:36" x14ac:dyDescent="0.3">
      <c r="E125">
        <f t="shared" ca="1" si="21"/>
        <v>8</v>
      </c>
      <c r="J125">
        <f t="shared" ca="1" si="22"/>
        <v>0.4</v>
      </c>
      <c r="V125">
        <f t="shared" ca="1" si="23"/>
        <v>3</v>
      </c>
      <c r="AA125">
        <f t="shared" ca="1" si="20"/>
        <v>1.2728281893731568</v>
      </c>
    </row>
    <row r="126" spans="1:36" x14ac:dyDescent="0.3">
      <c r="E126">
        <f t="shared" ca="1" si="21"/>
        <v>7</v>
      </c>
      <c r="J126">
        <f t="shared" ca="1" si="22"/>
        <v>0.9</v>
      </c>
      <c r="V126">
        <f t="shared" ca="1" si="23"/>
        <v>4</v>
      </c>
      <c r="AA126">
        <f t="shared" ca="1" si="20"/>
        <v>0.52916176455205644</v>
      </c>
    </row>
    <row r="127" spans="1:36" x14ac:dyDescent="0.3">
      <c r="E127">
        <f t="shared" ca="1" si="21"/>
        <v>8</v>
      </c>
      <c r="J127">
        <f t="shared" ca="1" si="22"/>
        <v>0.4</v>
      </c>
      <c r="V127">
        <f t="shared" ca="1" si="23"/>
        <v>1</v>
      </c>
      <c r="AA127">
        <f t="shared" ca="1" si="20"/>
        <v>1.7108708790153075E-2</v>
      </c>
    </row>
    <row r="131" spans="5:24" x14ac:dyDescent="0.3">
      <c r="E131">
        <f ca="1">SUM(J118:J127)</f>
        <v>8.6000000000000014</v>
      </c>
      <c r="G131" t="str">
        <f ca="1">IF(E131&lt;=C118,"Test verificato, errore di seconda specie","Test non verificato")</f>
        <v>Test verificato, errore di seconda specie</v>
      </c>
      <c r="V131">
        <f ca="1">SUM(AA118:AA127)</f>
        <v>9.3902628065523448</v>
      </c>
      <c r="X131" t="str">
        <f ca="1">IF(V131&lt;=T118,"Test verificato, errore di seconda specie","Test non verificato")</f>
        <v>Test verificato, errore di seconda specie</v>
      </c>
    </row>
  </sheetData>
  <conditionalFormatting sqref="G5">
    <cfRule type="cellIs" dxfId="19" priority="4" operator="lessThan">
      <formula>5</formula>
    </cfRule>
    <cfRule type="cellIs" dxfId="18" priority="5" operator="equal">
      <formula>5</formula>
    </cfRule>
    <cfRule type="cellIs" dxfId="17" priority="6" operator="greaterThan">
      <formula>5</formula>
    </cfRule>
  </conditionalFormatting>
  <conditionalFormatting sqref="G64">
    <cfRule type="containsText" dxfId="16" priority="19" operator="containsText" text="non">
      <formula>NOT(ISERROR(SEARCH("non",G64)))</formula>
    </cfRule>
    <cfRule type="notContainsText" dxfId="15" priority="20" operator="notContains" text="non">
      <formula>ISERROR(SEARCH("non",G64))</formula>
    </cfRule>
  </conditionalFormatting>
  <conditionalFormatting sqref="G70">
    <cfRule type="cellIs" dxfId="14" priority="1" operator="equal">
      <formula>5</formula>
    </cfRule>
    <cfRule type="cellIs" dxfId="13" priority="2" operator="lessThan">
      <formula>5</formula>
    </cfRule>
    <cfRule type="cellIs" dxfId="12" priority="3" operator="greaterThan">
      <formula>5</formula>
    </cfRule>
  </conditionalFormatting>
  <conditionalFormatting sqref="G131">
    <cfRule type="containsText" dxfId="11" priority="15" operator="containsText" text="non">
      <formula>NOT(ISERROR(SEARCH("non",G131)))</formula>
    </cfRule>
    <cfRule type="notContainsText" dxfId="10" priority="16" operator="notContains" text="non">
      <formula>ISERROR(SEARCH("non",G131))</formula>
    </cfRule>
  </conditionalFormatting>
  <conditionalFormatting sqref="X64">
    <cfRule type="containsText" dxfId="9" priority="17" operator="containsText" text="non">
      <formula>NOT(ISERROR(SEARCH("non",X64)))</formula>
    </cfRule>
    <cfRule type="notContainsText" dxfId="8" priority="18" operator="notContains" text="non">
      <formula>ISERROR(SEARCH("non",X64))</formula>
    </cfRule>
  </conditionalFormatting>
  <conditionalFormatting sqref="X131">
    <cfRule type="containsText" dxfId="7" priority="13" operator="containsText" text="non">
      <formula>NOT(ISERROR(SEARCH("non",X131)))</formula>
    </cfRule>
    <cfRule type="notContainsText" dxfId="6" priority="14" operator="notContains" text="non">
      <formula>ISERROR(SEARCH("non",X131))</formula>
    </cfRule>
  </conditionalFormatting>
  <conditionalFormatting sqref="AI13:AI22">
    <cfRule type="cellIs" dxfId="5" priority="10" operator="equal">
      <formula>5</formula>
    </cfRule>
    <cfRule type="cellIs" dxfId="4" priority="11" operator="lessThan">
      <formula>5</formula>
    </cfRule>
    <cfRule type="cellIs" dxfId="3" priority="12" operator="greaterThan">
      <formula>5</formula>
    </cfRule>
  </conditionalFormatting>
  <conditionalFormatting sqref="AI78:AI87">
    <cfRule type="cellIs" dxfId="2" priority="7" operator="equal">
      <formula>5</formula>
    </cfRule>
    <cfRule type="cellIs" dxfId="1" priority="8" operator="greaterThan">
      <formula>5</formula>
    </cfRule>
    <cfRule type="cellIs" dxfId="0" priority="9" operator="less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Normale</vt:lpstr>
      <vt:lpstr>Esponenziale</vt:lpstr>
      <vt:lpstr>Weibull</vt:lpstr>
      <vt:lpstr>Test sulla forma per Normale</vt:lpstr>
      <vt:lpstr>Test sulla forma per Exp</vt:lpstr>
      <vt:lpstr>Test sulla forma per Weibull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Nahele Parisi</dc:creator>
  <cp:lastModifiedBy>Nahele Parisi</cp:lastModifiedBy>
  <dcterms:created xsi:type="dcterms:W3CDTF">2024-02-12T19:23:34Z</dcterms:created>
  <dcterms:modified xsi:type="dcterms:W3CDTF">2024-02-29T21:13:25Z</dcterms:modified>
</cp:coreProperties>
</file>