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DF8BFD23-45FE-47A5-B9B2-8C42DF37E9FD}" xr6:coauthVersionLast="47" xr6:coauthVersionMax="47" xr10:uidLastSave="{00000000-0000-0000-0000-000000000000}"/>
  <bookViews>
    <workbookView xWindow="20172" yWindow="0" windowWidth="20172" windowHeight="17280" activeTab="2" xr2:uid="{00000000-000D-0000-FFFF-FFFF00000000}"/>
  </bookViews>
  <sheets>
    <sheet name="Desalination" sheetId="7" r:id="rId1"/>
    <sheet name="Desalination EAC&amp;TPC" sheetId="8" r:id="rId2"/>
    <sheet name="Desalination Revenue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7" l="1"/>
  <c r="I29" i="7"/>
  <c r="I27" i="7"/>
  <c r="I30" i="7" l="1"/>
  <c r="K11" i="8" s="1"/>
  <c r="I23" i="7"/>
  <c r="E7" i="9"/>
  <c r="E6" i="9"/>
  <c r="I13" i="7" l="1"/>
  <c r="I11" i="7" l="1"/>
  <c r="K10" i="8" l="1"/>
  <c r="I6" i="7"/>
  <c r="I8" i="7"/>
  <c r="I5" i="7"/>
  <c r="I7" i="7"/>
  <c r="I9" i="7"/>
  <c r="I10" i="7"/>
  <c r="C37" i="7"/>
  <c r="D24" i="7" l="1"/>
  <c r="D28" i="7"/>
  <c r="D25" i="7"/>
  <c r="D26" i="7"/>
  <c r="D27" i="7"/>
  <c r="D29" i="7"/>
  <c r="D23" i="7"/>
  <c r="D32" i="7" s="1"/>
  <c r="K9" i="8" s="1"/>
  <c r="I15" i="7"/>
  <c r="E7" i="8" s="1"/>
  <c r="E29" i="8" s="1"/>
  <c r="E31" i="8" s="1"/>
  <c r="E17" i="8" l="1"/>
  <c r="K6" i="8"/>
  <c r="K12" i="8" s="1"/>
  <c r="E22" i="8"/>
  <c r="E9" i="8"/>
  <c r="E10" i="8"/>
  <c r="E23" i="8"/>
  <c r="E11" i="8"/>
  <c r="E24" i="8"/>
  <c r="E25" i="8"/>
  <c r="E8" i="8"/>
  <c r="E14" i="8"/>
  <c r="E15" i="8"/>
  <c r="E16" i="8"/>
  <c r="E30" i="8"/>
  <c r="E33" i="8" s="1"/>
  <c r="E34" i="8" s="1"/>
  <c r="E19" i="8" l="1"/>
  <c r="E27" i="8"/>
  <c r="K15" i="8"/>
  <c r="K27" i="8"/>
  <c r="K25" i="8" s="1"/>
  <c r="K13" i="8" l="1"/>
  <c r="K23" i="8"/>
  <c r="K22" i="8"/>
  <c r="K16" i="8" l="1"/>
  <c r="K14" i="8"/>
  <c r="K29" i="8" s="1"/>
  <c r="K18" i="8" s="1"/>
  <c r="K21" i="8"/>
  <c r="K30" i="8" l="1"/>
</calcChain>
</file>

<file path=xl/sharedStrings.xml><?xml version="1.0" encoding="utf-8"?>
<sst xmlns="http://schemas.openxmlformats.org/spreadsheetml/2006/main" count="168" uniqueCount="138">
  <si>
    <t>Capex</t>
    <phoneticPr fontId="2" type="noConversion"/>
  </si>
  <si>
    <t>Reference equpment cost ($)</t>
    <phoneticPr fontId="4" type="noConversion"/>
  </si>
  <si>
    <t xml:space="preserve">Scale paramter </t>
    <phoneticPr fontId="4" type="noConversion"/>
  </si>
  <si>
    <t>Refernece capacity</t>
    <phoneticPr fontId="4" type="noConversion"/>
  </si>
  <si>
    <t xml:space="preserve">Capacity </t>
    <phoneticPr fontId="4" type="noConversion"/>
  </si>
  <si>
    <t>Capacity correction factor</t>
    <phoneticPr fontId="4" type="noConversion"/>
  </si>
  <si>
    <t>Refernece year</t>
    <phoneticPr fontId="4" type="noConversion"/>
  </si>
  <si>
    <t>Equipment cost ($)</t>
    <phoneticPr fontId="4" type="noConversion"/>
  </si>
  <si>
    <t>Opex</t>
    <phoneticPr fontId="2" type="noConversion"/>
  </si>
  <si>
    <t>EAC (B.P)</t>
    <phoneticPr fontId="4" type="noConversion"/>
  </si>
  <si>
    <t xml:space="preserve">Classification </t>
    <phoneticPr fontId="4" type="noConversion"/>
  </si>
  <si>
    <t>% of FCI</t>
    <phoneticPr fontId="4" type="noConversion"/>
  </si>
  <si>
    <t xml:space="preserve">Used </t>
    <phoneticPr fontId="4" type="noConversion"/>
  </si>
  <si>
    <t>Value</t>
    <phoneticPr fontId="4" type="noConversion"/>
  </si>
  <si>
    <t>Direct cost</t>
    <phoneticPr fontId="4" type="noConversion"/>
  </si>
  <si>
    <t>ISBL (Inside battery limit, 전체공사구역 중 주 공정시설)</t>
    <phoneticPr fontId="4" type="noConversion"/>
  </si>
  <si>
    <t xml:space="preserve">Equipment cost &lt;&lt; 직접 구하길 </t>
    <phoneticPr fontId="4" type="noConversion"/>
  </si>
  <si>
    <t>20-40</t>
    <phoneticPr fontId="4" type="noConversion"/>
  </si>
  <si>
    <t>Installation of equipment = FCI * 0.1</t>
    <phoneticPr fontId="4" type="noConversion"/>
  </si>
  <si>
    <t>7.3-26</t>
    <phoneticPr fontId="4" type="noConversion"/>
  </si>
  <si>
    <t>Instrument and control = FCI * 0.05</t>
    <phoneticPr fontId="4" type="noConversion"/>
  </si>
  <si>
    <t>2.5-7.0</t>
    <phoneticPr fontId="4" type="noConversion"/>
  </si>
  <si>
    <t>Piping = FCI * 0.1</t>
    <phoneticPr fontId="4" type="noConversion"/>
  </si>
  <si>
    <t>3.0-15</t>
    <phoneticPr fontId="4" type="noConversion"/>
  </si>
  <si>
    <t>Electrical = FCI * 0.05</t>
    <phoneticPr fontId="4" type="noConversion"/>
  </si>
  <si>
    <t>2.5-9.0</t>
    <phoneticPr fontId="4" type="noConversion"/>
  </si>
  <si>
    <t>OSBL(Outside bettery limit,주공정시설 외 부대시설)</t>
    <phoneticPr fontId="4" type="noConversion"/>
  </si>
  <si>
    <t>Building and building services = FCI * 0.08</t>
    <phoneticPr fontId="4" type="noConversion"/>
  </si>
  <si>
    <t>6.0-20</t>
    <phoneticPr fontId="4" type="noConversion"/>
  </si>
  <si>
    <t>Yard improvements = FCI * 0.02</t>
    <phoneticPr fontId="4" type="noConversion"/>
  </si>
  <si>
    <t>1.5-5.0</t>
    <phoneticPr fontId="4" type="noConversion"/>
  </si>
  <si>
    <t>Services facilities = FCI * 0.08</t>
    <phoneticPr fontId="4" type="noConversion"/>
  </si>
  <si>
    <t>8.0-35</t>
    <phoneticPr fontId="4" type="noConversion"/>
  </si>
  <si>
    <t>Land = FCI * 0.02</t>
    <phoneticPr fontId="4" type="noConversion"/>
  </si>
  <si>
    <t>1.0-2.0</t>
    <phoneticPr fontId="4" type="noConversion"/>
  </si>
  <si>
    <t>Total direct cost = FCI * 0.5 + Equipment cost</t>
    <phoneticPr fontId="4" type="noConversion"/>
  </si>
  <si>
    <t>Indirect cost</t>
    <phoneticPr fontId="4" type="noConversion"/>
  </si>
  <si>
    <t>Engineering = FCI * 0.05</t>
    <phoneticPr fontId="4" type="noConversion"/>
  </si>
  <si>
    <t>4.0-21</t>
    <phoneticPr fontId="4" type="noConversion"/>
  </si>
  <si>
    <t>Construction expenses = FCI * 0.05</t>
    <phoneticPr fontId="4" type="noConversion"/>
  </si>
  <si>
    <t>4.8-22</t>
    <phoneticPr fontId="4" type="noConversion"/>
  </si>
  <si>
    <t>Contractor's fee = FCI * 0.05</t>
    <phoneticPr fontId="4" type="noConversion"/>
  </si>
  <si>
    <t>Contingency = FCI * 0.05</t>
    <phoneticPr fontId="4" type="noConversion"/>
  </si>
  <si>
    <t>5.0-20</t>
    <phoneticPr fontId="4" type="noConversion"/>
  </si>
  <si>
    <t>Total indirect cost = FCI * 0.2</t>
    <phoneticPr fontId="4" type="noConversion"/>
  </si>
  <si>
    <t>Fixed capital investment (FCI)</t>
    <phoneticPr fontId="4" type="noConversion"/>
  </si>
  <si>
    <t>Start up cost (SUC)  = FCI * 0.2</t>
    <phoneticPr fontId="4" type="noConversion"/>
  </si>
  <si>
    <t>Working capital investment (WCI)  = FCI * 0.2</t>
    <phoneticPr fontId="4" type="noConversion"/>
  </si>
  <si>
    <t>TCI</t>
    <phoneticPr fontId="4" type="noConversion"/>
  </si>
  <si>
    <t>NPV</t>
    <phoneticPr fontId="4" type="noConversion"/>
  </si>
  <si>
    <t>EAC (r=7%, t=25 year)    RP=r, NP=t</t>
    <phoneticPr fontId="4" type="noConversion"/>
  </si>
  <si>
    <t>EAC</t>
    <phoneticPr fontId="4" type="noConversion"/>
  </si>
  <si>
    <t>TPC (BP)</t>
    <phoneticPr fontId="4" type="noConversion"/>
  </si>
  <si>
    <t>Classification</t>
    <phoneticPr fontId="4" type="noConversion"/>
  </si>
  <si>
    <t>Range</t>
    <phoneticPr fontId="4" type="noConversion"/>
  </si>
  <si>
    <t>Fixed charge(FC) = FCI * 0.08</t>
    <phoneticPr fontId="4" type="noConversion"/>
  </si>
  <si>
    <t>Local taxes, Insurance</t>
    <phoneticPr fontId="4" type="noConversion"/>
  </si>
  <si>
    <t>8% of FCI</t>
    <phoneticPr fontId="4" type="noConversion"/>
  </si>
  <si>
    <t>Direct production cost (DPC)</t>
    <phoneticPr fontId="4" type="noConversion"/>
  </si>
  <si>
    <t>Carbon tax</t>
    <phoneticPr fontId="4" type="noConversion"/>
  </si>
  <si>
    <t>-</t>
    <phoneticPr fontId="4" type="noConversion"/>
  </si>
  <si>
    <t xml:space="preserve">Raw materials </t>
    <phoneticPr fontId="4" type="noConversion"/>
  </si>
  <si>
    <t>Membrane replacement cost</t>
    <phoneticPr fontId="4" type="noConversion"/>
  </si>
  <si>
    <t>Electricity</t>
    <phoneticPr fontId="4" type="noConversion"/>
  </si>
  <si>
    <t>Matinenenance (M) = FC * 0.08</t>
    <phoneticPr fontId="4" type="noConversion"/>
  </si>
  <si>
    <t>Operating labor (OL) = TPC * 0.15</t>
    <phoneticPr fontId="4" type="noConversion"/>
  </si>
  <si>
    <t>15% of OPEX</t>
    <phoneticPr fontId="4" type="noConversion"/>
  </si>
  <si>
    <t>Supervision and support labor (S) = labor * 0.3</t>
    <phoneticPr fontId="4" type="noConversion"/>
  </si>
  <si>
    <t>30% of OL</t>
    <phoneticPr fontId="4" type="noConversion"/>
  </si>
  <si>
    <t>Operating supplies = maintenance * 0.15</t>
    <phoneticPr fontId="4" type="noConversion"/>
  </si>
  <si>
    <t>15% of M</t>
    <phoneticPr fontId="4" type="noConversion"/>
  </si>
  <si>
    <t>Laboratory charges = labor * 0.15</t>
    <phoneticPr fontId="4" type="noConversion"/>
  </si>
  <si>
    <t>15% of OL</t>
    <phoneticPr fontId="4" type="noConversion"/>
  </si>
  <si>
    <t>Plant overhead cost(OVHD)</t>
    <phoneticPr fontId="4" type="noConversion"/>
  </si>
  <si>
    <t>60% of M+OL+S</t>
    <phoneticPr fontId="4" type="noConversion"/>
  </si>
  <si>
    <t>General expenses</t>
    <phoneticPr fontId="4" type="noConversion"/>
  </si>
  <si>
    <t xml:space="preserve">Admistrative cost </t>
    <phoneticPr fontId="4" type="noConversion"/>
  </si>
  <si>
    <t>17.5% of OL</t>
    <phoneticPr fontId="4" type="noConversion"/>
  </si>
  <si>
    <t>Distribution and marketing</t>
    <phoneticPr fontId="4" type="noConversion"/>
  </si>
  <si>
    <t>11% of OPEX</t>
    <phoneticPr fontId="4" type="noConversion"/>
  </si>
  <si>
    <t xml:space="preserve">R&amp;D cost </t>
    <phoneticPr fontId="4" type="noConversion"/>
  </si>
  <si>
    <t>3.5% of OPEX</t>
    <phoneticPr fontId="4" type="noConversion"/>
  </si>
  <si>
    <t>TPC</t>
    <phoneticPr fontId="4" type="noConversion"/>
  </si>
  <si>
    <t>OVHD</t>
    <phoneticPr fontId="4" type="noConversion"/>
  </si>
  <si>
    <t>Equipment</t>
    <phoneticPr fontId="2" type="noConversion"/>
  </si>
  <si>
    <t>Block heat duty (cal/sec)</t>
    <phoneticPr fontId="2" type="noConversion"/>
  </si>
  <si>
    <t>Electricity cost [$/kWh]</t>
    <phoneticPr fontId="4" type="noConversion"/>
  </si>
  <si>
    <t>-</t>
    <phoneticPr fontId="2" type="noConversion"/>
  </si>
  <si>
    <t>Total</t>
    <phoneticPr fontId="2" type="noConversion"/>
  </si>
  <si>
    <t>Ref</t>
    <phoneticPr fontId="2" type="noConversion"/>
  </si>
  <si>
    <t>Feed flow rate (kg/h)</t>
    <phoneticPr fontId="4" type="noConversion"/>
  </si>
  <si>
    <t>Cooling price [$/cal]</t>
    <phoneticPr fontId="4" type="noConversion"/>
  </si>
  <si>
    <t>Heating price [$/cal]</t>
    <phoneticPr fontId="4" type="noConversion"/>
  </si>
  <si>
    <t>+</t>
    <phoneticPr fontId="2" type="noConversion"/>
  </si>
  <si>
    <t>Annual operating cost</t>
    <phoneticPr fontId="2" type="noConversion"/>
  </si>
  <si>
    <t>Annual operating hours [sec/yr]</t>
    <phoneticPr fontId="2" type="noConversion"/>
  </si>
  <si>
    <t>$0.06/kWh</t>
    <phoneticPr fontId="4" type="noConversion"/>
  </si>
  <si>
    <t>Feed flow rate (kg/h)</t>
    <phoneticPr fontId="4" type="noConversion"/>
  </si>
  <si>
    <t>Volume (gal)</t>
    <phoneticPr fontId="4" type="noConversion"/>
  </si>
  <si>
    <t>MGOH-REA</t>
    <phoneticPr fontId="2" type="noConversion"/>
  </si>
  <si>
    <t>MHOH2-F</t>
    <phoneticPr fontId="2" type="noConversion"/>
  </si>
  <si>
    <t>CAOH-REA</t>
    <phoneticPr fontId="2" type="noConversion"/>
  </si>
  <si>
    <t>CAOH2-F</t>
    <phoneticPr fontId="2" type="noConversion"/>
  </si>
  <si>
    <t>MG-IONRE</t>
    <phoneticPr fontId="2" type="noConversion"/>
  </si>
  <si>
    <t>MG-CARBO</t>
    <phoneticPr fontId="2" type="noConversion"/>
  </si>
  <si>
    <t>CA-CARBO</t>
    <phoneticPr fontId="2" type="noConversion"/>
  </si>
  <si>
    <t>ABSORBER</t>
    <phoneticPr fontId="2" type="noConversion"/>
  </si>
  <si>
    <t>SPLITER</t>
    <phoneticPr fontId="2" type="noConversion"/>
  </si>
  <si>
    <t>-</t>
    <phoneticPr fontId="2" type="noConversion"/>
  </si>
  <si>
    <t>-</t>
    <phoneticPr fontId="2" type="noConversion"/>
  </si>
  <si>
    <t>-</t>
    <phoneticPr fontId="2" type="noConversion"/>
  </si>
  <si>
    <t>ABSORBER packing</t>
    <phoneticPr fontId="2" type="noConversion"/>
  </si>
  <si>
    <t>Column size (m^3)</t>
    <phoneticPr fontId="2" type="noConversion"/>
  </si>
  <si>
    <t xml:space="preserve">Column H and D </t>
    <phoneticPr fontId="2" type="noConversion"/>
  </si>
  <si>
    <t>Techno-economic assessment of absorption-based CO2 capture process based on novel solvent for coal-fired power plant</t>
  </si>
  <si>
    <t>3.89 and 0.1</t>
    <phoneticPr fontId="2" type="noConversion"/>
  </si>
  <si>
    <t>Revenue</t>
    <phoneticPr fontId="2" type="noConversion"/>
  </si>
  <si>
    <t>Product</t>
    <phoneticPr fontId="2" type="noConversion"/>
  </si>
  <si>
    <t>CaCO3</t>
    <phoneticPr fontId="2" type="noConversion"/>
  </si>
  <si>
    <t>MgCO3</t>
    <phoneticPr fontId="2" type="noConversion"/>
  </si>
  <si>
    <t>Cost [USD/tonne]</t>
    <phoneticPr fontId="2" type="noConversion"/>
  </si>
  <si>
    <t>Operating hour</t>
    <phoneticPr fontId="2" type="noConversion"/>
  </si>
  <si>
    <t>Flow rate [tonne/h]</t>
    <phoneticPr fontId="2" type="noConversion"/>
  </si>
  <si>
    <t>***CACO3 flow - mass flow rate (tonne/hr) - CACO3 값</t>
    <phoneticPr fontId="2" type="noConversion"/>
  </si>
  <si>
    <t>***MGCO3 flow - mass flow rate (tonne/hr) - MGCO3 값</t>
    <phoneticPr fontId="2" type="noConversion"/>
  </si>
  <si>
    <t>Raw material</t>
    <phoneticPr fontId="2" type="noConversion"/>
  </si>
  <si>
    <t>HCl</t>
    <phoneticPr fontId="2" type="noConversion"/>
  </si>
  <si>
    <t>Flow rate [tonne/hr]</t>
    <phoneticPr fontId="2" type="noConversion"/>
  </si>
  <si>
    <t>Cost [$/tonne]</t>
    <phoneticPr fontId="2" type="noConversion"/>
  </si>
  <si>
    <t>Expense cost</t>
    <phoneticPr fontId="2" type="noConversion"/>
  </si>
  <si>
    <t>Electrolyte</t>
    <phoneticPr fontId="2" type="noConversion"/>
  </si>
  <si>
    <t>NaOH</t>
    <phoneticPr fontId="2" type="noConversion"/>
  </si>
  <si>
    <t>Flow rate [kg/hr]</t>
    <phoneticPr fontId="2" type="noConversion"/>
  </si>
  <si>
    <t>전기 소모량 [kWh/kg NaOH]</t>
    <phoneticPr fontId="2" type="noConversion"/>
  </si>
  <si>
    <t>***NAOH, NAOH2, NEANIN stream</t>
    <phoneticPr fontId="2" type="noConversion"/>
  </si>
  <si>
    <t>Sodium Hydroxide Production from Seawater Desalination Brine:
Process Design and Energy Efficiency</t>
    <phoneticPr fontId="2" type="noConversion"/>
  </si>
  <si>
    <t>NAOH2</t>
    <phoneticPr fontId="2" type="noConversion"/>
  </si>
  <si>
    <t>LEANIN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</si>
</sst>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-* #,##0.00_-;\-* #,##0.00_-;_-* &quot;-&quot;_-;_-@_-"/>
    <numFmt numFmtId="177" formatCode="0.000"/>
  </numFmts>
  <fonts count="1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Fill="1" applyBorder="1" applyAlignment="1">
      <alignment horizontal="left"/>
    </xf>
    <xf numFmtId="41" fontId="0" fillId="0" borderId="13" xfId="1" applyFont="1" applyFill="1" applyBorder="1" applyAlignment="1">
      <alignment horizontal="left"/>
    </xf>
    <xf numFmtId="41" fontId="0" fillId="0" borderId="14" xfId="1" applyFont="1" applyFill="1" applyBorder="1" applyAlignment="1">
      <alignment horizontal="left"/>
    </xf>
    <xf numFmtId="41" fontId="0" fillId="0" borderId="1" xfId="1" applyFont="1" applyFill="1" applyBorder="1" applyAlignment="1">
      <alignment horizontal="left" vertical="center"/>
    </xf>
    <xf numFmtId="41" fontId="5" fillId="0" borderId="11" xfId="1" applyFont="1" applyFill="1" applyBorder="1" applyAlignment="1">
      <alignment horizontal="left"/>
    </xf>
    <xf numFmtId="41" fontId="0" fillId="0" borderId="4" xfId="1" applyFont="1" applyFill="1" applyBorder="1" applyAlignment="1">
      <alignment horizontal="left"/>
    </xf>
    <xf numFmtId="41" fontId="0" fillId="0" borderId="0" xfId="1" applyFont="1" applyFill="1" applyBorder="1" applyAlignment="1">
      <alignment horizontal="left"/>
    </xf>
    <xf numFmtId="41" fontId="0" fillId="0" borderId="10" xfId="1" applyFont="1" applyFill="1" applyBorder="1" applyAlignment="1">
      <alignment horizontal="left"/>
    </xf>
    <xf numFmtId="41" fontId="0" fillId="0" borderId="11" xfId="1" applyFont="1" applyFill="1" applyBorder="1" applyAlignment="1">
      <alignment horizontal="left"/>
    </xf>
    <xf numFmtId="41" fontId="6" fillId="0" borderId="0" xfId="1" applyFont="1" applyFill="1" applyBorder="1" applyAlignment="1">
      <alignment horizontal="left"/>
    </xf>
    <xf numFmtId="41" fontId="5" fillId="0" borderId="4" xfId="1" applyFont="1" applyFill="1" applyBorder="1" applyAlignment="1">
      <alignment horizontal="left"/>
    </xf>
    <xf numFmtId="41" fontId="5" fillId="0" borderId="0" xfId="1" applyFont="1" applyFill="1" applyBorder="1" applyAlignment="1">
      <alignment horizontal="left"/>
    </xf>
    <xf numFmtId="41" fontId="5" fillId="0" borderId="12" xfId="1" applyFont="1" applyFill="1" applyBorder="1" applyAlignment="1">
      <alignment horizontal="left"/>
    </xf>
    <xf numFmtId="41" fontId="5" fillId="0" borderId="6" xfId="1" applyFont="1" applyFill="1" applyBorder="1" applyAlignment="1">
      <alignment horizontal="left"/>
    </xf>
    <xf numFmtId="41" fontId="5" fillId="0" borderId="7" xfId="1" applyFont="1" applyFill="1" applyBorder="1" applyAlignment="1">
      <alignment horizontal="left"/>
    </xf>
    <xf numFmtId="41" fontId="5" fillId="0" borderId="0" xfId="1" applyFont="1" applyFill="1" applyAlignment="1">
      <alignment horizontal="left"/>
    </xf>
    <xf numFmtId="41" fontId="0" fillId="0" borderId="0" xfId="1" applyFont="1" applyFill="1" applyAlignment="1">
      <alignment horizontal="left"/>
    </xf>
    <xf numFmtId="41" fontId="0" fillId="0" borderId="9" xfId="1" applyFont="1" applyFill="1" applyBorder="1" applyAlignment="1">
      <alignment horizontal="left"/>
    </xf>
    <xf numFmtId="0" fontId="0" fillId="0" borderId="1" xfId="1" applyNumberFormat="1" applyFont="1" applyFill="1" applyBorder="1" applyAlignment="1">
      <alignment horizontal="left" vertical="center"/>
    </xf>
    <xf numFmtId="41" fontId="5" fillId="0" borderId="2" xfId="1" applyFont="1" applyFill="1" applyBorder="1" applyAlignment="1">
      <alignment horizontal="left"/>
    </xf>
    <xf numFmtId="41" fontId="0" fillId="0" borderId="2" xfId="1" applyFont="1" applyFill="1" applyBorder="1" applyAlignment="1">
      <alignment horizontal="left"/>
    </xf>
    <xf numFmtId="41" fontId="6" fillId="0" borderId="4" xfId="1" applyFont="1" applyFill="1" applyBorder="1" applyAlignment="1">
      <alignment horizontal="left"/>
    </xf>
    <xf numFmtId="41" fontId="7" fillId="0" borderId="4" xfId="1" applyFont="1" applyFill="1" applyBorder="1" applyAlignment="1">
      <alignment horizontal="left"/>
    </xf>
    <xf numFmtId="41" fontId="8" fillId="0" borderId="4" xfId="1" applyFont="1" applyFill="1" applyBorder="1" applyAlignment="1">
      <alignment horizontal="left"/>
    </xf>
    <xf numFmtId="41" fontId="9" fillId="0" borderId="4" xfId="1" applyFont="1" applyFill="1" applyBorder="1" applyAlignment="1">
      <alignment horizontal="left"/>
    </xf>
    <xf numFmtId="41" fontId="10" fillId="0" borderId="4" xfId="1" applyFont="1" applyFill="1" applyBorder="1" applyAlignment="1">
      <alignment horizontal="left"/>
    </xf>
    <xf numFmtId="0" fontId="0" fillId="0" borderId="0" xfId="0" applyAlignment="1"/>
    <xf numFmtId="0" fontId="8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0" xfId="0" applyFill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5" xfId="0" applyBorder="1" applyAlignment="1"/>
    <xf numFmtId="0" fontId="0" fillId="0" borderId="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0" xfId="0" applyAlignment="1">
      <alignment horizontal="right" vertical="center"/>
    </xf>
    <xf numFmtId="176" fontId="0" fillId="0" borderId="10" xfId="1" applyNumberFormat="1" applyFont="1" applyFill="1" applyBorder="1" applyAlignment="1">
      <alignment horizontal="left"/>
    </xf>
    <xf numFmtId="176" fontId="0" fillId="0" borderId="11" xfId="1" applyNumberFormat="1" applyFont="1" applyFill="1" applyBorder="1" applyAlignment="1">
      <alignment horizontal="left"/>
    </xf>
    <xf numFmtId="176" fontId="8" fillId="0" borderId="11" xfId="1" applyNumberFormat="1" applyFont="1" applyFill="1" applyBorder="1" applyAlignment="1">
      <alignment horizontal="right"/>
    </xf>
    <xf numFmtId="176" fontId="7" fillId="0" borderId="11" xfId="1" applyNumberFormat="1" applyFont="1" applyFill="1" applyBorder="1" applyAlignment="1">
      <alignment horizontal="right"/>
    </xf>
    <xf numFmtId="176" fontId="0" fillId="0" borderId="11" xfId="1" applyNumberFormat="1" applyFont="1" applyFill="1" applyBorder="1" applyAlignment="1">
      <alignment horizontal="left" vertical="top"/>
    </xf>
    <xf numFmtId="176" fontId="5" fillId="0" borderId="12" xfId="1" applyNumberFormat="1" applyFont="1" applyFill="1" applyBorder="1" applyAlignment="1">
      <alignment horizontal="left"/>
    </xf>
    <xf numFmtId="176" fontId="0" fillId="0" borderId="0" xfId="1" applyNumberFormat="1" applyFont="1" applyFill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3" fillId="0" borderId="1" xfId="0" applyFont="1" applyBorder="1" applyAlignment="1"/>
    <xf numFmtId="0" fontId="0" fillId="3" borderId="1" xfId="0" applyFill="1" applyBorder="1">
      <alignment vertical="center"/>
    </xf>
    <xf numFmtId="176" fontId="7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Border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8" fillId="6" borderId="5" xfId="0" applyFont="1" applyFill="1" applyBorder="1">
      <alignment vertical="center"/>
    </xf>
    <xf numFmtId="0" fontId="8" fillId="0" borderId="5" xfId="0" applyFont="1" applyBorder="1">
      <alignment vertical="center"/>
    </xf>
    <xf numFmtId="0" fontId="11" fillId="6" borderId="5" xfId="0" applyFont="1" applyFill="1" applyBorder="1">
      <alignment vertical="center"/>
    </xf>
    <xf numFmtId="41" fontId="0" fillId="0" borderId="0" xfId="1" applyFont="1" applyBorder="1" applyAlignment="1"/>
    <xf numFmtId="41" fontId="0" fillId="4" borderId="0" xfId="1" applyFont="1" applyFill="1" applyBorder="1" applyAlignment="1"/>
    <xf numFmtId="0" fontId="0" fillId="0" borderId="0" xfId="1" applyNumberFormat="1" applyFont="1" applyBorder="1" applyAlignment="1"/>
    <xf numFmtId="0" fontId="0" fillId="6" borderId="3" xfId="0" applyFill="1" applyBorder="1">
      <alignment vertical="center"/>
    </xf>
    <xf numFmtId="0" fontId="0" fillId="6" borderId="5" xfId="0" applyFill="1" applyBorder="1">
      <alignment vertical="center"/>
    </xf>
    <xf numFmtId="0" fontId="3" fillId="0" borderId="10" xfId="0" applyFont="1" applyBorder="1" applyAlignment="1"/>
    <xf numFmtId="0" fontId="0" fillId="2" borderId="8" xfId="0" applyFill="1" applyBorder="1">
      <alignment vertical="center"/>
    </xf>
    <xf numFmtId="41" fontId="0" fillId="0" borderId="2" xfId="1" applyFont="1" applyBorder="1" applyAlignment="1"/>
    <xf numFmtId="41" fontId="0" fillId="0" borderId="9" xfId="1" applyFont="1" applyBorder="1" applyAlignment="1">
      <alignment horizontal="right"/>
    </xf>
    <xf numFmtId="41" fontId="0" fillId="0" borderId="9" xfId="1" applyFont="1" applyBorder="1" applyAlignment="1"/>
    <xf numFmtId="41" fontId="0" fillId="4" borderId="9" xfId="1" applyFont="1" applyFill="1" applyBorder="1" applyAlignment="1"/>
    <xf numFmtId="0" fontId="0" fillId="0" borderId="9" xfId="1" applyNumberFormat="1" applyFont="1" applyBorder="1" applyAlignment="1"/>
    <xf numFmtId="0" fontId="0" fillId="0" borderId="8" xfId="0" applyBorder="1" applyAlignment="1">
      <alignment horizontal="right" vertical="center"/>
    </xf>
    <xf numFmtId="177" fontId="0" fillId="0" borderId="5" xfId="0" applyNumberFormat="1" applyBorder="1" applyAlignment="1">
      <alignment horizontal="right" vertical="center"/>
    </xf>
    <xf numFmtId="0" fontId="12" fillId="0" borderId="4" xfId="0" applyFont="1" applyBorder="1">
      <alignment vertical="center"/>
    </xf>
    <xf numFmtId="0" fontId="0" fillId="0" borderId="13" xfId="0" applyBorder="1">
      <alignment vertical="center"/>
    </xf>
    <xf numFmtId="0" fontId="0" fillId="7" borderId="7" xfId="0" applyFill="1" applyBorder="1">
      <alignment vertical="center"/>
    </xf>
    <xf numFmtId="0" fontId="0" fillId="5" borderId="0" xfId="0" applyFill="1">
      <alignment vertical="center"/>
    </xf>
    <xf numFmtId="0" fontId="0" fillId="5" borderId="7" xfId="0" applyFill="1" applyBorder="1">
      <alignment vertical="center"/>
    </xf>
    <xf numFmtId="0" fontId="8" fillId="0" borderId="7" xfId="0" applyFont="1" applyBorder="1">
      <alignment vertical="center"/>
    </xf>
    <xf numFmtId="0" fontId="0" fillId="9" borderId="8" xfId="0" applyFill="1" applyBorder="1">
      <alignment vertical="center"/>
    </xf>
    <xf numFmtId="176" fontId="7" fillId="9" borderId="11" xfId="1" applyNumberFormat="1" applyFont="1" applyFill="1" applyBorder="1" applyAlignment="1">
      <alignment horizontal="right" vertical="center" wrapText="1"/>
    </xf>
    <xf numFmtId="0" fontId="0" fillId="3" borderId="8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0" fillId="8" borderId="6" xfId="0" applyFill="1" applyBorder="1">
      <alignment vertical="center"/>
    </xf>
    <xf numFmtId="0" fontId="0" fillId="10" borderId="15" xfId="0" applyFill="1" applyBorder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CCFF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33790</xdr:colOff>
      <xdr:row>12</xdr:row>
      <xdr:rowOff>63874</xdr:rowOff>
    </xdr:from>
    <xdr:to>
      <xdr:col>9</xdr:col>
      <xdr:colOff>6969039</xdr:colOff>
      <xdr:row>14</xdr:row>
      <xdr:rowOff>168089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95349" y="2641227"/>
          <a:ext cx="6935249" cy="5412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40"/>
  <sheetViews>
    <sheetView topLeftCell="B2" zoomScale="85" zoomScaleNormal="85" workbookViewId="0">
      <selection activeCell="I38" sqref="I38"/>
    </sheetView>
  </sheetViews>
  <sheetFormatPr defaultRowHeight="17.399999999999999" x14ac:dyDescent="0.4"/>
  <cols>
    <col min="2" max="2" width="29" bestFit="1" customWidth="1"/>
    <col min="3" max="3" width="27" bestFit="1" customWidth="1"/>
    <col min="4" max="4" width="24" bestFit="1" customWidth="1"/>
    <col min="5" max="5" width="21.59765625" bestFit="1" customWidth="1"/>
    <col min="6" max="6" width="19" customWidth="1"/>
    <col min="7" max="7" width="23.69921875" bestFit="1" customWidth="1"/>
    <col min="8" max="8" width="27.69921875" bestFit="1" customWidth="1"/>
    <col min="9" max="9" width="17.69921875" bestFit="1" customWidth="1"/>
    <col min="10" max="10" width="107.5" bestFit="1" customWidth="1"/>
  </cols>
  <sheetData>
    <row r="2" spans="2:10" x14ac:dyDescent="0.4">
      <c r="B2" s="12" t="s">
        <v>0</v>
      </c>
    </row>
    <row r="3" spans="2:10" ht="18" thickBot="1" x14ac:dyDescent="0.45"/>
    <row r="4" spans="2:10" ht="18" thickBot="1" x14ac:dyDescent="0.3">
      <c r="B4" s="7" t="s">
        <v>84</v>
      </c>
      <c r="C4" s="79" t="s">
        <v>1</v>
      </c>
      <c r="D4" s="79" t="s">
        <v>2</v>
      </c>
      <c r="E4" s="79" t="s">
        <v>3</v>
      </c>
      <c r="F4" s="79" t="s">
        <v>4</v>
      </c>
      <c r="G4" s="79" t="s">
        <v>5</v>
      </c>
      <c r="H4" s="79" t="s">
        <v>6</v>
      </c>
      <c r="I4" s="79" t="s">
        <v>7</v>
      </c>
      <c r="J4" s="61" t="s">
        <v>89</v>
      </c>
    </row>
    <row r="5" spans="2:10" x14ac:dyDescent="0.4">
      <c r="B5" s="1" t="s">
        <v>99</v>
      </c>
      <c r="C5" s="81">
        <v>20000</v>
      </c>
      <c r="D5" s="82" t="s">
        <v>98</v>
      </c>
      <c r="E5" s="83">
        <v>2500</v>
      </c>
      <c r="F5" s="84"/>
      <c r="G5" s="85">
        <v>0.6</v>
      </c>
      <c r="H5" s="82">
        <v>1987</v>
      </c>
      <c r="I5" s="2">
        <f>C5*(F5/E5)^G5*(595.6/323.8)</f>
        <v>0</v>
      </c>
      <c r="J5" s="2"/>
    </row>
    <row r="6" spans="2:10" x14ac:dyDescent="0.4">
      <c r="B6" s="3" t="s">
        <v>100</v>
      </c>
      <c r="C6" s="70">
        <v>165000</v>
      </c>
      <c r="D6" s="67" t="s">
        <v>90</v>
      </c>
      <c r="E6" s="74">
        <v>359263</v>
      </c>
      <c r="F6" s="45"/>
      <c r="G6">
        <v>0.6</v>
      </c>
      <c r="H6" s="51">
        <v>1998</v>
      </c>
      <c r="I6" s="4">
        <f>C6*(F6/E6)^G6*(595.6/389.5)</f>
        <v>0</v>
      </c>
      <c r="J6" s="4"/>
    </row>
    <row r="7" spans="2:10" x14ac:dyDescent="0.4">
      <c r="B7" s="3" t="s">
        <v>101</v>
      </c>
      <c r="C7" s="70">
        <v>20000</v>
      </c>
      <c r="D7" s="67" t="s">
        <v>98</v>
      </c>
      <c r="E7" s="74">
        <v>2500</v>
      </c>
      <c r="F7" s="75"/>
      <c r="G7" s="76">
        <v>0.6</v>
      </c>
      <c r="H7" s="67">
        <v>1987</v>
      </c>
      <c r="I7" s="4">
        <f>C7*(F7/E7)^G7*(595.6/323.8)</f>
        <v>0</v>
      </c>
      <c r="J7" s="4"/>
    </row>
    <row r="8" spans="2:10" x14ac:dyDescent="0.4">
      <c r="B8" s="3" t="s">
        <v>102</v>
      </c>
      <c r="C8" s="70">
        <v>165000</v>
      </c>
      <c r="D8" s="67" t="s">
        <v>90</v>
      </c>
      <c r="E8" s="74">
        <v>359263</v>
      </c>
      <c r="F8" s="45"/>
      <c r="G8">
        <v>0.6</v>
      </c>
      <c r="H8" s="51">
        <v>1998</v>
      </c>
      <c r="I8" s="4">
        <f>C8*(F8/E8)^G8*(595.6/389.5)</f>
        <v>0</v>
      </c>
      <c r="J8" s="4"/>
    </row>
    <row r="9" spans="2:10" x14ac:dyDescent="0.4">
      <c r="B9" s="3" t="s">
        <v>103</v>
      </c>
      <c r="C9" s="70">
        <v>147800</v>
      </c>
      <c r="D9" s="67" t="s">
        <v>97</v>
      </c>
      <c r="E9" s="74">
        <v>461492</v>
      </c>
      <c r="F9" s="75"/>
      <c r="G9" s="74">
        <v>0.5</v>
      </c>
      <c r="H9" s="67">
        <v>1997</v>
      </c>
      <c r="I9" s="4">
        <f>C9*(F9/E9)^G9*(595.6/386.5)</f>
        <v>0</v>
      </c>
      <c r="J9" s="4"/>
    </row>
    <row r="10" spans="2:10" x14ac:dyDescent="0.4">
      <c r="B10" s="3" t="s">
        <v>104</v>
      </c>
      <c r="C10" s="70">
        <v>20000</v>
      </c>
      <c r="D10" s="67" t="s">
        <v>98</v>
      </c>
      <c r="E10" s="74">
        <v>2500</v>
      </c>
      <c r="F10" s="75"/>
      <c r="G10" s="76">
        <v>0.6</v>
      </c>
      <c r="H10" s="67">
        <v>1987</v>
      </c>
      <c r="I10" s="4">
        <f>C10*(F10/E10)^G10*(595.6/323.8)</f>
        <v>0</v>
      </c>
      <c r="J10" s="4"/>
    </row>
    <row r="11" spans="2:10" x14ac:dyDescent="0.4">
      <c r="B11" s="3" t="s">
        <v>105</v>
      </c>
      <c r="C11" s="70">
        <v>20000</v>
      </c>
      <c r="D11" s="67" t="s">
        <v>98</v>
      </c>
      <c r="E11" s="74">
        <v>2500</v>
      </c>
      <c r="F11" s="75"/>
      <c r="G11" s="76">
        <v>0.6</v>
      </c>
      <c r="H11" s="67">
        <v>1987</v>
      </c>
      <c r="I11" s="4">
        <f>C11*(F11/E11)^G11*(595.6/323.8)</f>
        <v>0</v>
      </c>
      <c r="J11" s="4"/>
    </row>
    <row r="12" spans="2:10" x14ac:dyDescent="0.4">
      <c r="B12" s="88" t="s">
        <v>106</v>
      </c>
      <c r="C12" s="65" t="s">
        <v>115</v>
      </c>
      <c r="D12" s="51" t="s">
        <v>113</v>
      </c>
      <c r="E12" s="51"/>
      <c r="F12" s="51"/>
      <c r="G12" s="51"/>
      <c r="H12" s="51">
        <v>2001</v>
      </c>
      <c r="I12" s="66">
        <v>7801.6</v>
      </c>
      <c r="J12" t="s">
        <v>114</v>
      </c>
    </row>
    <row r="13" spans="2:10" x14ac:dyDescent="0.4">
      <c r="B13" s="3" t="s">
        <v>111</v>
      </c>
      <c r="C13" s="65">
        <v>1700</v>
      </c>
      <c r="D13" s="51" t="s">
        <v>112</v>
      </c>
      <c r="E13" s="51"/>
      <c r="F13" s="51">
        <v>9.7249999999999993E-3</v>
      </c>
      <c r="G13" s="51">
        <v>0.6</v>
      </c>
      <c r="H13" s="51">
        <v>2018</v>
      </c>
      <c r="I13" s="87">
        <f>C13*F13</f>
        <v>16.532499999999999</v>
      </c>
      <c r="J13" s="4"/>
    </row>
    <row r="14" spans="2:10" ht="18" thickBot="1" x14ac:dyDescent="0.45">
      <c r="B14" s="3" t="s">
        <v>107</v>
      </c>
      <c r="C14" s="5" t="s">
        <v>108</v>
      </c>
      <c r="D14" s="68" t="s">
        <v>109</v>
      </c>
      <c r="E14" s="68" t="s">
        <v>109</v>
      </c>
      <c r="F14" s="68" t="s">
        <v>109</v>
      </c>
      <c r="G14" s="68" t="s">
        <v>109</v>
      </c>
      <c r="H14" s="68" t="s">
        <v>109</v>
      </c>
      <c r="I14" s="86" t="s">
        <v>109</v>
      </c>
      <c r="J14" s="4"/>
    </row>
    <row r="15" spans="2:10" ht="18" thickBot="1" x14ac:dyDescent="0.45">
      <c r="B15" s="7" t="s">
        <v>88</v>
      </c>
      <c r="C15" s="6"/>
      <c r="D15" s="6"/>
      <c r="E15" s="6"/>
      <c r="F15" s="6"/>
      <c r="G15" s="6"/>
      <c r="H15" s="6"/>
      <c r="I15" s="80">
        <f>SUM(I5:I14)</f>
        <v>7818.1325000000006</v>
      </c>
    </row>
    <row r="20" spans="2:10" x14ac:dyDescent="0.4">
      <c r="B20" s="12" t="s">
        <v>8</v>
      </c>
    </row>
    <row r="21" spans="2:10" ht="18" thickBot="1" x14ac:dyDescent="0.45"/>
    <row r="22" spans="2:10" ht="18" thickBot="1" x14ac:dyDescent="0.45">
      <c r="B22" s="7" t="s">
        <v>84</v>
      </c>
      <c r="C22" s="2" t="s">
        <v>85</v>
      </c>
      <c r="D22" s="7" t="s">
        <v>94</v>
      </c>
      <c r="F22" s="89" t="s">
        <v>125</v>
      </c>
      <c r="G22" s="43" t="s">
        <v>127</v>
      </c>
      <c r="H22" s="43" t="s">
        <v>128</v>
      </c>
      <c r="I22" s="44" t="s">
        <v>129</v>
      </c>
    </row>
    <row r="23" spans="2:10" ht="18" thickBot="1" x14ac:dyDescent="0.45">
      <c r="B23" s="9" t="s">
        <v>99</v>
      </c>
      <c r="C23" s="77"/>
      <c r="D23" s="42">
        <f>C23*IF(C23&gt;0,$C$40,$C$39)*$C$37</f>
        <v>0</v>
      </c>
      <c r="F23" s="5" t="s">
        <v>126</v>
      </c>
      <c r="G23" s="90"/>
      <c r="H23" s="93">
        <v>15</v>
      </c>
      <c r="I23" s="96">
        <f>G23*H23*D37</f>
        <v>0</v>
      </c>
    </row>
    <row r="24" spans="2:10" x14ac:dyDescent="0.4">
      <c r="B24" s="10" t="s">
        <v>100</v>
      </c>
      <c r="C24" s="71"/>
      <c r="D24" s="42">
        <f t="shared" ref="D24:D29" si="0">C24*IF(C24&gt;0,$C$40,$C$39)*$C$37</f>
        <v>0</v>
      </c>
    </row>
    <row r="25" spans="2:10" ht="18" thickBot="1" x14ac:dyDescent="0.45">
      <c r="B25" s="10" t="s">
        <v>101</v>
      </c>
      <c r="C25" s="71"/>
      <c r="D25" s="42">
        <f t="shared" si="0"/>
        <v>0</v>
      </c>
    </row>
    <row r="26" spans="2:10" ht="18" thickBot="1" x14ac:dyDescent="0.45">
      <c r="B26" s="10" t="s">
        <v>102</v>
      </c>
      <c r="C26" s="71"/>
      <c r="D26" s="42">
        <f t="shared" si="0"/>
        <v>0</v>
      </c>
      <c r="F26" s="1" t="s">
        <v>130</v>
      </c>
      <c r="G26" s="8" t="s">
        <v>132</v>
      </c>
      <c r="H26" s="8" t="s">
        <v>133</v>
      </c>
      <c r="I26" s="2"/>
      <c r="J26" t="s">
        <v>135</v>
      </c>
    </row>
    <row r="27" spans="2:10" x14ac:dyDescent="0.4">
      <c r="B27" s="10" t="s">
        <v>103</v>
      </c>
      <c r="C27" s="78"/>
      <c r="D27" s="42">
        <f t="shared" si="0"/>
        <v>0</v>
      </c>
      <c r="F27" s="1" t="s">
        <v>131</v>
      </c>
      <c r="G27" s="97"/>
      <c r="H27" s="8">
        <v>2.93</v>
      </c>
      <c r="I27" s="2">
        <f>G27*H27*$C$38*$D$37</f>
        <v>0</v>
      </c>
      <c r="J27" t="s">
        <v>134</v>
      </c>
    </row>
    <row r="28" spans="2:10" x14ac:dyDescent="0.4">
      <c r="B28" s="10" t="s">
        <v>104</v>
      </c>
      <c r="C28" s="73"/>
      <c r="D28" s="42">
        <f t="shared" si="0"/>
        <v>0</v>
      </c>
      <c r="F28" s="3" t="s">
        <v>136</v>
      </c>
      <c r="G28" s="98"/>
      <c r="H28">
        <v>2.93</v>
      </c>
      <c r="I28" s="4">
        <f t="shared" ref="I28:I29" si="1">G28*H28*$C$38*$D$37</f>
        <v>0</v>
      </c>
    </row>
    <row r="29" spans="2:10" ht="18" thickBot="1" x14ac:dyDescent="0.45">
      <c r="B29" s="10" t="s">
        <v>105</v>
      </c>
      <c r="C29" s="73"/>
      <c r="D29" s="42">
        <f t="shared" si="0"/>
        <v>0</v>
      </c>
      <c r="F29" s="5" t="s">
        <v>137</v>
      </c>
      <c r="G29" s="99"/>
      <c r="H29" s="6">
        <v>2.93</v>
      </c>
      <c r="I29" s="69">
        <f t="shared" si="1"/>
        <v>0</v>
      </c>
    </row>
    <row r="30" spans="2:10" ht="18" thickBot="1" x14ac:dyDescent="0.45">
      <c r="B30" s="10" t="s">
        <v>106</v>
      </c>
      <c r="C30" s="72" t="s">
        <v>110</v>
      </c>
      <c r="D30" s="42" t="s">
        <v>87</v>
      </c>
      <c r="F30" s="89"/>
      <c r="G30" s="6"/>
      <c r="H30" s="6"/>
      <c r="I30" s="94">
        <f>SUM(I27:I29)</f>
        <v>0</v>
      </c>
    </row>
    <row r="31" spans="2:10" ht="18" thickBot="1" x14ac:dyDescent="0.45">
      <c r="B31" s="11" t="s">
        <v>107</v>
      </c>
      <c r="C31" s="72" t="s">
        <v>109</v>
      </c>
      <c r="D31" s="42" t="s">
        <v>87</v>
      </c>
    </row>
    <row r="32" spans="2:10" ht="18" thickBot="1" x14ac:dyDescent="0.45">
      <c r="B32" s="7" t="s">
        <v>88</v>
      </c>
      <c r="C32" s="44"/>
      <c r="D32" s="62">
        <f>SUM(D23:D31)</f>
        <v>0</v>
      </c>
    </row>
    <row r="36" spans="1:4" ht="18" thickBot="1" x14ac:dyDescent="0.45"/>
    <row r="37" spans="1:4" ht="18" thickBot="1" x14ac:dyDescent="0.45">
      <c r="B37" s="9" t="s">
        <v>95</v>
      </c>
      <c r="C37" s="2">
        <f>8500*3600</f>
        <v>30600000</v>
      </c>
      <c r="D37" s="7">
        <v>8500</v>
      </c>
    </row>
    <row r="38" spans="1:4" x14ac:dyDescent="0.4">
      <c r="B38" s="49" t="s">
        <v>86</v>
      </c>
      <c r="C38" s="64">
        <v>0.06</v>
      </c>
    </row>
    <row r="39" spans="1:4" x14ac:dyDescent="0.4">
      <c r="A39" s="12" t="s">
        <v>87</v>
      </c>
      <c r="B39" s="49" t="s">
        <v>91</v>
      </c>
      <c r="C39" s="47">
        <v>-8.8900000000000003E-10</v>
      </c>
    </row>
    <row r="40" spans="1:4" ht="18" thickBot="1" x14ac:dyDescent="0.45">
      <c r="A40" s="12" t="s">
        <v>93</v>
      </c>
      <c r="B40" s="50" t="s">
        <v>92</v>
      </c>
      <c r="C40" s="48">
        <v>7.9500000000000001E-9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topLeftCell="B1" zoomScale="85" zoomScaleNormal="85" workbookViewId="0">
      <selection activeCell="J27" sqref="J27"/>
    </sheetView>
  </sheetViews>
  <sheetFormatPr defaultRowHeight="17.399999999999999" x14ac:dyDescent="0.4"/>
  <cols>
    <col min="2" max="2" width="55.8984375" bestFit="1" customWidth="1"/>
    <col min="4" max="4" width="7.8984375" bestFit="1" customWidth="1"/>
    <col min="5" max="5" width="16.59765625" bestFit="1" customWidth="1"/>
    <col min="9" max="9" width="46.69921875" bestFit="1" customWidth="1"/>
    <col min="10" max="10" width="18.3984375" bestFit="1" customWidth="1"/>
    <col min="11" max="11" width="14.19921875" bestFit="1" customWidth="1"/>
  </cols>
  <sheetData>
    <row r="3" spans="2:11" ht="18" thickBot="1" x14ac:dyDescent="0.45">
      <c r="B3" s="13" t="s">
        <v>9</v>
      </c>
      <c r="C3" s="14"/>
      <c r="D3" s="14"/>
      <c r="E3" s="14"/>
      <c r="I3" s="30" t="s">
        <v>52</v>
      </c>
      <c r="J3" s="31"/>
      <c r="K3" s="31"/>
    </row>
    <row r="4" spans="2:11" ht="18" thickBot="1" x14ac:dyDescent="0.45">
      <c r="B4" s="15" t="s">
        <v>10</v>
      </c>
      <c r="C4" s="16" t="s">
        <v>11</v>
      </c>
      <c r="D4" s="17" t="s">
        <v>12</v>
      </c>
      <c r="E4" s="18" t="s">
        <v>13</v>
      </c>
      <c r="I4" s="15" t="s">
        <v>53</v>
      </c>
      <c r="J4" s="32" t="s">
        <v>54</v>
      </c>
      <c r="K4" s="33" t="s">
        <v>13</v>
      </c>
    </row>
    <row r="5" spans="2:11" x14ac:dyDescent="0.4">
      <c r="B5" s="19" t="s">
        <v>14</v>
      </c>
      <c r="C5" s="20"/>
      <c r="D5" s="21"/>
      <c r="E5" s="22"/>
      <c r="I5" s="34" t="s">
        <v>55</v>
      </c>
      <c r="J5" s="35"/>
      <c r="K5" s="52"/>
    </row>
    <row r="6" spans="2:11" x14ac:dyDescent="0.4">
      <c r="B6" s="19" t="s">
        <v>15</v>
      </c>
      <c r="C6" s="20"/>
      <c r="D6" s="21"/>
      <c r="E6" s="23"/>
      <c r="I6" s="20" t="s">
        <v>56</v>
      </c>
      <c r="J6" s="36" t="s">
        <v>57</v>
      </c>
      <c r="K6" s="53">
        <f>SUM(E29*0.01)</f>
        <v>260.60441666666668</v>
      </c>
    </row>
    <row r="7" spans="2:11" x14ac:dyDescent="0.4">
      <c r="B7" s="23" t="s">
        <v>16</v>
      </c>
      <c r="C7" s="20" t="s">
        <v>17</v>
      </c>
      <c r="D7" s="24">
        <v>30</v>
      </c>
      <c r="E7" s="46">
        <f>Desalination!I15</f>
        <v>7818.1325000000006</v>
      </c>
      <c r="I7" s="25" t="s">
        <v>58</v>
      </c>
      <c r="J7" s="37"/>
      <c r="K7" s="53"/>
    </row>
    <row r="8" spans="2:11" x14ac:dyDescent="0.4">
      <c r="B8" s="23" t="s">
        <v>18</v>
      </c>
      <c r="C8" s="20" t="s">
        <v>19</v>
      </c>
      <c r="D8" s="21">
        <v>10</v>
      </c>
      <c r="E8" s="23">
        <f>SUM(E29*0.1)</f>
        <v>2606.044166666667</v>
      </c>
      <c r="I8" s="38" t="s">
        <v>59</v>
      </c>
      <c r="J8" s="37" t="s">
        <v>60</v>
      </c>
      <c r="K8" s="54" t="s">
        <v>87</v>
      </c>
    </row>
    <row r="9" spans="2:11" x14ac:dyDescent="0.4">
      <c r="B9" s="23" t="s">
        <v>20</v>
      </c>
      <c r="C9" s="20" t="s">
        <v>21</v>
      </c>
      <c r="D9" s="21">
        <v>5</v>
      </c>
      <c r="E9" s="23">
        <f>SUM(E29*0.05)</f>
        <v>1303.0220833333335</v>
      </c>
      <c r="I9" s="37" t="s">
        <v>61</v>
      </c>
      <c r="J9" s="37" t="s">
        <v>60</v>
      </c>
      <c r="K9" s="63">
        <f>Desalination!D32+Desalination!I23</f>
        <v>0</v>
      </c>
    </row>
    <row r="10" spans="2:11" x14ac:dyDescent="0.4">
      <c r="B10" s="23" t="s">
        <v>22</v>
      </c>
      <c r="C10" s="20" t="s">
        <v>23</v>
      </c>
      <c r="D10" s="21">
        <v>10</v>
      </c>
      <c r="E10" s="23">
        <f>SUM(E29*0.1)</f>
        <v>2606.044166666667</v>
      </c>
      <c r="I10" s="37" t="s">
        <v>62</v>
      </c>
      <c r="J10" s="37"/>
      <c r="K10" s="55">
        <f>Desalination!H23</f>
        <v>15</v>
      </c>
    </row>
    <row r="11" spans="2:11" x14ac:dyDescent="0.4">
      <c r="B11" s="23" t="s">
        <v>24</v>
      </c>
      <c r="C11" s="20" t="s">
        <v>25</v>
      </c>
      <c r="D11" s="21">
        <v>5</v>
      </c>
      <c r="E11" s="23">
        <f>SUM(E29*0.05)</f>
        <v>1303.0220833333335</v>
      </c>
      <c r="I11" s="37" t="s">
        <v>63</v>
      </c>
      <c r="J11" s="37" t="s">
        <v>96</v>
      </c>
      <c r="K11" s="95">
        <f>Desalination!I30</f>
        <v>0</v>
      </c>
    </row>
    <row r="12" spans="2:11" x14ac:dyDescent="0.4">
      <c r="B12" s="23"/>
      <c r="C12" s="20"/>
      <c r="D12" s="21"/>
      <c r="E12" s="23"/>
      <c r="I12" s="20" t="s">
        <v>64</v>
      </c>
      <c r="J12" s="39" t="s">
        <v>57</v>
      </c>
      <c r="K12" s="56">
        <f>SUM(K6*0.04)</f>
        <v>10.424176666666668</v>
      </c>
    </row>
    <row r="13" spans="2:11" x14ac:dyDescent="0.4">
      <c r="B13" s="19" t="s">
        <v>26</v>
      </c>
      <c r="C13" s="20"/>
      <c r="D13" s="21"/>
      <c r="E13" s="23"/>
      <c r="I13" s="20" t="s">
        <v>65</v>
      </c>
      <c r="J13" s="37" t="s">
        <v>66</v>
      </c>
      <c r="K13" s="53">
        <f>SUM(K25*0.15)</f>
        <v>89.179582953970652</v>
      </c>
    </row>
    <row r="14" spans="2:11" x14ac:dyDescent="0.4">
      <c r="B14" s="23" t="s">
        <v>27</v>
      </c>
      <c r="C14" s="20" t="s">
        <v>28</v>
      </c>
      <c r="D14" s="21">
        <v>8</v>
      </c>
      <c r="E14" s="23">
        <f>SUM(E29*0.08)</f>
        <v>2084.8353333333334</v>
      </c>
      <c r="I14" s="20" t="s">
        <v>67</v>
      </c>
      <c r="J14" s="37" t="s">
        <v>68</v>
      </c>
      <c r="K14" s="53">
        <f>SUM(K13*0.3)</f>
        <v>26.753874886191195</v>
      </c>
    </row>
    <row r="15" spans="2:11" x14ac:dyDescent="0.4">
      <c r="B15" s="23" t="s">
        <v>29</v>
      </c>
      <c r="C15" s="20" t="s">
        <v>30</v>
      </c>
      <c r="D15" s="21">
        <v>2</v>
      </c>
      <c r="E15" s="23">
        <f>SUM(E29*0.02)</f>
        <v>521.20883333333336</v>
      </c>
      <c r="I15" s="20" t="s">
        <v>69</v>
      </c>
      <c r="J15" s="37" t="s">
        <v>70</v>
      </c>
      <c r="K15" s="53">
        <f>SUM(K12*0.15)</f>
        <v>1.5636265</v>
      </c>
    </row>
    <row r="16" spans="2:11" x14ac:dyDescent="0.4">
      <c r="B16" s="23" t="s">
        <v>31</v>
      </c>
      <c r="C16" s="20" t="s">
        <v>32</v>
      </c>
      <c r="D16" s="21">
        <v>8</v>
      </c>
      <c r="E16" s="23">
        <f>SUM(E29*0.08)</f>
        <v>2084.8353333333334</v>
      </c>
      <c r="I16" s="20" t="s">
        <v>71</v>
      </c>
      <c r="J16" s="37" t="s">
        <v>72</v>
      </c>
      <c r="K16" s="53">
        <f>SUM(K13*0.15)</f>
        <v>13.376937443095597</v>
      </c>
    </row>
    <row r="17" spans="2:11" x14ac:dyDescent="0.4">
      <c r="B17" s="23" t="s">
        <v>33</v>
      </c>
      <c r="C17" s="20" t="s">
        <v>34</v>
      </c>
      <c r="D17" s="21">
        <v>2</v>
      </c>
      <c r="E17" s="23">
        <f>SUM(E29*0.02)</f>
        <v>521.20883333333336</v>
      </c>
      <c r="I17" s="20"/>
      <c r="J17" s="37"/>
      <c r="K17" s="53"/>
    </row>
    <row r="18" spans="2:11" x14ac:dyDescent="0.4">
      <c r="B18" s="23"/>
      <c r="C18" s="20"/>
      <c r="D18" s="21"/>
      <c r="E18" s="23"/>
      <c r="I18" s="25" t="s">
        <v>73</v>
      </c>
      <c r="J18" s="37" t="s">
        <v>74</v>
      </c>
      <c r="K18" s="53">
        <f>SUM(0.6*K29)</f>
        <v>75.814580704097111</v>
      </c>
    </row>
    <row r="19" spans="2:11" x14ac:dyDescent="0.4">
      <c r="B19" s="19" t="s">
        <v>35</v>
      </c>
      <c r="C19" s="20"/>
      <c r="D19" s="21"/>
      <c r="E19" s="23">
        <f>SUM(E7:E17)</f>
        <v>20848.353333333336</v>
      </c>
      <c r="I19" s="20"/>
      <c r="J19" s="37"/>
      <c r="K19" s="53"/>
    </row>
    <row r="20" spans="2:11" x14ac:dyDescent="0.4">
      <c r="B20" s="23"/>
      <c r="C20" s="20"/>
      <c r="D20" s="21"/>
      <c r="E20" s="23"/>
      <c r="I20" s="25" t="s">
        <v>75</v>
      </c>
      <c r="J20" s="37"/>
      <c r="K20" s="53"/>
    </row>
    <row r="21" spans="2:11" x14ac:dyDescent="0.4">
      <c r="B21" s="19" t="s">
        <v>36</v>
      </c>
      <c r="C21" s="20"/>
      <c r="D21" s="21"/>
      <c r="E21" s="23"/>
      <c r="I21" s="20" t="s">
        <v>76</v>
      </c>
      <c r="J21" s="37" t="s">
        <v>77</v>
      </c>
      <c r="K21" s="53">
        <f>SUM(K13*0.175)</f>
        <v>15.606427016944863</v>
      </c>
    </row>
    <row r="22" spans="2:11" x14ac:dyDescent="0.4">
      <c r="B22" s="23" t="s">
        <v>37</v>
      </c>
      <c r="C22" s="20" t="s">
        <v>38</v>
      </c>
      <c r="D22" s="21">
        <v>5</v>
      </c>
      <c r="E22" s="23">
        <f>SUM(E29*0.05)</f>
        <v>1303.0220833333335</v>
      </c>
      <c r="I22" s="40" t="s">
        <v>78</v>
      </c>
      <c r="J22" s="37" t="s">
        <v>79</v>
      </c>
      <c r="K22" s="53">
        <f>SUM(K25*0.11)</f>
        <v>65.398360832911806</v>
      </c>
    </row>
    <row r="23" spans="2:11" x14ac:dyDescent="0.4">
      <c r="B23" s="23" t="s">
        <v>39</v>
      </c>
      <c r="C23" s="20" t="s">
        <v>40</v>
      </c>
      <c r="D23" s="21">
        <v>5</v>
      </c>
      <c r="E23" s="23">
        <f>SUM(E29*0.05)</f>
        <v>1303.0220833333335</v>
      </c>
      <c r="I23" s="20" t="s">
        <v>80</v>
      </c>
      <c r="J23" s="40" t="s">
        <v>81</v>
      </c>
      <c r="K23" s="53">
        <f>SUM(K25*0.035)</f>
        <v>20.808569355926487</v>
      </c>
    </row>
    <row r="24" spans="2:11" x14ac:dyDescent="0.4">
      <c r="B24" s="23" t="s">
        <v>41</v>
      </c>
      <c r="C24" s="20" t="s">
        <v>30</v>
      </c>
      <c r="D24" s="21">
        <v>5</v>
      </c>
      <c r="E24" s="23">
        <f>SUM(E29*0.05)</f>
        <v>1303.0220833333335</v>
      </c>
      <c r="I24" s="20"/>
      <c r="J24" s="40"/>
      <c r="K24" s="53"/>
    </row>
    <row r="25" spans="2:11" ht="18" thickBot="1" x14ac:dyDescent="0.45">
      <c r="B25" s="23" t="s">
        <v>42</v>
      </c>
      <c r="C25" s="20" t="s">
        <v>43</v>
      </c>
      <c r="D25" s="21">
        <v>5</v>
      </c>
      <c r="E25" s="23">
        <f>SUM(E29*0.05)</f>
        <v>1303.0220833333335</v>
      </c>
      <c r="I25" s="28" t="s">
        <v>82</v>
      </c>
      <c r="J25" s="28"/>
      <c r="K25" s="57">
        <f>SUM(K27/0.49425)</f>
        <v>594.53055302647101</v>
      </c>
    </row>
    <row r="26" spans="2:11" x14ac:dyDescent="0.4">
      <c r="B26" s="23"/>
      <c r="C26" s="20"/>
      <c r="D26" s="21"/>
      <c r="E26" s="23"/>
      <c r="I26" s="31"/>
      <c r="J26" s="31"/>
      <c r="K26" s="58"/>
    </row>
    <row r="27" spans="2:11" x14ac:dyDescent="0.4">
      <c r="B27" s="19" t="s">
        <v>44</v>
      </c>
      <c r="C27" s="20"/>
      <c r="D27" s="21"/>
      <c r="E27" s="23">
        <f>SUM(E22:E25)</f>
        <v>5212.088333333334</v>
      </c>
      <c r="I27" s="31"/>
      <c r="J27" s="31"/>
      <c r="K27" s="58">
        <f>SUM(K6:K12,K15,0.6*K12)</f>
        <v>293.84672583333332</v>
      </c>
    </row>
    <row r="28" spans="2:11" x14ac:dyDescent="0.4">
      <c r="B28" s="23"/>
      <c r="C28" s="20"/>
      <c r="D28" s="21"/>
      <c r="E28" s="23"/>
      <c r="I28" s="14"/>
      <c r="J28" s="14"/>
      <c r="K28" s="59"/>
    </row>
    <row r="29" spans="2:11" x14ac:dyDescent="0.4">
      <c r="B29" s="23" t="s">
        <v>45</v>
      </c>
      <c r="C29" s="20">
        <v>100</v>
      </c>
      <c r="D29" s="21">
        <v>100</v>
      </c>
      <c r="E29" s="23">
        <f>SUM(E7*100/D7)</f>
        <v>26060.441666666669</v>
      </c>
      <c r="I29" s="14"/>
      <c r="J29" s="14" t="s">
        <v>83</v>
      </c>
      <c r="K29" s="59">
        <f>(K12+K13+K14)</f>
        <v>126.35763450682852</v>
      </c>
    </row>
    <row r="30" spans="2:11" x14ac:dyDescent="0.4">
      <c r="B30" s="23" t="s">
        <v>46</v>
      </c>
      <c r="C30" s="20">
        <v>20</v>
      </c>
      <c r="D30" s="24">
        <v>20</v>
      </c>
      <c r="E30" s="23">
        <f>SUM(E29*0.2)</f>
        <v>5212.088333333334</v>
      </c>
      <c r="I30" s="41"/>
      <c r="J30" s="41"/>
      <c r="K30" s="60">
        <f>SUM(K6:K23)</f>
        <v>594.53055302647101</v>
      </c>
    </row>
    <row r="31" spans="2:11" x14ac:dyDescent="0.4">
      <c r="B31" s="23" t="s">
        <v>47</v>
      </c>
      <c r="C31" s="20">
        <v>20</v>
      </c>
      <c r="D31" s="24">
        <v>20</v>
      </c>
      <c r="E31" s="23">
        <f>SUM(E29*0.2)</f>
        <v>5212.088333333334</v>
      </c>
    </row>
    <row r="32" spans="2:11" x14ac:dyDescent="0.4">
      <c r="B32" s="23"/>
      <c r="C32" s="20"/>
      <c r="D32" s="21"/>
      <c r="E32" s="23"/>
    </row>
    <row r="33" spans="2:5" x14ac:dyDescent="0.4">
      <c r="B33" s="19" t="s">
        <v>48</v>
      </c>
      <c r="C33" s="25" t="s">
        <v>49</v>
      </c>
      <c r="D33" s="26"/>
      <c r="E33" s="19">
        <f>SUM(E29:E31)</f>
        <v>36484.618333333339</v>
      </c>
    </row>
    <row r="34" spans="2:5" ht="18" thickBot="1" x14ac:dyDescent="0.45">
      <c r="B34" s="27" t="s">
        <v>50</v>
      </c>
      <c r="C34" s="28" t="s">
        <v>51</v>
      </c>
      <c r="D34" s="29"/>
      <c r="E34" s="27">
        <f>SUM(E33/((1-(1/((1.05)^25)))/0.07))</f>
        <v>3624.1426541243341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F11"/>
  <sheetViews>
    <sheetView tabSelected="1" workbookViewId="0">
      <selection activeCell="D25" sqref="D25"/>
    </sheetView>
  </sheetViews>
  <sheetFormatPr defaultRowHeight="17.399999999999999" x14ac:dyDescent="0.4"/>
  <cols>
    <col min="2" max="2" width="15.19921875" bestFit="1" customWidth="1"/>
    <col min="3" max="3" width="18.8984375" bestFit="1" customWidth="1"/>
    <col min="4" max="4" width="17.3984375" bestFit="1" customWidth="1"/>
    <col min="5" max="5" width="15" customWidth="1"/>
  </cols>
  <sheetData>
    <row r="3" spans="2:6" x14ac:dyDescent="0.4">
      <c r="B3" t="s">
        <v>116</v>
      </c>
    </row>
    <row r="4" spans="2:6" ht="18" thickBot="1" x14ac:dyDescent="0.45"/>
    <row r="5" spans="2:6" ht="18" thickBot="1" x14ac:dyDescent="0.45">
      <c r="B5" s="89" t="s">
        <v>117</v>
      </c>
      <c r="C5" s="43" t="s">
        <v>122</v>
      </c>
      <c r="D5" s="43" t="s">
        <v>120</v>
      </c>
      <c r="E5" s="44" t="s">
        <v>116</v>
      </c>
    </row>
    <row r="6" spans="2:6" x14ac:dyDescent="0.4">
      <c r="B6" s="3" t="s">
        <v>118</v>
      </c>
      <c r="C6" s="91"/>
      <c r="D6">
        <v>300</v>
      </c>
      <c r="E6" s="4">
        <f>C6*C11*D6</f>
        <v>0</v>
      </c>
      <c r="F6" t="s">
        <v>123</v>
      </c>
    </row>
    <row r="7" spans="2:6" ht="18" thickBot="1" x14ac:dyDescent="0.45">
      <c r="B7" s="5" t="s">
        <v>119</v>
      </c>
      <c r="C7" s="92"/>
      <c r="D7" s="6">
        <v>700</v>
      </c>
      <c r="E7" s="69">
        <f>C7*C11*D7</f>
        <v>0</v>
      </c>
      <c r="F7" t="s">
        <v>124</v>
      </c>
    </row>
    <row r="8" spans="2:6" ht="18" thickBot="1" x14ac:dyDescent="0.45">
      <c r="B8" s="89" t="s">
        <v>88</v>
      </c>
      <c r="C8" s="43"/>
      <c r="D8" s="43"/>
      <c r="E8" s="100"/>
    </row>
    <row r="11" spans="2:6" x14ac:dyDescent="0.4">
      <c r="B11" t="s">
        <v>121</v>
      </c>
      <c r="C11">
        <v>8500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Desalination</vt:lpstr>
      <vt:lpstr>Desalination EAC&amp;TPC</vt:lpstr>
      <vt:lpstr>Desalination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PSID_PC22</cp:lastModifiedBy>
  <dcterms:created xsi:type="dcterms:W3CDTF">2023-07-27T05:08:20Z</dcterms:created>
  <dcterms:modified xsi:type="dcterms:W3CDTF">2023-08-25T04:41:53Z</dcterms:modified>
</cp:coreProperties>
</file>