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ID_17\Desktop\이혜정\3.2023\SCI 6. 환경팀\경제성 평가\WSS desulfurization process\"/>
    </mc:Choice>
  </mc:AlternateContent>
  <bookViews>
    <workbookView xWindow="0" yWindow="0" windowWidth="11190" windowHeight="8940" activeTab="2"/>
  </bookViews>
  <sheets>
    <sheet name="Desulf" sheetId="5" r:id="rId1"/>
    <sheet name="Desulf EAC&amp;TPC" sheetId="6" r:id="rId2"/>
    <sheet name="Desulf revenue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7" l="1"/>
  <c r="K9" i="6" l="1"/>
  <c r="E7" i="6"/>
  <c r="I9" i="5"/>
  <c r="I8" i="5"/>
  <c r="I7" i="5"/>
  <c r="I6" i="5"/>
  <c r="I5" i="5"/>
  <c r="D22" i="5"/>
  <c r="D21" i="5"/>
  <c r="D20" i="5"/>
  <c r="D19" i="5"/>
  <c r="D18" i="5"/>
  <c r="E29" i="6" l="1"/>
  <c r="E9" i="6" l="1"/>
  <c r="E8" i="6"/>
  <c r="E31" i="6"/>
  <c r="E10" i="6"/>
  <c r="E17" i="6"/>
  <c r="K6" i="6"/>
  <c r="E30" i="6"/>
  <c r="E33" i="6" s="1"/>
  <c r="E34" i="6" s="1"/>
  <c r="E16" i="6"/>
  <c r="E15" i="6"/>
  <c r="E14" i="6"/>
  <c r="E25" i="6"/>
  <c r="E24" i="6"/>
  <c r="E11" i="6"/>
  <c r="E23" i="6"/>
  <c r="E22" i="6"/>
  <c r="E27" i="6" l="1"/>
  <c r="E19" i="6"/>
  <c r="K12" i="6"/>
  <c r="K15" i="6" l="1"/>
  <c r="K27" i="6"/>
  <c r="K25" i="6" s="1"/>
  <c r="K13" i="6" l="1"/>
  <c r="K23" i="6"/>
  <c r="K22" i="6"/>
  <c r="K21" i="6" l="1"/>
  <c r="K16" i="6"/>
  <c r="K14" i="6"/>
  <c r="K29" i="6"/>
  <c r="K18" i="6" s="1"/>
  <c r="K30" i="6" l="1"/>
  <c r="C28" i="5" l="1"/>
  <c r="I10" i="5" l="1"/>
  <c r="D23" i="5" l="1"/>
</calcChain>
</file>

<file path=xl/sharedStrings.xml><?xml version="1.0" encoding="utf-8"?>
<sst xmlns="http://schemas.openxmlformats.org/spreadsheetml/2006/main" count="124" uniqueCount="109">
  <si>
    <t>Capex</t>
    <phoneticPr fontId="2" type="noConversion"/>
  </si>
  <si>
    <t>Reference equpment cost ($)</t>
    <phoneticPr fontId="4" type="noConversion"/>
  </si>
  <si>
    <t xml:space="preserve">Scale paramter </t>
    <phoneticPr fontId="4" type="noConversion"/>
  </si>
  <si>
    <t>Refernece capacity</t>
    <phoneticPr fontId="4" type="noConversion"/>
  </si>
  <si>
    <t xml:space="preserve">Capacity </t>
    <phoneticPr fontId="4" type="noConversion"/>
  </si>
  <si>
    <t>Capacity correction factor</t>
    <phoneticPr fontId="4" type="noConversion"/>
  </si>
  <si>
    <t>Refernece year</t>
    <phoneticPr fontId="4" type="noConversion"/>
  </si>
  <si>
    <t>Equipment cost ($)</t>
    <phoneticPr fontId="4" type="noConversion"/>
  </si>
  <si>
    <t>Opex</t>
    <phoneticPr fontId="2" type="noConversion"/>
  </si>
  <si>
    <t>EAC (B.P)</t>
    <phoneticPr fontId="4" type="noConversion"/>
  </si>
  <si>
    <t xml:space="preserve">Classification </t>
    <phoneticPr fontId="4" type="noConversion"/>
  </si>
  <si>
    <t>% of FCI</t>
    <phoneticPr fontId="4" type="noConversion"/>
  </si>
  <si>
    <t xml:space="preserve">Used </t>
    <phoneticPr fontId="4" type="noConversion"/>
  </si>
  <si>
    <t>Value</t>
    <phoneticPr fontId="4" type="noConversion"/>
  </si>
  <si>
    <t>Direct cost</t>
    <phoneticPr fontId="4" type="noConversion"/>
  </si>
  <si>
    <t>ISBL (Inside battery limit, 전체공사구역 중 주 공정시설)</t>
    <phoneticPr fontId="4" type="noConversion"/>
  </si>
  <si>
    <t xml:space="preserve">Equipment cost &lt;&lt; 직접 구하길 </t>
    <phoneticPr fontId="4" type="noConversion"/>
  </si>
  <si>
    <t>20-40</t>
    <phoneticPr fontId="4" type="noConversion"/>
  </si>
  <si>
    <t>Installation of equipment = FCI * 0.1</t>
    <phoneticPr fontId="4" type="noConversion"/>
  </si>
  <si>
    <t>7.3-26</t>
    <phoneticPr fontId="4" type="noConversion"/>
  </si>
  <si>
    <t>Instrument and control = FCI * 0.05</t>
    <phoneticPr fontId="4" type="noConversion"/>
  </si>
  <si>
    <t>2.5-7.0</t>
    <phoneticPr fontId="4" type="noConversion"/>
  </si>
  <si>
    <t>Piping = FCI * 0.1</t>
    <phoneticPr fontId="4" type="noConversion"/>
  </si>
  <si>
    <t>3.0-15</t>
    <phoneticPr fontId="4" type="noConversion"/>
  </si>
  <si>
    <t>Electrical = FCI * 0.05</t>
    <phoneticPr fontId="4" type="noConversion"/>
  </si>
  <si>
    <t>2.5-9.0</t>
    <phoneticPr fontId="4" type="noConversion"/>
  </si>
  <si>
    <t>OSBL(Outside bettery limit,주공정시설 외 부대시설)</t>
    <phoneticPr fontId="4" type="noConversion"/>
  </si>
  <si>
    <t>Building and building services = FCI * 0.08</t>
    <phoneticPr fontId="4" type="noConversion"/>
  </si>
  <si>
    <t>6.0-20</t>
    <phoneticPr fontId="4" type="noConversion"/>
  </si>
  <si>
    <t>Yard improvements = FCI * 0.02</t>
    <phoneticPr fontId="4" type="noConversion"/>
  </si>
  <si>
    <t>1.5-5.0</t>
    <phoneticPr fontId="4" type="noConversion"/>
  </si>
  <si>
    <t>Services facilities = FCI * 0.08</t>
    <phoneticPr fontId="4" type="noConversion"/>
  </si>
  <si>
    <t>8.0-35</t>
    <phoneticPr fontId="4" type="noConversion"/>
  </si>
  <si>
    <t>Land = FCI * 0.02</t>
    <phoneticPr fontId="4" type="noConversion"/>
  </si>
  <si>
    <t>1.0-2.0</t>
    <phoneticPr fontId="4" type="noConversion"/>
  </si>
  <si>
    <t>Total direct cost = FCI * 0.5 + Equipment cost</t>
    <phoneticPr fontId="4" type="noConversion"/>
  </si>
  <si>
    <t>Indirect cost</t>
    <phoneticPr fontId="4" type="noConversion"/>
  </si>
  <si>
    <t>Engineering = FCI * 0.05</t>
    <phoneticPr fontId="4" type="noConversion"/>
  </si>
  <si>
    <t>4.0-21</t>
    <phoneticPr fontId="4" type="noConversion"/>
  </si>
  <si>
    <t>Construction expenses = FCI * 0.05</t>
    <phoneticPr fontId="4" type="noConversion"/>
  </si>
  <si>
    <t>4.8-22</t>
    <phoneticPr fontId="4" type="noConversion"/>
  </si>
  <si>
    <t>Contractor's fee = FCI * 0.05</t>
    <phoneticPr fontId="4" type="noConversion"/>
  </si>
  <si>
    <t>Contingency = FCI * 0.05</t>
    <phoneticPr fontId="4" type="noConversion"/>
  </si>
  <si>
    <t>5.0-20</t>
    <phoneticPr fontId="4" type="noConversion"/>
  </si>
  <si>
    <t>Total indirect cost = FCI * 0.2</t>
    <phoneticPr fontId="4" type="noConversion"/>
  </si>
  <si>
    <t>Fixed capital investment (FCI)</t>
    <phoneticPr fontId="4" type="noConversion"/>
  </si>
  <si>
    <t>Start up cost (SUC)  = FCI * 0.2</t>
    <phoneticPr fontId="4" type="noConversion"/>
  </si>
  <si>
    <t>Working capital investment (WCI)  = FCI * 0.2</t>
    <phoneticPr fontId="4" type="noConversion"/>
  </si>
  <si>
    <t>TCI</t>
    <phoneticPr fontId="4" type="noConversion"/>
  </si>
  <si>
    <t>NPV</t>
    <phoneticPr fontId="4" type="noConversion"/>
  </si>
  <si>
    <t>EAC (r=7%, t=25 year)    RP=r, NP=t</t>
    <phoneticPr fontId="4" type="noConversion"/>
  </si>
  <si>
    <t>EAC</t>
    <phoneticPr fontId="4" type="noConversion"/>
  </si>
  <si>
    <t>TPC (BP)</t>
    <phoneticPr fontId="4" type="noConversion"/>
  </si>
  <si>
    <t>Classification</t>
    <phoneticPr fontId="4" type="noConversion"/>
  </si>
  <si>
    <t>Range</t>
    <phoneticPr fontId="4" type="noConversion"/>
  </si>
  <si>
    <t>Fixed charge(FC) = FCI * 0.08</t>
    <phoneticPr fontId="4" type="noConversion"/>
  </si>
  <si>
    <t>Local taxes, Insurance</t>
    <phoneticPr fontId="4" type="noConversion"/>
  </si>
  <si>
    <t>8% of FCI</t>
    <phoneticPr fontId="4" type="noConversion"/>
  </si>
  <si>
    <t>Direct production cost (DPC)</t>
    <phoneticPr fontId="4" type="noConversion"/>
  </si>
  <si>
    <t>Carbon tax</t>
    <phoneticPr fontId="4" type="noConversion"/>
  </si>
  <si>
    <t>-</t>
    <phoneticPr fontId="4" type="noConversion"/>
  </si>
  <si>
    <t xml:space="preserve">Raw materials </t>
    <phoneticPr fontId="4" type="noConversion"/>
  </si>
  <si>
    <t>Membrane replacement cost</t>
    <phoneticPr fontId="4" type="noConversion"/>
  </si>
  <si>
    <t>Electricity</t>
    <phoneticPr fontId="4" type="noConversion"/>
  </si>
  <si>
    <t>Matinenenance (M) = FC * 0.08</t>
    <phoneticPr fontId="4" type="noConversion"/>
  </si>
  <si>
    <t>Operating labor (OL) = TPC * 0.15</t>
    <phoneticPr fontId="4" type="noConversion"/>
  </si>
  <si>
    <t>15% of OPEX</t>
    <phoneticPr fontId="4" type="noConversion"/>
  </si>
  <si>
    <t>Supervision and support labor (S) = labor * 0.3</t>
    <phoneticPr fontId="4" type="noConversion"/>
  </si>
  <si>
    <t>30% of OL</t>
    <phoneticPr fontId="4" type="noConversion"/>
  </si>
  <si>
    <t>Operating supplies = maintenance * 0.15</t>
    <phoneticPr fontId="4" type="noConversion"/>
  </si>
  <si>
    <t>15% of M</t>
    <phoneticPr fontId="4" type="noConversion"/>
  </si>
  <si>
    <t>Laboratory charges = labor * 0.15</t>
    <phoneticPr fontId="4" type="noConversion"/>
  </si>
  <si>
    <t>15% of OL</t>
    <phoneticPr fontId="4" type="noConversion"/>
  </si>
  <si>
    <t>Plant overhead cost(OVHD)</t>
    <phoneticPr fontId="4" type="noConversion"/>
  </si>
  <si>
    <t>60% of M+OL+S</t>
    <phoneticPr fontId="4" type="noConversion"/>
  </si>
  <si>
    <t>General expenses</t>
    <phoneticPr fontId="4" type="noConversion"/>
  </si>
  <si>
    <t xml:space="preserve">Admistrative cost </t>
    <phoneticPr fontId="4" type="noConversion"/>
  </si>
  <si>
    <t>17.5% of OL</t>
    <phoneticPr fontId="4" type="noConversion"/>
  </si>
  <si>
    <t>Distribution and marketing</t>
    <phoneticPr fontId="4" type="noConversion"/>
  </si>
  <si>
    <t>11% of OPEX</t>
    <phoneticPr fontId="4" type="noConversion"/>
  </si>
  <si>
    <t xml:space="preserve">R&amp;D cost </t>
    <phoneticPr fontId="4" type="noConversion"/>
  </si>
  <si>
    <t>3.5% of OPEX</t>
    <phoneticPr fontId="4" type="noConversion"/>
  </si>
  <si>
    <t>TPC</t>
    <phoneticPr fontId="4" type="noConversion"/>
  </si>
  <si>
    <t>OVHD</t>
    <phoneticPr fontId="4" type="noConversion"/>
  </si>
  <si>
    <t>Equipment</t>
    <phoneticPr fontId="2" type="noConversion"/>
  </si>
  <si>
    <t>Block heat duty (cal/sec)</t>
    <phoneticPr fontId="2" type="noConversion"/>
  </si>
  <si>
    <t>Electricity cost [$/kWh]</t>
    <phoneticPr fontId="4" type="noConversion"/>
  </si>
  <si>
    <t>-</t>
    <phoneticPr fontId="2" type="noConversion"/>
  </si>
  <si>
    <t>Total</t>
    <phoneticPr fontId="2" type="noConversion"/>
  </si>
  <si>
    <t>Ref</t>
    <phoneticPr fontId="2" type="noConversion"/>
  </si>
  <si>
    <t>Feed flow rate (kg/h)</t>
    <phoneticPr fontId="4" type="noConversion"/>
  </si>
  <si>
    <t>Cooling price [$/cal]</t>
    <phoneticPr fontId="4" type="noConversion"/>
  </si>
  <si>
    <t>Heating price [$/cal]</t>
    <phoneticPr fontId="4" type="noConversion"/>
  </si>
  <si>
    <t>+</t>
    <phoneticPr fontId="2" type="noConversion"/>
  </si>
  <si>
    <t>Annual operating cost</t>
    <phoneticPr fontId="2" type="noConversion"/>
  </si>
  <si>
    <t>Annual operating hours [sec/yr]</t>
    <phoneticPr fontId="2" type="noConversion"/>
  </si>
  <si>
    <t>$0.06/kWh</t>
    <phoneticPr fontId="4" type="noConversion"/>
  </si>
  <si>
    <t>Feed flow rate (kg/h)</t>
    <phoneticPr fontId="4" type="noConversion"/>
  </si>
  <si>
    <t>LIME-DS</t>
    <phoneticPr fontId="2" type="noConversion"/>
  </si>
  <si>
    <t>SCRUBBER</t>
    <phoneticPr fontId="2" type="noConversion"/>
  </si>
  <si>
    <t>GYP-CR</t>
    <phoneticPr fontId="2" type="noConversion"/>
  </si>
  <si>
    <t>GAS-SP</t>
    <phoneticPr fontId="2" type="noConversion"/>
  </si>
  <si>
    <t>GYP-SP</t>
    <phoneticPr fontId="2" type="noConversion"/>
  </si>
  <si>
    <t>Volume (gal)</t>
    <phoneticPr fontId="4" type="noConversion"/>
  </si>
  <si>
    <t>Volume (gal)</t>
    <phoneticPr fontId="4" type="noConversion"/>
  </si>
  <si>
    <t>CALCI-02</t>
    <phoneticPr fontId="2" type="noConversion"/>
  </si>
  <si>
    <t>Flow rate [tonne/h]</t>
    <phoneticPr fontId="2" type="noConversion"/>
  </si>
  <si>
    <t>Cost [USD/tonne]</t>
    <phoneticPr fontId="2" type="noConversion"/>
  </si>
  <si>
    <t>Revenue [$/yr]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</si>
</sst>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_-* #,##0.00_-;\-* #,##0.00_-;_-* &quot;-&quot;_-;_-@_-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41" fontId="0" fillId="0" borderId="1" xfId="1" applyFont="1" applyFill="1" applyBorder="1" applyAlignment="1">
      <alignment horizontal="left"/>
    </xf>
    <xf numFmtId="41" fontId="0" fillId="0" borderId="13" xfId="1" applyFont="1" applyFill="1" applyBorder="1" applyAlignment="1">
      <alignment horizontal="left"/>
    </xf>
    <xf numFmtId="41" fontId="0" fillId="0" borderId="14" xfId="1" applyFont="1" applyFill="1" applyBorder="1" applyAlignment="1">
      <alignment horizontal="left"/>
    </xf>
    <xf numFmtId="41" fontId="0" fillId="0" borderId="1" xfId="1" applyFont="1" applyFill="1" applyBorder="1" applyAlignment="1">
      <alignment horizontal="left" vertical="center"/>
    </xf>
    <xf numFmtId="41" fontId="5" fillId="0" borderId="11" xfId="1" applyFont="1" applyFill="1" applyBorder="1" applyAlignment="1">
      <alignment horizontal="left"/>
    </xf>
    <xf numFmtId="41" fontId="0" fillId="0" borderId="4" xfId="1" applyFont="1" applyFill="1" applyBorder="1" applyAlignment="1">
      <alignment horizontal="left"/>
    </xf>
    <xf numFmtId="41" fontId="0" fillId="0" borderId="0" xfId="1" applyFont="1" applyFill="1" applyBorder="1" applyAlignment="1">
      <alignment horizontal="left"/>
    </xf>
    <xf numFmtId="41" fontId="0" fillId="0" borderId="10" xfId="1" applyFont="1" applyFill="1" applyBorder="1" applyAlignment="1">
      <alignment horizontal="left"/>
    </xf>
    <xf numFmtId="41" fontId="0" fillId="0" borderId="11" xfId="1" applyFont="1" applyFill="1" applyBorder="1" applyAlignment="1">
      <alignment horizontal="left"/>
    </xf>
    <xf numFmtId="41" fontId="6" fillId="0" borderId="0" xfId="1" applyFont="1" applyFill="1" applyBorder="1" applyAlignment="1">
      <alignment horizontal="left"/>
    </xf>
    <xf numFmtId="41" fontId="5" fillId="0" borderId="4" xfId="1" applyFont="1" applyFill="1" applyBorder="1" applyAlignment="1">
      <alignment horizontal="left"/>
    </xf>
    <xf numFmtId="41" fontId="5" fillId="0" borderId="0" xfId="1" applyFont="1" applyFill="1" applyBorder="1" applyAlignment="1">
      <alignment horizontal="left"/>
    </xf>
    <xf numFmtId="41" fontId="5" fillId="0" borderId="12" xfId="1" applyFont="1" applyFill="1" applyBorder="1" applyAlignment="1">
      <alignment horizontal="left"/>
    </xf>
    <xf numFmtId="41" fontId="5" fillId="0" borderId="6" xfId="1" applyFont="1" applyFill="1" applyBorder="1" applyAlignment="1">
      <alignment horizontal="left"/>
    </xf>
    <xf numFmtId="41" fontId="5" fillId="0" borderId="7" xfId="1" applyFont="1" applyFill="1" applyBorder="1" applyAlignment="1">
      <alignment horizontal="left"/>
    </xf>
    <xf numFmtId="41" fontId="5" fillId="0" borderId="0" xfId="1" applyFont="1" applyFill="1" applyAlignment="1">
      <alignment horizontal="left"/>
    </xf>
    <xf numFmtId="41" fontId="0" fillId="0" borderId="0" xfId="1" applyFont="1" applyFill="1" applyAlignment="1">
      <alignment horizontal="left"/>
    </xf>
    <xf numFmtId="41" fontId="0" fillId="0" borderId="9" xfId="1" applyFont="1" applyFill="1" applyBorder="1" applyAlignment="1">
      <alignment horizontal="left"/>
    </xf>
    <xf numFmtId="0" fontId="0" fillId="0" borderId="1" xfId="1" applyNumberFormat="1" applyFont="1" applyFill="1" applyBorder="1" applyAlignment="1">
      <alignment horizontal="left" vertical="center"/>
    </xf>
    <xf numFmtId="41" fontId="5" fillId="0" borderId="2" xfId="1" applyFont="1" applyFill="1" applyBorder="1" applyAlignment="1">
      <alignment horizontal="left"/>
    </xf>
    <xf numFmtId="41" fontId="0" fillId="0" borderId="2" xfId="1" applyFont="1" applyFill="1" applyBorder="1" applyAlignment="1">
      <alignment horizontal="left"/>
    </xf>
    <xf numFmtId="41" fontId="6" fillId="0" borderId="4" xfId="1" applyFont="1" applyFill="1" applyBorder="1" applyAlignment="1">
      <alignment horizontal="left"/>
    </xf>
    <xf numFmtId="41" fontId="7" fillId="0" borderId="4" xfId="1" applyFont="1" applyFill="1" applyBorder="1" applyAlignment="1">
      <alignment horizontal="left"/>
    </xf>
    <xf numFmtId="41" fontId="8" fillId="0" borderId="4" xfId="1" applyFont="1" applyFill="1" applyBorder="1" applyAlignment="1">
      <alignment horizontal="left"/>
    </xf>
    <xf numFmtId="41" fontId="9" fillId="0" borderId="4" xfId="1" applyFont="1" applyFill="1" applyBorder="1" applyAlignment="1">
      <alignment horizontal="left"/>
    </xf>
    <xf numFmtId="41" fontId="10" fillId="0" borderId="4" xfId="1" applyFont="1" applyFill="1" applyBorder="1" applyAlignment="1">
      <alignment horizontal="left"/>
    </xf>
    <xf numFmtId="0" fontId="0" fillId="0" borderId="0" xfId="0" applyAlignment="1"/>
    <xf numFmtId="0" fontId="8" fillId="0" borderId="1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4" borderId="0" xfId="0" applyFill="1" applyBorder="1">
      <alignment vertical="center"/>
    </xf>
    <xf numFmtId="0" fontId="0" fillId="2" borderId="15" xfId="0" applyFill="1" applyBorder="1">
      <alignment vertical="center"/>
    </xf>
    <xf numFmtId="41" fontId="0" fillId="2" borderId="11" xfId="1" applyFont="1" applyFill="1" applyBorder="1" applyAlignment="1">
      <alignment horizontal="left"/>
    </xf>
    <xf numFmtId="0" fontId="0" fillId="0" borderId="5" xfId="0" applyBorder="1" applyAlignment="1"/>
    <xf numFmtId="0" fontId="0" fillId="0" borderId="8" xfId="0" applyBorder="1" applyAlignment="1"/>
    <xf numFmtId="0" fontId="0" fillId="0" borderId="11" xfId="0" applyBorder="1" applyAlignment="1"/>
    <xf numFmtId="0" fontId="0" fillId="0" borderId="12" xfId="0" applyBorder="1" applyAlignment="1"/>
    <xf numFmtId="176" fontId="0" fillId="0" borderId="10" xfId="1" applyNumberFormat="1" applyFont="1" applyFill="1" applyBorder="1" applyAlignment="1">
      <alignment horizontal="left"/>
    </xf>
    <xf numFmtId="176" fontId="0" fillId="0" borderId="11" xfId="1" applyNumberFormat="1" applyFont="1" applyFill="1" applyBorder="1" applyAlignment="1">
      <alignment horizontal="left"/>
    </xf>
    <xf numFmtId="176" fontId="8" fillId="0" borderId="11" xfId="1" applyNumberFormat="1" applyFont="1" applyFill="1" applyBorder="1" applyAlignment="1">
      <alignment horizontal="right"/>
    </xf>
    <xf numFmtId="176" fontId="7" fillId="0" borderId="11" xfId="1" applyNumberFormat="1" applyFont="1" applyFill="1" applyBorder="1" applyAlignment="1">
      <alignment horizontal="right"/>
    </xf>
    <xf numFmtId="176" fontId="0" fillId="0" borderId="11" xfId="1" applyNumberFormat="1" applyFont="1" applyFill="1" applyBorder="1" applyAlignment="1">
      <alignment horizontal="left" vertical="top"/>
    </xf>
    <xf numFmtId="176" fontId="5" fillId="0" borderId="12" xfId="1" applyNumberFormat="1" applyFont="1" applyFill="1" applyBorder="1" applyAlignment="1">
      <alignment horizontal="left"/>
    </xf>
    <xf numFmtId="176" fontId="0" fillId="0" borderId="0" xfId="1" applyNumberFormat="1" applyFont="1" applyFill="1" applyAlignment="1">
      <alignment horizontal="left"/>
    </xf>
    <xf numFmtId="176" fontId="0" fillId="0" borderId="0" xfId="1" applyNumberFormat="1" applyFont="1" applyAlignment="1">
      <alignment horizontal="left"/>
    </xf>
    <xf numFmtId="176" fontId="0" fillId="0" borderId="0" xfId="0" applyNumberFormat="1" applyAlignment="1"/>
    <xf numFmtId="176" fontId="7" fillId="0" borderId="11" xfId="1" applyNumberFormat="1" applyFont="1" applyFill="1" applyBorder="1" applyAlignment="1">
      <alignment horizontal="right" vertical="center" wrapText="1"/>
    </xf>
    <xf numFmtId="0" fontId="3" fillId="0" borderId="1" xfId="0" applyFont="1" applyFill="1" applyBorder="1" applyAlignment="1"/>
    <xf numFmtId="0" fontId="0" fillId="3" borderId="1" xfId="0" applyFill="1" applyBorder="1">
      <alignment vertical="center"/>
    </xf>
    <xf numFmtId="176" fontId="7" fillId="3" borderId="11" xfId="1" applyNumberFormat="1" applyFont="1" applyFill="1" applyBorder="1" applyAlignment="1">
      <alignment horizontal="right"/>
    </xf>
    <xf numFmtId="0" fontId="3" fillId="0" borderId="5" xfId="0" applyFont="1" applyBorder="1" applyAlignment="1"/>
    <xf numFmtId="0" fontId="0" fillId="0" borderId="5" xfId="0" applyBorder="1" applyAlignment="1">
      <alignment horizontal="right" vertical="center"/>
    </xf>
    <xf numFmtId="41" fontId="0" fillId="0" borderId="0" xfId="1" applyFont="1" applyBorder="1" applyAlignment="1">
      <alignment horizontal="right"/>
    </xf>
    <xf numFmtId="0" fontId="8" fillId="5" borderId="5" xfId="0" applyFont="1" applyFill="1" applyBorder="1">
      <alignment vertical="center"/>
    </xf>
    <xf numFmtId="41" fontId="0" fillId="0" borderId="0" xfId="1" applyFont="1" applyBorder="1" applyAlignment="1"/>
    <xf numFmtId="41" fontId="0" fillId="4" borderId="0" xfId="1" applyFont="1" applyFill="1" applyBorder="1" applyAlignment="1"/>
    <xf numFmtId="0" fontId="0" fillId="0" borderId="0" xfId="1" applyNumberFormat="1" applyFont="1" applyBorder="1" applyAlignment="1"/>
    <xf numFmtId="0" fontId="0" fillId="0" borderId="12" xfId="0" applyBorder="1" applyAlignment="1">
      <alignment vertical="center"/>
    </xf>
    <xf numFmtId="0" fontId="0" fillId="5" borderId="3" xfId="0" applyFill="1" applyBorder="1">
      <alignment vertical="center"/>
    </xf>
    <xf numFmtId="0" fontId="0" fillId="5" borderId="5" xfId="0" applyFill="1" applyBorder="1">
      <alignment vertical="center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0" fillId="6" borderId="7" xfId="0" applyFill="1" applyBorder="1">
      <alignment vertical="center"/>
    </xf>
    <xf numFmtId="0" fontId="0" fillId="7" borderId="12" xfId="0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workbookViewId="0">
      <selection activeCell="D21" sqref="D21"/>
    </sheetView>
  </sheetViews>
  <sheetFormatPr defaultRowHeight="16.5"/>
  <cols>
    <col min="2" max="2" width="29" bestFit="1" customWidth="1"/>
    <col min="3" max="3" width="27" bestFit="1" customWidth="1"/>
    <col min="4" max="4" width="24" bestFit="1" customWidth="1"/>
    <col min="5" max="5" width="21.625" bestFit="1" customWidth="1"/>
    <col min="6" max="6" width="14.625" customWidth="1"/>
    <col min="7" max="7" width="23.75" bestFit="1" customWidth="1"/>
    <col min="8" max="8" width="14.375" bestFit="1" customWidth="1"/>
    <col min="9" max="9" width="17.75" bestFit="1" customWidth="1"/>
    <col min="10" max="10" width="107.5" bestFit="1" customWidth="1"/>
  </cols>
  <sheetData>
    <row r="2" spans="2:11">
      <c r="B2" s="9" t="s">
        <v>0</v>
      </c>
    </row>
    <row r="3" spans="2:11" ht="17.25" thickBot="1"/>
    <row r="4" spans="2:11" ht="17.25" thickBot="1">
      <c r="B4" s="5" t="s">
        <v>84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61" t="s">
        <v>89</v>
      </c>
      <c r="K4" s="3"/>
    </row>
    <row r="5" spans="2:11">
      <c r="B5" s="6" t="s">
        <v>98</v>
      </c>
      <c r="C5" s="68">
        <v>147800</v>
      </c>
      <c r="D5" s="66" t="s">
        <v>97</v>
      </c>
      <c r="E5" s="68">
        <v>461492</v>
      </c>
      <c r="F5" s="69"/>
      <c r="G5" s="68">
        <v>0.5</v>
      </c>
      <c r="H5" s="68">
        <v>1997</v>
      </c>
      <c r="I5" s="2">
        <f>C5*(F5/E5)^G5*(595.6/386.5)</f>
        <v>0</v>
      </c>
      <c r="J5" s="6"/>
    </row>
    <row r="6" spans="2:11">
      <c r="B6" s="7" t="s">
        <v>99</v>
      </c>
      <c r="C6" s="68">
        <v>20000</v>
      </c>
      <c r="D6" s="66" t="s">
        <v>103</v>
      </c>
      <c r="E6" s="68">
        <v>2500</v>
      </c>
      <c r="F6" s="69"/>
      <c r="G6" s="70">
        <v>0.6</v>
      </c>
      <c r="H6" s="68">
        <v>1987</v>
      </c>
      <c r="I6" s="4">
        <f>C6*(F6/E6)^G6*(595.6/323.8)</f>
        <v>0</v>
      </c>
      <c r="J6" s="7"/>
    </row>
    <row r="7" spans="2:11">
      <c r="B7" s="7" t="s">
        <v>100</v>
      </c>
      <c r="C7" s="68">
        <v>20000</v>
      </c>
      <c r="D7" s="66" t="s">
        <v>104</v>
      </c>
      <c r="E7" s="68">
        <v>2500</v>
      </c>
      <c r="F7" s="69"/>
      <c r="G7" s="70">
        <v>0.6</v>
      </c>
      <c r="H7" s="68">
        <v>1987</v>
      </c>
      <c r="I7" s="65">
        <f>C7*(F7/E7)^G7*(595.6/323.8)</f>
        <v>0</v>
      </c>
      <c r="J7" s="7"/>
    </row>
    <row r="8" spans="2:11">
      <c r="B8" s="7" t="s">
        <v>101</v>
      </c>
      <c r="C8" s="68">
        <v>165000</v>
      </c>
      <c r="D8" s="66" t="s">
        <v>90</v>
      </c>
      <c r="E8" s="68">
        <v>359263</v>
      </c>
      <c r="F8" s="44"/>
      <c r="G8" s="3">
        <v>0.6</v>
      </c>
      <c r="H8" s="3">
        <v>1998</v>
      </c>
      <c r="I8" s="4">
        <f>C8*(F8/E8)^G8*(595.6/389.5)</f>
        <v>0</v>
      </c>
      <c r="J8" s="7"/>
    </row>
    <row r="9" spans="2:11" ht="17.25" thickBot="1">
      <c r="B9" s="8" t="s">
        <v>102</v>
      </c>
      <c r="C9" s="68">
        <v>165000</v>
      </c>
      <c r="D9" s="66" t="s">
        <v>90</v>
      </c>
      <c r="E9" s="68">
        <v>359263</v>
      </c>
      <c r="F9" s="44"/>
      <c r="G9" s="3">
        <v>0.6</v>
      </c>
      <c r="H9" s="3">
        <v>1998</v>
      </c>
      <c r="I9" s="4">
        <f>C9*(F9/E9)^G9*(595.6/389.5)</f>
        <v>0</v>
      </c>
      <c r="J9" s="71"/>
    </row>
    <row r="10" spans="2:11" ht="17.25" thickBot="1">
      <c r="B10" s="40" t="s">
        <v>88</v>
      </c>
      <c r="C10" s="41"/>
      <c r="D10" s="42"/>
      <c r="E10" s="42"/>
      <c r="F10" s="42"/>
      <c r="G10" s="42"/>
      <c r="H10" s="42"/>
      <c r="I10" s="45">
        <f>SUM(I5:I9)</f>
        <v>0</v>
      </c>
    </row>
    <row r="15" spans="2:11">
      <c r="B15" s="9" t="s">
        <v>8</v>
      </c>
    </row>
    <row r="16" spans="2:11" ht="17.25" thickBot="1"/>
    <row r="17" spans="1:4" ht="17.25" thickBot="1">
      <c r="B17" s="5" t="s">
        <v>84</v>
      </c>
      <c r="C17" s="2" t="s">
        <v>85</v>
      </c>
      <c r="D17" s="5" t="s">
        <v>94</v>
      </c>
    </row>
    <row r="18" spans="1:4">
      <c r="B18" s="6" t="s">
        <v>98</v>
      </c>
      <c r="C18" s="72"/>
      <c r="D18" s="39">
        <f>C18*C31*C28</f>
        <v>0</v>
      </c>
    </row>
    <row r="19" spans="1:4">
      <c r="B19" s="7" t="s">
        <v>99</v>
      </c>
      <c r="C19" s="67"/>
      <c r="D19" s="39">
        <f>C19*C31*C28</f>
        <v>0</v>
      </c>
    </row>
    <row r="20" spans="1:4">
      <c r="B20" s="7" t="s">
        <v>100</v>
      </c>
      <c r="C20" s="67"/>
      <c r="D20" s="39">
        <f>C20*C31*C28</f>
        <v>0</v>
      </c>
    </row>
    <row r="21" spans="1:4">
      <c r="B21" s="7" t="s">
        <v>101</v>
      </c>
      <c r="C21" s="67"/>
      <c r="D21" s="39">
        <f>C21*C30*C28</f>
        <v>0</v>
      </c>
    </row>
    <row r="22" spans="1:4" ht="17.25" thickBot="1">
      <c r="B22" s="7" t="s">
        <v>102</v>
      </c>
      <c r="C22" s="73"/>
      <c r="D22" s="39">
        <f>C22*C31*C28</f>
        <v>0</v>
      </c>
    </row>
    <row r="23" spans="1:4" ht="17.25" thickBot="1">
      <c r="B23" s="40" t="s">
        <v>88</v>
      </c>
      <c r="C23" s="43"/>
      <c r="D23" s="62">
        <f>SUM(D18:D22)</f>
        <v>0</v>
      </c>
    </row>
    <row r="27" spans="1:4" ht="17.25" thickBot="1"/>
    <row r="28" spans="1:4" ht="17.25" thickBot="1">
      <c r="B28" s="6" t="s">
        <v>95</v>
      </c>
      <c r="C28" s="2">
        <f>8500*3600</f>
        <v>30600000</v>
      </c>
      <c r="D28" s="5">
        <v>8500</v>
      </c>
    </row>
    <row r="29" spans="1:4">
      <c r="B29" s="49" t="s">
        <v>86</v>
      </c>
      <c r="C29" s="64">
        <v>0.06</v>
      </c>
    </row>
    <row r="30" spans="1:4">
      <c r="A30" s="9" t="s">
        <v>87</v>
      </c>
      <c r="B30" s="49" t="s">
        <v>91</v>
      </c>
      <c r="C30" s="47">
        <v>-8.8900000000000003E-10</v>
      </c>
    </row>
    <row r="31" spans="1:4" ht="17.25" thickBot="1">
      <c r="A31" s="9" t="s">
        <v>93</v>
      </c>
      <c r="B31" s="50" t="s">
        <v>92</v>
      </c>
      <c r="C31" s="48">
        <v>7.9500000000000001E-9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4"/>
  <sheetViews>
    <sheetView workbookViewId="0">
      <selection activeCell="L18" sqref="L18"/>
    </sheetView>
  </sheetViews>
  <sheetFormatPr defaultRowHeight="16.5"/>
  <cols>
    <col min="2" max="2" width="55.875" bestFit="1" customWidth="1"/>
    <col min="4" max="4" width="7.875" bestFit="1" customWidth="1"/>
    <col min="5" max="5" width="16.625" bestFit="1" customWidth="1"/>
    <col min="9" max="9" width="46.75" bestFit="1" customWidth="1"/>
    <col min="10" max="10" width="18.375" bestFit="1" customWidth="1"/>
    <col min="11" max="11" width="14.25" bestFit="1" customWidth="1"/>
  </cols>
  <sheetData>
    <row r="3" spans="2:11" ht="17.25" thickBot="1">
      <c r="B3" s="10" t="s">
        <v>9</v>
      </c>
      <c r="C3" s="11"/>
      <c r="D3" s="11"/>
      <c r="E3" s="11"/>
      <c r="I3" s="27" t="s">
        <v>52</v>
      </c>
      <c r="J3" s="28"/>
      <c r="K3" s="28"/>
    </row>
    <row r="4" spans="2:11" ht="17.25" thickBot="1">
      <c r="B4" s="12" t="s">
        <v>10</v>
      </c>
      <c r="C4" s="13" t="s">
        <v>11</v>
      </c>
      <c r="D4" s="14" t="s">
        <v>12</v>
      </c>
      <c r="E4" s="15" t="s">
        <v>13</v>
      </c>
      <c r="I4" s="12" t="s">
        <v>53</v>
      </c>
      <c r="J4" s="29" t="s">
        <v>54</v>
      </c>
      <c r="K4" s="30" t="s">
        <v>13</v>
      </c>
    </row>
    <row r="5" spans="2:11">
      <c r="B5" s="16" t="s">
        <v>14</v>
      </c>
      <c r="C5" s="17"/>
      <c r="D5" s="18"/>
      <c r="E5" s="19"/>
      <c r="I5" s="31" t="s">
        <v>55</v>
      </c>
      <c r="J5" s="32"/>
      <c r="K5" s="51"/>
    </row>
    <row r="6" spans="2:11">
      <c r="B6" s="16" t="s">
        <v>15</v>
      </c>
      <c r="C6" s="17"/>
      <c r="D6" s="18"/>
      <c r="E6" s="20"/>
      <c r="I6" s="17" t="s">
        <v>56</v>
      </c>
      <c r="J6" s="33" t="s">
        <v>57</v>
      </c>
      <c r="K6" s="52">
        <f>SUM(E29*0.01)</f>
        <v>0</v>
      </c>
    </row>
    <row r="7" spans="2:11">
      <c r="B7" s="20" t="s">
        <v>16</v>
      </c>
      <c r="C7" s="17" t="s">
        <v>17</v>
      </c>
      <c r="D7" s="21">
        <v>30</v>
      </c>
      <c r="E7" s="46">
        <f>Desulf!I10</f>
        <v>0</v>
      </c>
      <c r="I7" s="22" t="s">
        <v>58</v>
      </c>
      <c r="J7" s="34"/>
      <c r="K7" s="52"/>
    </row>
    <row r="8" spans="2:11">
      <c r="B8" s="20" t="s">
        <v>18</v>
      </c>
      <c r="C8" s="17" t="s">
        <v>19</v>
      </c>
      <c r="D8" s="18">
        <v>10</v>
      </c>
      <c r="E8" s="20">
        <f>SUM(E29*0.1)</f>
        <v>0</v>
      </c>
      <c r="I8" s="35" t="s">
        <v>59</v>
      </c>
      <c r="J8" s="34" t="s">
        <v>60</v>
      </c>
      <c r="K8" s="53" t="s">
        <v>87</v>
      </c>
    </row>
    <row r="9" spans="2:11">
      <c r="B9" s="20" t="s">
        <v>20</v>
      </c>
      <c r="C9" s="17" t="s">
        <v>21</v>
      </c>
      <c r="D9" s="18">
        <v>5</v>
      </c>
      <c r="E9" s="20">
        <f>SUM(E29*0.05)</f>
        <v>0</v>
      </c>
      <c r="I9" s="34" t="s">
        <v>61</v>
      </c>
      <c r="J9" s="34" t="s">
        <v>60</v>
      </c>
      <c r="K9" s="63">
        <f>Desulf!D23</f>
        <v>0</v>
      </c>
    </row>
    <row r="10" spans="2:11">
      <c r="B10" s="20" t="s">
        <v>22</v>
      </c>
      <c r="C10" s="17" t="s">
        <v>23</v>
      </c>
      <c r="D10" s="18">
        <v>10</v>
      </c>
      <c r="E10" s="20">
        <f>SUM(E29*0.1)</f>
        <v>0</v>
      </c>
      <c r="I10" s="34" t="s">
        <v>62</v>
      </c>
      <c r="J10" s="34"/>
      <c r="K10" s="54" t="s">
        <v>87</v>
      </c>
    </row>
    <row r="11" spans="2:11">
      <c r="B11" s="20" t="s">
        <v>24</v>
      </c>
      <c r="C11" s="17" t="s">
        <v>25</v>
      </c>
      <c r="D11" s="18">
        <v>5</v>
      </c>
      <c r="E11" s="20">
        <f>SUM(E29*0.05)</f>
        <v>0</v>
      </c>
      <c r="I11" s="34" t="s">
        <v>63</v>
      </c>
      <c r="J11" s="34" t="s">
        <v>96</v>
      </c>
      <c r="K11" s="60" t="s">
        <v>87</v>
      </c>
    </row>
    <row r="12" spans="2:11">
      <c r="B12" s="20"/>
      <c r="C12" s="17"/>
      <c r="D12" s="18"/>
      <c r="E12" s="20"/>
      <c r="I12" s="17" t="s">
        <v>64</v>
      </c>
      <c r="J12" s="36" t="s">
        <v>57</v>
      </c>
      <c r="K12" s="55">
        <f>SUM(K6*0.04)</f>
        <v>0</v>
      </c>
    </row>
    <row r="13" spans="2:11">
      <c r="B13" s="16" t="s">
        <v>26</v>
      </c>
      <c r="C13" s="17"/>
      <c r="D13" s="18"/>
      <c r="E13" s="20"/>
      <c r="I13" s="17" t="s">
        <v>65</v>
      </c>
      <c r="J13" s="34" t="s">
        <v>66</v>
      </c>
      <c r="K13" s="52">
        <f>SUM(K25*0.15)</f>
        <v>0</v>
      </c>
    </row>
    <row r="14" spans="2:11">
      <c r="B14" s="20" t="s">
        <v>27</v>
      </c>
      <c r="C14" s="17" t="s">
        <v>28</v>
      </c>
      <c r="D14" s="18">
        <v>8</v>
      </c>
      <c r="E14" s="20">
        <f>SUM(E29*0.08)</f>
        <v>0</v>
      </c>
      <c r="I14" s="17" t="s">
        <v>67</v>
      </c>
      <c r="J14" s="34" t="s">
        <v>68</v>
      </c>
      <c r="K14" s="52">
        <f>SUM(K13*0.3)</f>
        <v>0</v>
      </c>
    </row>
    <row r="15" spans="2:11">
      <c r="B15" s="20" t="s">
        <v>29</v>
      </c>
      <c r="C15" s="17" t="s">
        <v>30</v>
      </c>
      <c r="D15" s="18">
        <v>2</v>
      </c>
      <c r="E15" s="20">
        <f>SUM(E29*0.02)</f>
        <v>0</v>
      </c>
      <c r="I15" s="17" t="s">
        <v>69</v>
      </c>
      <c r="J15" s="34" t="s">
        <v>70</v>
      </c>
      <c r="K15" s="52">
        <f>SUM(K12*0.15)</f>
        <v>0</v>
      </c>
    </row>
    <row r="16" spans="2:11">
      <c r="B16" s="20" t="s">
        <v>31</v>
      </c>
      <c r="C16" s="17" t="s">
        <v>32</v>
      </c>
      <c r="D16" s="18">
        <v>8</v>
      </c>
      <c r="E16" s="20">
        <f>SUM(E29*0.08)</f>
        <v>0</v>
      </c>
      <c r="I16" s="17" t="s">
        <v>71</v>
      </c>
      <c r="J16" s="34" t="s">
        <v>72</v>
      </c>
      <c r="K16" s="52">
        <f>SUM(K13*0.15)</f>
        <v>0</v>
      </c>
    </row>
    <row r="17" spans="2:11">
      <c r="B17" s="20" t="s">
        <v>33</v>
      </c>
      <c r="C17" s="17" t="s">
        <v>34</v>
      </c>
      <c r="D17" s="18">
        <v>2</v>
      </c>
      <c r="E17" s="20">
        <f>SUM(E29*0.02)</f>
        <v>0</v>
      </c>
      <c r="I17" s="17"/>
      <c r="J17" s="34"/>
      <c r="K17" s="52"/>
    </row>
    <row r="18" spans="2:11">
      <c r="B18" s="20"/>
      <c r="C18" s="17"/>
      <c r="D18" s="18"/>
      <c r="E18" s="20"/>
      <c r="I18" s="22" t="s">
        <v>73</v>
      </c>
      <c r="J18" s="34" t="s">
        <v>74</v>
      </c>
      <c r="K18" s="52">
        <f>SUM(0.6*K29)</f>
        <v>0</v>
      </c>
    </row>
    <row r="19" spans="2:11">
      <c r="B19" s="16" t="s">
        <v>35</v>
      </c>
      <c r="C19" s="17"/>
      <c r="D19" s="18"/>
      <c r="E19" s="20">
        <f>SUM(E7:E17)</f>
        <v>0</v>
      </c>
      <c r="I19" s="17"/>
      <c r="J19" s="34"/>
      <c r="K19" s="52"/>
    </row>
    <row r="20" spans="2:11">
      <c r="B20" s="20"/>
      <c r="C20" s="17"/>
      <c r="D20" s="18"/>
      <c r="E20" s="20"/>
      <c r="I20" s="22" t="s">
        <v>75</v>
      </c>
      <c r="J20" s="34"/>
      <c r="K20" s="52"/>
    </row>
    <row r="21" spans="2:11">
      <c r="B21" s="16" t="s">
        <v>36</v>
      </c>
      <c r="C21" s="17"/>
      <c r="D21" s="18"/>
      <c r="E21" s="20"/>
      <c r="I21" s="17" t="s">
        <v>76</v>
      </c>
      <c r="J21" s="34" t="s">
        <v>77</v>
      </c>
      <c r="K21" s="52">
        <f>SUM(K13*0.175)</f>
        <v>0</v>
      </c>
    </row>
    <row r="22" spans="2:11">
      <c r="B22" s="20" t="s">
        <v>37</v>
      </c>
      <c r="C22" s="17" t="s">
        <v>38</v>
      </c>
      <c r="D22" s="18">
        <v>5</v>
      </c>
      <c r="E22" s="20">
        <f>SUM(E29*0.05)</f>
        <v>0</v>
      </c>
      <c r="I22" s="37" t="s">
        <v>78</v>
      </c>
      <c r="J22" s="34" t="s">
        <v>79</v>
      </c>
      <c r="K22" s="52">
        <f>SUM(K25*0.11)</f>
        <v>0</v>
      </c>
    </row>
    <row r="23" spans="2:11">
      <c r="B23" s="20" t="s">
        <v>39</v>
      </c>
      <c r="C23" s="17" t="s">
        <v>40</v>
      </c>
      <c r="D23" s="18">
        <v>5</v>
      </c>
      <c r="E23" s="20">
        <f>SUM(E29*0.05)</f>
        <v>0</v>
      </c>
      <c r="I23" s="17" t="s">
        <v>80</v>
      </c>
      <c r="J23" s="37" t="s">
        <v>81</v>
      </c>
      <c r="K23" s="52">
        <f>SUM(K25*0.035)</f>
        <v>0</v>
      </c>
    </row>
    <row r="24" spans="2:11">
      <c r="B24" s="20" t="s">
        <v>41</v>
      </c>
      <c r="C24" s="17" t="s">
        <v>30</v>
      </c>
      <c r="D24" s="18">
        <v>5</v>
      </c>
      <c r="E24" s="20">
        <f>SUM(E29*0.05)</f>
        <v>0</v>
      </c>
      <c r="I24" s="17"/>
      <c r="J24" s="37"/>
      <c r="K24" s="52"/>
    </row>
    <row r="25" spans="2:11" ht="17.25" thickBot="1">
      <c r="B25" s="20" t="s">
        <v>42</v>
      </c>
      <c r="C25" s="17" t="s">
        <v>43</v>
      </c>
      <c r="D25" s="18">
        <v>5</v>
      </c>
      <c r="E25" s="20">
        <f>SUM(E29*0.05)</f>
        <v>0</v>
      </c>
      <c r="I25" s="25" t="s">
        <v>82</v>
      </c>
      <c r="J25" s="25"/>
      <c r="K25" s="56">
        <f>SUM(K27/0.49425)</f>
        <v>0</v>
      </c>
    </row>
    <row r="26" spans="2:11">
      <c r="B26" s="20"/>
      <c r="C26" s="17"/>
      <c r="D26" s="18"/>
      <c r="E26" s="20"/>
      <c r="I26" s="28"/>
      <c r="J26" s="28"/>
      <c r="K26" s="57"/>
    </row>
    <row r="27" spans="2:11">
      <c r="B27" s="16" t="s">
        <v>44</v>
      </c>
      <c r="C27" s="17"/>
      <c r="D27" s="18"/>
      <c r="E27" s="20">
        <f>SUM(E22:E25)</f>
        <v>0</v>
      </c>
      <c r="I27" s="28"/>
      <c r="J27" s="28"/>
      <c r="K27" s="57">
        <f>SUM(K6:K12,K15,0.6*K12)</f>
        <v>0</v>
      </c>
    </row>
    <row r="28" spans="2:11">
      <c r="B28" s="20"/>
      <c r="C28" s="17"/>
      <c r="D28" s="18"/>
      <c r="E28" s="20"/>
      <c r="I28" s="11"/>
      <c r="J28" s="11"/>
      <c r="K28" s="58"/>
    </row>
    <row r="29" spans="2:11">
      <c r="B29" s="20" t="s">
        <v>45</v>
      </c>
      <c r="C29" s="17">
        <v>100</v>
      </c>
      <c r="D29" s="18">
        <v>100</v>
      </c>
      <c r="E29" s="20">
        <f>SUM(E7*100/D7)</f>
        <v>0</v>
      </c>
      <c r="I29" s="11"/>
      <c r="J29" s="11" t="s">
        <v>83</v>
      </c>
      <c r="K29" s="58">
        <f>(K12+K13+K14)</f>
        <v>0</v>
      </c>
    </row>
    <row r="30" spans="2:11">
      <c r="B30" s="20" t="s">
        <v>46</v>
      </c>
      <c r="C30" s="17">
        <v>20</v>
      </c>
      <c r="D30" s="21">
        <v>20</v>
      </c>
      <c r="E30" s="20">
        <f>SUM(E29*0.2)</f>
        <v>0</v>
      </c>
      <c r="I30" s="38"/>
      <c r="J30" s="38"/>
      <c r="K30" s="59">
        <f>SUM(K6:K23)</f>
        <v>0</v>
      </c>
    </row>
    <row r="31" spans="2:11">
      <c r="B31" s="20" t="s">
        <v>47</v>
      </c>
      <c r="C31" s="17">
        <v>20</v>
      </c>
      <c r="D31" s="21">
        <v>20</v>
      </c>
      <c r="E31" s="20">
        <f>SUM(E29*0.2)</f>
        <v>0</v>
      </c>
    </row>
    <row r="32" spans="2:11">
      <c r="B32" s="20"/>
      <c r="C32" s="17"/>
      <c r="D32" s="18"/>
      <c r="E32" s="20"/>
    </row>
    <row r="33" spans="2:5">
      <c r="B33" s="16" t="s">
        <v>48</v>
      </c>
      <c r="C33" s="22" t="s">
        <v>49</v>
      </c>
      <c r="D33" s="23"/>
      <c r="E33" s="16">
        <f>SUM(E29:E31)</f>
        <v>0</v>
      </c>
    </row>
    <row r="34" spans="2:5" ht="17.25" thickBot="1">
      <c r="B34" s="24" t="s">
        <v>50</v>
      </c>
      <c r="C34" s="25" t="s">
        <v>51</v>
      </c>
      <c r="D34" s="26"/>
      <c r="E34" s="24">
        <f>SUM(E33/((1-(1/((1.05)^25)))/0.07))</f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tabSelected="1" workbookViewId="0">
      <selection activeCell="K29" sqref="K29"/>
    </sheetView>
  </sheetViews>
  <sheetFormatPr defaultRowHeight="16.5"/>
  <cols>
    <col min="3" max="3" width="18.875" bestFit="1" customWidth="1"/>
    <col min="4" max="4" width="17.375" bestFit="1" customWidth="1"/>
    <col min="5" max="5" width="14.625" customWidth="1"/>
  </cols>
  <sheetData>
    <row r="1" spans="2:5" ht="17.25" thickBot="1"/>
    <row r="2" spans="2:5" ht="17.25" thickBot="1">
      <c r="B2" s="5"/>
      <c r="C2" s="75" t="s">
        <v>106</v>
      </c>
      <c r="D2" s="42" t="s">
        <v>107</v>
      </c>
      <c r="E2" s="43" t="s">
        <v>108</v>
      </c>
    </row>
    <row r="3" spans="2:5" ht="17.25" thickBot="1">
      <c r="B3" s="8" t="s">
        <v>105</v>
      </c>
      <c r="C3" s="76"/>
      <c r="D3" s="74">
        <v>500</v>
      </c>
      <c r="E3" s="77">
        <f>C3*D3*8500</f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Desulf</vt:lpstr>
      <vt:lpstr>Desulf EAC&amp;TPC</vt:lpstr>
      <vt:lpstr>Desulf revenue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PSID_17</dc:creator>
  <cp:lastModifiedBy>PSID_17</cp:lastModifiedBy>
  <dcterms:created xsi:type="dcterms:W3CDTF">2023-07-27T05:08:20Z</dcterms:created>
  <dcterms:modified xsi:type="dcterms:W3CDTF">2023-08-24T10:01:12Z</dcterms:modified>
</cp:coreProperties>
</file>