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E58ECFDC-AD2A-4816-A21C-A68610E4F348}" xr6:coauthVersionLast="47" xr6:coauthVersionMax="47" xr10:uidLastSave="{00000000-0000-0000-0000-000000000000}"/>
  <bookViews>
    <workbookView xWindow="20172" yWindow="0" windowWidth="20172" windowHeight="17280" activeTab="2" xr2:uid="{00000000-000D-0000-FFFF-FFFF00000000}"/>
  </bookViews>
  <sheets>
    <sheet name="Plastic" sheetId="1" r:id="rId1"/>
    <sheet name="Plastic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C38" i="1" l="1"/>
  <c r="D25" i="1" s="1"/>
  <c r="D24" i="1"/>
  <c r="I14" i="1"/>
  <c r="I13" i="1"/>
  <c r="I12" i="1"/>
  <c r="I11" i="1"/>
  <c r="I10" i="1"/>
  <c r="I8" i="1"/>
  <c r="I7" i="1"/>
  <c r="I6" i="1"/>
  <c r="I5" i="1"/>
  <c r="I15" i="1" s="1"/>
  <c r="E7" i="2" s="1"/>
  <c r="E29" i="2" l="1"/>
  <c r="D26" i="1"/>
  <c r="D23" i="1"/>
  <c r="D28" i="1"/>
  <c r="D31" i="1"/>
  <c r="D30" i="1"/>
  <c r="D29" i="1"/>
  <c r="D33" i="1" l="1"/>
  <c r="K9" i="2" s="1"/>
  <c r="E11" i="2"/>
  <c r="E24" i="2"/>
  <c r="E31" i="2"/>
  <c r="E22" i="2"/>
  <c r="E15" i="2"/>
  <c r="K6" i="2"/>
  <c r="E30" i="2"/>
  <c r="E33" i="2" s="1"/>
  <c r="E34" i="2" s="1"/>
  <c r="G38" i="1" s="1"/>
  <c r="E17" i="2"/>
  <c r="E9" i="2"/>
  <c r="E25" i="2"/>
  <c r="E8" i="2"/>
  <c r="E23" i="2"/>
  <c r="E16" i="2"/>
  <c r="E10" i="2"/>
  <c r="E14" i="2"/>
  <c r="K12" i="2" l="1"/>
  <c r="E27" i="2"/>
  <c r="E19" i="2"/>
  <c r="K15" i="2" l="1"/>
  <c r="K27" i="2"/>
  <c r="K25" i="2" s="1"/>
  <c r="K23" i="2" l="1"/>
  <c r="K13" i="2"/>
  <c r="K22" i="2"/>
  <c r="G39" i="1"/>
  <c r="K21" i="2" l="1"/>
  <c r="K16" i="2"/>
  <c r="K14" i="2"/>
  <c r="K30" i="2" s="1"/>
  <c r="K29" i="2"/>
  <c r="K18" i="2" s="1"/>
</calcChain>
</file>

<file path=xl/sharedStrings.xml><?xml version="1.0" encoding="utf-8"?>
<sst xmlns="http://schemas.openxmlformats.org/spreadsheetml/2006/main" count="169" uniqueCount="127">
  <si>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</si>
  <si>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</si>
  <si>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</si>
  <si>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</si>
  <si>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</si>
  <si>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</si>
  <si>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</si>
  <si>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</si>
  <si>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</si>
  <si>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</si>
  <si>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HDPE</t>
  </si>
  <si>
    <t>Feed flow rate (kg/h)</t>
  </si>
  <si>
    <t>Design cost factors for scaling up engineering equipment</t>
  </si>
  <si>
    <t>LDPE</t>
  </si>
  <si>
    <t>PP</t>
  </si>
  <si>
    <t>PS</t>
  </si>
  <si>
    <t>MIXER</t>
  </si>
  <si>
    <t>-</t>
  </si>
  <si>
    <t>HEATER</t>
  </si>
  <si>
    <t>Heat transfer area (m^2)</t>
  </si>
  <si>
    <t>DACE. Prijzenboekje Dutch Association of Cost Engineers; 2002.</t>
  </si>
  <si>
    <t>RPLUG</t>
  </si>
  <si>
    <t>Design cost factors for scalingup engineering equipment</t>
  </si>
  <si>
    <t>RPYRO</t>
  </si>
  <si>
    <t>B2</t>
  </si>
  <si>
    <t>B3</t>
  </si>
  <si>
    <t>Total</t>
  </si>
  <si>
    <t>Opex</t>
  </si>
  <si>
    <t>Block heat duty (cal/sec)</t>
  </si>
  <si>
    <t>Annual operating cost</t>
  </si>
  <si>
    <t>*** 파란색 글씨만 변동되는 값</t>
  </si>
  <si>
    <t>Cooling, heating 조건문 추가</t>
  </si>
  <si>
    <t>Annual operating hours [sec/yr]</t>
  </si>
  <si>
    <t>EAC</t>
  </si>
  <si>
    <t>Electricity cost [$/kWh]</t>
  </si>
  <si>
    <t>TPC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</si>
  <si>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</si>
  <si>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</si>
  <si>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</si>
  <si>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</si>
  <si>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</si>
  <si>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</si>
  <si>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</si>
  <si>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</si>
  <si>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</si>
  <si>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</si>
  <si>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</si>
  <si>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</si>
  <si>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</si>
  <si>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</si>
  <si>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</si>
  <si>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</si>
  <si>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</si>
  <si>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</si>
  <si>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</si>
  <si>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</si>
  <si>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</si>
  <si>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</si>
  <si>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</si>
  <si>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</si>
  <si>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</si>
  <si>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</si>
  <si>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</si>
  <si>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</si>
  <si>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</si>
  <si>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</si>
  <si>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</si>
  <si>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$0.075/kWh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</si>
  <si>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</si>
  <si>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</si>
  <si>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</si>
  <si>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</si>
  <si>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</si>
  <si>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</si>
  <si>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</si>
  <si>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</si>
  <si>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</si>
  <si>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</si>
  <si>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</si>
  <si>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</si>
  <si>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</si>
  <si>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</si>
  <si>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</si>
  <si>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</si>
  <si>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</si>
  <si>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</si>
  <si>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</si>
  <si>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</si>
  <si>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</si>
  <si>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</si>
  <si>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</si>
  <si>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</si>
  <si>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</si>
  <si>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</si>
  <si>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</si>
  <si>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</si>
  <si>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</si>
  <si>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</si>
  <si>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</si>
  <si>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</si>
  <si>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</si>
  <si>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</si>
  <si>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</si>
  <si>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</si>
  <si>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</si>
  <si>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</si>
  <si>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</si>
  <si>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</si>
  <si>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</si>
  <si>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</si>
  <si>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</si>
  <si>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</si>
  <si>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CH4</t>
    <phoneticPr fontId="2" type="noConversion"/>
  </si>
  <si>
    <t>C2H6</t>
    <phoneticPr fontId="2" type="noConversion"/>
  </si>
  <si>
    <t>C2H4</t>
    <phoneticPr fontId="2" type="noConversion"/>
  </si>
  <si>
    <t>C4H10</t>
    <phoneticPr fontId="2" type="noConversion"/>
  </si>
  <si>
    <t>C6H6</t>
    <phoneticPr fontId="2" type="noConversion"/>
  </si>
  <si>
    <t>C7H8</t>
    <phoneticPr fontId="2" type="noConversion"/>
  </si>
  <si>
    <t>C8H10</t>
    <phoneticPr fontId="2" type="noConversion"/>
  </si>
  <si>
    <t>C9H18</t>
    <phoneticPr fontId="2" type="noConversion"/>
  </si>
  <si>
    <t>C10H8</t>
    <phoneticPr fontId="2" type="noConversion"/>
  </si>
  <si>
    <t>C10H14</t>
    <phoneticPr fontId="2" type="noConversion"/>
  </si>
  <si>
    <t>C14H30</t>
    <phoneticPr fontId="2" type="noConversion"/>
  </si>
  <si>
    <t>C16H34</t>
    <phoneticPr fontId="2" type="noConversion"/>
  </si>
  <si>
    <t>C22H46</t>
    <phoneticPr fontId="2" type="noConversion"/>
  </si>
  <si>
    <t>Revenue
[$/Y]</t>
    <phoneticPr fontId="2" type="noConversion"/>
  </si>
  <si>
    <t>kg/h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</si>
</sst>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Arial"/>
      <family val="2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81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41" fontId="0" fillId="0" borderId="6" xfId="1" applyFont="1" applyBorder="1" applyAlignment="1"/>
    <xf numFmtId="41" fontId="0" fillId="0" borderId="7" xfId="1" applyFont="1" applyBorder="1" applyAlignment="1"/>
    <xf numFmtId="41" fontId="0" fillId="0" borderId="8" xfId="0" applyNumberFormat="1" applyBorder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10" fillId="0" borderId="5" xfId="0" applyFont="1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7" xfId="1" applyFont="1" applyBorder="1" applyAlignment="1">
      <alignment horizontal="right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11" xfId="0" applyFont="1" applyBorder="1">
      <alignment vertical="center"/>
    </xf>
    <xf numFmtId="41" fontId="4" fillId="5" borderId="12" xfId="1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7" fillId="5" borderId="11" xfId="0" applyFont="1" applyFill="1" applyBorder="1">
      <alignment vertical="center"/>
    </xf>
    <xf numFmtId="0" fontId="11" fillId="5" borderId="11" xfId="0" applyFont="1" applyFill="1" applyBorder="1">
      <alignment vertical="center"/>
    </xf>
    <xf numFmtId="41" fontId="0" fillId="0" borderId="0" xfId="0" applyNumberFormat="1" applyAlignment="1"/>
    <xf numFmtId="0" fontId="0" fillId="0" borderId="0" xfId="0" applyAlignment="1">
      <alignment vertical="center" wrapText="1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zoomScale="85" zoomScaleNormal="85" workbookViewId="0">
      <selection activeCell="D23" sqref="D23"/>
    </sheetView>
  </sheetViews>
  <sheetFormatPr defaultRowHeight="17.399999999999999" x14ac:dyDescent="0.4"/>
  <cols>
    <col min="2" max="2" width="29" style="40" bestFit="1" customWidth="1"/>
    <col min="3" max="3" width="27" style="40" bestFit="1" customWidth="1"/>
    <col min="4" max="4" width="24" style="40" bestFit="1" customWidth="1"/>
    <col min="5" max="5" width="18" style="40" bestFit="1" customWidth="1"/>
    <col min="6" max="6" width="14.59765625" style="40" customWidth="1"/>
    <col min="7" max="7" width="23.69921875" style="40" bestFit="1" customWidth="1"/>
    <col min="8" max="8" width="14.3984375" style="40" bestFit="1" customWidth="1"/>
    <col min="9" max="9" width="17.69921875" style="40" bestFit="1" customWidth="1"/>
    <col min="10" max="10" width="60.8984375" style="40" bestFit="1" customWidth="1"/>
  </cols>
  <sheetData>
    <row r="2" spans="2:10" x14ac:dyDescent="0.4">
      <c r="B2" s="13" t="s">
        <v>0</v>
      </c>
    </row>
    <row r="3" spans="2:10" ht="17.25" customHeight="1" thickBot="1" x14ac:dyDescent="0.45"/>
    <row r="4" spans="2:10" ht="17.25" customHeight="1" thickBot="1" x14ac:dyDescent="0.3">
      <c r="B4" s="8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4">
      <c r="B5" s="10" t="s">
        <v>10</v>
      </c>
      <c r="C5" s="2">
        <v>2100</v>
      </c>
      <c r="D5" s="56" t="s">
        <v>11</v>
      </c>
      <c r="E5" s="9">
        <v>4.79</v>
      </c>
      <c r="F5" s="43">
        <v>86</v>
      </c>
      <c r="G5" s="9">
        <v>0.78</v>
      </c>
      <c r="H5" s="9">
        <v>1990</v>
      </c>
      <c r="I5" s="3">
        <f>C5*(F5/E5)^G5*595.6/357.6</f>
        <v>33267.760418079284</v>
      </c>
      <c r="J5" s="10" t="s">
        <v>12</v>
      </c>
    </row>
    <row r="6" spans="2:10" x14ac:dyDescent="0.4">
      <c r="B6" s="11" t="s">
        <v>13</v>
      </c>
      <c r="C6" s="4">
        <v>2100</v>
      </c>
      <c r="D6" s="57" t="s">
        <v>11</v>
      </c>
      <c r="E6">
        <v>4.79</v>
      </c>
      <c r="F6" s="44">
        <v>170</v>
      </c>
      <c r="G6">
        <v>0.78</v>
      </c>
      <c r="H6">
        <v>1990</v>
      </c>
      <c r="I6" s="5">
        <f>C6*(F6/E6)^G6*595.6/357.6</f>
        <v>56606.321272303598</v>
      </c>
      <c r="J6" s="11" t="s">
        <v>12</v>
      </c>
    </row>
    <row r="7" spans="2:10" x14ac:dyDescent="0.4">
      <c r="B7" s="11" t="s">
        <v>14</v>
      </c>
      <c r="C7" s="4">
        <v>2100</v>
      </c>
      <c r="D7" s="57" t="s">
        <v>11</v>
      </c>
      <c r="E7">
        <v>4.79</v>
      </c>
      <c r="F7" s="44">
        <v>66</v>
      </c>
      <c r="G7">
        <v>0.78</v>
      </c>
      <c r="H7">
        <v>1990</v>
      </c>
      <c r="I7" s="5">
        <f>C7*(F7/E7)^G7*595.6/357.6</f>
        <v>27061.94723643731</v>
      </c>
      <c r="J7" s="11" t="s">
        <v>12</v>
      </c>
    </row>
    <row r="8" spans="2:10" x14ac:dyDescent="0.4">
      <c r="B8" s="11" t="s">
        <v>15</v>
      </c>
      <c r="C8" s="4">
        <v>2100</v>
      </c>
      <c r="D8" s="57" t="s">
        <v>11</v>
      </c>
      <c r="E8">
        <v>4.79</v>
      </c>
      <c r="F8" s="44">
        <v>66</v>
      </c>
      <c r="G8">
        <v>0.78</v>
      </c>
      <c r="H8">
        <v>1990</v>
      </c>
      <c r="I8" s="5">
        <f>C8*(F8/E8)^G8*595.6/357.6</f>
        <v>27061.94723643731</v>
      </c>
      <c r="J8" s="11" t="s">
        <v>12</v>
      </c>
    </row>
    <row r="9" spans="2:10" x14ac:dyDescent="0.4">
      <c r="B9" s="11" t="s">
        <v>16</v>
      </c>
      <c r="C9" s="4" t="s">
        <v>17</v>
      </c>
      <c r="D9" s="57" t="s">
        <v>17</v>
      </c>
      <c r="E9" t="s">
        <v>17</v>
      </c>
      <c r="F9" t="s">
        <v>17</v>
      </c>
      <c r="G9" t="s">
        <v>17</v>
      </c>
      <c r="I9" s="5"/>
      <c r="J9" s="11"/>
    </row>
    <row r="10" spans="2:10" x14ac:dyDescent="0.4">
      <c r="B10" s="71" t="s">
        <v>18</v>
      </c>
      <c r="C10" s="4">
        <v>1500</v>
      </c>
      <c r="D10" s="70" t="s">
        <v>19</v>
      </c>
      <c r="E10">
        <v>2</v>
      </c>
      <c r="F10" s="44">
        <v>2.14424408</v>
      </c>
      <c r="G10">
        <v>0.59</v>
      </c>
      <c r="H10">
        <v>2006</v>
      </c>
      <c r="I10" s="5">
        <f>C10*(F10/E10)^G10*595.6/499.6</f>
        <v>1863.2349013339119</v>
      </c>
      <c r="J10" s="11" t="s">
        <v>20</v>
      </c>
    </row>
    <row r="11" spans="2:10" x14ac:dyDescent="0.4">
      <c r="B11" s="11" t="s">
        <v>21</v>
      </c>
      <c r="C11" s="4">
        <v>14100</v>
      </c>
      <c r="D11" s="57" t="s">
        <v>11</v>
      </c>
      <c r="E11">
        <v>4.79</v>
      </c>
      <c r="F11" s="44">
        <v>388</v>
      </c>
      <c r="G11">
        <v>0.7</v>
      </c>
      <c r="H11">
        <v>1990</v>
      </c>
      <c r="I11" s="5">
        <f>C11*(F11/E11)^G11*595.6/357.6</f>
        <v>509006.86548126535</v>
      </c>
      <c r="J11" s="11" t="s">
        <v>22</v>
      </c>
    </row>
    <row r="12" spans="2:10" x14ac:dyDescent="0.4">
      <c r="B12" s="11" t="s">
        <v>23</v>
      </c>
      <c r="C12" s="4">
        <v>2100</v>
      </c>
      <c r="D12" s="57" t="s">
        <v>11</v>
      </c>
      <c r="E12">
        <v>4.79</v>
      </c>
      <c r="F12" s="44">
        <v>388.00453299999998</v>
      </c>
      <c r="G12">
        <v>0.78</v>
      </c>
      <c r="H12">
        <v>1990</v>
      </c>
      <c r="I12" s="5">
        <f>C12*(F12/E12)^G12*595.6/357.6</f>
        <v>107747.56810251942</v>
      </c>
      <c r="J12" s="11" t="s">
        <v>12</v>
      </c>
    </row>
    <row r="13" spans="2:10" x14ac:dyDescent="0.4">
      <c r="B13" s="71" t="s">
        <v>24</v>
      </c>
      <c r="C13" s="4">
        <v>1500</v>
      </c>
      <c r="D13" s="70" t="s">
        <v>19</v>
      </c>
      <c r="E13">
        <v>2</v>
      </c>
      <c r="F13" s="44">
        <v>3.25671395</v>
      </c>
      <c r="G13">
        <v>0.59</v>
      </c>
      <c r="H13">
        <v>2006</v>
      </c>
      <c r="I13" s="5">
        <f>C13*(F13/E13)^G13*595.6/499.6</f>
        <v>2384.2719719835331</v>
      </c>
      <c r="J13" s="11" t="s">
        <v>20</v>
      </c>
    </row>
    <row r="14" spans="2:10" ht="17.25" customHeight="1" thickBot="1" x14ac:dyDescent="0.45">
      <c r="B14" s="12" t="s">
        <v>25</v>
      </c>
      <c r="C14" s="46">
        <v>165000</v>
      </c>
      <c r="D14" s="58" t="s">
        <v>11</v>
      </c>
      <c r="E14" s="47">
        <v>359263</v>
      </c>
      <c r="F14" s="45">
        <v>388.00453299999998</v>
      </c>
      <c r="G14" s="7">
        <v>0.6</v>
      </c>
      <c r="H14" s="7">
        <v>1998</v>
      </c>
      <c r="I14" s="48">
        <f>C14*(F14/E14)^G14*595.6/389.5</f>
        <v>4187.798294220037</v>
      </c>
      <c r="J14" s="12"/>
    </row>
    <row r="15" spans="2:10" ht="17.25" customHeight="1" thickBot="1" x14ac:dyDescent="0.45">
      <c r="B15" s="8" t="s">
        <v>26</v>
      </c>
      <c r="C15" s="41"/>
      <c r="D15" s="41"/>
      <c r="E15" s="41"/>
      <c r="F15" s="41"/>
      <c r="G15" s="41"/>
      <c r="H15" s="41"/>
      <c r="I15" s="49">
        <f>SUM(I5:I14)</f>
        <v>769187.71491457964</v>
      </c>
    </row>
    <row r="20" spans="2:5" x14ac:dyDescent="0.4">
      <c r="B20" s="13" t="s">
        <v>27</v>
      </c>
    </row>
    <row r="21" spans="2:5" ht="17.25" customHeight="1" thickBot="1" x14ac:dyDescent="0.45"/>
    <row r="22" spans="2:5" ht="17.25" customHeight="1" thickBot="1" x14ac:dyDescent="0.45">
      <c r="B22" s="8" t="s">
        <v>1</v>
      </c>
      <c r="C22" s="10" t="s">
        <v>28</v>
      </c>
      <c r="D22" s="8" t="s">
        <v>29</v>
      </c>
    </row>
    <row r="23" spans="2:5" x14ac:dyDescent="0.4">
      <c r="B23" s="2" t="s">
        <v>10</v>
      </c>
      <c r="C23" s="73">
        <v>20609.517</v>
      </c>
      <c r="D23" s="11">
        <f>C23*IF(C23&gt;0,$C$41,$C$40)*$C$38</f>
        <v>5013.6772005899993</v>
      </c>
    </row>
    <row r="24" spans="2:5" x14ac:dyDescent="0.4">
      <c r="B24" s="4" t="s">
        <v>13</v>
      </c>
      <c r="C24" s="74">
        <v>40390.371099999997</v>
      </c>
      <c r="D24" s="11">
        <f>C24*IF(C24&gt;0,$C$41,$C$40)*$C$38</f>
        <v>9825.765577496999</v>
      </c>
    </row>
    <row r="25" spans="2:5" x14ac:dyDescent="0.4">
      <c r="B25" s="4" t="s">
        <v>14</v>
      </c>
      <c r="C25" s="74">
        <v>16337.205400000001</v>
      </c>
      <c r="D25" s="11">
        <f>C25*IF(C25&gt;0,$C$41,$C$40)*$C$38</f>
        <v>3974.3519576580006</v>
      </c>
    </row>
    <row r="26" spans="2:5" x14ac:dyDescent="0.4">
      <c r="B26" s="4" t="s">
        <v>15</v>
      </c>
      <c r="C26" s="74">
        <v>6161.0077300000003</v>
      </c>
      <c r="D26" s="11">
        <f>C26*IF(C26&gt;0,$C$41,$C$40)*$C$38</f>
        <v>1498.7883504771</v>
      </c>
    </row>
    <row r="27" spans="2:5" x14ac:dyDescent="0.4">
      <c r="B27" s="4" t="s">
        <v>16</v>
      </c>
      <c r="C27" s="11" t="s">
        <v>17</v>
      </c>
      <c r="D27" s="11"/>
    </row>
    <row r="28" spans="2:5" x14ac:dyDescent="0.4">
      <c r="B28" s="4" t="s">
        <v>18</v>
      </c>
      <c r="C28" s="75">
        <v>84476.541500000007</v>
      </c>
      <c r="D28" s="11">
        <f>C28*IF(C28&gt;0,$C$41,$C$40)*$C$38</f>
        <v>20550.608250705001</v>
      </c>
      <c r="E28" t="s">
        <v>30</v>
      </c>
    </row>
    <row r="29" spans="2:5" x14ac:dyDescent="0.4">
      <c r="B29" s="4" t="s">
        <v>21</v>
      </c>
      <c r="C29" s="75">
        <v>-24698.977999999999</v>
      </c>
      <c r="D29" s="11">
        <f>C29*IF(C29&gt;0,$C$41,$C$40)*$C$38</f>
        <v>671.89617812519998</v>
      </c>
      <c r="E29" t="s">
        <v>31</v>
      </c>
    </row>
    <row r="30" spans="2:5" x14ac:dyDescent="0.4">
      <c r="B30" s="4" t="s">
        <v>23</v>
      </c>
      <c r="C30" s="74">
        <v>-60456.4467</v>
      </c>
      <c r="D30" s="11">
        <f>C30*IF(C30&gt;0,$C$41,$C$40)*$C$38</f>
        <v>1644.6209021587799</v>
      </c>
    </row>
    <row r="31" spans="2:5" x14ac:dyDescent="0.4">
      <c r="B31" s="4" t="s">
        <v>24</v>
      </c>
      <c r="C31" s="75">
        <v>-38182.315999999999</v>
      </c>
      <c r="D31" s="11">
        <f>C31*IF(C31&gt;0,$C$41,$C$40)*$C$38</f>
        <v>1038.6888150743998</v>
      </c>
    </row>
    <row r="32" spans="2:5" ht="17.25" customHeight="1" thickBot="1" x14ac:dyDescent="0.45">
      <c r="B32" s="6" t="s">
        <v>25</v>
      </c>
      <c r="C32" s="12" t="s">
        <v>17</v>
      </c>
      <c r="D32" s="11" t="s">
        <v>17</v>
      </c>
    </row>
    <row r="33" spans="1:7" ht="17.25" customHeight="1" thickBot="1" x14ac:dyDescent="0.45">
      <c r="B33" s="8" t="s">
        <v>26</v>
      </c>
      <c r="C33" s="42"/>
      <c r="D33" s="68">
        <f>SUM(D23:D32)</f>
        <v>44218.397232285482</v>
      </c>
    </row>
    <row r="37" spans="1:7" ht="17.25" customHeight="1" thickBot="1" x14ac:dyDescent="0.45"/>
    <row r="38" spans="1:7" x14ac:dyDescent="0.4">
      <c r="B38" s="10" t="s">
        <v>32</v>
      </c>
      <c r="C38" s="3">
        <f>8500*3600</f>
        <v>30600000</v>
      </c>
      <c r="F38" t="s">
        <v>33</v>
      </c>
      <c r="G38" s="76">
        <f>'Plastic EAC&amp;TPC'!E34</f>
        <v>356561.62218411564</v>
      </c>
    </row>
    <row r="39" spans="1:7" x14ac:dyDescent="0.4">
      <c r="B39" s="54" t="s">
        <v>34</v>
      </c>
      <c r="C39" s="51">
        <v>0.06</v>
      </c>
      <c r="F39" t="s">
        <v>35</v>
      </c>
      <c r="G39">
        <f>'Plastic EAC&amp;TPC'!K25</f>
        <v>144972.70422708918</v>
      </c>
    </row>
    <row r="40" spans="1:7" x14ac:dyDescent="0.4">
      <c r="A40" s="13" t="s">
        <v>17</v>
      </c>
      <c r="B40" s="54" t="s">
        <v>36</v>
      </c>
      <c r="C40" s="52">
        <v>-8.8900000000000003E-10</v>
      </c>
    </row>
    <row r="41" spans="1:7" ht="17.25" customHeight="1" thickBot="1" x14ac:dyDescent="0.45">
      <c r="A41" s="13" t="s">
        <v>37</v>
      </c>
      <c r="B41" s="55" t="s">
        <v>38</v>
      </c>
      <c r="C41" s="53">
        <v>7.9500000000000001E-9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A12" zoomScale="70" zoomScaleNormal="70" workbookViewId="0">
      <selection activeCell="I32" sqref="I32"/>
    </sheetView>
  </sheetViews>
  <sheetFormatPr defaultRowHeight="17.399999999999999" x14ac:dyDescent="0.4"/>
  <cols>
    <col min="2" max="2" width="55.8984375" style="40" bestFit="1" customWidth="1"/>
    <col min="4" max="4" width="7.8984375" style="40" bestFit="1" customWidth="1"/>
    <col min="5" max="5" width="16.59765625" style="40" bestFit="1" customWidth="1"/>
    <col min="9" max="9" width="46.69921875" style="40" bestFit="1" customWidth="1"/>
    <col min="10" max="10" width="18.3984375" style="40" bestFit="1" customWidth="1"/>
    <col min="11" max="11" width="14.19921875" style="40" bestFit="1" customWidth="1"/>
  </cols>
  <sheetData>
    <row r="3" spans="2:11" ht="17.25" customHeight="1" thickBot="1" x14ac:dyDescent="0.45">
      <c r="B3" s="14" t="s">
        <v>39</v>
      </c>
      <c r="C3" s="15"/>
      <c r="D3" s="15"/>
      <c r="E3" s="15"/>
      <c r="I3" s="27" t="s">
        <v>40</v>
      </c>
      <c r="J3" s="22"/>
      <c r="K3" s="22"/>
    </row>
    <row r="4" spans="2:11" ht="17.25" customHeight="1" thickBot="1" x14ac:dyDescent="0.45">
      <c r="B4" s="16" t="s">
        <v>41</v>
      </c>
      <c r="C4" s="17" t="s">
        <v>42</v>
      </c>
      <c r="D4" s="18" t="s">
        <v>43</v>
      </c>
      <c r="E4" s="19" t="s">
        <v>44</v>
      </c>
      <c r="I4" s="16" t="s">
        <v>45</v>
      </c>
      <c r="J4" s="31" t="s">
        <v>46</v>
      </c>
      <c r="K4" s="32" t="s">
        <v>44</v>
      </c>
    </row>
    <row r="5" spans="2:11" x14ac:dyDescent="0.4">
      <c r="B5" s="20" t="s">
        <v>47</v>
      </c>
      <c r="C5" s="21"/>
      <c r="D5" s="22"/>
      <c r="E5" s="23"/>
      <c r="I5" s="33" t="s">
        <v>48</v>
      </c>
      <c r="J5" s="34"/>
      <c r="K5" s="59"/>
    </row>
    <row r="6" spans="2:11" x14ac:dyDescent="0.4">
      <c r="B6" s="20" t="s">
        <v>49</v>
      </c>
      <c r="C6" s="21"/>
      <c r="D6" s="22"/>
      <c r="E6" s="24"/>
      <c r="I6" s="21" t="s">
        <v>50</v>
      </c>
      <c r="J6" s="35" t="s">
        <v>51</v>
      </c>
      <c r="K6" s="60">
        <f>SUM(E29*0.01)</f>
        <v>25639.590497152658</v>
      </c>
    </row>
    <row r="7" spans="2:11" x14ac:dyDescent="0.4">
      <c r="B7" s="24" t="s">
        <v>52</v>
      </c>
      <c r="C7" s="21" t="s">
        <v>53</v>
      </c>
      <c r="D7" s="25">
        <v>30</v>
      </c>
      <c r="E7" s="50">
        <f>Plastic!I15</f>
        <v>769187.71491457964</v>
      </c>
      <c r="I7" s="26" t="s">
        <v>54</v>
      </c>
      <c r="J7" s="36"/>
      <c r="K7" s="60"/>
    </row>
    <row r="8" spans="2:11" x14ac:dyDescent="0.4">
      <c r="B8" s="24" t="s">
        <v>55</v>
      </c>
      <c r="C8" s="21" t="s">
        <v>56</v>
      </c>
      <c r="D8" s="22">
        <v>10</v>
      </c>
      <c r="E8" s="24">
        <f>SUM(E29*0.1)</f>
        <v>256395.90497152659</v>
      </c>
      <c r="I8" s="37" t="s">
        <v>57</v>
      </c>
      <c r="J8" s="36" t="s">
        <v>17</v>
      </c>
      <c r="K8" s="61" t="s">
        <v>17</v>
      </c>
    </row>
    <row r="9" spans="2:11" x14ac:dyDescent="0.4">
      <c r="B9" s="24" t="s">
        <v>58</v>
      </c>
      <c r="C9" s="21" t="s">
        <v>59</v>
      </c>
      <c r="D9" s="22">
        <v>5</v>
      </c>
      <c r="E9" s="24">
        <f>SUM(E29*0.05)</f>
        <v>128197.95248576329</v>
      </c>
      <c r="I9" s="36" t="s">
        <v>60</v>
      </c>
      <c r="J9" s="36" t="s">
        <v>17</v>
      </c>
      <c r="K9" s="69">
        <f>Plastic!D33</f>
        <v>44218.397232285482</v>
      </c>
    </row>
    <row r="10" spans="2:11" x14ac:dyDescent="0.4">
      <c r="B10" s="24" t="s">
        <v>61</v>
      </c>
      <c r="C10" s="21" t="s">
        <v>62</v>
      </c>
      <c r="D10" s="22">
        <v>10</v>
      </c>
      <c r="E10" s="24">
        <f>SUM(E29*0.1)</f>
        <v>256395.90497152659</v>
      </c>
      <c r="I10" s="36" t="s">
        <v>63</v>
      </c>
      <c r="J10" s="36"/>
      <c r="K10" s="62" t="s">
        <v>17</v>
      </c>
    </row>
    <row r="11" spans="2:11" x14ac:dyDescent="0.4">
      <c r="B11" s="24" t="s">
        <v>64</v>
      </c>
      <c r="C11" s="21" t="s">
        <v>65</v>
      </c>
      <c r="D11" s="22">
        <v>5</v>
      </c>
      <c r="E11" s="24">
        <f>SUM(E29*0.05)</f>
        <v>128197.95248576329</v>
      </c>
      <c r="I11" s="36" t="s">
        <v>66</v>
      </c>
      <c r="J11" s="36" t="s">
        <v>67</v>
      </c>
      <c r="K11" s="67" t="s">
        <v>17</v>
      </c>
    </row>
    <row r="12" spans="2:11" x14ac:dyDescent="0.4">
      <c r="B12" s="24"/>
      <c r="C12" s="21"/>
      <c r="D12" s="22"/>
      <c r="E12" s="24"/>
      <c r="I12" s="21" t="s">
        <v>68</v>
      </c>
      <c r="J12" s="38" t="s">
        <v>51</v>
      </c>
      <c r="K12" s="63">
        <f>SUM(K6*0.04)</f>
        <v>1025.5836198861064</v>
      </c>
    </row>
    <row r="13" spans="2:11" x14ac:dyDescent="0.4">
      <c r="B13" s="20" t="s">
        <v>69</v>
      </c>
      <c r="C13" s="21"/>
      <c r="D13" s="22"/>
      <c r="E13" s="24"/>
      <c r="I13" s="21" t="s">
        <v>70</v>
      </c>
      <c r="J13" s="36" t="s">
        <v>71</v>
      </c>
      <c r="K13" s="60">
        <f>SUM(K25*0.15)</f>
        <v>21745.905634063376</v>
      </c>
    </row>
    <row r="14" spans="2:11" x14ac:dyDescent="0.4">
      <c r="B14" s="24" t="s">
        <v>72</v>
      </c>
      <c r="C14" s="21" t="s">
        <v>73</v>
      </c>
      <c r="D14" s="22">
        <v>8</v>
      </c>
      <c r="E14" s="24">
        <f>SUM(E29*0.08)</f>
        <v>205116.72397722126</v>
      </c>
      <c r="I14" s="21" t="s">
        <v>74</v>
      </c>
      <c r="J14" s="36" t="s">
        <v>75</v>
      </c>
      <c r="K14" s="60">
        <f>SUM(K13*0.3)</f>
        <v>6523.7716902190123</v>
      </c>
    </row>
    <row r="15" spans="2:11" x14ac:dyDescent="0.4">
      <c r="B15" s="24" t="s">
        <v>76</v>
      </c>
      <c r="C15" s="21" t="s">
        <v>77</v>
      </c>
      <c r="D15" s="22">
        <v>2</v>
      </c>
      <c r="E15" s="24">
        <f>SUM(E29*0.02)</f>
        <v>51279.180994305316</v>
      </c>
      <c r="I15" s="21" t="s">
        <v>78</v>
      </c>
      <c r="J15" s="36" t="s">
        <v>79</v>
      </c>
      <c r="K15" s="60">
        <f>SUM(K12*0.15)</f>
        <v>153.83754298291595</v>
      </c>
    </row>
    <row r="16" spans="2:11" x14ac:dyDescent="0.4">
      <c r="B16" s="24" t="s">
        <v>80</v>
      </c>
      <c r="C16" s="21" t="s">
        <v>81</v>
      </c>
      <c r="D16" s="22">
        <v>8</v>
      </c>
      <c r="E16" s="24">
        <f>SUM(E29*0.08)</f>
        <v>205116.72397722126</v>
      </c>
      <c r="I16" s="21" t="s">
        <v>82</v>
      </c>
      <c r="J16" s="36" t="s">
        <v>83</v>
      </c>
      <c r="K16" s="60">
        <f>SUM(K13*0.15)</f>
        <v>3261.8858451095061</v>
      </c>
    </row>
    <row r="17" spans="2:11" x14ac:dyDescent="0.4">
      <c r="B17" s="24" t="s">
        <v>84</v>
      </c>
      <c r="C17" s="21" t="s">
        <v>85</v>
      </c>
      <c r="D17" s="22">
        <v>2</v>
      </c>
      <c r="E17" s="24">
        <f>SUM(E29*0.02)</f>
        <v>51279.180994305316</v>
      </c>
      <c r="I17" s="21"/>
      <c r="J17" s="36"/>
      <c r="K17" s="60"/>
    </row>
    <row r="18" spans="2:11" x14ac:dyDescent="0.4">
      <c r="B18" s="24"/>
      <c r="C18" s="21"/>
      <c r="D18" s="22"/>
      <c r="E18" s="24"/>
      <c r="I18" s="26" t="s">
        <v>86</v>
      </c>
      <c r="J18" s="36" t="s">
        <v>87</v>
      </c>
      <c r="K18" s="60">
        <f>SUM(0.6*K29)</f>
        <v>17577.156566501097</v>
      </c>
    </row>
    <row r="19" spans="2:11" x14ac:dyDescent="0.4">
      <c r="B19" s="20" t="s">
        <v>88</v>
      </c>
      <c r="C19" s="21"/>
      <c r="D19" s="22"/>
      <c r="E19" s="24">
        <f>SUM(E7:E17)</f>
        <v>2051167.2397722125</v>
      </c>
      <c r="I19" s="21"/>
      <c r="J19" s="36"/>
      <c r="K19" s="60"/>
    </row>
    <row r="20" spans="2:11" x14ac:dyDescent="0.4">
      <c r="B20" s="24"/>
      <c r="C20" s="21"/>
      <c r="D20" s="22"/>
      <c r="E20" s="24"/>
      <c r="I20" s="26" t="s">
        <v>89</v>
      </c>
      <c r="J20" s="36"/>
      <c r="K20" s="60"/>
    </row>
    <row r="21" spans="2:11" x14ac:dyDescent="0.4">
      <c r="B21" s="20" t="s">
        <v>90</v>
      </c>
      <c r="C21" s="21"/>
      <c r="D21" s="22"/>
      <c r="E21" s="24"/>
      <c r="I21" s="21" t="s">
        <v>91</v>
      </c>
      <c r="J21" s="36" t="s">
        <v>92</v>
      </c>
      <c r="K21" s="60">
        <f>SUM(K13*0.175)</f>
        <v>3805.5334859610907</v>
      </c>
    </row>
    <row r="22" spans="2:11" x14ac:dyDescent="0.4">
      <c r="B22" s="24" t="s">
        <v>93</v>
      </c>
      <c r="C22" s="21" t="s">
        <v>94</v>
      </c>
      <c r="D22" s="22">
        <v>5</v>
      </c>
      <c r="E22" s="24">
        <f>SUM(E29*0.05)</f>
        <v>128197.95248576329</v>
      </c>
      <c r="I22" s="39" t="s">
        <v>95</v>
      </c>
      <c r="J22" s="36" t="s">
        <v>96</v>
      </c>
      <c r="K22" s="60">
        <f>SUM(K25*0.11)</f>
        <v>15946.99746497981</v>
      </c>
    </row>
    <row r="23" spans="2:11" x14ac:dyDescent="0.4">
      <c r="B23" s="24" t="s">
        <v>97</v>
      </c>
      <c r="C23" s="21" t="s">
        <v>98</v>
      </c>
      <c r="D23" s="22">
        <v>5</v>
      </c>
      <c r="E23" s="24">
        <f>SUM(E29*0.05)</f>
        <v>128197.95248576329</v>
      </c>
      <c r="I23" s="21" t="s">
        <v>99</v>
      </c>
      <c r="J23" s="39" t="s">
        <v>100</v>
      </c>
      <c r="K23" s="60">
        <f>SUM(K25*0.035)</f>
        <v>5074.0446479481216</v>
      </c>
    </row>
    <row r="24" spans="2:11" x14ac:dyDescent="0.4">
      <c r="B24" s="24" t="s">
        <v>101</v>
      </c>
      <c r="C24" s="21" t="s">
        <v>77</v>
      </c>
      <c r="D24" s="22">
        <v>5</v>
      </c>
      <c r="E24" s="24">
        <f>SUM(E29*0.05)</f>
        <v>128197.95248576329</v>
      </c>
      <c r="I24" s="21"/>
      <c r="J24" s="39"/>
      <c r="K24" s="60"/>
    </row>
    <row r="25" spans="2:11" ht="17.25" customHeight="1" thickBot="1" x14ac:dyDescent="0.45">
      <c r="B25" s="24" t="s">
        <v>102</v>
      </c>
      <c r="C25" s="21" t="s">
        <v>103</v>
      </c>
      <c r="D25" s="22">
        <v>5</v>
      </c>
      <c r="E25" s="24">
        <f>SUM(E29*0.05)</f>
        <v>128197.95248576329</v>
      </c>
      <c r="I25" s="29" t="s">
        <v>35</v>
      </c>
      <c r="J25" s="29"/>
      <c r="K25" s="64">
        <f>SUM(K27/0.49425)</f>
        <v>144972.70422708918</v>
      </c>
    </row>
    <row r="26" spans="2:11" x14ac:dyDescent="0.4">
      <c r="B26" s="24"/>
      <c r="C26" s="21"/>
      <c r="D26" s="22"/>
      <c r="E26" s="24"/>
      <c r="I26" s="22"/>
      <c r="J26" s="22"/>
      <c r="K26" s="65"/>
    </row>
    <row r="27" spans="2:11" x14ac:dyDescent="0.4">
      <c r="B27" s="20" t="s">
        <v>104</v>
      </c>
      <c r="C27" s="21"/>
      <c r="D27" s="22"/>
      <c r="E27" s="24">
        <f>SUM(E22:E25)</f>
        <v>512791.80994305317</v>
      </c>
      <c r="I27" s="22"/>
      <c r="J27" s="22"/>
      <c r="K27" s="65">
        <f>SUM(K6:K12,K15,0.6*K12)</f>
        <v>71652.759064238839</v>
      </c>
    </row>
    <row r="28" spans="2:11" x14ac:dyDescent="0.4">
      <c r="B28" s="24"/>
      <c r="C28" s="21"/>
      <c r="D28" s="22"/>
      <c r="E28" s="24"/>
      <c r="I28" s="15"/>
      <c r="J28" s="15"/>
      <c r="K28" s="65"/>
    </row>
    <row r="29" spans="2:11" x14ac:dyDescent="0.4">
      <c r="B29" s="24" t="s">
        <v>105</v>
      </c>
      <c r="C29" s="21">
        <v>100</v>
      </c>
      <c r="D29" s="22">
        <v>100</v>
      </c>
      <c r="E29" s="24">
        <f>SUM(E7*100/D7)</f>
        <v>2563959.0497152656</v>
      </c>
      <c r="I29" s="15"/>
      <c r="J29" s="15" t="s">
        <v>106</v>
      </c>
      <c r="K29" s="65">
        <f>(K12+K13+K14)</f>
        <v>29295.260944168494</v>
      </c>
    </row>
    <row r="30" spans="2:11" x14ac:dyDescent="0.4">
      <c r="B30" s="24" t="s">
        <v>107</v>
      </c>
      <c r="C30" s="21">
        <v>20</v>
      </c>
      <c r="D30" s="25">
        <v>20</v>
      </c>
      <c r="E30" s="24">
        <f>SUM(E29*0.2)</f>
        <v>512791.80994305317</v>
      </c>
      <c r="K30" s="66">
        <f>SUM(K6:K23)</f>
        <v>144972.70422708918</v>
      </c>
    </row>
    <row r="31" spans="2:11" x14ac:dyDescent="0.4">
      <c r="B31" s="24" t="s">
        <v>108</v>
      </c>
      <c r="C31" s="21">
        <v>20</v>
      </c>
      <c r="D31" s="25">
        <v>20</v>
      </c>
      <c r="E31" s="24">
        <f>SUM(E29*0.2)</f>
        <v>512791.80994305317</v>
      </c>
    </row>
    <row r="32" spans="2:11" x14ac:dyDescent="0.4">
      <c r="B32" s="24"/>
      <c r="C32" s="21"/>
      <c r="D32" s="22"/>
      <c r="E32" s="24"/>
    </row>
    <row r="33" spans="2:5" x14ac:dyDescent="0.4">
      <c r="B33" s="20" t="s">
        <v>109</v>
      </c>
      <c r="C33" s="26" t="s">
        <v>110</v>
      </c>
      <c r="D33" s="27"/>
      <c r="E33" s="20">
        <f>SUM(E29:E31)</f>
        <v>3589542.6696013715</v>
      </c>
    </row>
    <row r="34" spans="2:5" ht="17.25" customHeight="1" thickBot="1" x14ac:dyDescent="0.45">
      <c r="B34" s="28" t="s">
        <v>111</v>
      </c>
      <c r="C34" s="29" t="s">
        <v>33</v>
      </c>
      <c r="D34" s="30"/>
      <c r="E34" s="72">
        <f>SUM(E33/((1-(1/((1.05)^25)))/0.07))</f>
        <v>356561.62218411564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4536-456A-407A-ABF5-B0D408D8AA8A}">
  <dimension ref="A2:Q3"/>
  <sheetViews>
    <sheetView tabSelected="1" workbookViewId="0">
      <selection activeCell="H12" sqref="H12"/>
    </sheetView>
  </sheetViews>
  <sheetFormatPr defaultRowHeight="17.399999999999999" x14ac:dyDescent="0.4"/>
  <cols>
    <col min="17" max="17" width="16.3984375" customWidth="1"/>
  </cols>
  <sheetData>
    <row r="2" spans="1:17" ht="34.799999999999997" x14ac:dyDescent="0.4">
      <c r="B2" t="s">
        <v>112</v>
      </c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 t="s">
        <v>119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Q2" s="77" t="s">
        <v>125</v>
      </c>
    </row>
    <row r="3" spans="1:17" x14ac:dyDescent="0.4">
      <c r="A3" t="s">
        <v>126</v>
      </c>
      <c r="B3" s="78"/>
      <c r="C3" s="79"/>
      <c r="D3" s="78"/>
      <c r="E3" s="79"/>
      <c r="F3" s="79"/>
      <c r="G3" s="79"/>
      <c r="H3" s="79"/>
      <c r="I3" s="78"/>
      <c r="J3" s="79"/>
      <c r="K3" s="79"/>
      <c r="L3" s="79"/>
      <c r="M3" s="78"/>
      <c r="N3" s="79"/>
      <c r="Q3" s="80">
        <f>SUM(B3*1.4*8760,(C3+D3)*8760,(E3+F3+G3+H3+I3)*0.648*8760,(J3+K3+L3+M3)*1.3464*8760)+N3*44175.392*0.000277778*0.08*8760*0.5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Plastic</vt:lpstr>
      <vt:lpstr>Plastic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2023-08-25T04:37:06Z</dcterms:modified>
</cp:coreProperties>
</file>