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06ECB926-E756-4934-8969-FAC24FC4661F}" xr6:coauthVersionLast="47" xr6:coauthVersionMax="47" xr10:uidLastSave="{00000000-0000-0000-0000-000000000000}"/>
  <bookViews>
    <workbookView xWindow="11400" yWindow="4785" windowWidth="20910" windowHeight="11835" xr2:uid="{00000000-000D-0000-FFFF-FFFF00000000}"/>
  </bookViews>
  <sheets>
    <sheet name="Plastic" sheetId="1" r:id="rId1"/>
    <sheet name="Plastic EAC&amp;TP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9" i="1" s="1"/>
  <c r="I14" i="1"/>
  <c r="I13" i="1"/>
  <c r="I12" i="1"/>
  <c r="I11" i="1"/>
  <c r="I10" i="1"/>
  <c r="I8" i="1"/>
  <c r="I7" i="1"/>
  <c r="I6" i="1"/>
  <c r="I5" i="1"/>
  <c r="I15" i="1" s="1"/>
  <c r="E7" i="2" s="1"/>
  <c r="E29" i="2" l="1"/>
  <c r="D25" i="1"/>
  <c r="D26" i="1"/>
  <c r="D24" i="1"/>
  <c r="D31" i="1"/>
  <c r="D30" i="1"/>
  <c r="D23" i="1"/>
  <c r="D33" i="1" s="1"/>
  <c r="K9" i="2" s="1"/>
  <c r="D28" i="1"/>
  <c r="E15" i="2" l="1"/>
  <c r="E14" i="2"/>
  <c r="E31" i="2"/>
  <c r="E25" i="2"/>
  <c r="E30" i="2"/>
  <c r="E33" i="2" s="1"/>
  <c r="E34" i="2" s="1"/>
  <c r="G38" i="1" s="1"/>
  <c r="E24" i="2"/>
  <c r="E17" i="2"/>
  <c r="E8" i="2"/>
  <c r="E23" i="2"/>
  <c r="E9" i="2"/>
  <c r="E22" i="2"/>
  <c r="E27" i="2" s="1"/>
  <c r="E16" i="2"/>
  <c r="E11" i="2"/>
  <c r="K6" i="2"/>
  <c r="E10" i="2"/>
  <c r="K12" i="2" l="1"/>
  <c r="E19" i="2"/>
  <c r="K27" i="2" l="1"/>
  <c r="K25" i="2" s="1"/>
  <c r="K15" i="2"/>
  <c r="K22" i="2" l="1"/>
  <c r="K23" i="2"/>
  <c r="K13" i="2"/>
  <c r="G39" i="1"/>
  <c r="K21" i="2" l="1"/>
  <c r="K14" i="2"/>
  <c r="K16" i="2"/>
  <c r="K30" i="2" s="1"/>
  <c r="K29" i="2"/>
  <c r="K18" i="2" s="1"/>
</calcChain>
</file>

<file path=xl/sharedStrings.xml><?xml version="1.0" encoding="utf-8"?>
<sst xmlns="http://schemas.openxmlformats.org/spreadsheetml/2006/main" count="153" uniqueCount="111">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</sst>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8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1" fillId="0" borderId="11" xfId="0" applyFont="1" applyBorder="1">
      <alignment vertical="center"/>
    </xf>
    <xf numFmtId="0" fontId="10" fillId="0" borderId="5" xfId="0" applyFont="1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abSelected="1" zoomScaleNormal="100" workbookViewId="0">
      <selection activeCell="F21" sqref="F21"/>
    </sheetView>
  </sheetViews>
  <sheetFormatPr defaultRowHeight="16.5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625" style="40" customWidth="1"/>
    <col min="7" max="7" width="23.75" style="40" bestFit="1" customWidth="1"/>
    <col min="8" max="8" width="14.375" style="40" bestFit="1" customWidth="1"/>
    <col min="9" max="9" width="17.75" style="40" bestFit="1" customWidth="1"/>
    <col min="10" max="10" width="60.8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7" t="s">
        <v>11</v>
      </c>
      <c r="E5" s="9">
        <v>4.79</v>
      </c>
      <c r="F5" s="43">
        <v>86</v>
      </c>
      <c r="G5" s="9">
        <v>0.78</v>
      </c>
      <c r="H5" s="9">
        <v>1990</v>
      </c>
      <c r="I5" s="3">
        <f>C5*(F5/E5)^G5*595.6/357.6</f>
        <v>33267.760418079284</v>
      </c>
      <c r="J5" s="10" t="s">
        <v>12</v>
      </c>
    </row>
    <row r="6" spans="2:10">
      <c r="B6" s="11" t="s">
        <v>13</v>
      </c>
      <c r="C6" s="4">
        <v>2100</v>
      </c>
      <c r="D6" s="58" t="s">
        <v>11</v>
      </c>
      <c r="E6">
        <v>4.79</v>
      </c>
      <c r="F6" s="44">
        <v>170</v>
      </c>
      <c r="G6">
        <v>0.78</v>
      </c>
      <c r="H6">
        <v>1990</v>
      </c>
      <c r="I6" s="5">
        <f>C6*(F6/E6)^G6*595.6/357.6</f>
        <v>56606.321272303598</v>
      </c>
      <c r="J6" s="11" t="s">
        <v>12</v>
      </c>
    </row>
    <row r="7" spans="2:10">
      <c r="B7" s="11" t="s">
        <v>14</v>
      </c>
      <c r="C7" s="4">
        <v>2100</v>
      </c>
      <c r="D7" s="58" t="s">
        <v>11</v>
      </c>
      <c r="E7">
        <v>4.79</v>
      </c>
      <c r="F7" s="44">
        <v>66</v>
      </c>
      <c r="G7">
        <v>0.78</v>
      </c>
      <c r="H7">
        <v>1990</v>
      </c>
      <c r="I7" s="5">
        <f>C7*(F7/E7)^G7*595.6/357.6</f>
        <v>27061.94723643731</v>
      </c>
      <c r="J7" s="11" t="s">
        <v>12</v>
      </c>
    </row>
    <row r="8" spans="2:10">
      <c r="B8" s="11" t="s">
        <v>15</v>
      </c>
      <c r="C8" s="4">
        <v>2100</v>
      </c>
      <c r="D8" s="58" t="s">
        <v>11</v>
      </c>
      <c r="E8">
        <v>4.79</v>
      </c>
      <c r="F8" s="44">
        <v>66</v>
      </c>
      <c r="G8">
        <v>0.78</v>
      </c>
      <c r="H8">
        <v>1990</v>
      </c>
      <c r="I8" s="5">
        <f>C8*(F8/E8)^G8*595.6/357.6</f>
        <v>27061.94723643731</v>
      </c>
      <c r="J8" s="11" t="s">
        <v>12</v>
      </c>
    </row>
    <row r="9" spans="2:10">
      <c r="B9" s="11" t="s">
        <v>16</v>
      </c>
      <c r="C9" s="4" t="s">
        <v>17</v>
      </c>
      <c r="D9" s="58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72" t="s">
        <v>18</v>
      </c>
      <c r="C10" s="4">
        <v>1500</v>
      </c>
      <c r="D10" s="71" t="s">
        <v>19</v>
      </c>
      <c r="E10">
        <v>2</v>
      </c>
      <c r="F10" s="44">
        <v>388</v>
      </c>
      <c r="G10">
        <v>0.59</v>
      </c>
      <c r="H10">
        <v>2006</v>
      </c>
      <c r="I10" s="5">
        <f>C10*(F10/E10)^G10*595.6/499.6</f>
        <v>40015.342557674681</v>
      </c>
      <c r="J10" s="11" t="s">
        <v>20</v>
      </c>
    </row>
    <row r="11" spans="2:10">
      <c r="B11" s="11" t="s">
        <v>21</v>
      </c>
      <c r="C11" s="4">
        <v>14100</v>
      </c>
      <c r="D11" s="58" t="s">
        <v>11</v>
      </c>
      <c r="E11">
        <v>4.79</v>
      </c>
      <c r="F11" s="44">
        <v>388</v>
      </c>
      <c r="G11">
        <v>0.7</v>
      </c>
      <c r="H11">
        <v>1990</v>
      </c>
      <c r="I11" s="5">
        <f>C11*(F11/E11)^G11*595.6/357.6</f>
        <v>509006.86548126535</v>
      </c>
      <c r="J11" s="11" t="s">
        <v>22</v>
      </c>
    </row>
    <row r="12" spans="2:10">
      <c r="B12" s="11" t="s">
        <v>23</v>
      </c>
      <c r="C12" s="4">
        <v>2100</v>
      </c>
      <c r="D12" s="58" t="s">
        <v>11</v>
      </c>
      <c r="E12">
        <v>4.79</v>
      </c>
      <c r="F12" s="44">
        <v>388.00453299999998</v>
      </c>
      <c r="G12">
        <v>0.78</v>
      </c>
      <c r="H12">
        <v>1990</v>
      </c>
      <c r="I12" s="5">
        <f>C12*(F12/E12)^G12*595.6/357.6</f>
        <v>107747.56810251942</v>
      </c>
      <c r="J12" s="11" t="s">
        <v>12</v>
      </c>
    </row>
    <row r="13" spans="2:10">
      <c r="B13" s="72" t="s">
        <v>24</v>
      </c>
      <c r="C13" s="4">
        <v>1500</v>
      </c>
      <c r="D13" s="71" t="s">
        <v>19</v>
      </c>
      <c r="E13">
        <v>2</v>
      </c>
      <c r="F13" s="44">
        <v>388.00453299999998</v>
      </c>
      <c r="G13">
        <v>0.59</v>
      </c>
      <c r="H13">
        <v>2006</v>
      </c>
      <c r="I13" s="5">
        <f>C13*(F13/E13)^G13*595.6/499.6</f>
        <v>40015.618381326472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9" t="s">
        <v>11</v>
      </c>
      <c r="E14" s="47">
        <v>359263</v>
      </c>
      <c r="F14" s="45">
        <v>388.00453299999998</v>
      </c>
      <c r="G14" s="7">
        <v>0.6</v>
      </c>
      <c r="H14" s="7">
        <v>1998</v>
      </c>
      <c r="I14" s="48">
        <f>C14*(F14/E14)^G14*595.6/389.5</f>
        <v>4187.798294220037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844971.16898026329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4">
        <v>20609.517</v>
      </c>
      <c r="D23" s="11">
        <f>C23*$C$41*$C$38</f>
        <v>5013.6772005899993</v>
      </c>
    </row>
    <row r="24" spans="2:5">
      <c r="B24" s="4" t="s">
        <v>13</v>
      </c>
      <c r="C24" s="75">
        <v>40390.371099999997</v>
      </c>
      <c r="D24" s="11">
        <f>C24*$C$41*$C$38</f>
        <v>9825.765577496999</v>
      </c>
    </row>
    <row r="25" spans="2:5">
      <c r="B25" s="4" t="s">
        <v>14</v>
      </c>
      <c r="C25" s="75">
        <v>16337.205400000001</v>
      </c>
      <c r="D25" s="11">
        <f>C25*$C$41*$C$38</f>
        <v>3974.3519576580006</v>
      </c>
    </row>
    <row r="26" spans="2:5">
      <c r="B26" s="4" t="s">
        <v>15</v>
      </c>
      <c r="C26" s="75">
        <v>6161.0077300000003</v>
      </c>
      <c r="D26" s="11">
        <f>C26*$C$41*$C$38</f>
        <v>1498.7883504771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6">
        <v>84476.541500000007</v>
      </c>
      <c r="D28" s="51">
        <f>C28*C40*$C$38</f>
        <v>-2298.0491490411</v>
      </c>
      <c r="E28" t="s">
        <v>30</v>
      </c>
    </row>
    <row r="29" spans="2:5">
      <c r="B29" s="4" t="s">
        <v>21</v>
      </c>
      <c r="C29" s="76">
        <v>-24698.977999999999</v>
      </c>
      <c r="D29" s="51">
        <f>C29*C40*$C$38</f>
        <v>671.89617812519998</v>
      </c>
    </row>
    <row r="30" spans="2:5">
      <c r="B30" s="4" t="s">
        <v>23</v>
      </c>
      <c r="C30" s="75">
        <v>-60456.4467</v>
      </c>
      <c r="D30" s="11">
        <f>C30*C41*C38</f>
        <v>-14707.239788709001</v>
      </c>
    </row>
    <row r="31" spans="2:5">
      <c r="B31" s="4" t="s">
        <v>24</v>
      </c>
      <c r="C31" s="76">
        <v>-38182.315999999999</v>
      </c>
      <c r="D31" s="51">
        <f>C31*C40*C38</f>
        <v>1038.6888150743998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9">
        <f>SUM(D23:D32)</f>
        <v>5017.8791416715994</v>
      </c>
    </row>
    <row r="37" spans="1:7" ht="17.25" customHeight="1" thickBot="1"/>
    <row r="38" spans="1:7">
      <c r="B38" s="10" t="s">
        <v>31</v>
      </c>
      <c r="C38" s="3">
        <f>8500*3600</f>
        <v>30600000</v>
      </c>
      <c r="F38" t="s">
        <v>32</v>
      </c>
      <c r="G38" s="77">
        <f>'Plastic EAC&amp;TPC'!E34</f>
        <v>391691.50113619486</v>
      </c>
    </row>
    <row r="39" spans="1:7">
      <c r="B39" s="55" t="s">
        <v>33</v>
      </c>
      <c r="C39" s="52">
        <v>0.06</v>
      </c>
      <c r="F39" t="s">
        <v>34</v>
      </c>
      <c r="G39">
        <f>'Plastic EAC&amp;TPC'!K25</f>
        <v>71128.344296680472</v>
      </c>
    </row>
    <row r="40" spans="1:7">
      <c r="A40" s="13" t="s">
        <v>17</v>
      </c>
      <c r="B40" s="55" t="s">
        <v>35</v>
      </c>
      <c r="C40" s="53">
        <v>-8.8900000000000003E-10</v>
      </c>
    </row>
    <row r="41" spans="1:7" ht="17.25" customHeight="1" thickBot="1">
      <c r="A41" s="13" t="s">
        <v>36</v>
      </c>
      <c r="B41" s="56" t="s">
        <v>37</v>
      </c>
      <c r="C41" s="54">
        <v>7.9500000000000001E-9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A12" zoomScale="70" zoomScaleNormal="70" workbookViewId="0">
      <selection activeCell="I32" sqref="I32"/>
    </sheetView>
  </sheetViews>
  <sheetFormatPr defaultRowHeight="16.5"/>
  <cols>
    <col min="2" max="2" width="55.875" style="40" bestFit="1" customWidth="1"/>
    <col min="4" max="4" width="7.875" style="40" bestFit="1" customWidth="1"/>
    <col min="5" max="5" width="16.625" style="40" bestFit="1" customWidth="1"/>
    <col min="9" max="9" width="46.75" style="40" bestFit="1" customWidth="1"/>
    <col min="10" max="10" width="18.375" style="40" bestFit="1" customWidth="1"/>
    <col min="11" max="11" width="14.25" style="40" bestFit="1" customWidth="1"/>
  </cols>
  <sheetData>
    <row r="3" spans="2:11" ht="17.25" customHeight="1" thickBot="1">
      <c r="B3" s="14" t="s">
        <v>38</v>
      </c>
      <c r="C3" s="15"/>
      <c r="D3" s="15"/>
      <c r="E3" s="15"/>
      <c r="I3" s="27" t="s">
        <v>39</v>
      </c>
      <c r="J3" s="22"/>
      <c r="K3" s="22"/>
    </row>
    <row r="4" spans="2:11" ht="17.25" customHeight="1" thickBot="1">
      <c r="B4" s="16" t="s">
        <v>40</v>
      </c>
      <c r="C4" s="17" t="s">
        <v>41</v>
      </c>
      <c r="D4" s="18" t="s">
        <v>42</v>
      </c>
      <c r="E4" s="19" t="s">
        <v>43</v>
      </c>
      <c r="I4" s="16" t="s">
        <v>44</v>
      </c>
      <c r="J4" s="31" t="s">
        <v>45</v>
      </c>
      <c r="K4" s="32" t="s">
        <v>43</v>
      </c>
    </row>
    <row r="5" spans="2:11">
      <c r="B5" s="20" t="s">
        <v>46</v>
      </c>
      <c r="C5" s="21"/>
      <c r="D5" s="22"/>
      <c r="E5" s="23"/>
      <c r="I5" s="33" t="s">
        <v>47</v>
      </c>
      <c r="J5" s="34"/>
      <c r="K5" s="60"/>
    </row>
    <row r="6" spans="2:11">
      <c r="B6" s="20" t="s">
        <v>48</v>
      </c>
      <c r="C6" s="21"/>
      <c r="D6" s="22"/>
      <c r="E6" s="24"/>
      <c r="I6" s="21" t="s">
        <v>49</v>
      </c>
      <c r="J6" s="35" t="s">
        <v>50</v>
      </c>
      <c r="K6" s="61">
        <f>SUM(E29*0.01)</f>
        <v>28165.705632675443</v>
      </c>
    </row>
    <row r="7" spans="2:11">
      <c r="B7" s="24" t="s">
        <v>51</v>
      </c>
      <c r="C7" s="21" t="s">
        <v>52</v>
      </c>
      <c r="D7" s="25">
        <v>30</v>
      </c>
      <c r="E7" s="50">
        <f>Plastic!I15</f>
        <v>844971.16898026329</v>
      </c>
      <c r="I7" s="26" t="s">
        <v>53</v>
      </c>
      <c r="J7" s="36"/>
      <c r="K7" s="61"/>
    </row>
    <row r="8" spans="2:11">
      <c r="B8" s="24" t="s">
        <v>54</v>
      </c>
      <c r="C8" s="21" t="s">
        <v>55</v>
      </c>
      <c r="D8" s="22">
        <v>10</v>
      </c>
      <c r="E8" s="24">
        <f>SUM(E29*0.1)</f>
        <v>281657.05632675445</v>
      </c>
      <c r="I8" s="37" t="s">
        <v>56</v>
      </c>
      <c r="J8" s="36" t="s">
        <v>17</v>
      </c>
      <c r="K8" s="62" t="s">
        <v>17</v>
      </c>
    </row>
    <row r="9" spans="2:11">
      <c r="B9" s="24" t="s">
        <v>57</v>
      </c>
      <c r="C9" s="21" t="s">
        <v>58</v>
      </c>
      <c r="D9" s="22">
        <v>5</v>
      </c>
      <c r="E9" s="24">
        <f>SUM(E29*0.05)</f>
        <v>140828.52816337722</v>
      </c>
      <c r="I9" s="36" t="s">
        <v>59</v>
      </c>
      <c r="J9" s="36" t="s">
        <v>17</v>
      </c>
      <c r="K9" s="70">
        <f>Plastic!D33</f>
        <v>5017.8791416715994</v>
      </c>
    </row>
    <row r="10" spans="2:11">
      <c r="B10" s="24" t="s">
        <v>60</v>
      </c>
      <c r="C10" s="21" t="s">
        <v>61</v>
      </c>
      <c r="D10" s="22">
        <v>10</v>
      </c>
      <c r="E10" s="24">
        <f>SUM(E29*0.1)</f>
        <v>281657.05632675445</v>
      </c>
      <c r="I10" s="36" t="s">
        <v>62</v>
      </c>
      <c r="J10" s="36"/>
      <c r="K10" s="63" t="s">
        <v>17</v>
      </c>
    </row>
    <row r="11" spans="2:11">
      <c r="B11" s="24" t="s">
        <v>63</v>
      </c>
      <c r="C11" s="21" t="s">
        <v>64</v>
      </c>
      <c r="D11" s="22">
        <v>5</v>
      </c>
      <c r="E11" s="24">
        <f>SUM(E29*0.05)</f>
        <v>140828.52816337722</v>
      </c>
      <c r="I11" s="36" t="s">
        <v>65</v>
      </c>
      <c r="J11" s="36" t="s">
        <v>66</v>
      </c>
      <c r="K11" s="68" t="s">
        <v>17</v>
      </c>
    </row>
    <row r="12" spans="2:11">
      <c r="B12" s="24"/>
      <c r="C12" s="21"/>
      <c r="D12" s="22"/>
      <c r="E12" s="24"/>
      <c r="I12" s="21" t="s">
        <v>67</v>
      </c>
      <c r="J12" s="38" t="s">
        <v>50</v>
      </c>
      <c r="K12" s="64">
        <f>SUM(K6*0.04)</f>
        <v>1126.6282253070178</v>
      </c>
    </row>
    <row r="13" spans="2:11">
      <c r="B13" s="20" t="s">
        <v>68</v>
      </c>
      <c r="C13" s="21"/>
      <c r="D13" s="22"/>
      <c r="E13" s="24"/>
      <c r="I13" s="21" t="s">
        <v>69</v>
      </c>
      <c r="J13" s="36" t="s">
        <v>70</v>
      </c>
      <c r="K13" s="61">
        <f>SUM(K25*0.15)</f>
        <v>10669.25164450207</v>
      </c>
    </row>
    <row r="14" spans="2:11">
      <c r="B14" s="24" t="s">
        <v>71</v>
      </c>
      <c r="C14" s="21" t="s">
        <v>72</v>
      </c>
      <c r="D14" s="22">
        <v>8</v>
      </c>
      <c r="E14" s="24">
        <f>SUM(E29*0.08)</f>
        <v>225325.64506140354</v>
      </c>
      <c r="I14" s="21" t="s">
        <v>73</v>
      </c>
      <c r="J14" s="36" t="s">
        <v>74</v>
      </c>
      <c r="K14" s="61">
        <f>SUM(K13*0.3)</f>
        <v>3200.7754933506208</v>
      </c>
    </row>
    <row r="15" spans="2:11">
      <c r="B15" s="24" t="s">
        <v>75</v>
      </c>
      <c r="C15" s="21" t="s">
        <v>76</v>
      </c>
      <c r="D15" s="22">
        <v>2</v>
      </c>
      <c r="E15" s="24">
        <f>SUM(E29*0.02)</f>
        <v>56331.411265350886</v>
      </c>
      <c r="I15" s="21" t="s">
        <v>77</v>
      </c>
      <c r="J15" s="36" t="s">
        <v>78</v>
      </c>
      <c r="K15" s="61">
        <f>SUM(K12*0.15)</f>
        <v>168.99423379605267</v>
      </c>
    </row>
    <row r="16" spans="2:11">
      <c r="B16" s="24" t="s">
        <v>79</v>
      </c>
      <c r="C16" s="21" t="s">
        <v>80</v>
      </c>
      <c r="D16" s="22">
        <v>8</v>
      </c>
      <c r="E16" s="24">
        <f>SUM(E29*0.08)</f>
        <v>225325.64506140354</v>
      </c>
      <c r="I16" s="21" t="s">
        <v>81</v>
      </c>
      <c r="J16" s="36" t="s">
        <v>82</v>
      </c>
      <c r="K16" s="61">
        <f>SUM(K13*0.15)</f>
        <v>1600.3877466753104</v>
      </c>
    </row>
    <row r="17" spans="2:11">
      <c r="B17" s="24" t="s">
        <v>83</v>
      </c>
      <c r="C17" s="21" t="s">
        <v>84</v>
      </c>
      <c r="D17" s="22">
        <v>2</v>
      </c>
      <c r="E17" s="24">
        <f>SUM(E29*0.02)</f>
        <v>56331.411265350886</v>
      </c>
      <c r="I17" s="21"/>
      <c r="J17" s="36"/>
      <c r="K17" s="61"/>
    </row>
    <row r="18" spans="2:11">
      <c r="B18" s="24"/>
      <c r="C18" s="21"/>
      <c r="D18" s="22"/>
      <c r="E18" s="24"/>
      <c r="I18" s="26" t="s">
        <v>85</v>
      </c>
      <c r="J18" s="36" t="s">
        <v>86</v>
      </c>
      <c r="K18" s="61">
        <f>SUM(0.6*K29)</f>
        <v>8997.9932178958243</v>
      </c>
    </row>
    <row r="19" spans="2:11">
      <c r="B19" s="20" t="s">
        <v>87</v>
      </c>
      <c r="C19" s="21"/>
      <c r="D19" s="22"/>
      <c r="E19" s="24">
        <f>SUM(E7:E17)</f>
        <v>2253256.4506140356</v>
      </c>
      <c r="I19" s="21"/>
      <c r="J19" s="36"/>
      <c r="K19" s="61"/>
    </row>
    <row r="20" spans="2:11">
      <c r="B20" s="24"/>
      <c r="C20" s="21"/>
      <c r="D20" s="22"/>
      <c r="E20" s="24"/>
      <c r="I20" s="26" t="s">
        <v>88</v>
      </c>
      <c r="J20" s="36"/>
      <c r="K20" s="61"/>
    </row>
    <row r="21" spans="2:11">
      <c r="B21" s="20" t="s">
        <v>89</v>
      </c>
      <c r="C21" s="21"/>
      <c r="D21" s="22"/>
      <c r="E21" s="24"/>
      <c r="I21" s="21" t="s">
        <v>90</v>
      </c>
      <c r="J21" s="36" t="s">
        <v>91</v>
      </c>
      <c r="K21" s="61">
        <f>SUM(K13*0.175)</f>
        <v>1867.1190377878622</v>
      </c>
    </row>
    <row r="22" spans="2:11">
      <c r="B22" s="24" t="s">
        <v>92</v>
      </c>
      <c r="C22" s="21" t="s">
        <v>93</v>
      </c>
      <c r="D22" s="22">
        <v>5</v>
      </c>
      <c r="E22" s="24">
        <f>SUM(E29*0.05)</f>
        <v>140828.52816337722</v>
      </c>
      <c r="I22" s="39" t="s">
        <v>94</v>
      </c>
      <c r="J22" s="36" t="s">
        <v>95</v>
      </c>
      <c r="K22" s="61">
        <f>SUM(K25*0.11)</f>
        <v>7824.1178726348517</v>
      </c>
    </row>
    <row r="23" spans="2:11">
      <c r="B23" s="24" t="s">
        <v>96</v>
      </c>
      <c r="C23" s="21" t="s">
        <v>97</v>
      </c>
      <c r="D23" s="22">
        <v>5</v>
      </c>
      <c r="E23" s="24">
        <f>SUM(E29*0.05)</f>
        <v>140828.52816337722</v>
      </c>
      <c r="I23" s="21" t="s">
        <v>98</v>
      </c>
      <c r="J23" s="39" t="s">
        <v>99</v>
      </c>
      <c r="K23" s="61">
        <f>SUM(K25*0.035)</f>
        <v>2489.4920503838166</v>
      </c>
    </row>
    <row r="24" spans="2:11">
      <c r="B24" s="24" t="s">
        <v>100</v>
      </c>
      <c r="C24" s="21" t="s">
        <v>76</v>
      </c>
      <c r="D24" s="22">
        <v>5</v>
      </c>
      <c r="E24" s="24">
        <f>SUM(E29*0.05)</f>
        <v>140828.52816337722</v>
      </c>
      <c r="I24" s="21"/>
      <c r="J24" s="39"/>
      <c r="K24" s="61"/>
    </row>
    <row r="25" spans="2:11" ht="17.25" customHeight="1" thickBot="1">
      <c r="B25" s="24" t="s">
        <v>101</v>
      </c>
      <c r="C25" s="21" t="s">
        <v>102</v>
      </c>
      <c r="D25" s="22">
        <v>5</v>
      </c>
      <c r="E25" s="24">
        <f>SUM(E29*0.05)</f>
        <v>140828.52816337722</v>
      </c>
      <c r="I25" s="29" t="s">
        <v>34</v>
      </c>
      <c r="J25" s="29"/>
      <c r="K25" s="65">
        <f>SUM(K27/0.49425)</f>
        <v>71128.344296680472</v>
      </c>
    </row>
    <row r="26" spans="2:11">
      <c r="B26" s="24"/>
      <c r="C26" s="21"/>
      <c r="D26" s="22"/>
      <c r="E26" s="24"/>
      <c r="I26" s="22"/>
      <c r="J26" s="22"/>
      <c r="K26" s="66"/>
    </row>
    <row r="27" spans="2:11">
      <c r="B27" s="20" t="s">
        <v>103</v>
      </c>
      <c r="C27" s="21"/>
      <c r="D27" s="22"/>
      <c r="E27" s="24">
        <f>SUM(E22:E25)</f>
        <v>563314.1126535089</v>
      </c>
      <c r="I27" s="22"/>
      <c r="J27" s="22"/>
      <c r="K27" s="66">
        <f>SUM(K6:K12,K15,0.6*K12)</f>
        <v>35155.184168634325</v>
      </c>
    </row>
    <row r="28" spans="2:11">
      <c r="B28" s="24"/>
      <c r="C28" s="21"/>
      <c r="D28" s="22"/>
      <c r="E28" s="24"/>
      <c r="I28" s="15"/>
      <c r="J28" s="15"/>
      <c r="K28" s="66"/>
    </row>
    <row r="29" spans="2:11">
      <c r="B29" s="24" t="s">
        <v>104</v>
      </c>
      <c r="C29" s="21">
        <v>100</v>
      </c>
      <c r="D29" s="22">
        <v>100</v>
      </c>
      <c r="E29" s="24">
        <f>SUM(E7*100/D7)</f>
        <v>2816570.5632675444</v>
      </c>
      <c r="I29" s="15"/>
      <c r="J29" s="15" t="s">
        <v>105</v>
      </c>
      <c r="K29" s="66">
        <f>(K12+K13+K14)</f>
        <v>14996.655363159709</v>
      </c>
    </row>
    <row r="30" spans="2:11">
      <c r="B30" s="24" t="s">
        <v>106</v>
      </c>
      <c r="C30" s="21">
        <v>20</v>
      </c>
      <c r="D30" s="25">
        <v>20</v>
      </c>
      <c r="E30" s="24">
        <f>SUM(E29*0.2)</f>
        <v>563314.1126535089</v>
      </c>
      <c r="K30" s="67">
        <f>SUM(K6:K23)</f>
        <v>71128.344296680472</v>
      </c>
    </row>
    <row r="31" spans="2:11">
      <c r="B31" s="24" t="s">
        <v>107</v>
      </c>
      <c r="C31" s="21">
        <v>20</v>
      </c>
      <c r="D31" s="25">
        <v>20</v>
      </c>
      <c r="E31" s="24">
        <f>SUM(E29*0.2)</f>
        <v>563314.1126535089</v>
      </c>
    </row>
    <row r="32" spans="2:11">
      <c r="B32" s="24"/>
      <c r="C32" s="21"/>
      <c r="D32" s="22"/>
      <c r="E32" s="24"/>
    </row>
    <row r="33" spans="2:5">
      <c r="B33" s="20" t="s">
        <v>108</v>
      </c>
      <c r="C33" s="26" t="s">
        <v>109</v>
      </c>
      <c r="D33" s="27"/>
      <c r="E33" s="20">
        <f>SUM(E29:E31)</f>
        <v>3943198.7885745619</v>
      </c>
    </row>
    <row r="34" spans="2:5" ht="17.25" customHeight="1" thickBot="1">
      <c r="B34" s="28" t="s">
        <v>110</v>
      </c>
      <c r="C34" s="29" t="s">
        <v>32</v>
      </c>
      <c r="D34" s="30"/>
      <c r="E34" s="73">
        <f>SUM(E33/((1-(1/((1.05)^25)))/0.07))</f>
        <v>391691.50113619486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Plastic</vt:lpstr>
      <vt:lpstr>Plastic EAC&amp;TPC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2023-08-01T06:57:28Z</dcterms:modified>
</cp:coreProperties>
</file>