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FC8C96BD-1F75-4383-B6DA-FB95D8C08264}" xr6:coauthVersionLast="47" xr6:coauthVersionMax="47" xr10:uidLastSave="{00000000-0000-0000-0000-000000000000}"/>
  <bookViews>
    <workbookView xWindow="2304" yWindow="2304" windowWidth="30264" windowHeight="12660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C28" i="1"/>
  <c r="D22" i="1"/>
  <c r="D21" i="1"/>
  <c r="D20" i="1"/>
  <c r="D19" i="1"/>
  <c r="D18" i="1"/>
  <c r="D23" i="1" s="1"/>
  <c r="K9" i="2" s="1"/>
  <c r="I9" i="1"/>
  <c r="I8" i="1"/>
  <c r="I7" i="1"/>
  <c r="I6" i="1"/>
  <c r="I5" i="1"/>
  <c r="I10" i="1" s="1"/>
  <c r="E7" i="2" s="1"/>
  <c r="E29" i="2" l="1"/>
  <c r="E14" i="2" l="1"/>
  <c r="E9" i="2"/>
  <c r="E24" i="2"/>
  <c r="E22" i="2"/>
  <c r="E15" i="2"/>
  <c r="E11" i="2"/>
  <c r="E31" i="2"/>
  <c r="E16" i="2"/>
  <c r="E30" i="2"/>
  <c r="E33" i="2" s="1"/>
  <c r="E34" i="2" s="1"/>
  <c r="E8" i="2"/>
  <c r="E10" i="2"/>
  <c r="K6" i="2"/>
  <c r="E17" i="2"/>
  <c r="E25" i="2"/>
  <c r="E23" i="2"/>
  <c r="K12" i="2" l="1"/>
  <c r="E19" i="2"/>
  <c r="E27" i="2"/>
  <c r="K15" i="2" l="1"/>
  <c r="K27" i="2"/>
  <c r="K25" i="2" s="1"/>
  <c r="K23" i="2" l="1"/>
  <c r="K13" i="2"/>
  <c r="K22" i="2"/>
  <c r="K14" i="2" l="1"/>
  <c r="K21" i="2"/>
  <c r="K16" i="2"/>
  <c r="K29" i="2"/>
  <c r="K18" i="2" s="1"/>
  <c r="K30" i="2"/>
</calcChain>
</file>

<file path=xl/sharedStrings.xml><?xml version="1.0" encoding="utf-8"?>
<sst xmlns="http://schemas.openxmlformats.org/spreadsheetml/2006/main" count="124" uniqueCount="106">
  <si>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</si>
  <si>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</si>
  <si>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</si>
  <si>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</si>
  <si>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</si>
  <si>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</si>
  <si>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</si>
  <si>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</si>
  <si>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</si>
  <si>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</si>
  <si>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</si>
  <si>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</si>
  <si>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</si>
  <si>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</si>
  <si>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</si>
  <si>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</si>
  <si>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</si>
  <si>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</si>
  <si>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</si>
  <si>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</si>
  <si>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</si>
  <si>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</si>
  <si>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</si>
  <si>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</si>
  <si>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</si>
  <si>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</si>
  <si>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</si>
  <si>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</si>
  <si>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</si>
  <si>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</si>
  <si>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</si>
  <si>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</si>
  <si>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</si>
  <si>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</si>
  <si>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</si>
  <si>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</si>
  <si>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</si>
  <si>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</si>
  <si>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</si>
  <si>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</si>
  <si>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</si>
  <si>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</si>
  <si>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</si>
  <si>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</si>
  <si>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</si>
  <si>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</si>
  <si>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</si>
  <si>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</si>
  <si>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</si>
  <si>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</si>
  <si>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</si>
  <si>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</si>
  <si>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</si>
  <si>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</si>
  <si>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</si>
  <si>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</si>
  <si>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</si>
  <si>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</si>
  <si>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</si>
  <si>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</si>
  <si>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</si>
  <si>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</si>
  <si>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</si>
  <si>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</si>
  <si>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</si>
  <si>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</si>
  <si>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</si>
  <si>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</si>
  <si>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</si>
  <si>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</si>
  <si>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</si>
  <si>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</si>
  <si>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</si>
  <si>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</si>
  <si>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</si>
  <si>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</si>
  <si>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</si>
  <si>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</si>
  <si>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</si>
  <si>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</si>
  <si>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</si>
  <si>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</si>
  <si>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</si>
  <si>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</si>
  <si>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</si>
  <si>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</si>
  <si>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</si>
  <si>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</si>
  <si>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</si>
  <si>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</si>
  <si>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</si>
  <si>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</si>
  <si>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</si>
  <si>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</si>
  <si>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</si>
  <si>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</si>
  <si>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</si>
  <si>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</si>
  <si>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</si>
  <si>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</si>
  <si>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</si>
  <si>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</si>
  <si>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[tonne/h]</t>
  </si>
  <si>
    <t>Cost [USD/tonne]</t>
  </si>
  <si>
    <t>Revenue [$/yr]</t>
  </si>
  <si>
    <t>CALCI-02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</si>
</sst>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workbookViewId="0">
      <selection activeCell="D13" sqref="D13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61">
        <v>147800</v>
      </c>
      <c r="D5" s="59" t="s">
        <v>11</v>
      </c>
      <c r="E5" s="61">
        <v>461492</v>
      </c>
      <c r="F5" s="62">
        <v>478593.375</v>
      </c>
      <c r="G5" s="61">
        <v>0.5</v>
      </c>
      <c r="H5" s="61">
        <v>1997</v>
      </c>
      <c r="I5" s="2">
        <f>C5*(F5/E5)^G5*(595.6/386.5)</f>
        <v>231942.79042225837</v>
      </c>
      <c r="J5" s="5"/>
    </row>
    <row r="6" spans="2:10">
      <c r="B6" s="6" t="s">
        <v>12</v>
      </c>
      <c r="C6" s="61">
        <v>20000</v>
      </c>
      <c r="D6" s="59" t="s">
        <v>13</v>
      </c>
      <c r="E6" s="61">
        <v>2500</v>
      </c>
      <c r="F6" s="62">
        <v>247705.034131452</v>
      </c>
      <c r="G6" s="63">
        <v>0.6</v>
      </c>
      <c r="H6" s="61">
        <v>1987</v>
      </c>
      <c r="I6" s="3">
        <f>C6*(F6/E6)^G6*(595.6/323.8)</f>
        <v>579835.41142865806</v>
      </c>
      <c r="J6" s="6"/>
    </row>
    <row r="7" spans="2:10">
      <c r="B7" s="6" t="s">
        <v>14</v>
      </c>
      <c r="C7" s="61">
        <v>20000</v>
      </c>
      <c r="D7" s="59" t="s">
        <v>13</v>
      </c>
      <c r="E7" s="61">
        <v>2500</v>
      </c>
      <c r="F7" s="62">
        <v>247734.83511059999</v>
      </c>
      <c r="G7" s="63">
        <v>0.6</v>
      </c>
      <c r="H7" s="61">
        <v>1987</v>
      </c>
      <c r="I7" s="58">
        <f>C7*(F7/E7)^G7*(595.6/323.8)</f>
        <v>579877.2658398411</v>
      </c>
      <c r="J7" s="6"/>
    </row>
    <row r="8" spans="2:10">
      <c r="B8" s="6" t="s">
        <v>15</v>
      </c>
      <c r="C8" s="61">
        <v>165000</v>
      </c>
      <c r="D8" s="59" t="s">
        <v>11</v>
      </c>
      <c r="E8" s="61">
        <v>359263</v>
      </c>
      <c r="F8" s="39">
        <v>480036.82</v>
      </c>
      <c r="G8">
        <v>0.6</v>
      </c>
      <c r="H8">
        <v>1998</v>
      </c>
      <c r="I8" s="3">
        <f>C8*(F8/E8)^G8*(595.6/389.5)</f>
        <v>300226.07329021464</v>
      </c>
      <c r="J8" s="6"/>
    </row>
    <row r="9" spans="2:10" ht="18" customHeight="1" thickBot="1">
      <c r="B9" s="7" t="s">
        <v>16</v>
      </c>
      <c r="C9" s="61">
        <v>165000</v>
      </c>
      <c r="D9" s="59" t="s">
        <v>11</v>
      </c>
      <c r="E9" s="61">
        <v>359263</v>
      </c>
      <c r="F9" s="39">
        <v>480036.82</v>
      </c>
      <c r="G9">
        <v>0.6</v>
      </c>
      <c r="H9">
        <v>1998</v>
      </c>
      <c r="I9" s="3">
        <f>C9*(F9/E9)^G9*(595.6/389.5)</f>
        <v>300226.07329021464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1992107.6142711868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4">
        <v>335032.15500000003</v>
      </c>
      <c r="D18" s="36">
        <f>C18*C31*C28</f>
        <v>81503.272346850004</v>
      </c>
    </row>
    <row r="19" spans="1:4">
      <c r="B19" s="6" t="s">
        <v>12</v>
      </c>
      <c r="C19" s="60">
        <v>3686042.04</v>
      </c>
      <c r="D19" s="36">
        <f>C19*C31*C28</f>
        <v>896703.4470708</v>
      </c>
    </row>
    <row r="20" spans="1:4">
      <c r="B20" s="6" t="s">
        <v>14</v>
      </c>
      <c r="C20" s="60">
        <v>862.51951299999996</v>
      </c>
      <c r="D20" s="36">
        <f>C20*C31*C28</f>
        <v>209.82512192751</v>
      </c>
    </row>
    <row r="21" spans="1:4">
      <c r="B21" s="6" t="s">
        <v>15</v>
      </c>
      <c r="C21" s="60">
        <v>-506057.071</v>
      </c>
      <c r="D21" s="36">
        <f>C21*C30*C28</f>
        <v>13766.4729252414</v>
      </c>
    </row>
    <row r="22" spans="1:4" ht="18" customHeight="1" thickBot="1">
      <c r="B22" s="6" t="s">
        <v>16</v>
      </c>
      <c r="C22" s="65">
        <v>0.22062881100000001</v>
      </c>
      <c r="D22" s="36">
        <f>C22*C31*C28</f>
        <v>5.3672370851970005E-2</v>
      </c>
    </row>
    <row r="23" spans="1:4" ht="18" customHeight="1" thickBot="1">
      <c r="B23" s="4" t="s">
        <v>17</v>
      </c>
      <c r="C23" s="38"/>
      <c r="D23" s="55">
        <f>SUM(D18:D22)</f>
        <v>992183.07113718987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4" t="s">
        <v>22</v>
      </c>
      <c r="C29" s="57">
        <v>0.06</v>
      </c>
    </row>
    <row r="30" spans="1:4">
      <c r="A30" s="8" t="s">
        <v>23</v>
      </c>
      <c r="B30" s="44" t="s">
        <v>24</v>
      </c>
      <c r="C30" s="42">
        <v>-8.8900000000000003E-10</v>
      </c>
    </row>
    <row r="31" spans="1:4" ht="18" customHeight="1" thickBot="1">
      <c r="A31" s="8" t="s">
        <v>25</v>
      </c>
      <c r="B31" s="45" t="s">
        <v>26</v>
      </c>
      <c r="C31" s="43">
        <v>7.9500000000000001E-9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6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7">
        <f>SUM(E29*0.01)</f>
        <v>66403.587142372897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1992107.6142711868</v>
      </c>
      <c r="I7" s="21" t="s">
        <v>42</v>
      </c>
      <c r="J7" s="31"/>
      <c r="K7" s="47"/>
    </row>
    <row r="8" spans="2:11">
      <c r="B8" s="19" t="s">
        <v>43</v>
      </c>
      <c r="C8" s="16" t="s">
        <v>44</v>
      </c>
      <c r="D8" s="17">
        <v>10</v>
      </c>
      <c r="E8" s="19">
        <f>SUM(E29*0.1)</f>
        <v>664035.871423729</v>
      </c>
      <c r="I8" s="32" t="s">
        <v>45</v>
      </c>
      <c r="J8" s="31" t="s">
        <v>23</v>
      </c>
      <c r="K8" s="48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332017.9357118645</v>
      </c>
      <c r="I9" s="31" t="s">
        <v>48</v>
      </c>
      <c r="J9" s="31" t="s">
        <v>23</v>
      </c>
      <c r="K9" s="56">
        <f>Desulf!D23</f>
        <v>992183.07113718987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664035.871423729</v>
      </c>
      <c r="I10" s="31" t="s">
        <v>51</v>
      </c>
      <c r="J10" s="31"/>
      <c r="K10" s="49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332017.9357118645</v>
      </c>
      <c r="I11" s="31" t="s">
        <v>54</v>
      </c>
      <c r="J11" s="31" t="s">
        <v>55</v>
      </c>
      <c r="K11" s="54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50">
        <f>SUM(K6*0.04)</f>
        <v>2656.1434856949159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7">
        <f>SUM(K25*0.15)</f>
        <v>322681.30785418174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531228.69713898317</v>
      </c>
      <c r="I14" s="16" t="s">
        <v>62</v>
      </c>
      <c r="J14" s="31" t="s">
        <v>63</v>
      </c>
      <c r="K14" s="47">
        <f>SUM(K13*0.3)</f>
        <v>96804.392356254524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132807.17428474579</v>
      </c>
      <c r="I15" s="16" t="s">
        <v>66</v>
      </c>
      <c r="J15" s="31" t="s">
        <v>67</v>
      </c>
      <c r="K15" s="47">
        <f>SUM(K12*0.15)</f>
        <v>398.42152285423737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531228.69713898317</v>
      </c>
      <c r="I16" s="16" t="s">
        <v>70</v>
      </c>
      <c r="J16" s="31" t="s">
        <v>71</v>
      </c>
      <c r="K16" s="47">
        <f>SUM(K13*0.15)</f>
        <v>48402.196178127262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132807.17428474579</v>
      </c>
      <c r="I17" s="16"/>
      <c r="J17" s="31"/>
      <c r="K17" s="47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7">
        <f>SUM(0.6*K29)</f>
        <v>253285.10621767867</v>
      </c>
    </row>
    <row r="19" spans="2:11">
      <c r="B19" s="15" t="s">
        <v>76</v>
      </c>
      <c r="C19" s="16"/>
      <c r="D19" s="17"/>
      <c r="E19" s="19">
        <f>SUM(E7:E17)</f>
        <v>5312286.971389831</v>
      </c>
      <c r="I19" s="16"/>
      <c r="J19" s="31"/>
      <c r="K19" s="47"/>
    </row>
    <row r="20" spans="2:11">
      <c r="B20" s="19"/>
      <c r="C20" s="16"/>
      <c r="D20" s="17"/>
      <c r="E20" s="19"/>
      <c r="I20" s="21" t="s">
        <v>77</v>
      </c>
      <c r="J20" s="31"/>
      <c r="K20" s="47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7">
        <f>SUM(K13*0.175)</f>
        <v>56469.2288744818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332017.9357118645</v>
      </c>
      <c r="I22" s="34" t="s">
        <v>83</v>
      </c>
      <c r="J22" s="31" t="s">
        <v>84</v>
      </c>
      <c r="K22" s="47">
        <f>SUM(K25*0.11)</f>
        <v>236632.9590930666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332017.9357118645</v>
      </c>
      <c r="I23" s="16" t="s">
        <v>87</v>
      </c>
      <c r="J23" s="34" t="s">
        <v>88</v>
      </c>
      <c r="K23" s="47">
        <f>SUM(K25*0.035)</f>
        <v>75292.305165975748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332017.9357118645</v>
      </c>
      <c r="I24" s="16"/>
      <c r="J24" s="34"/>
      <c r="K24" s="47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332017.9357118645</v>
      </c>
      <c r="I25" s="24" t="s">
        <v>92</v>
      </c>
      <c r="J25" s="24"/>
      <c r="K25" s="51">
        <f>SUM(K27/0.49425)</f>
        <v>2151208.7190278783</v>
      </c>
    </row>
    <row r="26" spans="2:11">
      <c r="B26" s="19"/>
      <c r="C26" s="16"/>
      <c r="D26" s="17"/>
      <c r="E26" s="19"/>
      <c r="I26" s="17"/>
      <c r="J26" s="17"/>
      <c r="K26" s="52"/>
    </row>
    <row r="27" spans="2:11">
      <c r="B27" s="15" t="s">
        <v>93</v>
      </c>
      <c r="C27" s="16"/>
      <c r="D27" s="17"/>
      <c r="E27" s="19">
        <f>SUM(E22:E25)</f>
        <v>1328071.742847458</v>
      </c>
      <c r="I27" s="17"/>
      <c r="J27" s="17"/>
      <c r="K27" s="52">
        <f>SUM(K6:K12,K15,0.6*K12)</f>
        <v>1063234.9093795288</v>
      </c>
    </row>
    <row r="28" spans="2:11">
      <c r="B28" s="19"/>
      <c r="C28" s="16"/>
      <c r="D28" s="17"/>
      <c r="E28" s="19"/>
      <c r="I28" s="10"/>
      <c r="J28" s="10"/>
      <c r="K28" s="52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6640358.7142372895</v>
      </c>
      <c r="I29" s="10"/>
      <c r="J29" s="10" t="s">
        <v>95</v>
      </c>
      <c r="K29" s="52">
        <f>(K12+K13+K14)</f>
        <v>422141.84369613114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1328071.742847458</v>
      </c>
      <c r="K30" s="53">
        <f>SUM(K6:K23)</f>
        <v>2151208.7190278783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1328071.742847458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9296502.1999322046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923453.54552203766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"/>
  <sheetViews>
    <sheetView workbookViewId="0">
      <selection activeCell="E3" sqref="E3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14.59765625" style="35" customWidth="1"/>
  </cols>
  <sheetData>
    <row r="1" spans="2:5" ht="18" customHeight="1" thickBot="1"/>
    <row r="2" spans="2:5" ht="18" customHeight="1" thickBot="1">
      <c r="B2" s="4"/>
      <c r="C2" s="67" t="s">
        <v>102</v>
      </c>
      <c r="D2" s="37" t="s">
        <v>103</v>
      </c>
      <c r="E2" s="38" t="s">
        <v>104</v>
      </c>
    </row>
    <row r="3" spans="2:5" ht="18" customHeight="1" thickBot="1">
      <c r="B3" s="7" t="s">
        <v>105</v>
      </c>
      <c r="C3" s="68">
        <v>4.3025564799999998</v>
      </c>
      <c r="D3" s="66">
        <v>500</v>
      </c>
      <c r="E3" s="69">
        <f>C3*D3*8500</f>
        <v>18285865.039999999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2023-09-13T12:04:15Z</dcterms:modified>
</cp:coreProperties>
</file>