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PSID_PC22\Documents\GitHub\TeamEnv\TEA\"/>
    </mc:Choice>
  </mc:AlternateContent>
  <xr:revisionPtr revIDLastSave="0" documentId="13_ncr:1_{AD0E4439-EEA6-4464-AD12-F6EB9968093C}" xr6:coauthVersionLast="47" xr6:coauthVersionMax="47" xr10:uidLastSave="{00000000-0000-0000-0000-000000000000}"/>
  <bookViews>
    <workbookView xWindow="6960" yWindow="4365" windowWidth="20910" windowHeight="11835" activeTab="1" xr2:uid="{00000000-000D-0000-FFFF-FFFF00000000}"/>
  </bookViews>
  <sheets>
    <sheet name="SMR" sheetId="1" r:id="rId1"/>
    <sheet name="SMR EAC&amp;TP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1" l="1"/>
  <c r="E39" i="1" s="1"/>
  <c r="C47" i="1"/>
  <c r="K11" i="2" s="1"/>
  <c r="E41" i="1"/>
  <c r="E34" i="1"/>
  <c r="E31" i="1"/>
  <c r="E30" i="1"/>
  <c r="I20" i="1"/>
  <c r="I19" i="1"/>
  <c r="I16" i="1"/>
  <c r="I15" i="1"/>
  <c r="I14" i="1"/>
  <c r="I13" i="1"/>
  <c r="I11" i="1"/>
  <c r="I10" i="1"/>
  <c r="I9" i="1"/>
  <c r="I8" i="1"/>
  <c r="I6" i="1"/>
  <c r="I5" i="1"/>
  <c r="I22" i="1" s="1"/>
  <c r="E7" i="2" s="1"/>
  <c r="E29" i="2" l="1"/>
  <c r="E33" i="1"/>
  <c r="E47" i="1" s="1"/>
  <c r="K9" i="2" s="1"/>
  <c r="E35" i="1"/>
  <c r="E44" i="1"/>
  <c r="E36" i="1"/>
  <c r="E10" i="2" l="1"/>
  <c r="K6" i="2"/>
  <c r="E31" i="2"/>
  <c r="E24" i="2"/>
  <c r="E22" i="2"/>
  <c r="E16" i="2"/>
  <c r="E11" i="2"/>
  <c r="E9" i="2"/>
  <c r="E8" i="2"/>
  <c r="E23" i="2"/>
  <c r="E17" i="2"/>
  <c r="E14" i="2"/>
  <c r="E30" i="2"/>
  <c r="E33" i="2" s="1"/>
  <c r="E34" i="2" s="1"/>
  <c r="E25" i="2"/>
  <c r="E15" i="2"/>
  <c r="E19" i="2" l="1"/>
  <c r="E27" i="2"/>
  <c r="K12" i="2"/>
  <c r="K15" i="2" l="1"/>
  <c r="K27" i="2"/>
  <c r="K25" i="2" s="1"/>
  <c r="K23" i="2" l="1"/>
  <c r="K22" i="2"/>
  <c r="K13" i="2"/>
  <c r="K14" i="2" l="1"/>
  <c r="K21" i="2"/>
  <c r="K16" i="2"/>
  <c r="K29" i="2"/>
  <c r="K18" i="2" s="1"/>
  <c r="K30" i="2" s="1"/>
</calcChain>
</file>

<file path=xl/sharedStrings.xml><?xml version="1.0" encoding="utf-8"?>
<sst xmlns="http://schemas.openxmlformats.org/spreadsheetml/2006/main" count="224" uniqueCount="123">
  <si>
    <t>Capex</t>
  </si>
  <si>
    <t>Equipment</t>
  </si>
  <si>
    <t>Reference equpment cost ($)</t>
  </si>
  <si>
    <t xml:space="preserve">Scale paramter </t>
  </si>
  <si>
    <t>Refernece capacity</t>
  </si>
  <si>
    <t xml:space="preserve">Capacity </t>
  </si>
  <si>
    <t>Capacity correction factor</t>
  </si>
  <si>
    <t>Refernece year</t>
  </si>
  <si>
    <t>Equipment cost ($)</t>
  </si>
  <si>
    <t>Ref</t>
  </si>
  <si>
    <t>COMP</t>
  </si>
  <si>
    <t>Power (Kw)</t>
  </si>
  <si>
    <t>HEAT1</t>
  </si>
  <si>
    <t>Heat exchange area (m^2)</t>
  </si>
  <si>
    <t>MIX2</t>
  </si>
  <si>
    <t>-</t>
  </si>
  <si>
    <t>SMR</t>
  </si>
  <si>
    <t>Feed flow rate (kg/hr)</t>
  </si>
  <si>
    <t>PUMP</t>
  </si>
  <si>
    <t>Energy, exergy, economy analysis and multi-objective optimization of a novel cascade absorption heat transformer driven by low-level waste heat</t>
  </si>
  <si>
    <t>HX1</t>
  </si>
  <si>
    <t>HX2</t>
  </si>
  <si>
    <t>MIX1</t>
  </si>
  <si>
    <t>WGS</t>
  </si>
  <si>
    <t>COOL1</t>
  </si>
  <si>
    <t>DRUM</t>
  </si>
  <si>
    <t>Feed flow rate (kg/h)</t>
  </si>
  <si>
    <t>PSA</t>
  </si>
  <si>
    <t>Feed flow rate (kmol/hr)</t>
  </si>
  <si>
    <t>Ghokan, Alptekin. TDA Research, Inc., September 2000</t>
  </si>
  <si>
    <t>VALVE1</t>
  </si>
  <si>
    <t>VALVE2</t>
  </si>
  <si>
    <t>HEAT2</t>
  </si>
  <si>
    <t>VSA</t>
  </si>
  <si>
    <t>CO2 feed flow rate (kg/h)</t>
  </si>
  <si>
    <t>Techno-economic prospects of small-scale membrane reactors in a future hydrogen-fuelled transportation sector</t>
  </si>
  <si>
    <t>VALVE3</t>
  </si>
  <si>
    <t>Total</t>
  </si>
  <si>
    <t>Opex</t>
  </si>
  <si>
    <t>Block brake power (kW)</t>
  </si>
  <si>
    <t>Block heat duty (cal/sec)</t>
  </si>
  <si>
    <t>Annual operating cost</t>
  </si>
  <si>
    <t>** Heat duty가 아닌 kW로 계산</t>
  </si>
  <si>
    <t>Annual operating hours [sec/yr]</t>
  </si>
  <si>
    <t>Electricity cost [$/kWh]</t>
  </si>
  <si>
    <t>Cooling price [$/cal]</t>
  </si>
  <si>
    <t>+</t>
  </si>
  <si>
    <t>Heating price [$/cal]</t>
  </si>
  <si>
    <t>EAC (B.P)</t>
  </si>
  <si>
    <t>TPC (BP)</t>
  </si>
  <si>
    <t xml:space="preserve">Classification </t>
  </si>
  <si>
    <t>% of FCI</t>
  </si>
  <si>
    <t xml:space="preserve">Used </t>
  </si>
  <si>
    <t>Value</t>
  </si>
  <si>
    <t>Classification</t>
  </si>
  <si>
    <t>Range</t>
  </si>
  <si>
    <t>Direct cost</t>
  </si>
  <si>
    <t>Fixed charge(FC) = FCI * 0.08</t>
  </si>
  <si>
    <t>ISBL (Inside battery limit, 전체공사구역 중 주 공정시설)</t>
  </si>
  <si>
    <t>Local taxes, Insurance</t>
  </si>
  <si>
    <t>8% of FCI</t>
  </si>
  <si>
    <t xml:space="preserve">Equipment cost &lt;&lt; 직접 구하길 </t>
  </si>
  <si>
    <t>20-40</t>
  </si>
  <si>
    <t>Direct production cost (DPC)</t>
  </si>
  <si>
    <t>Installation of equipment = FCI * 0.1</t>
  </si>
  <si>
    <t>7.3-26</t>
  </si>
  <si>
    <t>Carbon tax</t>
  </si>
  <si>
    <t>Instrument and control = FCI * 0.05</t>
  </si>
  <si>
    <t>2.5-7.0</t>
  </si>
  <si>
    <t xml:space="preserve">Raw materials </t>
  </si>
  <si>
    <t>Piping = FCI * 0.1</t>
  </si>
  <si>
    <t>3.0-15</t>
  </si>
  <si>
    <t>Membrane replacement cost</t>
  </si>
  <si>
    <t>Electrical = FCI * 0.05</t>
  </si>
  <si>
    <t>2.5-9.0</t>
  </si>
  <si>
    <t>Electricity</t>
  </si>
  <si>
    <t>$0.06/kWh</t>
  </si>
  <si>
    <t>Matinenenance (M) = FC * 0.08</t>
  </si>
  <si>
    <t>OSBL(Outside bettery limit,주공정시설 외 부대시설)</t>
  </si>
  <si>
    <t>Operating labor (OL) = TPC * 0.15</t>
  </si>
  <si>
    <t>15% of OPEX</t>
  </si>
  <si>
    <t>Building and building services = FCI * 0.08</t>
  </si>
  <si>
    <t>6.0-20</t>
  </si>
  <si>
    <t>Supervision and support labor (S) = labor * 0.3</t>
  </si>
  <si>
    <t>30% of OL</t>
  </si>
  <si>
    <t>Yard improvements = FCI * 0.02</t>
  </si>
  <si>
    <t>1.5-5.0</t>
  </si>
  <si>
    <t>Operating supplies = maintenance * 0.15</t>
  </si>
  <si>
    <t>15% of M</t>
  </si>
  <si>
    <t>Services facilities = FCI * 0.08</t>
  </si>
  <si>
    <t>8.0-35</t>
  </si>
  <si>
    <t>Laboratory charges = labor * 0.15</t>
  </si>
  <si>
    <t>15% of OL</t>
  </si>
  <si>
    <t>Land = FCI * 0.02</t>
  </si>
  <si>
    <t>1.0-2.0</t>
  </si>
  <si>
    <t>Plant overhead cost(OVHD)</t>
  </si>
  <si>
    <t>60% of M+OL+S</t>
  </si>
  <si>
    <t>Total direct cost = FCI * 0.5 + Equipment cost</t>
  </si>
  <si>
    <t>General expenses</t>
  </si>
  <si>
    <t>Indirect cost</t>
  </si>
  <si>
    <t xml:space="preserve">Admistrative cost </t>
  </si>
  <si>
    <t>17.5% of OL</t>
  </si>
  <si>
    <t>Engineering = FCI * 0.05</t>
  </si>
  <si>
    <t>4.0-21</t>
  </si>
  <si>
    <t>Distribution and marketing</t>
  </si>
  <si>
    <t>11% of OPEX</t>
  </si>
  <si>
    <t>Construction expenses = FCI * 0.05</t>
  </si>
  <si>
    <t>4.8-22</t>
  </si>
  <si>
    <t xml:space="preserve">R&amp;D cost </t>
  </si>
  <si>
    <t>3.5% of OPEX</t>
  </si>
  <si>
    <t>Contractor's fee = FCI * 0.05</t>
  </si>
  <si>
    <t>Contingency = FCI * 0.05</t>
  </si>
  <si>
    <t>5.0-20</t>
  </si>
  <si>
    <t>TPC</t>
  </si>
  <si>
    <t>Total indirect cost = FCI * 0.2</t>
  </si>
  <si>
    <t>Fixed capital investment (FCI)</t>
  </si>
  <si>
    <t>OVHD</t>
  </si>
  <si>
    <t>Start up cost (SUC)  = FCI * 0.2</t>
  </si>
  <si>
    <t>Working capital investment (WCI)  = FCI * 0.2</t>
  </si>
  <si>
    <t>TCI</t>
  </si>
  <si>
    <t>NPV</t>
  </si>
  <si>
    <t>EAC (r=7%, t=25 year)    RP=r, NP=t</t>
  </si>
  <si>
    <t>EAC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</si>
</sst>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-* #,##0.00_-;\-* #,##0.00_-;_-* &quot;-&quot;_-;_-@_-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rial"/>
      <family val="2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4" tint="-0.249977111117893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>
      <alignment vertical="center"/>
    </xf>
  </cellStyleXfs>
  <cellXfs count="80">
    <xf numFmtId="0" fontId="0" fillId="0" borderId="0" xfId="0">
      <alignment vertical="center"/>
    </xf>
    <xf numFmtId="0" fontId="3" fillId="0" borderId="1" xfId="0" applyFont="1" applyBorder="1" applyAlignment="1"/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1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41" fontId="0" fillId="0" borderId="1" xfId="1" applyFont="1" applyBorder="1" applyAlignment="1">
      <alignment horizontal="left"/>
    </xf>
    <xf numFmtId="41" fontId="0" fillId="0" borderId="13" xfId="1" applyFont="1" applyBorder="1" applyAlignment="1">
      <alignment horizontal="left"/>
    </xf>
    <xf numFmtId="41" fontId="0" fillId="0" borderId="14" xfId="1" applyFont="1" applyBorder="1" applyAlignment="1">
      <alignment horizontal="left"/>
    </xf>
    <xf numFmtId="41" fontId="0" fillId="0" borderId="1" xfId="1" applyFont="1" applyBorder="1" applyAlignment="1">
      <alignment horizontal="left" vertical="center"/>
    </xf>
    <xf numFmtId="41" fontId="4" fillId="0" borderId="11" xfId="1" applyFont="1" applyBorder="1" applyAlignment="1">
      <alignment horizontal="left"/>
    </xf>
    <xf numFmtId="41" fontId="0" fillId="0" borderId="4" xfId="1" applyFont="1" applyBorder="1" applyAlignment="1">
      <alignment horizontal="left"/>
    </xf>
    <xf numFmtId="41" fontId="0" fillId="0" borderId="0" xfId="1" applyFont="1" applyAlignment="1">
      <alignment horizontal="left"/>
    </xf>
    <xf numFmtId="41" fontId="0" fillId="0" borderId="10" xfId="1" applyFont="1" applyBorder="1" applyAlignment="1">
      <alignment horizontal="left"/>
    </xf>
    <xf numFmtId="41" fontId="0" fillId="0" borderId="11" xfId="1" applyFont="1" applyBorder="1" applyAlignment="1">
      <alignment horizontal="left"/>
    </xf>
    <xf numFmtId="41" fontId="5" fillId="0" borderId="0" xfId="1" applyFont="1" applyAlignment="1">
      <alignment horizontal="left"/>
    </xf>
    <xf numFmtId="41" fontId="4" fillId="0" borderId="4" xfId="1" applyFont="1" applyBorder="1" applyAlignment="1">
      <alignment horizontal="left"/>
    </xf>
    <xf numFmtId="41" fontId="4" fillId="0" borderId="0" xfId="1" applyFont="1" applyAlignment="1">
      <alignment horizontal="left"/>
    </xf>
    <xf numFmtId="41" fontId="4" fillId="0" borderId="12" xfId="1" applyFont="1" applyBorder="1" applyAlignment="1">
      <alignment horizontal="left"/>
    </xf>
    <xf numFmtId="41" fontId="4" fillId="0" borderId="6" xfId="1" applyFont="1" applyBorder="1" applyAlignment="1">
      <alignment horizontal="left"/>
    </xf>
    <xf numFmtId="41" fontId="4" fillId="0" borderId="7" xfId="1" applyFont="1" applyBorder="1" applyAlignment="1">
      <alignment horizontal="left"/>
    </xf>
    <xf numFmtId="41" fontId="0" fillId="0" borderId="9" xfId="1" applyFont="1" applyBorder="1" applyAlignment="1">
      <alignment horizontal="left"/>
    </xf>
    <xf numFmtId="0" fontId="0" fillId="0" borderId="1" xfId="1" applyNumberFormat="1" applyFont="1" applyBorder="1" applyAlignment="1">
      <alignment horizontal="left" vertical="center"/>
    </xf>
    <xf numFmtId="41" fontId="4" fillId="0" borderId="2" xfId="1" applyFont="1" applyBorder="1" applyAlignment="1">
      <alignment horizontal="left"/>
    </xf>
    <xf numFmtId="41" fontId="0" fillId="0" borderId="2" xfId="1" applyFont="1" applyBorder="1" applyAlignment="1">
      <alignment horizontal="left"/>
    </xf>
    <xf numFmtId="41" fontId="5" fillId="0" borderId="4" xfId="1" applyFont="1" applyBorder="1" applyAlignment="1">
      <alignment horizontal="left"/>
    </xf>
    <xf numFmtId="41" fontId="6" fillId="0" borderId="4" xfId="1" applyFont="1" applyBorder="1" applyAlignment="1">
      <alignment horizontal="left"/>
    </xf>
    <xf numFmtId="41" fontId="7" fillId="0" borderId="4" xfId="1" applyFont="1" applyBorder="1" applyAlignment="1">
      <alignment horizontal="left"/>
    </xf>
    <xf numFmtId="41" fontId="8" fillId="0" borderId="4" xfId="1" applyFont="1" applyBorder="1" applyAlignment="1">
      <alignment horizontal="left"/>
    </xf>
    <xf numFmtId="41" fontId="9" fillId="0" borderId="4" xfId="1" applyFont="1" applyBorder="1" applyAlignment="1">
      <alignment horizontal="left"/>
    </xf>
    <xf numFmtId="0" fontId="0" fillId="0" borderId="0" xfId="0" applyAlignment="1"/>
    <xf numFmtId="0" fontId="7" fillId="0" borderId="11" xfId="0" applyFont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4" borderId="9" xfId="0" applyFill="1" applyBorder="1">
      <alignment vertical="center"/>
    </xf>
    <xf numFmtId="0" fontId="0" fillId="4" borderId="0" xfId="0" applyFill="1">
      <alignment vertical="center"/>
    </xf>
    <xf numFmtId="0" fontId="0" fillId="2" borderId="15" xfId="0" applyFill="1" applyBorder="1">
      <alignment vertical="center"/>
    </xf>
    <xf numFmtId="41" fontId="0" fillId="2" borderId="11" xfId="1" applyFont="1" applyFill="1" applyBorder="1" applyAlignment="1">
      <alignment horizontal="left"/>
    </xf>
    <xf numFmtId="0" fontId="0" fillId="0" borderId="5" xfId="0" applyBorder="1" applyAlignment="1"/>
    <xf numFmtId="0" fontId="0" fillId="0" borderId="8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9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176" fontId="0" fillId="0" borderId="10" xfId="1" applyNumberFormat="1" applyFont="1" applyBorder="1" applyAlignment="1">
      <alignment horizontal="left"/>
    </xf>
    <xf numFmtId="176" fontId="0" fillId="0" borderId="11" xfId="1" applyNumberFormat="1" applyFont="1" applyBorder="1" applyAlignment="1">
      <alignment horizontal="left"/>
    </xf>
    <xf numFmtId="176" fontId="7" fillId="0" borderId="11" xfId="1" applyNumberFormat="1" applyFont="1" applyBorder="1" applyAlignment="1">
      <alignment horizontal="right"/>
    </xf>
    <xf numFmtId="176" fontId="6" fillId="0" borderId="11" xfId="1" applyNumberFormat="1" applyFont="1" applyBorder="1" applyAlignment="1">
      <alignment horizontal="right"/>
    </xf>
    <xf numFmtId="176" fontId="0" fillId="0" borderId="11" xfId="1" applyNumberFormat="1" applyFont="1" applyBorder="1" applyAlignment="1">
      <alignment horizontal="left" vertical="top"/>
    </xf>
    <xf numFmtId="176" fontId="4" fillId="0" borderId="12" xfId="1" applyNumberFormat="1" applyFont="1" applyBorder="1" applyAlignment="1">
      <alignment horizontal="left"/>
    </xf>
    <xf numFmtId="176" fontId="0" fillId="0" borderId="0" xfId="1" applyNumberFormat="1" applyFont="1" applyAlignment="1">
      <alignment horizontal="left"/>
    </xf>
    <xf numFmtId="176" fontId="0" fillId="0" borderId="0" xfId="0" applyNumberFormat="1" applyAlignment="1"/>
    <xf numFmtId="0" fontId="0" fillId="3" borderId="1" xfId="0" applyFill="1" applyBorder="1">
      <alignment vertical="center"/>
    </xf>
    <xf numFmtId="176" fontId="6" fillId="3" borderId="11" xfId="1" applyNumberFormat="1" applyFont="1" applyFill="1" applyBorder="1" applyAlignment="1">
      <alignment horizontal="right"/>
    </xf>
    <xf numFmtId="0" fontId="3" fillId="0" borderId="5" xfId="0" applyFont="1" applyBorder="1" applyAlignment="1"/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41" fontId="0" fillId="0" borderId="0" xfId="1" applyFont="1" applyAlignment="1">
      <alignment horizontal="right"/>
    </xf>
    <xf numFmtId="0" fontId="0" fillId="0" borderId="7" xfId="0" applyBorder="1" applyAlignment="1">
      <alignment horizontal="right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41" fontId="0" fillId="0" borderId="4" xfId="1" applyFont="1" applyBorder="1" applyAlignment="1"/>
    <xf numFmtId="0" fontId="0" fillId="0" borderId="6" xfId="0" applyBorder="1" applyAlignment="1">
      <alignment horizontal="right" vertical="center"/>
    </xf>
    <xf numFmtId="41" fontId="0" fillId="0" borderId="8" xfId="0" applyNumberFormat="1" applyBorder="1" applyAlignment="1">
      <alignment horizontal="right" vertical="center"/>
    </xf>
    <xf numFmtId="0" fontId="0" fillId="6" borderId="10" xfId="0" applyFill="1" applyBorder="1">
      <alignment vertical="center"/>
    </xf>
    <xf numFmtId="0" fontId="0" fillId="6" borderId="11" xfId="0" applyFill="1" applyBorder="1">
      <alignment vertical="center"/>
    </xf>
    <xf numFmtId="0" fontId="7" fillId="7" borderId="5" xfId="0" applyFont="1" applyFill="1" applyBorder="1">
      <alignment vertical="center"/>
    </xf>
    <xf numFmtId="0" fontId="7" fillId="0" borderId="5" xfId="0" applyFont="1" applyBorder="1">
      <alignment vertical="center"/>
    </xf>
    <xf numFmtId="0" fontId="10" fillId="7" borderId="5" xfId="0" applyFont="1" applyFill="1" applyBorder="1">
      <alignment vertical="center"/>
    </xf>
    <xf numFmtId="0" fontId="10" fillId="0" borderId="5" xfId="0" applyFont="1" applyBorder="1">
      <alignment vertical="center"/>
    </xf>
    <xf numFmtId="0" fontId="0" fillId="5" borderId="12" xfId="0" applyFill="1" applyBorder="1">
      <alignment vertical="center"/>
    </xf>
    <xf numFmtId="176" fontId="6" fillId="5" borderId="11" xfId="1" applyNumberFormat="1" applyFont="1" applyFill="1" applyBorder="1" applyAlignment="1">
      <alignment horizontal="right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55"/>
  <sheetViews>
    <sheetView topLeftCell="A24" zoomScale="85" zoomScaleNormal="85" workbookViewId="0">
      <selection activeCell="J17" sqref="J17"/>
    </sheetView>
  </sheetViews>
  <sheetFormatPr defaultRowHeight="16.5" x14ac:dyDescent="0.3"/>
  <cols>
    <col min="2" max="2" width="29" style="38" bestFit="1" customWidth="1"/>
    <col min="3" max="3" width="27" style="38" bestFit="1" customWidth="1"/>
    <col min="4" max="4" width="24" style="38" bestFit="1" customWidth="1"/>
    <col min="5" max="5" width="21.625" style="38" bestFit="1" customWidth="1"/>
    <col min="6" max="6" width="14.625" style="38" customWidth="1"/>
    <col min="7" max="7" width="23.75" style="38" bestFit="1" customWidth="1"/>
    <col min="8" max="8" width="14.375" style="38" bestFit="1" customWidth="1"/>
    <col min="9" max="9" width="17.75" style="38" bestFit="1" customWidth="1"/>
    <col min="10" max="10" width="107.5" style="38" bestFit="1" customWidth="1"/>
  </cols>
  <sheetData>
    <row r="2" spans="2:10" x14ac:dyDescent="0.3">
      <c r="B2" s="11" t="s">
        <v>0</v>
      </c>
    </row>
    <row r="3" spans="2:10" ht="17.25" customHeight="1" thickBot="1" x14ac:dyDescent="0.35"/>
    <row r="4" spans="2:10" ht="17.25" customHeight="1" thickBot="1" x14ac:dyDescent="0.25">
      <c r="B4" s="6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</row>
    <row r="5" spans="2:10" x14ac:dyDescent="0.3">
      <c r="B5" s="8" t="s">
        <v>10</v>
      </c>
      <c r="C5" s="2">
        <v>15000</v>
      </c>
      <c r="D5" s="50" t="s">
        <v>11</v>
      </c>
      <c r="E5" s="7">
        <v>10</v>
      </c>
      <c r="F5" s="42">
        <v>0.94221838099999999</v>
      </c>
      <c r="G5" s="7">
        <v>0.9</v>
      </c>
      <c r="H5" s="7">
        <v>2004</v>
      </c>
      <c r="I5" s="3">
        <f>C5*(F5/E5)^G5*(595.6/444.2)</f>
        <v>2399.95892561045</v>
      </c>
      <c r="J5" s="3"/>
    </row>
    <row r="6" spans="2:10" x14ac:dyDescent="0.3">
      <c r="B6" s="9" t="s">
        <v>12</v>
      </c>
      <c r="C6" s="4">
        <v>15500</v>
      </c>
      <c r="D6" s="51" t="s">
        <v>13</v>
      </c>
      <c r="E6">
        <v>2</v>
      </c>
      <c r="F6" s="43">
        <v>9.1270180000000006E-3</v>
      </c>
      <c r="G6">
        <v>0.59</v>
      </c>
      <c r="H6">
        <v>2006</v>
      </c>
      <c r="I6" s="5">
        <f>C6*(F6/E6)^G6*(595.6/499.6)</f>
        <v>768.51140195191215</v>
      </c>
      <c r="J6" s="5"/>
    </row>
    <row r="7" spans="2:10" x14ac:dyDescent="0.3">
      <c r="B7" s="9" t="s">
        <v>14</v>
      </c>
      <c r="C7" s="63" t="s">
        <v>15</v>
      </c>
      <c r="D7" s="51" t="s">
        <v>15</v>
      </c>
      <c r="E7" s="51" t="s">
        <v>15</v>
      </c>
      <c r="F7" s="51" t="s">
        <v>15</v>
      </c>
      <c r="G7" s="51" t="s">
        <v>15</v>
      </c>
      <c r="H7" s="51" t="s">
        <v>15</v>
      </c>
      <c r="I7" s="64" t="s">
        <v>15</v>
      </c>
      <c r="J7" s="5"/>
    </row>
    <row r="8" spans="2:10" x14ac:dyDescent="0.3">
      <c r="B8" s="9" t="s">
        <v>16</v>
      </c>
      <c r="C8" s="4">
        <v>2100</v>
      </c>
      <c r="D8" s="51" t="s">
        <v>17</v>
      </c>
      <c r="E8">
        <v>4.79</v>
      </c>
      <c r="F8" s="43">
        <v>15.4220199</v>
      </c>
      <c r="G8">
        <v>0.78</v>
      </c>
      <c r="H8">
        <v>1990</v>
      </c>
      <c r="I8" s="5">
        <f>C8*(F8/E8)^G8*(595.6/357.6)</f>
        <v>8706.9280444963842</v>
      </c>
      <c r="J8" s="5"/>
    </row>
    <row r="9" spans="2:10" x14ac:dyDescent="0.3">
      <c r="B9" s="9" t="s">
        <v>18</v>
      </c>
      <c r="C9" s="4">
        <v>9840</v>
      </c>
      <c r="D9" s="51" t="s">
        <v>11</v>
      </c>
      <c r="E9">
        <v>4</v>
      </c>
      <c r="F9" s="43">
        <v>2.4718904E-2</v>
      </c>
      <c r="G9">
        <v>0.55000000000000004</v>
      </c>
      <c r="H9">
        <v>2000</v>
      </c>
      <c r="I9" s="5">
        <f>C9*(F9/E9)^G9*(595.6/394.1)</f>
        <v>906.51798212381595</v>
      </c>
      <c r="J9" s="5" t="s">
        <v>19</v>
      </c>
    </row>
    <row r="10" spans="2:10" x14ac:dyDescent="0.3">
      <c r="B10" s="9" t="s">
        <v>20</v>
      </c>
      <c r="C10" s="4">
        <v>15500</v>
      </c>
      <c r="D10" s="51" t="s">
        <v>13</v>
      </c>
      <c r="E10">
        <v>2</v>
      </c>
      <c r="F10" s="43">
        <v>2.5301007E-2</v>
      </c>
      <c r="G10">
        <v>0.59</v>
      </c>
      <c r="H10">
        <v>2006</v>
      </c>
      <c r="I10" s="5">
        <f>C10*(F10/E10)^G10*(595.6/499.6)</f>
        <v>1402.5151658105801</v>
      </c>
      <c r="J10" s="5"/>
    </row>
    <row r="11" spans="2:10" x14ac:dyDescent="0.3">
      <c r="B11" s="9" t="s">
        <v>21</v>
      </c>
      <c r="C11" s="4">
        <v>15500</v>
      </c>
      <c r="D11" s="51" t="s">
        <v>13</v>
      </c>
      <c r="E11">
        <v>2</v>
      </c>
      <c r="F11" s="43">
        <v>3.1410452999999998E-2</v>
      </c>
      <c r="G11">
        <v>0.59</v>
      </c>
      <c r="H11">
        <v>2006</v>
      </c>
      <c r="I11" s="5">
        <f>C11*(F11/E11)^G11*(595.6/499.6)</f>
        <v>1593.4191709428076</v>
      </c>
      <c r="J11" s="5"/>
    </row>
    <row r="12" spans="2:10" x14ac:dyDescent="0.3">
      <c r="B12" s="9" t="s">
        <v>22</v>
      </c>
      <c r="C12" s="63" t="s">
        <v>15</v>
      </c>
      <c r="D12" s="51" t="s">
        <v>15</v>
      </c>
      <c r="E12" s="51" t="s">
        <v>15</v>
      </c>
      <c r="F12" s="51" t="s">
        <v>15</v>
      </c>
      <c r="G12" s="51" t="s">
        <v>15</v>
      </c>
      <c r="H12" s="51" t="s">
        <v>15</v>
      </c>
      <c r="I12" s="64" t="s">
        <v>15</v>
      </c>
      <c r="J12" s="5"/>
    </row>
    <row r="13" spans="2:10" x14ac:dyDescent="0.3">
      <c r="B13" s="9" t="s">
        <v>23</v>
      </c>
      <c r="C13" s="4">
        <v>2100</v>
      </c>
      <c r="D13" s="51" t="s">
        <v>17</v>
      </c>
      <c r="E13">
        <v>4.79</v>
      </c>
      <c r="F13" s="43">
        <v>15.4220199</v>
      </c>
      <c r="G13">
        <v>0.78</v>
      </c>
      <c r="H13">
        <v>1990</v>
      </c>
      <c r="I13" s="5">
        <f>C13*(F13/E13)^G13*(595.6/357.6)</f>
        <v>8706.9280444963842</v>
      </c>
      <c r="J13" s="5"/>
    </row>
    <row r="14" spans="2:10" x14ac:dyDescent="0.3">
      <c r="B14" s="9" t="s">
        <v>24</v>
      </c>
      <c r="C14" s="4">
        <v>15500</v>
      </c>
      <c r="D14" s="51" t="s">
        <v>13</v>
      </c>
      <c r="E14">
        <v>2</v>
      </c>
      <c r="F14" s="43">
        <v>0.212900228</v>
      </c>
      <c r="G14">
        <v>0.59</v>
      </c>
      <c r="H14">
        <v>2006</v>
      </c>
      <c r="I14" s="5">
        <f>C14*(F14/E14)^G14*(595.6/499.6)</f>
        <v>4928.1075221932269</v>
      </c>
      <c r="J14" s="5"/>
    </row>
    <row r="15" spans="2:10" x14ac:dyDescent="0.3">
      <c r="B15" s="9" t="s">
        <v>25</v>
      </c>
      <c r="C15" s="69">
        <v>165000</v>
      </c>
      <c r="D15" s="65" t="s">
        <v>26</v>
      </c>
      <c r="E15" s="65">
        <v>359263</v>
      </c>
      <c r="F15" s="43">
        <v>15.4220199</v>
      </c>
      <c r="G15">
        <v>0.6</v>
      </c>
      <c r="H15">
        <v>1998</v>
      </c>
      <c r="I15" s="5">
        <f>C15*(F15/E15)^G15*(595.6/389.5)</f>
        <v>604.73963230598429</v>
      </c>
      <c r="J15" s="5"/>
    </row>
    <row r="16" spans="2:10" x14ac:dyDescent="0.3">
      <c r="B16" s="9" t="s">
        <v>27</v>
      </c>
      <c r="C16" s="4">
        <v>1510000</v>
      </c>
      <c r="D16" s="51" t="s">
        <v>28</v>
      </c>
      <c r="E16">
        <v>500</v>
      </c>
      <c r="F16" s="43">
        <v>0.98837313100000002</v>
      </c>
      <c r="G16">
        <v>0.6</v>
      </c>
      <c r="H16">
        <v>2000</v>
      </c>
      <c r="I16" s="5">
        <f>C16*(F16/E16)^G16*(595.6/394.1)</f>
        <v>54437.197274259415</v>
      </c>
      <c r="J16" s="5" t="s">
        <v>29</v>
      </c>
    </row>
    <row r="17" spans="2:10" x14ac:dyDescent="0.3">
      <c r="B17" s="9" t="s">
        <v>30</v>
      </c>
      <c r="C17" s="63" t="s">
        <v>15</v>
      </c>
      <c r="D17" s="51" t="s">
        <v>15</v>
      </c>
      <c r="E17" s="51" t="s">
        <v>15</v>
      </c>
      <c r="F17" s="51" t="s">
        <v>15</v>
      </c>
      <c r="G17" s="51" t="s">
        <v>15</v>
      </c>
      <c r="H17" s="51" t="s">
        <v>15</v>
      </c>
      <c r="I17" s="64" t="s">
        <v>15</v>
      </c>
      <c r="J17" s="5"/>
    </row>
    <row r="18" spans="2:10" x14ac:dyDescent="0.3">
      <c r="B18" s="9" t="s">
        <v>31</v>
      </c>
      <c r="C18" s="63" t="s">
        <v>15</v>
      </c>
      <c r="D18" s="51" t="s">
        <v>15</v>
      </c>
      <c r="E18" s="51" t="s">
        <v>15</v>
      </c>
      <c r="F18" s="51" t="s">
        <v>15</v>
      </c>
      <c r="G18" s="51" t="s">
        <v>15</v>
      </c>
      <c r="H18" s="51" t="s">
        <v>15</v>
      </c>
      <c r="I18" s="64" t="s">
        <v>15</v>
      </c>
      <c r="J18" s="5"/>
    </row>
    <row r="19" spans="2:10" x14ac:dyDescent="0.3">
      <c r="B19" s="9" t="s">
        <v>32</v>
      </c>
      <c r="C19" s="4">
        <v>15500</v>
      </c>
      <c r="D19" s="51" t="s">
        <v>13</v>
      </c>
      <c r="E19">
        <v>2</v>
      </c>
      <c r="F19" s="43">
        <v>7.4219230000000004E-3</v>
      </c>
      <c r="G19">
        <v>0.59</v>
      </c>
      <c r="H19">
        <v>2006</v>
      </c>
      <c r="I19" s="5">
        <f>C19*(F19/E19)^G19*(595.6/499.6)</f>
        <v>680.23811450771166</v>
      </c>
      <c r="J19" s="5"/>
    </row>
    <row r="20" spans="2:10" x14ac:dyDescent="0.3">
      <c r="B20" s="9" t="s">
        <v>33</v>
      </c>
      <c r="C20" s="4">
        <v>475000</v>
      </c>
      <c r="D20" s="51" t="s">
        <v>34</v>
      </c>
      <c r="E20">
        <v>600</v>
      </c>
      <c r="F20" s="43">
        <v>8.90729565</v>
      </c>
      <c r="G20">
        <v>0.7</v>
      </c>
      <c r="H20" s="51">
        <v>2004</v>
      </c>
      <c r="I20" s="5">
        <f>C20*(F20/E20)^G20*(595.6/444.2)</f>
        <v>33433.818195684209</v>
      </c>
      <c r="J20" s="5" t="s">
        <v>35</v>
      </c>
    </row>
    <row r="21" spans="2:10" ht="17.25" customHeight="1" thickBot="1" x14ac:dyDescent="0.35">
      <c r="B21" s="10" t="s">
        <v>36</v>
      </c>
      <c r="C21" s="70" t="s">
        <v>15</v>
      </c>
      <c r="D21" s="66" t="s">
        <v>15</v>
      </c>
      <c r="E21" s="66" t="s">
        <v>15</v>
      </c>
      <c r="F21" s="67" t="s">
        <v>15</v>
      </c>
      <c r="G21" s="66" t="s">
        <v>15</v>
      </c>
      <c r="H21" s="66" t="s">
        <v>15</v>
      </c>
      <c r="I21" s="71" t="s">
        <v>15</v>
      </c>
      <c r="J21" s="68"/>
    </row>
    <row r="22" spans="2:10" ht="17.25" customHeight="1" thickBot="1" x14ac:dyDescent="0.35">
      <c r="B22" s="6" t="s">
        <v>37</v>
      </c>
      <c r="C22" s="40"/>
      <c r="D22" s="40"/>
      <c r="E22" s="40"/>
      <c r="F22" s="40"/>
      <c r="G22" s="40"/>
      <c r="H22" s="40"/>
      <c r="I22" s="44">
        <f>SUM(I5:I21)</f>
        <v>118568.87947438288</v>
      </c>
    </row>
    <row r="27" spans="2:10" x14ac:dyDescent="0.3">
      <c r="B27" s="11" t="s">
        <v>38</v>
      </c>
    </row>
    <row r="28" spans="2:10" ht="17.25" customHeight="1" thickBot="1" x14ac:dyDescent="0.35"/>
    <row r="29" spans="2:10" ht="17.25" customHeight="1" thickBot="1" x14ac:dyDescent="0.35">
      <c r="B29" s="6" t="s">
        <v>1</v>
      </c>
      <c r="C29" s="8" t="s">
        <v>39</v>
      </c>
      <c r="D29" s="3" t="s">
        <v>40</v>
      </c>
      <c r="E29" s="6" t="s">
        <v>41</v>
      </c>
    </row>
    <row r="30" spans="2:10" x14ac:dyDescent="0.3">
      <c r="B30" s="8" t="s">
        <v>10</v>
      </c>
      <c r="C30" s="72">
        <v>0.94221838099999999</v>
      </c>
      <c r="D30" s="3" t="s">
        <v>15</v>
      </c>
      <c r="E30" s="39">
        <f>C30*C53*D52</f>
        <v>480.53137430999999</v>
      </c>
      <c r="F30" t="s">
        <v>42</v>
      </c>
    </row>
    <row r="31" spans="2:10" x14ac:dyDescent="0.3">
      <c r="B31" s="9" t="s">
        <v>12</v>
      </c>
      <c r="C31" s="9" t="s">
        <v>15</v>
      </c>
      <c r="D31" s="74">
        <v>64.851007800000005</v>
      </c>
      <c r="E31" s="39">
        <f>D31*IF(D31&gt;0,$C$55,$C$54)*$C$52</f>
        <v>15.776304667506</v>
      </c>
    </row>
    <row r="32" spans="2:10" x14ac:dyDescent="0.3">
      <c r="B32" s="9" t="s">
        <v>14</v>
      </c>
      <c r="C32" s="9" t="s">
        <v>15</v>
      </c>
      <c r="D32" s="75" t="s">
        <v>15</v>
      </c>
      <c r="E32" s="39" t="s">
        <v>15</v>
      </c>
    </row>
    <row r="33" spans="2:6" x14ac:dyDescent="0.3">
      <c r="B33" s="9" t="s">
        <v>16</v>
      </c>
      <c r="C33" s="9" t="s">
        <v>15</v>
      </c>
      <c r="D33" s="74">
        <v>4279.07143</v>
      </c>
      <c r="E33" s="39">
        <f>D33*IF(D33&gt;0,$C$55,$C$54)*$C$52</f>
        <v>1040.9697067761001</v>
      </c>
    </row>
    <row r="34" spans="2:6" x14ac:dyDescent="0.3">
      <c r="B34" s="9" t="s">
        <v>18</v>
      </c>
      <c r="C34" s="73">
        <v>2.4718904E-2</v>
      </c>
      <c r="D34" s="5" t="s">
        <v>15</v>
      </c>
      <c r="E34" s="39">
        <f>C34*C53*D52</f>
        <v>12.60664104</v>
      </c>
      <c r="F34" t="s">
        <v>42</v>
      </c>
    </row>
    <row r="35" spans="2:6" x14ac:dyDescent="0.3">
      <c r="B35" s="9" t="s">
        <v>20</v>
      </c>
      <c r="C35" s="9" t="s">
        <v>15</v>
      </c>
      <c r="D35" s="76">
        <v>721.32365900000002</v>
      </c>
      <c r="E35" s="39">
        <f>D35*IF(D35&gt;0,$C$55,$C$54)*$C$52</f>
        <v>175.47640652493001</v>
      </c>
    </row>
    <row r="36" spans="2:6" x14ac:dyDescent="0.3">
      <c r="B36" s="9" t="s">
        <v>21</v>
      </c>
      <c r="C36" s="9" t="s">
        <v>15</v>
      </c>
      <c r="D36" s="76">
        <v>1785.5656200000001</v>
      </c>
      <c r="E36" s="39">
        <f>D36*IF(D36&gt;0,$C$55,$C$54)*$C$52</f>
        <v>434.37454837740006</v>
      </c>
    </row>
    <row r="37" spans="2:6" x14ac:dyDescent="0.3">
      <c r="B37" s="9" t="s">
        <v>22</v>
      </c>
      <c r="C37" s="9" t="s">
        <v>15</v>
      </c>
      <c r="D37" s="75" t="s">
        <v>15</v>
      </c>
      <c r="E37" s="39" t="s">
        <v>15</v>
      </c>
    </row>
    <row r="38" spans="2:6" x14ac:dyDescent="0.3">
      <c r="B38" s="9" t="s">
        <v>23</v>
      </c>
      <c r="C38" s="9" t="s">
        <v>15</v>
      </c>
      <c r="D38" s="75" t="s">
        <v>15</v>
      </c>
      <c r="E38" s="39" t="s">
        <v>15</v>
      </c>
    </row>
    <row r="39" spans="2:6" x14ac:dyDescent="0.3">
      <c r="B39" s="9" t="s">
        <v>24</v>
      </c>
      <c r="C39" s="9" t="s">
        <v>15</v>
      </c>
      <c r="D39" s="74">
        <v>1166.9297999999999</v>
      </c>
      <c r="E39" s="39">
        <f>D39*IF(D39&gt;0,$C$55,$C$54)*$C$52</f>
        <v>283.87901244599999</v>
      </c>
    </row>
    <row r="40" spans="2:6" x14ac:dyDescent="0.3">
      <c r="B40" s="9" t="s">
        <v>25</v>
      </c>
      <c r="C40" s="9" t="s">
        <v>15</v>
      </c>
      <c r="D40" s="75" t="s">
        <v>15</v>
      </c>
      <c r="E40" s="39" t="s">
        <v>15</v>
      </c>
    </row>
    <row r="41" spans="2:6" x14ac:dyDescent="0.3">
      <c r="B41" s="9" t="s">
        <v>27</v>
      </c>
      <c r="C41" s="9" t="s">
        <v>15</v>
      </c>
      <c r="D41" s="74">
        <v>-5.5846867299999996</v>
      </c>
      <c r="E41" s="39">
        <f>D41*IF(D41&gt;0,$C$55,$C$54)*$C$52</f>
        <v>0.15192246699088199</v>
      </c>
    </row>
    <row r="42" spans="2:6" x14ac:dyDescent="0.3">
      <c r="B42" s="9" t="s">
        <v>30</v>
      </c>
      <c r="C42" s="9" t="s">
        <v>15</v>
      </c>
      <c r="D42" s="75" t="s">
        <v>15</v>
      </c>
      <c r="E42" s="39" t="s">
        <v>15</v>
      </c>
    </row>
    <row r="43" spans="2:6" x14ac:dyDescent="0.3">
      <c r="B43" s="9" t="s">
        <v>31</v>
      </c>
      <c r="C43" s="9" t="s">
        <v>15</v>
      </c>
      <c r="D43" s="75" t="s">
        <v>15</v>
      </c>
      <c r="E43" s="39" t="s">
        <v>15</v>
      </c>
    </row>
    <row r="44" spans="2:6" x14ac:dyDescent="0.3">
      <c r="B44" s="9" t="s">
        <v>32</v>
      </c>
      <c r="C44" s="9" t="s">
        <v>15</v>
      </c>
      <c r="D44" s="74">
        <v>8.8656803100000001</v>
      </c>
      <c r="E44" s="39">
        <f>D44*IF(D44&gt;0,$C$55,$C$54)*$C$52</f>
        <v>2.1567540490137</v>
      </c>
    </row>
    <row r="45" spans="2:6" x14ac:dyDescent="0.3">
      <c r="B45" s="9" t="s">
        <v>33</v>
      </c>
      <c r="C45" s="9" t="s">
        <v>15</v>
      </c>
      <c r="D45" s="77" t="s">
        <v>15</v>
      </c>
      <c r="E45" s="39" t="s">
        <v>15</v>
      </c>
    </row>
    <row r="46" spans="2:6" ht="17.25" customHeight="1" thickBot="1" x14ac:dyDescent="0.35">
      <c r="B46" s="10" t="s">
        <v>36</v>
      </c>
      <c r="C46" s="10" t="s">
        <v>15</v>
      </c>
      <c r="D46" s="68" t="s">
        <v>15</v>
      </c>
      <c r="E46" s="39" t="s">
        <v>15</v>
      </c>
    </row>
    <row r="47" spans="2:6" ht="17.25" customHeight="1" thickBot="1" x14ac:dyDescent="0.35">
      <c r="B47" s="6" t="s">
        <v>37</v>
      </c>
      <c r="C47" s="78">
        <f>SUM(C30:C46)</f>
        <v>0.96693728499999998</v>
      </c>
      <c r="D47" s="41"/>
      <c r="E47" s="60">
        <f>SUM(E30:E46)</f>
        <v>2445.9226706579411</v>
      </c>
    </row>
    <row r="51" spans="1:4" ht="17.25" customHeight="1" thickBot="1" x14ac:dyDescent="0.35"/>
    <row r="52" spans="1:4" ht="17.25" customHeight="1" thickBot="1" x14ac:dyDescent="0.35">
      <c r="B52" s="8" t="s">
        <v>43</v>
      </c>
      <c r="C52" s="3">
        <f>8500*3600</f>
        <v>30600000</v>
      </c>
      <c r="D52" s="6">
        <v>8500</v>
      </c>
    </row>
    <row r="53" spans="1:4" x14ac:dyDescent="0.3">
      <c r="B53" s="48" t="s">
        <v>44</v>
      </c>
      <c r="C53" s="62">
        <v>0.06</v>
      </c>
    </row>
    <row r="54" spans="1:4" x14ac:dyDescent="0.3">
      <c r="A54" s="11" t="s">
        <v>15</v>
      </c>
      <c r="B54" s="48" t="s">
        <v>45</v>
      </c>
      <c r="C54" s="46">
        <v>-8.8900000000000003E-10</v>
      </c>
    </row>
    <row r="55" spans="1:4" ht="17.25" customHeight="1" thickBot="1" x14ac:dyDescent="0.35">
      <c r="A55" s="11" t="s">
        <v>46</v>
      </c>
      <c r="B55" s="49" t="s">
        <v>47</v>
      </c>
      <c r="C55" s="47">
        <v>7.9500000000000001E-9</v>
      </c>
    </row>
  </sheetData>
  <phoneticPr fontId="2" type="noConversion"/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K34"/>
  <sheetViews>
    <sheetView tabSelected="1" zoomScale="85" zoomScaleNormal="85" workbookViewId="0">
      <selection activeCell="I13" sqref="I13"/>
    </sheetView>
  </sheetViews>
  <sheetFormatPr defaultRowHeight="16.5" x14ac:dyDescent="0.3"/>
  <cols>
    <col min="2" max="2" width="55.875" style="38" bestFit="1" customWidth="1"/>
    <col min="4" max="4" width="7.875" style="38" bestFit="1" customWidth="1"/>
    <col min="5" max="5" width="16.625" style="38" bestFit="1" customWidth="1"/>
    <col min="9" max="9" width="46.75" style="38" bestFit="1" customWidth="1"/>
    <col min="10" max="10" width="18.375" style="38" bestFit="1" customWidth="1"/>
    <col min="11" max="11" width="14.25" style="38" bestFit="1" customWidth="1"/>
  </cols>
  <sheetData>
    <row r="3" spans="2:11" ht="17.25" customHeight="1" thickBot="1" x14ac:dyDescent="0.35">
      <c r="B3" s="12" t="s">
        <v>48</v>
      </c>
      <c r="C3" s="13"/>
      <c r="D3" s="13"/>
      <c r="E3" s="13"/>
      <c r="I3" s="25" t="s">
        <v>49</v>
      </c>
      <c r="J3" s="20"/>
      <c r="K3" s="20"/>
    </row>
    <row r="4" spans="2:11" ht="17.25" customHeight="1" thickBot="1" x14ac:dyDescent="0.35">
      <c r="B4" s="14" t="s">
        <v>50</v>
      </c>
      <c r="C4" s="15" t="s">
        <v>51</v>
      </c>
      <c r="D4" s="16" t="s">
        <v>52</v>
      </c>
      <c r="E4" s="17" t="s">
        <v>53</v>
      </c>
      <c r="I4" s="14" t="s">
        <v>54</v>
      </c>
      <c r="J4" s="29" t="s">
        <v>55</v>
      </c>
      <c r="K4" s="30" t="s">
        <v>53</v>
      </c>
    </row>
    <row r="5" spans="2:11" x14ac:dyDescent="0.3">
      <c r="B5" s="18" t="s">
        <v>56</v>
      </c>
      <c r="C5" s="19"/>
      <c r="D5" s="20"/>
      <c r="E5" s="21"/>
      <c r="I5" s="31" t="s">
        <v>57</v>
      </c>
      <c r="J5" s="32"/>
      <c r="K5" s="52"/>
    </row>
    <row r="6" spans="2:11" x14ac:dyDescent="0.3">
      <c r="B6" s="18" t="s">
        <v>58</v>
      </c>
      <c r="C6" s="19"/>
      <c r="D6" s="20"/>
      <c r="E6" s="22"/>
      <c r="I6" s="19" t="s">
        <v>59</v>
      </c>
      <c r="J6" s="33" t="s">
        <v>60</v>
      </c>
      <c r="K6" s="53">
        <f>SUM(E29*0.01)</f>
        <v>3952.2959824794293</v>
      </c>
    </row>
    <row r="7" spans="2:11" x14ac:dyDescent="0.3">
      <c r="B7" s="22" t="s">
        <v>61</v>
      </c>
      <c r="C7" s="19" t="s">
        <v>62</v>
      </c>
      <c r="D7" s="23">
        <v>30</v>
      </c>
      <c r="E7" s="45">
        <f>SMR!I22</f>
        <v>118568.87947438288</v>
      </c>
      <c r="I7" s="24" t="s">
        <v>63</v>
      </c>
      <c r="J7" s="34"/>
      <c r="K7" s="53"/>
    </row>
    <row r="8" spans="2:11" x14ac:dyDescent="0.3">
      <c r="B8" s="22" t="s">
        <v>64</v>
      </c>
      <c r="C8" s="19" t="s">
        <v>65</v>
      </c>
      <c r="D8" s="20">
        <v>10</v>
      </c>
      <c r="E8" s="22">
        <f>SUM(E29*0.1)</f>
        <v>39522.959824794292</v>
      </c>
      <c r="I8" s="35" t="s">
        <v>66</v>
      </c>
      <c r="J8" s="34" t="s">
        <v>15</v>
      </c>
      <c r="K8" s="54" t="s">
        <v>15</v>
      </c>
    </row>
    <row r="9" spans="2:11" x14ac:dyDescent="0.3">
      <c r="B9" s="22" t="s">
        <v>67</v>
      </c>
      <c r="C9" s="19" t="s">
        <v>68</v>
      </c>
      <c r="D9" s="20">
        <v>5</v>
      </c>
      <c r="E9" s="22">
        <f>SUM(E29*0.05)</f>
        <v>19761.479912397146</v>
      </c>
      <c r="I9" s="34" t="s">
        <v>69</v>
      </c>
      <c r="J9" s="34" t="s">
        <v>15</v>
      </c>
      <c r="K9" s="61">
        <f>SMR!E47</f>
        <v>2445.9226706579411</v>
      </c>
    </row>
    <row r="10" spans="2:11" x14ac:dyDescent="0.3">
      <c r="B10" s="22" t="s">
        <v>70</v>
      </c>
      <c r="C10" s="19" t="s">
        <v>71</v>
      </c>
      <c r="D10" s="20">
        <v>10</v>
      </c>
      <c r="E10" s="22">
        <f>SUM(E29*0.1)</f>
        <v>39522.959824794292</v>
      </c>
      <c r="I10" s="34" t="s">
        <v>72</v>
      </c>
      <c r="J10" s="34"/>
      <c r="K10" s="55" t="s">
        <v>15</v>
      </c>
    </row>
    <row r="11" spans="2:11" x14ac:dyDescent="0.3">
      <c r="B11" s="22" t="s">
        <v>73</v>
      </c>
      <c r="C11" s="19" t="s">
        <v>74</v>
      </c>
      <c r="D11" s="20">
        <v>5</v>
      </c>
      <c r="E11" s="22">
        <f>SUM(E29*0.05)</f>
        <v>19761.479912397146</v>
      </c>
      <c r="I11" s="34" t="s">
        <v>75</v>
      </c>
      <c r="J11" s="34" t="s">
        <v>76</v>
      </c>
      <c r="K11" s="79">
        <f>SMR!C47</f>
        <v>0.96693728499999998</v>
      </c>
    </row>
    <row r="12" spans="2:11" x14ac:dyDescent="0.3">
      <c r="B12" s="22"/>
      <c r="C12" s="19"/>
      <c r="D12" s="20"/>
      <c r="E12" s="22"/>
      <c r="I12" s="19" t="s">
        <v>77</v>
      </c>
      <c r="J12" s="36" t="s">
        <v>60</v>
      </c>
      <c r="K12" s="56">
        <f>SUM(K6*0.04)</f>
        <v>158.09183929917717</v>
      </c>
    </row>
    <row r="13" spans="2:11" x14ac:dyDescent="0.3">
      <c r="B13" s="18" t="s">
        <v>78</v>
      </c>
      <c r="C13" s="19"/>
      <c r="D13" s="20"/>
      <c r="E13" s="22"/>
      <c r="I13" s="19" t="s">
        <v>79</v>
      </c>
      <c r="J13" s="34" t="s">
        <v>80</v>
      </c>
      <c r="K13" s="53">
        <f>SUM(K25*0.15)</f>
        <v>2026.0535081019511</v>
      </c>
    </row>
    <row r="14" spans="2:11" x14ac:dyDescent="0.3">
      <c r="B14" s="22" t="s">
        <v>81</v>
      </c>
      <c r="C14" s="19" t="s">
        <v>82</v>
      </c>
      <c r="D14" s="20">
        <v>8</v>
      </c>
      <c r="E14" s="22">
        <f>SUM(E29*0.08)</f>
        <v>31618.367859835435</v>
      </c>
      <c r="I14" s="19" t="s">
        <v>83</v>
      </c>
      <c r="J14" s="34" t="s">
        <v>84</v>
      </c>
      <c r="K14" s="53">
        <f>SUM(K13*0.3)</f>
        <v>607.81605243058527</v>
      </c>
    </row>
    <row r="15" spans="2:11" x14ac:dyDescent="0.3">
      <c r="B15" s="22" t="s">
        <v>85</v>
      </c>
      <c r="C15" s="19" t="s">
        <v>86</v>
      </c>
      <c r="D15" s="20">
        <v>2</v>
      </c>
      <c r="E15" s="22">
        <f>SUM(E29*0.02)</f>
        <v>7904.5919649588586</v>
      </c>
      <c r="I15" s="19" t="s">
        <v>87</v>
      </c>
      <c r="J15" s="34" t="s">
        <v>88</v>
      </c>
      <c r="K15" s="53">
        <f>SUM(K12*0.15)</f>
        <v>23.713775894876573</v>
      </c>
    </row>
    <row r="16" spans="2:11" x14ac:dyDescent="0.3">
      <c r="B16" s="22" t="s">
        <v>89</v>
      </c>
      <c r="C16" s="19" t="s">
        <v>90</v>
      </c>
      <c r="D16" s="20">
        <v>8</v>
      </c>
      <c r="E16" s="22">
        <f>SUM(E29*0.08)</f>
        <v>31618.367859835435</v>
      </c>
      <c r="I16" s="19" t="s">
        <v>91</v>
      </c>
      <c r="J16" s="34" t="s">
        <v>92</v>
      </c>
      <c r="K16" s="53">
        <f>SUM(K13*0.15)</f>
        <v>303.90802621529264</v>
      </c>
    </row>
    <row r="17" spans="2:11" x14ac:dyDescent="0.3">
      <c r="B17" s="22" t="s">
        <v>93</v>
      </c>
      <c r="C17" s="19" t="s">
        <v>94</v>
      </c>
      <c r="D17" s="20">
        <v>2</v>
      </c>
      <c r="E17" s="22">
        <f>SUM(E29*0.02)</f>
        <v>7904.5919649588586</v>
      </c>
      <c r="I17" s="19"/>
      <c r="J17" s="34"/>
      <c r="K17" s="53"/>
    </row>
    <row r="18" spans="2:11" x14ac:dyDescent="0.3">
      <c r="B18" s="22"/>
      <c r="C18" s="19"/>
      <c r="D18" s="20"/>
      <c r="E18" s="22"/>
      <c r="I18" s="24" t="s">
        <v>95</v>
      </c>
      <c r="J18" s="34" t="s">
        <v>96</v>
      </c>
      <c r="K18" s="53">
        <f>SUM(0.6*K29)</f>
        <v>1675.1768398990282</v>
      </c>
    </row>
    <row r="19" spans="2:11" x14ac:dyDescent="0.3">
      <c r="B19" s="18" t="s">
        <v>97</v>
      </c>
      <c r="C19" s="19"/>
      <c r="D19" s="20"/>
      <c r="E19" s="22">
        <f>SUM(E7:E17)</f>
        <v>316183.6785983544</v>
      </c>
      <c r="I19" s="19"/>
      <c r="J19" s="34"/>
      <c r="K19" s="53"/>
    </row>
    <row r="20" spans="2:11" x14ac:dyDescent="0.3">
      <c r="B20" s="22"/>
      <c r="C20" s="19"/>
      <c r="D20" s="20"/>
      <c r="E20" s="22"/>
      <c r="I20" s="24" t="s">
        <v>98</v>
      </c>
      <c r="J20" s="34"/>
      <c r="K20" s="53"/>
    </row>
    <row r="21" spans="2:11" x14ac:dyDescent="0.3">
      <c r="B21" s="18" t="s">
        <v>99</v>
      </c>
      <c r="C21" s="19"/>
      <c r="D21" s="20"/>
      <c r="E21" s="22"/>
      <c r="I21" s="19" t="s">
        <v>100</v>
      </c>
      <c r="J21" s="34" t="s">
        <v>101</v>
      </c>
      <c r="K21" s="53">
        <f>SUM(K13*0.175)</f>
        <v>354.55936391784144</v>
      </c>
    </row>
    <row r="22" spans="2:11" x14ac:dyDescent="0.3">
      <c r="B22" s="22" t="s">
        <v>102</v>
      </c>
      <c r="C22" s="19" t="s">
        <v>103</v>
      </c>
      <c r="D22" s="20">
        <v>5</v>
      </c>
      <c r="E22" s="22">
        <f>SUM(E29*0.05)</f>
        <v>19761.479912397146</v>
      </c>
      <c r="I22" s="37" t="s">
        <v>104</v>
      </c>
      <c r="J22" s="34" t="s">
        <v>105</v>
      </c>
      <c r="K22" s="53">
        <f>SUM(K25*0.11)</f>
        <v>1485.7725726080976</v>
      </c>
    </row>
    <row r="23" spans="2:11" x14ac:dyDescent="0.3">
      <c r="B23" s="22" t="s">
        <v>106</v>
      </c>
      <c r="C23" s="19" t="s">
        <v>107</v>
      </c>
      <c r="D23" s="20">
        <v>5</v>
      </c>
      <c r="E23" s="22">
        <f>SUM(E29*0.05)</f>
        <v>19761.479912397146</v>
      </c>
      <c r="I23" s="19" t="s">
        <v>108</v>
      </c>
      <c r="J23" s="37" t="s">
        <v>109</v>
      </c>
      <c r="K23" s="53">
        <f>SUM(K25*0.035)</f>
        <v>472.74581855712199</v>
      </c>
    </row>
    <row r="24" spans="2:11" x14ac:dyDescent="0.3">
      <c r="B24" s="22" t="s">
        <v>110</v>
      </c>
      <c r="C24" s="19" t="s">
        <v>86</v>
      </c>
      <c r="D24" s="20">
        <v>5</v>
      </c>
      <c r="E24" s="22">
        <f>SUM(E29*0.05)</f>
        <v>19761.479912397146</v>
      </c>
      <c r="I24" s="19"/>
      <c r="J24" s="37"/>
      <c r="K24" s="53"/>
    </row>
    <row r="25" spans="2:11" ht="17.25" customHeight="1" thickBot="1" x14ac:dyDescent="0.35">
      <c r="B25" s="22" t="s">
        <v>111</v>
      </c>
      <c r="C25" s="19" t="s">
        <v>112</v>
      </c>
      <c r="D25" s="20">
        <v>5</v>
      </c>
      <c r="E25" s="22">
        <f>SUM(E29*0.05)</f>
        <v>19761.479912397146</v>
      </c>
      <c r="I25" s="27" t="s">
        <v>113</v>
      </c>
      <c r="J25" s="27"/>
      <c r="K25" s="57">
        <f>SUM(K27/0.49425)</f>
        <v>13507.023387346342</v>
      </c>
    </row>
    <row r="26" spans="2:11" x14ac:dyDescent="0.3">
      <c r="B26" s="22"/>
      <c r="C26" s="19"/>
      <c r="D26" s="20"/>
      <c r="E26" s="22"/>
      <c r="I26" s="20"/>
      <c r="J26" s="20"/>
      <c r="K26" s="58"/>
    </row>
    <row r="27" spans="2:11" x14ac:dyDescent="0.3">
      <c r="B27" s="18" t="s">
        <v>114</v>
      </c>
      <c r="C27" s="19"/>
      <c r="D27" s="20"/>
      <c r="E27" s="22">
        <f>SUM(E22:E25)</f>
        <v>79045.919649588584</v>
      </c>
      <c r="I27" s="20"/>
      <c r="J27" s="20"/>
      <c r="K27" s="58">
        <f>SUM(K6:K12,K15,0.6*K12)</f>
        <v>6675.8463091959302</v>
      </c>
    </row>
    <row r="28" spans="2:11" x14ac:dyDescent="0.3">
      <c r="B28" s="22"/>
      <c r="C28" s="19"/>
      <c r="D28" s="20"/>
      <c r="E28" s="22"/>
      <c r="I28" s="13"/>
      <c r="J28" s="13"/>
      <c r="K28" s="58"/>
    </row>
    <row r="29" spans="2:11" x14ac:dyDescent="0.3">
      <c r="B29" s="22" t="s">
        <v>115</v>
      </c>
      <c r="C29" s="19">
        <v>100</v>
      </c>
      <c r="D29" s="20">
        <v>100</v>
      </c>
      <c r="E29" s="22">
        <f>SUM(E7*100/D7)</f>
        <v>395229.59824794292</v>
      </c>
      <c r="I29" s="13"/>
      <c r="J29" s="13" t="s">
        <v>116</v>
      </c>
      <c r="K29" s="58">
        <f>(K12+K13+K14)</f>
        <v>2791.9613998317136</v>
      </c>
    </row>
    <row r="30" spans="2:11" x14ac:dyDescent="0.3">
      <c r="B30" s="22" t="s">
        <v>117</v>
      </c>
      <c r="C30" s="19">
        <v>20</v>
      </c>
      <c r="D30" s="23">
        <v>20</v>
      </c>
      <c r="E30" s="22">
        <f>SUM(E29*0.2)</f>
        <v>79045.919649588584</v>
      </c>
      <c r="K30" s="59">
        <f>SUM(K6:K23)</f>
        <v>13507.023387346342</v>
      </c>
    </row>
    <row r="31" spans="2:11" x14ac:dyDescent="0.3">
      <c r="B31" s="22" t="s">
        <v>118</v>
      </c>
      <c r="C31" s="19">
        <v>20</v>
      </c>
      <c r="D31" s="23">
        <v>20</v>
      </c>
      <c r="E31" s="22">
        <f>SUM(E29*0.2)</f>
        <v>79045.919649588584</v>
      </c>
    </row>
    <row r="32" spans="2:11" x14ac:dyDescent="0.3">
      <c r="B32" s="22"/>
      <c r="C32" s="19"/>
      <c r="D32" s="20"/>
      <c r="E32" s="22"/>
    </row>
    <row r="33" spans="2:5" x14ac:dyDescent="0.3">
      <c r="B33" s="18" t="s">
        <v>119</v>
      </c>
      <c r="C33" s="24" t="s">
        <v>120</v>
      </c>
      <c r="D33" s="25"/>
      <c r="E33" s="18">
        <f>SUM(E29:E31)</f>
        <v>553321.43754712003</v>
      </c>
    </row>
    <row r="34" spans="2:5" ht="17.25" customHeight="1" thickBot="1" x14ac:dyDescent="0.35">
      <c r="B34" s="26" t="s">
        <v>121</v>
      </c>
      <c r="C34" s="27" t="s">
        <v>122</v>
      </c>
      <c r="D34" s="28"/>
      <c r="E34" s="26">
        <f>SUM(E33/((1-(1/((1.05)^25)))/0.07))</f>
        <v>54963.321938434543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SMR</vt:lpstr>
      <vt:lpstr>SMR EAC&amp;TPC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PSID_17</dc:creator>
  <cp:lastModifiedBy>PSID_PC22</cp:lastModifiedBy>
  <dcterms:created xsi:type="dcterms:W3CDTF">2023-07-27T05:08:20Z</dcterms:created>
  <dcterms:modified xsi:type="dcterms:W3CDTF">2023-08-03T07:32:15Z</dcterms:modified>
</cp:coreProperties>
</file>