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4D517BC1-C94E-4419-AB86-C4786AD626DF}" xr6:coauthVersionLast="47" xr6:coauthVersionMax="47" xr10:uidLastSave="{00000000-0000-0000-0000-000000000000}"/>
  <bookViews>
    <workbookView xWindow="6960" yWindow="4365" windowWidth="20910" windowHeight="11835" xr2:uid="{00000000-000D-0000-FFFF-FFFF00000000}"/>
  </bookViews>
  <sheets>
    <sheet name="Plastic" sheetId="1" r:id="rId1"/>
    <sheet name="Plastic EAC&amp;TP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5" i="1" s="1"/>
  <c r="D24" i="1"/>
  <c r="I14" i="1"/>
  <c r="I13" i="1"/>
  <c r="I12" i="1"/>
  <c r="I11" i="1"/>
  <c r="I10" i="1"/>
  <c r="I8" i="1"/>
  <c r="I7" i="1"/>
  <c r="I6" i="1"/>
  <c r="I5" i="1"/>
  <c r="I15" i="1" s="1"/>
  <c r="E7" i="2" s="1"/>
  <c r="E29" i="2" l="1"/>
  <c r="D26" i="1"/>
  <c r="D23" i="1"/>
  <c r="D28" i="1"/>
  <c r="D31" i="1"/>
  <c r="D30" i="1"/>
  <c r="D29" i="1"/>
  <c r="D33" i="1" l="1"/>
  <c r="K9" i="2" s="1"/>
  <c r="E11" i="2"/>
  <c r="E24" i="2"/>
  <c r="E31" i="2"/>
  <c r="E22" i="2"/>
  <c r="E15" i="2"/>
  <c r="K6" i="2"/>
  <c r="E30" i="2"/>
  <c r="E33" i="2" s="1"/>
  <c r="E34" i="2" s="1"/>
  <c r="G38" i="1" s="1"/>
  <c r="E17" i="2"/>
  <c r="E9" i="2"/>
  <c r="E25" i="2"/>
  <c r="E8" i="2"/>
  <c r="E23" i="2"/>
  <c r="E16" i="2"/>
  <c r="E10" i="2"/>
  <c r="E14" i="2"/>
  <c r="K12" i="2" l="1"/>
  <c r="E27" i="2"/>
  <c r="E19" i="2"/>
  <c r="K15" i="2" l="1"/>
  <c r="K27" i="2"/>
  <c r="K25" i="2" s="1"/>
  <c r="K23" i="2" l="1"/>
  <c r="K13" i="2"/>
  <c r="K22" i="2"/>
  <c r="G39" i="1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<sst xmlns="http://schemas.openxmlformats.org/spreadsheetml/2006/main" count="154" uniqueCount="112">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</sst>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abSelected="1" topLeftCell="A18" zoomScaleNormal="100" workbookViewId="0">
      <selection activeCell="G25" sqref="G25"/>
    </sheetView>
  </sheetViews>
  <sheetFormatPr defaultRowHeight="16.5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625" style="40" customWidth="1"/>
    <col min="7" max="7" width="23.75" style="40" bestFit="1" customWidth="1"/>
    <col min="8" max="8" width="14.375" style="40" bestFit="1" customWidth="1"/>
    <col min="9" max="9" width="17.75" style="40" bestFit="1" customWidth="1"/>
    <col min="10" max="10" width="60.8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6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7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7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7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7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71" t="s">
        <v>18</v>
      </c>
      <c r="C10" s="4">
        <v>1500</v>
      </c>
      <c r="D10" s="70" t="s">
        <v>19</v>
      </c>
      <c r="E10">
        <v>2</v>
      </c>
      <c r="F10" s="44">
        <v>2.14424408</v>
      </c>
      <c r="G10">
        <v>0.59</v>
      </c>
      <c r="H10">
        <v>2006</v>
      </c>
      <c r="I10" s="5">
        <f>C10*(F10/E10)^G10*595.6/499.6</f>
        <v>1863.2349013339119</v>
      </c>
      <c r="J10" s="11" t="s">
        <v>20</v>
      </c>
    </row>
    <row r="11" spans="2:10">
      <c r="B11" s="11" t="s">
        <v>21</v>
      </c>
      <c r="C11" s="4">
        <v>14100</v>
      </c>
      <c r="D11" s="57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7" t="s">
        <v>11</v>
      </c>
      <c r="E12">
        <v>4.79</v>
      </c>
      <c r="F12" s="44">
        <v>388.00453299999998</v>
      </c>
      <c r="G12">
        <v>0.78</v>
      </c>
      <c r="H12">
        <v>1990</v>
      </c>
      <c r="I12" s="5">
        <f>C12*(F12/E12)^G12*595.6/357.6</f>
        <v>107747.56810251942</v>
      </c>
      <c r="J12" s="11" t="s">
        <v>12</v>
      </c>
    </row>
    <row r="13" spans="2:10">
      <c r="B13" s="71" t="s">
        <v>24</v>
      </c>
      <c r="C13" s="4">
        <v>1500</v>
      </c>
      <c r="D13" s="70" t="s">
        <v>19</v>
      </c>
      <c r="E13">
        <v>2</v>
      </c>
      <c r="F13" s="44">
        <v>3.25671395</v>
      </c>
      <c r="G13">
        <v>0.59</v>
      </c>
      <c r="H13">
        <v>2006</v>
      </c>
      <c r="I13" s="5">
        <f>C13*(F13/E13)^G13*595.6/499.6</f>
        <v>2384.2719719835331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8" t="s">
        <v>11</v>
      </c>
      <c r="E14" s="47">
        <v>359263</v>
      </c>
      <c r="F14" s="45">
        <v>388.00453299999998</v>
      </c>
      <c r="G14" s="7">
        <v>0.6</v>
      </c>
      <c r="H14" s="7">
        <v>1998</v>
      </c>
      <c r="I14" s="48">
        <f>C14*(F14/E14)^G14*595.6/389.5</f>
        <v>4187.798294220037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769187.71491457964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3">
        <v>20609.517</v>
      </c>
      <c r="D23" s="11">
        <f>C23*IF(C23&gt;0,$C$41,$C$40)*$C$38</f>
        <v>5013.6772005899993</v>
      </c>
    </row>
    <row r="24" spans="2:5">
      <c r="B24" s="4" t="s">
        <v>13</v>
      </c>
      <c r="C24" s="74">
        <v>40390.371099999997</v>
      </c>
      <c r="D24" s="11">
        <f>C24*IF(C24&gt;0,$C$41,$C$40)*$C$38</f>
        <v>9825.765577496999</v>
      </c>
    </row>
    <row r="25" spans="2:5">
      <c r="B25" s="4" t="s">
        <v>14</v>
      </c>
      <c r="C25" s="74">
        <v>16337.205400000001</v>
      </c>
      <c r="D25" s="11">
        <f>C25*IF(C25&gt;0,$C$41,$C$40)*$C$38</f>
        <v>3974.3519576580006</v>
      </c>
    </row>
    <row r="26" spans="2:5">
      <c r="B26" s="4" t="s">
        <v>15</v>
      </c>
      <c r="C26" s="74">
        <v>6161.0077300000003</v>
      </c>
      <c r="D26" s="11">
        <f>C26*IF(C26&gt;0,$C$41,$C$40)*$C$38</f>
        <v>1498.7883504771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5">
        <v>84476.541500000007</v>
      </c>
      <c r="D28" s="11">
        <f>C28*IF(C28&gt;0,$C$41,$C$40)*$C$38</f>
        <v>20550.608250705001</v>
      </c>
      <c r="E28" t="s">
        <v>30</v>
      </c>
    </row>
    <row r="29" spans="2:5">
      <c r="B29" s="4" t="s">
        <v>21</v>
      </c>
      <c r="C29" s="75">
        <v>-24698.977999999999</v>
      </c>
      <c r="D29" s="11">
        <f>C29*IF(C29&gt;0,$C$41,$C$40)*$C$38</f>
        <v>671.89617812519998</v>
      </c>
      <c r="E29" t="s">
        <v>31</v>
      </c>
    </row>
    <row r="30" spans="2:5">
      <c r="B30" s="4" t="s">
        <v>23</v>
      </c>
      <c r="C30" s="74">
        <v>-60456.4467</v>
      </c>
      <c r="D30" s="11">
        <f>C30*IF(C30&gt;0,$C$41,$C$40)*$C$38</f>
        <v>1644.6209021587799</v>
      </c>
    </row>
    <row r="31" spans="2:5">
      <c r="B31" s="4" t="s">
        <v>24</v>
      </c>
      <c r="C31" s="75">
        <v>-38182.315999999999</v>
      </c>
      <c r="D31" s="11">
        <f>C31*IF(C31&gt;0,$C$41,$C$40)*$C$38</f>
        <v>1038.6888150743998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8">
        <f>SUM(D23:D32)</f>
        <v>44218.397232285482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F38" t="s">
        <v>33</v>
      </c>
      <c r="G38" s="76">
        <f>'Plastic EAC&amp;TPC'!E34</f>
        <v>356561.62218411564</v>
      </c>
    </row>
    <row r="39" spans="1:7">
      <c r="B39" s="54" t="s">
        <v>34</v>
      </c>
      <c r="C39" s="51">
        <v>0.06</v>
      </c>
      <c r="F39" t="s">
        <v>35</v>
      </c>
      <c r="G39">
        <f>'Plastic EAC&amp;TPC'!K25</f>
        <v>144972.70422708918</v>
      </c>
    </row>
    <row r="40" spans="1:7">
      <c r="A40" s="13" t="s">
        <v>17</v>
      </c>
      <c r="B40" s="54" t="s">
        <v>36</v>
      </c>
      <c r="C40" s="52">
        <v>-8.8900000000000003E-10</v>
      </c>
    </row>
    <row r="41" spans="1:7" ht="17.25" customHeight="1" thickBot="1">
      <c r="A41" s="13" t="s">
        <v>37</v>
      </c>
      <c r="B41" s="55" t="s">
        <v>38</v>
      </c>
      <c r="C41" s="53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A12" zoomScale="70" zoomScaleNormal="70" workbookViewId="0">
      <selection activeCell="I32" sqref="I32"/>
    </sheetView>
  </sheetViews>
  <sheetFormatPr defaultRowHeight="16.5"/>
  <cols>
    <col min="2" max="2" width="55.875" style="40" bestFit="1" customWidth="1"/>
    <col min="4" max="4" width="7.875" style="40" bestFit="1" customWidth="1"/>
    <col min="5" max="5" width="16.625" style="40" bestFit="1" customWidth="1"/>
    <col min="9" max="9" width="46.75" style="40" bestFit="1" customWidth="1"/>
    <col min="10" max="10" width="18.375" style="40" bestFit="1" customWidth="1"/>
    <col min="11" max="11" width="14.2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9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60">
        <f>SUM(E29*0.01)</f>
        <v>25639.590497152658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769187.71491457964</v>
      </c>
      <c r="I7" s="26" t="s">
        <v>54</v>
      </c>
      <c r="J7" s="36"/>
      <c r="K7" s="60"/>
    </row>
    <row r="8" spans="2:11">
      <c r="B8" s="24" t="s">
        <v>55</v>
      </c>
      <c r="C8" s="21" t="s">
        <v>56</v>
      </c>
      <c r="D8" s="22">
        <v>10</v>
      </c>
      <c r="E8" s="24">
        <f>SUM(E29*0.1)</f>
        <v>256395.90497152659</v>
      </c>
      <c r="I8" s="37" t="s">
        <v>57</v>
      </c>
      <c r="J8" s="36" t="s">
        <v>17</v>
      </c>
      <c r="K8" s="61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128197.95248576329</v>
      </c>
      <c r="I9" s="36" t="s">
        <v>60</v>
      </c>
      <c r="J9" s="36" t="s">
        <v>17</v>
      </c>
      <c r="K9" s="69">
        <f>Plastic!D33</f>
        <v>44218.397232285482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256395.90497152659</v>
      </c>
      <c r="I10" s="36" t="s">
        <v>63</v>
      </c>
      <c r="J10" s="36"/>
      <c r="K10" s="62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128197.95248576329</v>
      </c>
      <c r="I11" s="36" t="s">
        <v>66</v>
      </c>
      <c r="J11" s="36" t="s">
        <v>67</v>
      </c>
      <c r="K11" s="67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3">
        <f>SUM(K6*0.04)</f>
        <v>1025.5836198861064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60">
        <f>SUM(K25*0.15)</f>
        <v>21745.905634063376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205116.72397722126</v>
      </c>
      <c r="I14" s="21" t="s">
        <v>74</v>
      </c>
      <c r="J14" s="36" t="s">
        <v>75</v>
      </c>
      <c r="K14" s="60">
        <f>SUM(K13*0.3)</f>
        <v>6523.7716902190123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51279.180994305316</v>
      </c>
      <c r="I15" s="21" t="s">
        <v>78</v>
      </c>
      <c r="J15" s="36" t="s">
        <v>79</v>
      </c>
      <c r="K15" s="60">
        <f>SUM(K12*0.15)</f>
        <v>153.83754298291595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205116.72397722126</v>
      </c>
      <c r="I16" s="21" t="s">
        <v>82</v>
      </c>
      <c r="J16" s="36" t="s">
        <v>83</v>
      </c>
      <c r="K16" s="60">
        <f>SUM(K13*0.15)</f>
        <v>3261.8858451095061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51279.180994305316</v>
      </c>
      <c r="I17" s="21"/>
      <c r="J17" s="36"/>
      <c r="K17" s="60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60">
        <f>SUM(0.6*K29)</f>
        <v>17577.156566501097</v>
      </c>
    </row>
    <row r="19" spans="2:11">
      <c r="B19" s="20" t="s">
        <v>88</v>
      </c>
      <c r="C19" s="21"/>
      <c r="D19" s="22"/>
      <c r="E19" s="24">
        <f>SUM(E7:E17)</f>
        <v>2051167.2397722125</v>
      </c>
      <c r="I19" s="21"/>
      <c r="J19" s="36"/>
      <c r="K19" s="60"/>
    </row>
    <row r="20" spans="2:11">
      <c r="B20" s="24"/>
      <c r="C20" s="21"/>
      <c r="D20" s="22"/>
      <c r="E20" s="24"/>
      <c r="I20" s="26" t="s">
        <v>89</v>
      </c>
      <c r="J20" s="36"/>
      <c r="K20" s="60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60">
        <f>SUM(K13*0.175)</f>
        <v>3805.5334859610907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128197.95248576329</v>
      </c>
      <c r="I22" s="39" t="s">
        <v>95</v>
      </c>
      <c r="J22" s="36" t="s">
        <v>96</v>
      </c>
      <c r="K22" s="60">
        <f>SUM(K25*0.11)</f>
        <v>15946.99746497981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128197.95248576329</v>
      </c>
      <c r="I23" s="21" t="s">
        <v>99</v>
      </c>
      <c r="J23" s="39" t="s">
        <v>100</v>
      </c>
      <c r="K23" s="60">
        <f>SUM(K25*0.035)</f>
        <v>5074.0446479481216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128197.95248576329</v>
      </c>
      <c r="I24" s="21"/>
      <c r="J24" s="39"/>
      <c r="K24" s="60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128197.95248576329</v>
      </c>
      <c r="I25" s="29" t="s">
        <v>35</v>
      </c>
      <c r="J25" s="29"/>
      <c r="K25" s="64">
        <f>SUM(K27/0.49425)</f>
        <v>144972.70422708918</v>
      </c>
    </row>
    <row r="26" spans="2:11">
      <c r="B26" s="24"/>
      <c r="C26" s="21"/>
      <c r="D26" s="22"/>
      <c r="E26" s="24"/>
      <c r="I26" s="22"/>
      <c r="J26" s="22"/>
      <c r="K26" s="65"/>
    </row>
    <row r="27" spans="2:11">
      <c r="B27" s="20" t="s">
        <v>104</v>
      </c>
      <c r="C27" s="21"/>
      <c r="D27" s="22"/>
      <c r="E27" s="24">
        <f>SUM(E22:E25)</f>
        <v>512791.80994305317</v>
      </c>
      <c r="I27" s="22"/>
      <c r="J27" s="22"/>
      <c r="K27" s="65">
        <f>SUM(K6:K12,K15,0.6*K12)</f>
        <v>71652.759064238839</v>
      </c>
    </row>
    <row r="28" spans="2:11">
      <c r="B28" s="24"/>
      <c r="C28" s="21"/>
      <c r="D28" s="22"/>
      <c r="E28" s="24"/>
      <c r="I28" s="15"/>
      <c r="J28" s="15"/>
      <c r="K28" s="65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2563959.0497152656</v>
      </c>
      <c r="I29" s="15"/>
      <c r="J29" s="15" t="s">
        <v>106</v>
      </c>
      <c r="K29" s="65">
        <f>(K12+K13+K14)</f>
        <v>29295.260944168494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512791.80994305317</v>
      </c>
      <c r="K30" s="66">
        <f>SUM(K6:K23)</f>
        <v>144972.70422708918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512791.80994305317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3589542.6696013715</v>
      </c>
    </row>
    <row r="34" spans="2:5" ht="17.25" customHeight="1" thickBot="1">
      <c r="B34" s="28" t="s">
        <v>111</v>
      </c>
      <c r="C34" s="29" t="s">
        <v>33</v>
      </c>
      <c r="D34" s="30"/>
      <c r="E34" s="72">
        <f>SUM(E33/((1-(1/((1.05)^25)))/0.07))</f>
        <v>356561.62218411564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Plastic</vt:lpstr>
      <vt:lpstr>Plastic EAC&amp;TPC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2023-08-01T10:35:24Z</dcterms:modified>
</cp:coreProperties>
</file>