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18C8B2AF-D16F-4804-8ECF-AA4900823AC8}" xr6:coauthVersionLast="47" xr6:coauthVersionMax="47" xr10:uidLastSave="{00000000-0000-0000-0000-000000000000}"/>
  <bookViews>
    <workbookView xWindow="10236" yWindow="4620" windowWidth="30264" windowHeight="12660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55" i="1"/>
  <c r="C54" i="1"/>
  <c r="E41" i="1" s="1"/>
  <c r="C53" i="1"/>
  <c r="C52" i="1"/>
  <c r="C47" i="1"/>
  <c r="E44" i="1"/>
  <c r="E39" i="1"/>
  <c r="E36" i="1"/>
  <c r="E35" i="1"/>
  <c r="E34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22" i="1" s="1"/>
  <c r="E7" i="2" s="1"/>
  <c r="I5" i="1"/>
  <c r="E47" i="1" l="1"/>
  <c r="K11" i="2" s="1"/>
  <c r="E29" i="2"/>
  <c r="E11" i="2" l="1"/>
  <c r="E31" i="2"/>
  <c r="E25" i="2"/>
  <c r="E23" i="2"/>
  <c r="E17" i="2"/>
  <c r="E16" i="2"/>
  <c r="E14" i="2"/>
  <c r="K6" i="2"/>
  <c r="E30" i="2"/>
  <c r="E33" i="2" s="1"/>
  <c r="E34" i="2" s="1"/>
  <c r="E22" i="2"/>
  <c r="E15" i="2"/>
  <c r="E9" i="2"/>
  <c r="E8" i="2"/>
  <c r="E10" i="2"/>
  <c r="E24" i="2"/>
  <c r="E19" i="2" l="1"/>
  <c r="E27" i="2"/>
  <c r="K12" i="2"/>
  <c r="K27" i="2" l="1"/>
  <c r="K25" i="2" s="1"/>
  <c r="K15" i="2"/>
  <c r="K22" i="2" l="1"/>
  <c r="K13" i="2"/>
  <c r="K23" i="2"/>
  <c r="K16" i="2" l="1"/>
  <c r="K21" i="2"/>
  <c r="K14" i="2"/>
  <c r="K29" i="2" s="1"/>
  <c r="K18" i="2" s="1"/>
  <c r="K30" i="2" s="1"/>
</calcChain>
</file>

<file path=xl/sharedStrings.xml><?xml version="1.0" encoding="utf-8"?>
<sst xmlns="http://schemas.openxmlformats.org/spreadsheetml/2006/main" count="243" uniqueCount="141">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</sst>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9" zoomScale="85" zoomScaleNormal="85" workbookViewId="0">
      <selection activeCell="J16" sqref="J16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8.3788875899999997</v>
      </c>
      <c r="G5" s="7">
        <v>0.9</v>
      </c>
      <c r="H5" s="7">
        <v>2004</v>
      </c>
      <c r="I5" s="3">
        <f>C5*(F5/E5)^G5*(595.6/444.2)</f>
        <v>17152.803860041513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8.5023928999999998E-2</v>
      </c>
      <c r="G6">
        <v>0.59</v>
      </c>
      <c r="H6">
        <v>2006</v>
      </c>
      <c r="I6" s="5">
        <f>C6*(F6/E6)^G6*(595.6/499.6)</f>
        <v>2867.3819723969323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137.14375999999999</v>
      </c>
      <c r="G8">
        <v>0.78</v>
      </c>
      <c r="H8">
        <v>1990</v>
      </c>
      <c r="I8" s="5">
        <f>C8*(F8/E8)^G8*(595.6/357.6)</f>
        <v>47875.364542199262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0.21981837800000001</v>
      </c>
      <c r="G9">
        <v>0.55000000000000004</v>
      </c>
      <c r="H9">
        <v>2000</v>
      </c>
      <c r="I9" s="5">
        <f>C9*(F9/E9)^G9*(595.6/394.1)</f>
        <v>3015.4043488771222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0.224997159</v>
      </c>
      <c r="G10">
        <v>0.59</v>
      </c>
      <c r="H10">
        <v>2006</v>
      </c>
      <c r="I10" s="5">
        <f>C10*(F10/E10)^G10*(595.6/499.6)</f>
        <v>5091.440940187219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0.27932447599999999</v>
      </c>
      <c r="G11">
        <v>0.59</v>
      </c>
      <c r="H11">
        <v>2006</v>
      </c>
      <c r="I11" s="5">
        <f>C11*(F11/E11)^G11*(595.6/499.6)</f>
        <v>5784.4299462570762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137.14375999999999</v>
      </c>
      <c r="G13">
        <v>0.78</v>
      </c>
      <c r="H13">
        <v>1990</v>
      </c>
      <c r="I13" s="5">
        <f>C13*(F13/E13)^G13*(595.6/357.6)</f>
        <v>47875.364542199262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2.6390771599999998</v>
      </c>
      <c r="G14">
        <v>0.59</v>
      </c>
      <c r="H14">
        <v>2006</v>
      </c>
      <c r="I14" s="5">
        <f>C14*(F14/E14)^G14*(595.6/499.6)</f>
        <v>21762.710861572978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137.14375999999999</v>
      </c>
      <c r="G15">
        <v>0.6</v>
      </c>
      <c r="H15">
        <v>1998</v>
      </c>
      <c r="I15" s="5">
        <f>C15*(F15/E15)^G15*(595.6/389.5)</f>
        <v>2243.8266781106572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8.7893322600000001</v>
      </c>
      <c r="G16">
        <v>0.6</v>
      </c>
      <c r="H16">
        <v>2000</v>
      </c>
      <c r="I16" s="5">
        <f>C16*(F16/E16)^G16*(595.6/394.1)</f>
        <v>201983.88825965172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6.7439018000000003E-2</v>
      </c>
      <c r="G19">
        <v>0.59</v>
      </c>
      <c r="H19">
        <v>2006</v>
      </c>
      <c r="I19" s="5">
        <f>C19*(F19/E19)^G19*(595.6/499.6)</f>
        <v>2501.0011440354597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79.2101708</v>
      </c>
      <c r="G20">
        <v>0.7</v>
      </c>
      <c r="H20" s="49">
        <v>2004</v>
      </c>
      <c r="I20" s="5">
        <f>C20*(F20/E20)^G20*(595.6/444.2)</f>
        <v>154351.38616519602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512505.00326072524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8.3788875899999997</v>
      </c>
      <c r="D30" s="3" t="s">
        <v>15</v>
      </c>
      <c r="E30" s="39">
        <f>C30*C53*D52</f>
        <v>12819.698012699999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576.70208400000001</v>
      </c>
      <c r="E31" s="39">
        <f>D31*IF(D31&gt;0,$C$55,$C$54)*$C$52</f>
        <v>5152.9484609567999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2">
        <v>38052.599300000002</v>
      </c>
      <c r="E33" s="39">
        <f>D33*IF(D33&gt;0,$C$55,$C$54)*$C$52</f>
        <v>340007.58526536007</v>
      </c>
    </row>
    <row r="34" spans="2:6" x14ac:dyDescent="0.4">
      <c r="B34" s="9" t="s">
        <v>18</v>
      </c>
      <c r="C34" s="71">
        <v>0.21981837800000001</v>
      </c>
      <c r="D34" s="5" t="s">
        <v>15</v>
      </c>
      <c r="E34" s="39">
        <f>C34*C53*D52</f>
        <v>336.32211833999997</v>
      </c>
      <c r="F34" t="s">
        <v>42</v>
      </c>
    </row>
    <row r="35" spans="2:6" x14ac:dyDescent="0.4">
      <c r="B35" s="9" t="s">
        <v>20</v>
      </c>
      <c r="C35" s="9" t="s">
        <v>15</v>
      </c>
      <c r="D35" s="74">
        <v>6414.5318900000002</v>
      </c>
      <c r="E35" s="39">
        <f>D35*IF(D35&gt;0,$C$55,$C$54)*$C$52</f>
        <v>57315.125343528001</v>
      </c>
    </row>
    <row r="36" spans="2:6" x14ac:dyDescent="0.4">
      <c r="B36" s="9" t="s">
        <v>21</v>
      </c>
      <c r="C36" s="9" t="s">
        <v>15</v>
      </c>
      <c r="D36" s="74">
        <v>15878.541499999999</v>
      </c>
      <c r="E36" s="39">
        <f>D36*IF(D36&gt;0,$C$55,$C$54)*$C$52</f>
        <v>141877.94401079998</v>
      </c>
    </row>
    <row r="37" spans="2:6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2">
        <v>-10377.1374</v>
      </c>
      <c r="E39" s="39">
        <f>D39*IF(D39&gt;0,$C$55,$C$54)*$C$52</f>
        <v>92721.798096480008</v>
      </c>
    </row>
    <row r="40" spans="2:6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2">
        <v>-49.6631353</v>
      </c>
      <c r="E41" s="39">
        <f>D41*IF(D41&gt;0,$C$55,$C$54)*$C$52</f>
        <v>443.75004653256002</v>
      </c>
    </row>
    <row r="42" spans="2:6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2">
        <v>78.840153400000005</v>
      </c>
      <c r="E44" s="39">
        <f>D44*IF(D44&gt;0,$C$55,$C$54)*$C$52</f>
        <v>704.45253865968016</v>
      </c>
    </row>
    <row r="45" spans="2:6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6">
        <f>SUM(C30:C46)</f>
        <v>8.5987059679999991</v>
      </c>
      <c r="D47" s="41"/>
      <c r="E47" s="58">
        <f>SUM(E30:E46)</f>
        <v>651379.62389335711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0.18</v>
      </c>
    </row>
    <row r="54" spans="1:4" x14ac:dyDescent="0.4">
      <c r="A54" s="11" t="s">
        <v>15</v>
      </c>
      <c r="B54" s="46" t="s">
        <v>45</v>
      </c>
      <c r="C54" s="82">
        <f>Revenue!O15*(-1)</f>
        <v>-2.9200000000000002E-7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17083.500108690841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512505.00326072524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170835.00108690842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85417.500543454211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170835.00108690842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85417.500543454211</v>
      </c>
      <c r="I11" s="34" t="s">
        <v>75</v>
      </c>
      <c r="J11" s="34" t="s">
        <v>76</v>
      </c>
      <c r="K11" s="77">
        <f>SMR!E47</f>
        <v>651379.62389335711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683.34000434763368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203234.89196044192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136668.00086952673</v>
      </c>
      <c r="I14" s="19" t="s">
        <v>83</v>
      </c>
      <c r="J14" s="34" t="s">
        <v>84</v>
      </c>
      <c r="K14" s="51">
        <f>SUM(K13*0.3)</f>
        <v>60970.467588132575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34167.000217381683</v>
      </c>
      <c r="I15" s="19" t="s">
        <v>87</v>
      </c>
      <c r="J15" s="34" t="s">
        <v>88</v>
      </c>
      <c r="K15" s="51">
        <f>SUM(K12*0.15)</f>
        <v>102.50100065214505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136668.00086952673</v>
      </c>
      <c r="I16" s="19" t="s">
        <v>91</v>
      </c>
      <c r="J16" s="34" t="s">
        <v>92</v>
      </c>
      <c r="K16" s="51">
        <f>SUM(K13*0.15)</f>
        <v>30485.233794066287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34167.000217381683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158933.21973175328</v>
      </c>
    </row>
    <row r="19" spans="2:11" x14ac:dyDescent="0.4">
      <c r="B19" s="18" t="s">
        <v>97</v>
      </c>
      <c r="C19" s="19"/>
      <c r="D19" s="20"/>
      <c r="E19" s="22">
        <f>SUM(E7:E17)</f>
        <v>1366680.0086952671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35566.106093077331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85417.500543454211</v>
      </c>
      <c r="I22" s="37" t="s">
        <v>104</v>
      </c>
      <c r="J22" s="34" t="s">
        <v>105</v>
      </c>
      <c r="K22" s="51">
        <f>SUM(K25*0.11)</f>
        <v>149038.92077099075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85417.500543454211</v>
      </c>
      <c r="I23" s="19" t="s">
        <v>108</v>
      </c>
      <c r="J23" s="37" t="s">
        <v>109</v>
      </c>
      <c r="K23" s="51">
        <f>SUM(K25*0.035)</f>
        <v>47421.474790769789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85417.500543454211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85417.500543454211</v>
      </c>
      <c r="I25" s="27" t="s">
        <v>113</v>
      </c>
      <c r="J25" s="27"/>
      <c r="K25" s="55">
        <f>SUM(K27/0.49425)</f>
        <v>1354899.2797362795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341670.00217381684</v>
      </c>
      <c r="I27" s="20"/>
      <c r="J27" s="20"/>
      <c r="K27" s="56">
        <f>SUM(K6:K12,K15,0.6*K12)</f>
        <v>669658.96900965623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1708350.0108690842</v>
      </c>
      <c r="I29" s="13"/>
      <c r="J29" s="13" t="s">
        <v>116</v>
      </c>
      <c r="K29" s="56">
        <f>(K12+K13+K14)</f>
        <v>264888.69955292216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341670.00217381684</v>
      </c>
      <c r="K30" s="57">
        <f>SUM(K6:K23)</f>
        <v>1354899.2797362795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341670.00217381684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2391690.015216718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237574.79714872126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11.250741400000001</v>
      </c>
      <c r="D3" s="40">
        <f>O5</f>
        <v>1.6</v>
      </c>
      <c r="E3" s="79">
        <f>C3*D3*SMR!D52</f>
        <v>153010.08304000003</v>
      </c>
    </row>
    <row r="4" spans="2:15" x14ac:dyDescent="0.4">
      <c r="N4" t="s">
        <v>128</v>
      </c>
    </row>
    <row r="5" spans="2:15" x14ac:dyDescent="0.4">
      <c r="N5" t="s">
        <v>129</v>
      </c>
      <c r="O5">
        <v>1.6</v>
      </c>
    </row>
    <row r="6" spans="2:15" x14ac:dyDescent="0.4">
      <c r="N6" t="s">
        <v>130</v>
      </c>
      <c r="O6">
        <v>0.63600000000000001</v>
      </c>
    </row>
    <row r="7" spans="2:15" x14ac:dyDescent="0.4">
      <c r="N7" t="s">
        <v>131</v>
      </c>
      <c r="O7">
        <v>0.56000000000000005</v>
      </c>
    </row>
    <row r="8" spans="2:15" x14ac:dyDescent="0.4">
      <c r="N8" t="s">
        <v>132</v>
      </c>
      <c r="O8">
        <v>0.7</v>
      </c>
    </row>
    <row r="9" spans="2:15" x14ac:dyDescent="0.4">
      <c r="N9" t="s">
        <v>133</v>
      </c>
      <c r="O9">
        <v>1.457142857</v>
      </c>
    </row>
    <row r="10" spans="2:15" x14ac:dyDescent="0.4">
      <c r="N10" t="s">
        <v>134</v>
      </c>
      <c r="O10">
        <v>0.37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0.18</v>
      </c>
    </row>
    <row r="15" spans="2:15" x14ac:dyDescent="0.4">
      <c r="N15" t="s">
        <v>139</v>
      </c>
      <c r="O15" s="81">
        <v>2.9200000000000002E-7</v>
      </c>
    </row>
    <row r="16" spans="2:15" x14ac:dyDescent="0.4">
      <c r="N16" t="s">
        <v>140</v>
      </c>
      <c r="O16" s="81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2023-09-26T07:58:53Z</dcterms:modified>
</cp:coreProperties>
</file>