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SID_PC22\Documents\GitHub\TeamEnv\TEA\"/>
    </mc:Choice>
  </mc:AlternateContent>
  <xr:revisionPtr revIDLastSave="0" documentId="13_ncr:1_{AF984534-313F-4A17-85AD-67A86FD926CA}" xr6:coauthVersionLast="47" xr6:coauthVersionMax="47" xr10:uidLastSave="{00000000-0000-0000-0000-000000000000}"/>
  <bookViews>
    <workbookView xWindow="23376" yWindow="2748" windowWidth="20916" windowHeight="11868" activeTab="2" xr2:uid="{00000000-000D-0000-FFFF-FFFF00000000}"/>
  </bookViews>
  <sheets>
    <sheet name="SMRCCU" sheetId="1" r:id="rId1"/>
    <sheet name="SMRCCU EAC&amp;TPC" sheetId="2" r:id="rId2"/>
    <sheet name="Revenue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3" l="1"/>
  <c r="E3" i="3" s="1"/>
  <c r="C34" i="1"/>
  <c r="C33" i="1"/>
  <c r="C32" i="1"/>
  <c r="C31" i="1"/>
  <c r="C26" i="1"/>
  <c r="E25" i="1"/>
  <c r="E24" i="1"/>
  <c r="E23" i="1"/>
  <c r="E22" i="1"/>
  <c r="E21" i="1"/>
  <c r="E20" i="1"/>
  <c r="E26" i="1" s="1"/>
  <c r="I11" i="2" s="1"/>
  <c r="E19" i="1"/>
  <c r="E18" i="1"/>
  <c r="I12" i="1"/>
  <c r="I11" i="1"/>
  <c r="I10" i="1"/>
  <c r="I9" i="1"/>
  <c r="I8" i="1"/>
  <c r="I13" i="1" s="1"/>
  <c r="E7" i="2" s="1"/>
  <c r="I7" i="1"/>
  <c r="I6" i="1"/>
  <c r="I5" i="1"/>
  <c r="E29" i="2" l="1"/>
  <c r="E9" i="2" l="1"/>
  <c r="E17" i="2"/>
  <c r="E16" i="2"/>
  <c r="E11" i="2"/>
  <c r="E31" i="2"/>
  <c r="E22" i="2"/>
  <c r="E27" i="2" s="1"/>
  <c r="I6" i="2"/>
  <c r="E30" i="2"/>
  <c r="E33" i="2" s="1"/>
  <c r="E34" i="2" s="1"/>
  <c r="E23" i="2"/>
  <c r="E15" i="2"/>
  <c r="E14" i="2"/>
  <c r="E10" i="2"/>
  <c r="E8" i="2"/>
  <c r="E25" i="2"/>
  <c r="E24" i="2"/>
  <c r="I12" i="2" l="1"/>
  <c r="E19" i="2"/>
  <c r="I27" i="2" l="1"/>
  <c r="I25" i="2" s="1"/>
  <c r="I15" i="2"/>
  <c r="I22" i="2" l="1"/>
  <c r="I13" i="2"/>
  <c r="I23" i="2"/>
  <c r="I14" i="2" l="1"/>
  <c r="I21" i="2"/>
  <c r="I16" i="2"/>
  <c r="I29" i="2"/>
  <c r="I18" i="2" s="1"/>
  <c r="I30" i="2"/>
</calcChain>
</file>

<file path=xl/sharedStrings.xml><?xml version="1.0" encoding="utf-8"?>
<sst xmlns="http://schemas.openxmlformats.org/spreadsheetml/2006/main" count="162" uniqueCount="129">
  <si>
    <t>Capex</t>
  </si>
  <si>
    <t>Equipment</t>
  </si>
  <si>
    <t>Reference equpment cost ($)</t>
  </si>
  <si>
    <t xml:space="preserve">Scale paramter </t>
  </si>
  <si>
    <t>Refernece capacity</t>
  </si>
  <si>
    <t xml:space="preserve">Capacity </t>
  </si>
  <si>
    <t>Capacity correction factor</t>
  </si>
  <si>
    <t>Refernece year</t>
  </si>
  <si>
    <t>Equipment cost ($)</t>
  </si>
  <si>
    <t>COMP2</t>
  </si>
  <si>
    <t>Power (Kw)</t>
  </si>
  <si>
    <t>COOL2</t>
  </si>
  <si>
    <t>Heat exchange area (m^2)</t>
  </si>
  <si>
    <t>COMP3</t>
  </si>
  <si>
    <t>COOL3</t>
  </si>
  <si>
    <t>COMP4</t>
  </si>
  <si>
    <t>COOL4</t>
  </si>
  <si>
    <t>COMP5</t>
  </si>
  <si>
    <t>COOL5</t>
  </si>
  <si>
    <t>Total</t>
  </si>
  <si>
    <t>Opex</t>
  </si>
  <si>
    <t>Block brake power (kW)</t>
  </si>
  <si>
    <t>Block heat duty (cal/sec)</t>
  </si>
  <si>
    <t>Annual operating cost</t>
  </si>
  <si>
    <t>COMP</t>
  </si>
  <si>
    <t>-</t>
  </si>
  <si>
    <t>** Heat duty가 아닌 kW로 계산</t>
  </si>
  <si>
    <t>HEAT1</t>
  </si>
  <si>
    <t>Annual operating hours [sec/yr]</t>
  </si>
  <si>
    <t>Electricity cost [$/kWh]</t>
  </si>
  <si>
    <t>Cooling price [$/cal]</t>
  </si>
  <si>
    <t>+</t>
  </si>
  <si>
    <t>Heating price [$/cal]</t>
  </si>
  <si>
    <t>EAC (B.P)</t>
  </si>
  <si>
    <t>TPC (BP)</t>
  </si>
  <si>
    <t xml:space="preserve">Classification </t>
  </si>
  <si>
    <t>% of FCI</t>
  </si>
  <si>
    <t xml:space="preserve">Used </t>
  </si>
  <si>
    <t>Value</t>
  </si>
  <si>
    <t>Classification</t>
  </si>
  <si>
    <t>Range</t>
  </si>
  <si>
    <t>Direct cost</t>
  </si>
  <si>
    <t>Fixed charge(FC) = FCI * 0.08</t>
  </si>
  <si>
    <t>ISBL (Inside battery limit, 전체공사구역 중 주 공정시설)</t>
  </si>
  <si>
    <t>Local taxes, Insurance</t>
  </si>
  <si>
    <t>8% of FCI</t>
  </si>
  <si>
    <t xml:space="preserve">Equipment cost &lt;&lt; 직접 구하길 </t>
  </si>
  <si>
    <t>20-40</t>
  </si>
  <si>
    <t>Direct production cost (DPC)</t>
  </si>
  <si>
    <t>Installation of equipment = FCI * 0.1</t>
  </si>
  <si>
    <t>7.3-26</t>
  </si>
  <si>
    <t>Carbon tax</t>
  </si>
  <si>
    <t>Instrument and control = FCI * 0.05</t>
  </si>
  <si>
    <t>2.5-7.0</t>
  </si>
  <si>
    <t xml:space="preserve">Raw materials </t>
  </si>
  <si>
    <t>Piping = FCI * 0.1</t>
  </si>
  <si>
    <t>3.0-15</t>
  </si>
  <si>
    <t>Membrane replacement cost</t>
  </si>
  <si>
    <t>Electrical = FCI * 0.05</t>
  </si>
  <si>
    <t>2.5-9.0</t>
  </si>
  <si>
    <t>Electricity</t>
  </si>
  <si>
    <t>$0.06/kWh</t>
  </si>
  <si>
    <t>Matinenenance (M) = FC * 0.08</t>
  </si>
  <si>
    <t>OSBL(Outside bettery limit,주공정시설 외 부대시설)</t>
  </si>
  <si>
    <t>Operating labor (OL) = TPC * 0.15</t>
  </si>
  <si>
    <t>15% of OPEX</t>
  </si>
  <si>
    <t>Building and building services = FCI * 0.08</t>
  </si>
  <si>
    <t>6.0-20</t>
  </si>
  <si>
    <t>Supervision and support labor (S) = labor * 0.3</t>
  </si>
  <si>
    <t>30% of OL</t>
  </si>
  <si>
    <t>Yard improvements = FCI * 0.02</t>
  </si>
  <si>
    <t>1.5-5.0</t>
  </si>
  <si>
    <t>Operating supplies = maintenance * 0.15</t>
  </si>
  <si>
    <t>15% of M</t>
  </si>
  <si>
    <t>Services facilities = FCI * 0.08</t>
  </si>
  <si>
    <t>8.0-35</t>
  </si>
  <si>
    <t>Laboratory charges = labor * 0.15</t>
  </si>
  <si>
    <t>15% of OL</t>
  </si>
  <si>
    <t>Land = FCI * 0.02</t>
  </si>
  <si>
    <t>1.0-2.0</t>
  </si>
  <si>
    <t>Plant overhead cost(OVHD)</t>
  </si>
  <si>
    <t>60% of M+OL+S</t>
  </si>
  <si>
    <t>Total direct cost = FCI * 0.5 + Equipment cost</t>
  </si>
  <si>
    <t>General expenses</t>
  </si>
  <si>
    <t>Indirect cost</t>
  </si>
  <si>
    <t xml:space="preserve">Admistrative cost </t>
  </si>
  <si>
    <t>17.5% of OL</t>
  </si>
  <si>
    <t>Engineering = FCI * 0.05</t>
  </si>
  <si>
    <t>4.0-21</t>
  </si>
  <si>
    <t>Distribution and marketing</t>
  </si>
  <si>
    <t>11% of OPEX</t>
  </si>
  <si>
    <t>Construction expenses = FCI * 0.05</t>
  </si>
  <si>
    <t>4.8-22</t>
  </si>
  <si>
    <t xml:space="preserve">R&amp;D cost </t>
  </si>
  <si>
    <t>3.5% of OPEX</t>
  </si>
  <si>
    <t>Contractor's fee = FCI * 0.05</t>
  </si>
  <si>
    <t>Contingency = FCI * 0.05</t>
  </si>
  <si>
    <t>5.0-20</t>
  </si>
  <si>
    <t>TPC</t>
  </si>
  <si>
    <t>Total indirect cost = FCI * 0.2</t>
  </si>
  <si>
    <t>Fixed capital investment (FCI)</t>
  </si>
  <si>
    <t>OVHD</t>
  </si>
  <si>
    <t>Start up cost (SUC)  = FCI * 0.2</t>
  </si>
  <si>
    <t>Working capital investment (WCI)  = FCI * 0.2</t>
  </si>
  <si>
    <t>TCI</t>
  </si>
  <si>
    <t>NPV</t>
  </si>
  <si>
    <t>EAC (r=7%, t=25 year)    RP=r, NP=t</t>
  </si>
  <si>
    <t>EAC</t>
  </si>
  <si>
    <t>Product</t>
  </si>
  <si>
    <t>Flow rate [kg/h]</t>
  </si>
  <si>
    <t>Cost [USD/kg]</t>
  </si>
  <si>
    <t>Revenue [$/yr]</t>
  </si>
  <si>
    <t>Ref</t>
  </si>
  <si>
    <t>CO2</t>
  </si>
  <si>
    <t>https://www.sciencedirect.com/science/article/pii/S0196890423006210</t>
  </si>
  <si>
    <t xml:space="preserve">S. Yun, J. Lee, H. Cho, J. Kim, Oxy-fuel combustion-based blue hydrogen production with the integration of water electrolysis, Energy Convers. Manag. 291 (2023) 117275. </t>
  </si>
  <si>
    <t>Selling price</t>
  </si>
  <si>
    <t>H2 [USD/kg]</t>
  </si>
  <si>
    <t>CH4 [USD/kg]</t>
  </si>
  <si>
    <t>C2H6,C2H4 [USD/kg]</t>
  </si>
  <si>
    <t>C4~C9 (납사) [USD/kg]</t>
  </si>
  <si>
    <t>C10~C16 (디젤) [USD/kg]</t>
  </si>
  <si>
    <t>CaCO3 [USD/kg]</t>
  </si>
  <si>
    <t>MgCO3 [USD/kg]</t>
  </si>
  <si>
    <t>Gypsum [USD/kg]</t>
  </si>
  <si>
    <t>HCL [USD/kg]</t>
  </si>
  <si>
    <t>Electricity [USD/kWh]</t>
  </si>
  <si>
    <t>Cooling price [USD/cal]</t>
  </si>
  <si>
    <t>Heating price [USD/cal]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</si>
</sst>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_-* #,##0.00_-;\-* #,##0.00_-;_-* &quot;-&quot;_-;_-@_-"/>
  </numFmts>
  <fonts count="12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Arial"/>
      <family val="2"/>
    </font>
    <font>
      <sz val="11"/>
      <name val="맑은 고딕"/>
      <family val="2"/>
      <charset val="129"/>
      <scheme val="minor"/>
    </font>
    <font>
      <sz val="11"/>
      <color rgb="FFFF0000"/>
      <name val="맑은 고딕"/>
      <family val="2"/>
      <scheme val="minor"/>
    </font>
    <font>
      <sz val="1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theme="0" tint="-0.249977111117893"/>
      <name val="맑은 고딕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>
      <alignment vertical="center"/>
    </xf>
  </cellStyleXfs>
  <cellXfs count="71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4" fillId="0" borderId="0" xfId="0" applyFont="1">
      <alignment vertical="center"/>
    </xf>
    <xf numFmtId="0" fontId="0" fillId="0" borderId="9" xfId="0" applyBorder="1">
      <alignment vertical="center"/>
    </xf>
    <xf numFmtId="0" fontId="5" fillId="0" borderId="9" xfId="0" applyFont="1" applyBorder="1" applyAlignment="1"/>
    <xf numFmtId="0" fontId="0" fillId="0" borderId="10" xfId="0" applyBorder="1">
      <alignment vertical="center"/>
    </xf>
    <xf numFmtId="0" fontId="0" fillId="0" borderId="2" xfId="0" applyBorder="1" applyAlignment="1">
      <alignment horizontal="right" vertical="center"/>
    </xf>
    <xf numFmtId="0" fontId="0" fillId="3" borderId="2" xfId="0" applyFill="1" applyBorder="1">
      <alignment vertical="center"/>
    </xf>
    <xf numFmtId="0" fontId="0" fillId="0" borderId="11" xfId="0" applyBorder="1">
      <alignment vertical="center"/>
    </xf>
    <xf numFmtId="0" fontId="0" fillId="0" borderId="0" xfId="0" applyAlignment="1">
      <alignment horizontal="right" vertical="center"/>
    </xf>
    <xf numFmtId="0" fontId="0" fillId="3" borderId="0" xfId="0" applyFill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4" borderId="14" xfId="0" applyFill="1" applyBorder="1">
      <alignment vertical="center"/>
    </xf>
    <xf numFmtId="0" fontId="0" fillId="5" borderId="10" xfId="0" applyFill="1" applyBorder="1">
      <alignment vertical="center"/>
    </xf>
    <xf numFmtId="0" fontId="6" fillId="0" borderId="11" xfId="0" applyFont="1" applyBorder="1">
      <alignment vertical="center"/>
    </xf>
    <xf numFmtId="0" fontId="6" fillId="6" borderId="5" xfId="0" applyFont="1" applyFill="1" applyBorder="1">
      <alignment vertical="center"/>
    </xf>
    <xf numFmtId="0" fontId="0" fillId="7" borderId="12" xfId="0" applyFill="1" applyBorder="1">
      <alignment vertical="center"/>
    </xf>
    <xf numFmtId="0" fontId="0" fillId="0" borderId="14" xfId="0" applyBorder="1">
      <alignment vertical="center"/>
    </xf>
    <xf numFmtId="0" fontId="0" fillId="8" borderId="9" xfId="0" applyFill="1" applyBorder="1">
      <alignment vertical="center"/>
    </xf>
    <xf numFmtId="0" fontId="0" fillId="0" borderId="11" xfId="0" applyBorder="1" applyAlignment="1"/>
    <xf numFmtId="0" fontId="5" fillId="0" borderId="5" xfId="0" applyFont="1" applyBorder="1" applyAlignment="1"/>
    <xf numFmtId="0" fontId="0" fillId="0" borderId="12" xfId="0" applyBorder="1" applyAlignment="1"/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41" fontId="4" fillId="0" borderId="0" xfId="1" applyFont="1" applyAlignment="1">
      <alignment horizontal="left"/>
    </xf>
    <xf numFmtId="41" fontId="0" fillId="0" borderId="0" xfId="1" applyFont="1" applyAlignment="1">
      <alignment horizontal="left"/>
    </xf>
    <xf numFmtId="41" fontId="0" fillId="0" borderId="9" xfId="1" applyFont="1" applyBorder="1" applyAlignment="1">
      <alignment horizontal="left"/>
    </xf>
    <xf numFmtId="41" fontId="0" fillId="0" borderId="15" xfId="1" applyFont="1" applyBorder="1" applyAlignment="1">
      <alignment horizontal="left"/>
    </xf>
    <xf numFmtId="41" fontId="0" fillId="0" borderId="13" xfId="1" applyFont="1" applyBorder="1" applyAlignment="1">
      <alignment horizontal="left"/>
    </xf>
    <xf numFmtId="41" fontId="0" fillId="0" borderId="9" xfId="1" applyFont="1" applyBorder="1" applyAlignment="1">
      <alignment horizontal="left" vertical="center"/>
    </xf>
    <xf numFmtId="41" fontId="0" fillId="0" borderId="2" xfId="1" applyFont="1" applyBorder="1" applyAlignment="1">
      <alignment horizontal="left"/>
    </xf>
    <xf numFmtId="0" fontId="0" fillId="0" borderId="9" xfId="1" applyNumberFormat="1" applyFont="1" applyBorder="1" applyAlignment="1">
      <alignment horizontal="left" vertical="center"/>
    </xf>
    <xf numFmtId="41" fontId="4" fillId="0" borderId="11" xfId="1" applyFont="1" applyBorder="1" applyAlignment="1">
      <alignment horizontal="left"/>
    </xf>
    <xf numFmtId="41" fontId="0" fillId="0" borderId="4" xfId="1" applyFont="1" applyBorder="1" applyAlignment="1">
      <alignment horizontal="left"/>
    </xf>
    <xf numFmtId="41" fontId="0" fillId="0" borderId="10" xfId="1" applyFont="1" applyBorder="1" applyAlignment="1">
      <alignment horizontal="left"/>
    </xf>
    <xf numFmtId="41" fontId="4" fillId="0" borderId="1" xfId="1" applyFont="1" applyBorder="1" applyAlignment="1">
      <alignment horizontal="left"/>
    </xf>
    <xf numFmtId="41" fontId="0" fillId="0" borderId="1" xfId="1" applyFont="1" applyBorder="1" applyAlignment="1">
      <alignment horizontal="left"/>
    </xf>
    <xf numFmtId="176" fontId="0" fillId="0" borderId="10" xfId="1" applyNumberFormat="1" applyFont="1" applyBorder="1" applyAlignment="1">
      <alignment horizontal="left"/>
    </xf>
    <xf numFmtId="41" fontId="0" fillId="0" borderId="11" xfId="1" applyFont="1" applyBorder="1" applyAlignment="1">
      <alignment horizontal="left"/>
    </xf>
    <xf numFmtId="41" fontId="7" fillId="0" borderId="4" xfId="1" applyFont="1" applyBorder="1" applyAlignment="1">
      <alignment horizontal="left"/>
    </xf>
    <xf numFmtId="176" fontId="0" fillId="0" borderId="11" xfId="1" applyNumberFormat="1" applyFont="1" applyBorder="1" applyAlignment="1">
      <alignment horizontal="left"/>
    </xf>
    <xf numFmtId="41" fontId="7" fillId="0" borderId="0" xfId="1" applyFont="1" applyAlignment="1">
      <alignment horizontal="left"/>
    </xf>
    <xf numFmtId="41" fontId="0" fillId="4" borderId="11" xfId="1" applyFont="1" applyFill="1" applyBorder="1" applyAlignment="1">
      <alignment horizontal="left"/>
    </xf>
    <xf numFmtId="41" fontId="4" fillId="0" borderId="4" xfId="1" applyFont="1" applyBorder="1" applyAlignment="1">
      <alignment horizontal="left"/>
    </xf>
    <xf numFmtId="41" fontId="8" fillId="0" borderId="4" xfId="1" applyFont="1" applyBorder="1" applyAlignment="1">
      <alignment horizontal="left"/>
    </xf>
    <xf numFmtId="41" fontId="6" fillId="0" borderId="4" xfId="1" applyFont="1" applyBorder="1" applyAlignment="1">
      <alignment horizontal="left"/>
    </xf>
    <xf numFmtId="176" fontId="6" fillId="0" borderId="11" xfId="1" applyNumberFormat="1" applyFont="1" applyBorder="1" applyAlignment="1">
      <alignment horizontal="right"/>
    </xf>
    <xf numFmtId="176" fontId="8" fillId="0" borderId="11" xfId="1" applyNumberFormat="1" applyFont="1" applyBorder="1" applyAlignment="1">
      <alignment horizontal="right"/>
    </xf>
    <xf numFmtId="176" fontId="8" fillId="7" borderId="11" xfId="1" applyNumberFormat="1" applyFont="1" applyFill="1" applyBorder="1" applyAlignment="1">
      <alignment horizontal="right" vertical="center" wrapText="1"/>
    </xf>
    <xf numFmtId="41" fontId="3" fillId="0" borderId="4" xfId="1" applyFont="1" applyBorder="1" applyAlignment="1">
      <alignment horizontal="left"/>
    </xf>
    <xf numFmtId="176" fontId="0" fillId="0" borderId="11" xfId="1" applyNumberFormat="1" applyFont="1" applyBorder="1" applyAlignment="1">
      <alignment horizontal="left" vertical="top"/>
    </xf>
    <xf numFmtId="41" fontId="9" fillId="0" borderId="4" xfId="1" applyFont="1" applyBorder="1" applyAlignment="1">
      <alignment horizontal="left"/>
    </xf>
    <xf numFmtId="41" fontId="4" fillId="0" borderId="6" xfId="1" applyFont="1" applyBorder="1" applyAlignment="1">
      <alignment horizontal="left"/>
    </xf>
    <xf numFmtId="176" fontId="4" fillId="0" borderId="12" xfId="1" applyNumberFormat="1" applyFont="1" applyBorder="1" applyAlignment="1">
      <alignment horizontal="left"/>
    </xf>
    <xf numFmtId="176" fontId="0" fillId="0" borderId="0" xfId="1" applyNumberFormat="1" applyFont="1" applyAlignment="1">
      <alignment horizontal="left"/>
    </xf>
    <xf numFmtId="0" fontId="0" fillId="0" borderId="0" xfId="0" applyAlignment="1"/>
    <xf numFmtId="176" fontId="0" fillId="0" borderId="0" xfId="0" applyNumberFormat="1" applyAlignment="1"/>
    <xf numFmtId="41" fontId="4" fillId="0" borderId="12" xfId="1" applyFont="1" applyBorder="1" applyAlignment="1">
      <alignment horizontal="left"/>
    </xf>
    <xf numFmtId="41" fontId="4" fillId="0" borderId="7" xfId="1" applyFont="1" applyBorder="1" applyAlignment="1">
      <alignment horizontal="left"/>
    </xf>
    <xf numFmtId="0" fontId="0" fillId="0" borderId="15" xfId="0" applyBorder="1">
      <alignment vertical="center"/>
    </xf>
    <xf numFmtId="176" fontId="0" fillId="2" borderId="14" xfId="1" applyNumberFormat="1" applyFont="1" applyFill="1" applyBorder="1">
      <alignment vertical="center"/>
    </xf>
    <xf numFmtId="0" fontId="10" fillId="0" borderId="0" xfId="0" applyFont="1">
      <alignment vertical="center"/>
    </xf>
    <xf numFmtId="0" fontId="11" fillId="0" borderId="0" xfId="0" applyFont="1" applyAlignment="1"/>
    <xf numFmtId="11" fontId="11" fillId="0" borderId="0" xfId="0" applyNumberFormat="1" applyFont="1" applyAlignment="1"/>
    <xf numFmtId="11" fontId="0" fillId="0" borderId="5" xfId="0" applyNumberFormat="1" applyBorder="1" applyAlignment="1"/>
    <xf numFmtId="11" fontId="0" fillId="0" borderId="8" xfId="0" applyNumberFormat="1" applyBorder="1" applyAlignment="1"/>
  </cellXfs>
  <cellStyles count="2">
    <cellStyle name="쉼표 [0] 2" xfId="1" xr:uid="{00000000-0005-0000-0000-000001000000}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O34"/>
  <sheetViews>
    <sheetView zoomScale="85" zoomScaleNormal="85" workbookViewId="0">
      <selection activeCell="G21" sqref="G21"/>
    </sheetView>
  </sheetViews>
  <sheetFormatPr defaultRowHeight="17.399999999999999"/>
  <cols>
    <col min="2" max="2" width="29" style="60" bestFit="1" customWidth="1"/>
    <col min="3" max="3" width="27" style="60" bestFit="1" customWidth="1"/>
    <col min="4" max="4" width="24" style="60" bestFit="1" customWidth="1"/>
    <col min="5" max="5" width="21.59765625" style="60" bestFit="1" customWidth="1"/>
    <col min="6" max="6" width="14.59765625" style="60" customWidth="1"/>
    <col min="7" max="7" width="46.59765625" style="60" bestFit="1" customWidth="1"/>
    <col min="8" max="8" width="18.3984375" style="60" bestFit="1" customWidth="1"/>
    <col min="9" max="9" width="17.8984375" style="60" bestFit="1" customWidth="1"/>
    <col min="10" max="10" width="18.3984375" style="60" bestFit="1" customWidth="1"/>
    <col min="11" max="12" width="19.09765625" style="60" customWidth="1"/>
    <col min="13" max="15" width="20.59765625" style="60" customWidth="1"/>
  </cols>
  <sheetData>
    <row r="2" spans="2:9">
      <c r="B2" s="6" t="s">
        <v>0</v>
      </c>
    </row>
    <row r="3" spans="2:9" ht="18" customHeight="1" thickBot="1"/>
    <row r="4" spans="2:9" ht="18" customHeight="1" thickBot="1">
      <c r="B4" s="7" t="s">
        <v>1</v>
      </c>
      <c r="C4" s="8" t="s">
        <v>2</v>
      </c>
      <c r="D4" s="8" t="s">
        <v>3</v>
      </c>
      <c r="E4" s="8" t="s">
        <v>4</v>
      </c>
      <c r="F4" s="8" t="s">
        <v>5</v>
      </c>
      <c r="G4" s="8" t="s">
        <v>6</v>
      </c>
      <c r="H4" s="8" t="s">
        <v>7</v>
      </c>
      <c r="I4" s="8" t="s">
        <v>8</v>
      </c>
    </row>
    <row r="5" spans="2:9">
      <c r="B5" s="9" t="s">
        <v>9</v>
      </c>
      <c r="C5" s="1">
        <v>15000</v>
      </c>
      <c r="D5" s="10" t="s">
        <v>10</v>
      </c>
      <c r="E5" s="2">
        <v>10</v>
      </c>
      <c r="F5" s="11">
        <v>2.0867183580000002</v>
      </c>
      <c r="G5" s="2">
        <v>0.9</v>
      </c>
      <c r="H5" s="2">
        <v>2004</v>
      </c>
      <c r="I5" s="3">
        <f>C5*(F5/E5)^G5*(595.6/444.2)</f>
        <v>4908.9074818745303</v>
      </c>
    </row>
    <row r="6" spans="2:9" ht="18" customHeight="1" thickBot="1">
      <c r="B6" s="12" t="s">
        <v>11</v>
      </c>
      <c r="C6" s="4">
        <v>15500</v>
      </c>
      <c r="D6" s="13" t="s">
        <v>12</v>
      </c>
      <c r="E6">
        <v>2</v>
      </c>
      <c r="F6" s="14">
        <v>0.13655856499999999</v>
      </c>
      <c r="G6">
        <v>0.59</v>
      </c>
      <c r="H6">
        <v>2006</v>
      </c>
      <c r="I6" s="5">
        <f>C6*(F6/E6)^G6*(595.6/499.6)</f>
        <v>3792.2279720196375</v>
      </c>
    </row>
    <row r="7" spans="2:9">
      <c r="B7" s="9" t="s">
        <v>13</v>
      </c>
      <c r="C7" s="1">
        <v>15000</v>
      </c>
      <c r="D7" s="10" t="s">
        <v>10</v>
      </c>
      <c r="E7" s="2">
        <v>10</v>
      </c>
      <c r="F7" s="11">
        <v>2.033581206</v>
      </c>
      <c r="G7" s="2">
        <v>0.9</v>
      </c>
      <c r="H7" s="2">
        <v>2004</v>
      </c>
      <c r="I7" s="3">
        <f>C7*(F7/E7)^G7*(595.6/444.2)</f>
        <v>4796.2604840502736</v>
      </c>
    </row>
    <row r="8" spans="2:9" ht="18" customHeight="1" thickBot="1">
      <c r="B8" s="12" t="s">
        <v>14</v>
      </c>
      <c r="C8" s="4">
        <v>15500</v>
      </c>
      <c r="D8" s="13" t="s">
        <v>12</v>
      </c>
      <c r="E8">
        <v>2</v>
      </c>
      <c r="F8" s="14">
        <v>0.14616024699999999</v>
      </c>
      <c r="G8">
        <v>0.59</v>
      </c>
      <c r="H8">
        <v>2006</v>
      </c>
      <c r="I8" s="5">
        <f>C8*(F8/E8)^G8*(595.6/499.6)</f>
        <v>3947.3490243723786</v>
      </c>
    </row>
    <row r="9" spans="2:9">
      <c r="B9" s="9" t="s">
        <v>15</v>
      </c>
      <c r="C9" s="1">
        <v>15000</v>
      </c>
      <c r="D9" s="10" t="s">
        <v>10</v>
      </c>
      <c r="E9" s="2">
        <v>10</v>
      </c>
      <c r="F9" s="11">
        <v>1.8604721230000001</v>
      </c>
      <c r="G9" s="2">
        <v>0.9</v>
      </c>
      <c r="H9" s="2">
        <v>2004</v>
      </c>
      <c r="I9" s="3">
        <f>C9*(F9/E9)^G9*(595.6/444.2)</f>
        <v>4427.1908502431679</v>
      </c>
    </row>
    <row r="10" spans="2:9" ht="18" customHeight="1" thickBot="1">
      <c r="B10" s="12" t="s">
        <v>16</v>
      </c>
      <c r="C10" s="4">
        <v>15500</v>
      </c>
      <c r="D10" s="13" t="s">
        <v>12</v>
      </c>
      <c r="E10">
        <v>2</v>
      </c>
      <c r="F10" s="14">
        <v>0.14616024699999999</v>
      </c>
      <c r="G10">
        <v>0.59</v>
      </c>
      <c r="H10">
        <v>2006</v>
      </c>
      <c r="I10" s="5">
        <f>C10*(F10/E10)^G10*(595.6/499.6)</f>
        <v>3947.3490243723786</v>
      </c>
    </row>
    <row r="11" spans="2:9">
      <c r="B11" s="9" t="s">
        <v>17</v>
      </c>
      <c r="C11" s="1">
        <v>15000</v>
      </c>
      <c r="D11" s="10" t="s">
        <v>10</v>
      </c>
      <c r="E11" s="2">
        <v>10</v>
      </c>
      <c r="F11" s="11">
        <v>0.54997836899999997</v>
      </c>
      <c r="G11" s="2">
        <v>0.9</v>
      </c>
      <c r="H11" s="2">
        <v>2004</v>
      </c>
      <c r="I11" s="3">
        <f>C11*(F11/E11)^G11*(595.6/444.2)</f>
        <v>1478.3540036907939</v>
      </c>
    </row>
    <row r="12" spans="2:9" ht="18" customHeight="1" thickBot="1">
      <c r="B12" s="12" t="s">
        <v>18</v>
      </c>
      <c r="C12" s="4">
        <v>15500</v>
      </c>
      <c r="D12" s="13" t="s">
        <v>12</v>
      </c>
      <c r="E12">
        <v>2</v>
      </c>
      <c r="F12" s="14">
        <v>0.19124945300000001</v>
      </c>
      <c r="G12">
        <v>0.59</v>
      </c>
      <c r="H12">
        <v>2006</v>
      </c>
      <c r="I12" s="5">
        <f>C12*(F12/E12)^G12*(595.6/499.6)</f>
        <v>4625.9440856998526</v>
      </c>
    </row>
    <row r="13" spans="2:9" ht="18" customHeight="1" thickBot="1">
      <c r="B13" s="7" t="s">
        <v>19</v>
      </c>
      <c r="C13" s="16"/>
      <c r="D13" s="16"/>
      <c r="E13" s="16"/>
      <c r="F13" s="16"/>
      <c r="G13" s="16"/>
      <c r="H13" s="16"/>
      <c r="I13" s="17">
        <f>SUM(I5:I12)</f>
        <v>31923.582926323012</v>
      </c>
    </row>
    <row r="15" spans="2:9">
      <c r="B15" s="6" t="s">
        <v>20</v>
      </c>
    </row>
    <row r="16" spans="2:9" ht="18" customHeight="1" thickBot="1"/>
    <row r="17" spans="2:6" ht="18" customHeight="1" thickBot="1">
      <c r="B17" s="7" t="s">
        <v>1</v>
      </c>
      <c r="C17" s="9" t="s">
        <v>21</v>
      </c>
      <c r="D17" s="3" t="s">
        <v>22</v>
      </c>
      <c r="E17" s="7" t="s">
        <v>23</v>
      </c>
    </row>
    <row r="18" spans="2:6">
      <c r="B18" s="9" t="s">
        <v>24</v>
      </c>
      <c r="C18" s="18">
        <v>2.0867183580000002</v>
      </c>
      <c r="D18" s="3" t="s">
        <v>25</v>
      </c>
      <c r="E18" s="19">
        <f>C18*$C$32*$D$31</f>
        <v>3192.6790877400003</v>
      </c>
      <c r="F18" t="s">
        <v>26</v>
      </c>
    </row>
    <row r="19" spans="2:6" ht="18" customHeight="1" thickBot="1">
      <c r="B19" s="12" t="s">
        <v>27</v>
      </c>
      <c r="C19" s="12" t="s">
        <v>25</v>
      </c>
      <c r="D19" s="20">
        <v>485.81823220000001</v>
      </c>
      <c r="E19" s="19">
        <f>D19*$C$33*$C$31</f>
        <v>3906.7947615180979</v>
      </c>
    </row>
    <row r="20" spans="2:6">
      <c r="B20" s="9" t="s">
        <v>24</v>
      </c>
      <c r="C20" s="18">
        <v>2.033581206</v>
      </c>
      <c r="D20" s="3" t="s">
        <v>25</v>
      </c>
      <c r="E20" s="19">
        <f>C20*$C$32*$D$31</f>
        <v>3111.3792451799995</v>
      </c>
      <c r="F20" t="s">
        <v>26</v>
      </c>
    </row>
    <row r="21" spans="2:6" ht="18" customHeight="1" thickBot="1">
      <c r="B21" s="12" t="s">
        <v>27</v>
      </c>
      <c r="C21" s="12" t="s">
        <v>25</v>
      </c>
      <c r="D21" s="20">
        <v>519.97700039999995</v>
      </c>
      <c r="E21" s="19">
        <f>D21*$C$33*$C$31</f>
        <v>4181.4886445766733</v>
      </c>
    </row>
    <row r="22" spans="2:6">
      <c r="B22" s="9" t="s">
        <v>24</v>
      </c>
      <c r="C22" s="18">
        <v>1.8604721230000001</v>
      </c>
      <c r="D22" s="3" t="s">
        <v>25</v>
      </c>
      <c r="E22" s="19">
        <f>C22*$C$32*$D$31</f>
        <v>2846.5223481900002</v>
      </c>
      <c r="F22" t="s">
        <v>26</v>
      </c>
    </row>
    <row r="23" spans="2:6" ht="18" customHeight="1" thickBot="1">
      <c r="B23" s="12" t="s">
        <v>27</v>
      </c>
      <c r="C23" s="12" t="s">
        <v>25</v>
      </c>
      <c r="D23" s="20">
        <v>519.97700039999995</v>
      </c>
      <c r="E23" s="19">
        <f>D23*$C$33*$C$31</f>
        <v>4181.4886445766733</v>
      </c>
    </row>
    <row r="24" spans="2:6">
      <c r="B24" s="9" t="s">
        <v>24</v>
      </c>
      <c r="C24" s="18">
        <v>0.54997836899999997</v>
      </c>
      <c r="D24" s="3" t="s">
        <v>25</v>
      </c>
      <c r="E24" s="19">
        <f>C24*$C$32*$D$31</f>
        <v>841.46690457</v>
      </c>
      <c r="F24" t="s">
        <v>26</v>
      </c>
    </row>
    <row r="25" spans="2:6" ht="18" customHeight="1" thickBot="1">
      <c r="B25" s="12" t="s">
        <v>27</v>
      </c>
      <c r="C25" s="12" t="s">
        <v>25</v>
      </c>
      <c r="D25" s="20">
        <v>680.38552660000005</v>
      </c>
      <c r="E25" s="19">
        <f>D25*$C$33*$C$31</f>
        <v>5471.4426815486904</v>
      </c>
    </row>
    <row r="26" spans="2:6" ht="18" customHeight="1" thickBot="1">
      <c r="B26" s="7" t="s">
        <v>19</v>
      </c>
      <c r="C26" s="21">
        <f>SUM(C18:C19)</f>
        <v>2.0867183580000002</v>
      </c>
      <c r="D26" s="22"/>
      <c r="E26" s="23">
        <f>SUM(E18:E25)</f>
        <v>27733.262317900135</v>
      </c>
    </row>
    <row r="30" spans="2:6" ht="18" customHeight="1" thickBot="1"/>
    <row r="31" spans="2:6" ht="18" customHeight="1" thickBot="1">
      <c r="B31" s="9" t="s">
        <v>28</v>
      </c>
      <c r="C31" s="3">
        <f>8500*3600</f>
        <v>30600000</v>
      </c>
      <c r="D31" s="7">
        <v>8500</v>
      </c>
    </row>
    <row r="32" spans="2:6">
      <c r="B32" s="24" t="s">
        <v>29</v>
      </c>
      <c r="C32" s="25">
        <f>Revenue!O14</f>
        <v>0.18</v>
      </c>
    </row>
    <row r="33" spans="1:3">
      <c r="A33" s="6" t="s">
        <v>25</v>
      </c>
      <c r="B33" s="24" t="s">
        <v>30</v>
      </c>
      <c r="C33" s="69">
        <f>Revenue!O15</f>
        <v>2.628000000000001E-7</v>
      </c>
    </row>
    <row r="34" spans="1:3" ht="18" customHeight="1" thickBot="1">
      <c r="A34" s="6" t="s">
        <v>31</v>
      </c>
      <c r="B34" s="26" t="s">
        <v>32</v>
      </c>
      <c r="C34" s="70">
        <f>Revenue!O16</f>
        <v>2.9200000000000002E-7</v>
      </c>
    </row>
  </sheetData>
  <phoneticPr fontId="2" type="noConversion"/>
  <pageMargins left="0.7" right="0.7" top="0.75" bottom="0.75" header="0.3" footer="0.3"/>
  <pageSetup paperSize="9" orientation="portrait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I34"/>
  <sheetViews>
    <sheetView workbookViewId="0">
      <selection activeCell="G31" sqref="G31"/>
    </sheetView>
  </sheetViews>
  <sheetFormatPr defaultRowHeight="17.399999999999999"/>
  <cols>
    <col min="2" max="2" width="53.59765625" style="60" customWidth="1"/>
    <col min="5" max="5" width="13.69921875" style="60" customWidth="1"/>
    <col min="7" max="7" width="43.69921875" style="60" customWidth="1"/>
    <col min="8" max="8" width="15" style="60" customWidth="1"/>
    <col min="9" max="9" width="14.09765625" style="60" customWidth="1"/>
  </cols>
  <sheetData>
    <row r="3" spans="2:9" ht="18" customHeight="1" thickBot="1">
      <c r="B3" s="27" t="s">
        <v>33</v>
      </c>
      <c r="C3" s="28"/>
      <c r="D3" s="28"/>
      <c r="E3" s="28"/>
      <c r="G3" s="29" t="s">
        <v>34</v>
      </c>
      <c r="H3" s="30"/>
      <c r="I3" s="30"/>
    </row>
    <row r="4" spans="2:9" ht="18" customHeight="1" thickBot="1">
      <c r="B4" s="31" t="s">
        <v>35</v>
      </c>
      <c r="C4" s="32" t="s">
        <v>36</v>
      </c>
      <c r="D4" s="33" t="s">
        <v>37</v>
      </c>
      <c r="E4" s="34" t="s">
        <v>38</v>
      </c>
      <c r="G4" s="31" t="s">
        <v>39</v>
      </c>
      <c r="H4" s="35" t="s">
        <v>40</v>
      </c>
      <c r="I4" s="36" t="s">
        <v>38</v>
      </c>
    </row>
    <row r="5" spans="2:9">
      <c r="B5" s="37" t="s">
        <v>41</v>
      </c>
      <c r="C5" s="38"/>
      <c r="D5" s="30"/>
      <c r="E5" s="39"/>
      <c r="G5" s="40" t="s">
        <v>42</v>
      </c>
      <c r="H5" s="41"/>
      <c r="I5" s="42"/>
    </row>
    <row r="6" spans="2:9">
      <c r="B6" s="37" t="s">
        <v>43</v>
      </c>
      <c r="C6" s="38"/>
      <c r="D6" s="30"/>
      <c r="E6" s="43"/>
      <c r="G6" s="38" t="s">
        <v>44</v>
      </c>
      <c r="H6" s="44" t="s">
        <v>45</v>
      </c>
      <c r="I6" s="45">
        <f>SUM(E29*0.01)</f>
        <v>1064.1194308774338</v>
      </c>
    </row>
    <row r="7" spans="2:9">
      <c r="B7" s="43" t="s">
        <v>46</v>
      </c>
      <c r="C7" s="38" t="s">
        <v>47</v>
      </c>
      <c r="D7" s="46">
        <v>30</v>
      </c>
      <c r="E7" s="47">
        <f>SMRCCU!I13</f>
        <v>31923.582926323012</v>
      </c>
      <c r="G7" s="48" t="s">
        <v>48</v>
      </c>
      <c r="H7" s="49"/>
      <c r="I7" s="45"/>
    </row>
    <row r="8" spans="2:9">
      <c r="B8" s="43" t="s">
        <v>49</v>
      </c>
      <c r="C8" s="38" t="s">
        <v>50</v>
      </c>
      <c r="D8" s="30">
        <v>10</v>
      </c>
      <c r="E8" s="43">
        <f>SUM(E29*0.1)</f>
        <v>10641.194308774338</v>
      </c>
      <c r="G8" s="50" t="s">
        <v>51</v>
      </c>
      <c r="H8" s="49" t="s">
        <v>25</v>
      </c>
      <c r="I8" s="51" t="s">
        <v>25</v>
      </c>
    </row>
    <row r="9" spans="2:9">
      <c r="B9" s="43" t="s">
        <v>52</v>
      </c>
      <c r="C9" s="38" t="s">
        <v>53</v>
      </c>
      <c r="D9" s="30">
        <v>5</v>
      </c>
      <c r="E9" s="43">
        <f>SUM(E29*0.05)</f>
        <v>5320.5971543871692</v>
      </c>
      <c r="G9" s="49" t="s">
        <v>54</v>
      </c>
      <c r="H9" s="49" t="s">
        <v>25</v>
      </c>
      <c r="I9" s="52" t="s">
        <v>25</v>
      </c>
    </row>
    <row r="10" spans="2:9">
      <c r="B10" s="43" t="s">
        <v>55</v>
      </c>
      <c r="C10" s="38" t="s">
        <v>56</v>
      </c>
      <c r="D10" s="30">
        <v>10</v>
      </c>
      <c r="E10" s="43">
        <f>SUM(E29*0.1)</f>
        <v>10641.194308774338</v>
      </c>
      <c r="G10" s="49" t="s">
        <v>57</v>
      </c>
      <c r="H10" s="49"/>
      <c r="I10" s="52" t="s">
        <v>25</v>
      </c>
    </row>
    <row r="11" spans="2:9">
      <c r="B11" s="43" t="s">
        <v>58</v>
      </c>
      <c r="C11" s="38" t="s">
        <v>59</v>
      </c>
      <c r="D11" s="30">
        <v>5</v>
      </c>
      <c r="E11" s="43">
        <f>SUM(E29*0.05)</f>
        <v>5320.5971543871692</v>
      </c>
      <c r="G11" s="49" t="s">
        <v>60</v>
      </c>
      <c r="H11" s="49" t="s">
        <v>61</v>
      </c>
      <c r="I11" s="53">
        <f>SMRCCU!E26</f>
        <v>27733.262317900135</v>
      </c>
    </row>
    <row r="12" spans="2:9">
      <c r="B12" s="43"/>
      <c r="C12" s="38"/>
      <c r="D12" s="30"/>
      <c r="E12" s="43"/>
      <c r="G12" s="38" t="s">
        <v>62</v>
      </c>
      <c r="H12" s="54" t="s">
        <v>45</v>
      </c>
      <c r="I12" s="55">
        <f>SUM(I6*0.04)</f>
        <v>42.564777235097353</v>
      </c>
    </row>
    <row r="13" spans="2:9">
      <c r="B13" s="37" t="s">
        <v>63</v>
      </c>
      <c r="C13" s="38"/>
      <c r="D13" s="30"/>
      <c r="E13" s="43"/>
      <c r="G13" s="38" t="s">
        <v>64</v>
      </c>
      <c r="H13" s="49" t="s">
        <v>65</v>
      </c>
      <c r="I13" s="45">
        <f>SUM(I25*0.15)</f>
        <v>8762.3278024094034</v>
      </c>
    </row>
    <row r="14" spans="2:9">
      <c r="B14" s="43" t="s">
        <v>66</v>
      </c>
      <c r="C14" s="38" t="s">
        <v>67</v>
      </c>
      <c r="D14" s="30">
        <v>8</v>
      </c>
      <c r="E14" s="43">
        <f>SUM(E29*0.08)</f>
        <v>8512.9554470194707</v>
      </c>
      <c r="G14" s="38" t="s">
        <v>68</v>
      </c>
      <c r="H14" s="49" t="s">
        <v>69</v>
      </c>
      <c r="I14" s="45">
        <f>SUM(I13*0.3)</f>
        <v>2628.6983407228208</v>
      </c>
    </row>
    <row r="15" spans="2:9">
      <c r="B15" s="43" t="s">
        <v>70</v>
      </c>
      <c r="C15" s="38" t="s">
        <v>71</v>
      </c>
      <c r="D15" s="30">
        <v>2</v>
      </c>
      <c r="E15" s="43">
        <f>SUM(E29*0.02)</f>
        <v>2128.2388617548677</v>
      </c>
      <c r="G15" s="38" t="s">
        <v>72</v>
      </c>
      <c r="H15" s="49" t="s">
        <v>73</v>
      </c>
      <c r="I15" s="45">
        <f>SUM(I12*0.15)</f>
        <v>6.3847165852646031</v>
      </c>
    </row>
    <row r="16" spans="2:9">
      <c r="B16" s="43" t="s">
        <v>74</v>
      </c>
      <c r="C16" s="38" t="s">
        <v>75</v>
      </c>
      <c r="D16" s="30">
        <v>8</v>
      </c>
      <c r="E16" s="43">
        <f>SUM(E29*0.08)</f>
        <v>8512.9554470194707</v>
      </c>
      <c r="G16" s="38" t="s">
        <v>76</v>
      </c>
      <c r="H16" s="49" t="s">
        <v>77</v>
      </c>
      <c r="I16" s="45">
        <f>SUM(I13*0.15)</f>
        <v>1314.3491703614104</v>
      </c>
    </row>
    <row r="17" spans="2:9">
      <c r="B17" s="43" t="s">
        <v>78</v>
      </c>
      <c r="C17" s="38" t="s">
        <v>79</v>
      </c>
      <c r="D17" s="30">
        <v>2</v>
      </c>
      <c r="E17" s="43">
        <f>SUM(E29*0.02)</f>
        <v>2128.2388617548677</v>
      </c>
      <c r="G17" s="38"/>
      <c r="H17" s="49"/>
      <c r="I17" s="45"/>
    </row>
    <row r="18" spans="2:9">
      <c r="B18" s="43"/>
      <c r="C18" s="38"/>
      <c r="D18" s="30"/>
      <c r="E18" s="43"/>
      <c r="G18" s="48" t="s">
        <v>80</v>
      </c>
      <c r="H18" s="49" t="s">
        <v>81</v>
      </c>
      <c r="I18" s="45">
        <f>SUM(0.6*I29)</f>
        <v>6860.1545522203933</v>
      </c>
    </row>
    <row r="19" spans="2:9">
      <c r="B19" s="37" t="s">
        <v>82</v>
      </c>
      <c r="C19" s="38"/>
      <c r="D19" s="30"/>
      <c r="E19" s="43">
        <f>SUM(E7:E17)</f>
        <v>85129.554470194722</v>
      </c>
      <c r="G19" s="38"/>
      <c r="H19" s="49"/>
      <c r="I19" s="45"/>
    </row>
    <row r="20" spans="2:9">
      <c r="B20" s="43"/>
      <c r="C20" s="38"/>
      <c r="D20" s="30"/>
      <c r="E20" s="43"/>
      <c r="G20" s="48" t="s">
        <v>83</v>
      </c>
      <c r="H20" s="49"/>
      <c r="I20" s="45"/>
    </row>
    <row r="21" spans="2:9">
      <c r="B21" s="37" t="s">
        <v>84</v>
      </c>
      <c r="C21" s="38"/>
      <c r="D21" s="30"/>
      <c r="E21" s="43"/>
      <c r="G21" s="38" t="s">
        <v>85</v>
      </c>
      <c r="H21" s="49" t="s">
        <v>86</v>
      </c>
      <c r="I21" s="45">
        <f>SUM(I13*0.175)</f>
        <v>1533.4073654216454</v>
      </c>
    </row>
    <row r="22" spans="2:9">
      <c r="B22" s="43" t="s">
        <v>87</v>
      </c>
      <c r="C22" s="38" t="s">
        <v>88</v>
      </c>
      <c r="D22" s="30">
        <v>5</v>
      </c>
      <c r="E22" s="43">
        <f>SUM(E29*0.05)</f>
        <v>5320.5971543871692</v>
      </c>
      <c r="G22" s="56" t="s">
        <v>89</v>
      </c>
      <c r="H22" s="49" t="s">
        <v>90</v>
      </c>
      <c r="I22" s="45">
        <f>SUM(I25*0.11)</f>
        <v>6425.7070551002298</v>
      </c>
    </row>
    <row r="23" spans="2:9">
      <c r="B23" s="43" t="s">
        <v>91</v>
      </c>
      <c r="C23" s="38" t="s">
        <v>92</v>
      </c>
      <c r="D23" s="30">
        <v>5</v>
      </c>
      <c r="E23" s="43">
        <f>SUM(E29*0.05)</f>
        <v>5320.5971543871692</v>
      </c>
      <c r="G23" s="38" t="s">
        <v>93</v>
      </c>
      <c r="H23" s="56" t="s">
        <v>94</v>
      </c>
      <c r="I23" s="45">
        <f>SUM(I25*0.035)</f>
        <v>2044.5431538955277</v>
      </c>
    </row>
    <row r="24" spans="2:9">
      <c r="B24" s="43" t="s">
        <v>95</v>
      </c>
      <c r="C24" s="38" t="s">
        <v>71</v>
      </c>
      <c r="D24" s="30">
        <v>5</v>
      </c>
      <c r="E24" s="43">
        <f>SUM(E29*0.05)</f>
        <v>5320.5971543871692</v>
      </c>
      <c r="G24" s="38"/>
      <c r="H24" s="56"/>
      <c r="I24" s="45"/>
    </row>
    <row r="25" spans="2:9" ht="18" customHeight="1" thickBot="1">
      <c r="B25" s="43" t="s">
        <v>96</v>
      </c>
      <c r="C25" s="38" t="s">
        <v>97</v>
      </c>
      <c r="D25" s="30">
        <v>5</v>
      </c>
      <c r="E25" s="43">
        <f>SUM(E29*0.05)</f>
        <v>5320.5971543871692</v>
      </c>
      <c r="G25" s="57" t="s">
        <v>98</v>
      </c>
      <c r="H25" s="57"/>
      <c r="I25" s="58">
        <f>SUM(I27/0.49425)</f>
        <v>58415.518682729358</v>
      </c>
    </row>
    <row r="26" spans="2:9">
      <c r="B26" s="43"/>
      <c r="C26" s="38"/>
      <c r="D26" s="30"/>
      <c r="E26" s="43"/>
      <c r="G26" s="30"/>
      <c r="H26" s="30"/>
      <c r="I26" s="59"/>
    </row>
    <row r="27" spans="2:9">
      <c r="B27" s="37" t="s">
        <v>99</v>
      </c>
      <c r="C27" s="38"/>
      <c r="D27" s="30"/>
      <c r="E27" s="43">
        <f>SUM(E22:E25)</f>
        <v>21282.388617548677</v>
      </c>
      <c r="G27" s="30"/>
      <c r="H27" s="30"/>
      <c r="I27" s="59">
        <f>SUM(I6:I12,I15,0.6*I12)</f>
        <v>28871.870108938987</v>
      </c>
    </row>
    <row r="28" spans="2:9">
      <c r="B28" s="43"/>
      <c r="C28" s="38"/>
      <c r="D28" s="30"/>
      <c r="E28" s="43"/>
      <c r="G28" s="28"/>
      <c r="H28" s="28"/>
      <c r="I28" s="59"/>
    </row>
    <row r="29" spans="2:9">
      <c r="B29" s="43" t="s">
        <v>100</v>
      </c>
      <c r="C29" s="38">
        <v>100</v>
      </c>
      <c r="D29" s="30">
        <v>100</v>
      </c>
      <c r="E29" s="43">
        <f>SUM(E7*100/D7)</f>
        <v>106411.94308774338</v>
      </c>
      <c r="G29" s="28"/>
      <c r="H29" s="28" t="s">
        <v>101</v>
      </c>
      <c r="I29" s="59">
        <f>(I12+I13+I14)</f>
        <v>11433.590920367322</v>
      </c>
    </row>
    <row r="30" spans="2:9">
      <c r="B30" s="43" t="s">
        <v>102</v>
      </c>
      <c r="C30" s="38">
        <v>20</v>
      </c>
      <c r="D30" s="46">
        <v>20</v>
      </c>
      <c r="E30" s="43">
        <f>SUM(E29*0.2)</f>
        <v>21282.388617548677</v>
      </c>
      <c r="I30" s="61">
        <f>SUM(I6:I23)</f>
        <v>58415.518682729366</v>
      </c>
    </row>
    <row r="31" spans="2:9">
      <c r="B31" s="43" t="s">
        <v>103</v>
      </c>
      <c r="C31" s="38">
        <v>20</v>
      </c>
      <c r="D31" s="46">
        <v>20</v>
      </c>
      <c r="E31" s="43">
        <f>SUM(E29*0.2)</f>
        <v>21282.388617548677</v>
      </c>
    </row>
    <row r="32" spans="2:9">
      <c r="B32" s="43"/>
      <c r="C32" s="38"/>
      <c r="D32" s="30"/>
      <c r="E32" s="43"/>
    </row>
    <row r="33" spans="2:5">
      <c r="B33" s="37" t="s">
        <v>104</v>
      </c>
      <c r="C33" s="48" t="s">
        <v>105</v>
      </c>
      <c r="D33" s="29"/>
      <c r="E33" s="37">
        <f>SUM(E29:E31)</f>
        <v>148976.72032284073</v>
      </c>
    </row>
    <row r="34" spans="2:5" ht="18" customHeight="1" thickBot="1">
      <c r="B34" s="62" t="s">
        <v>106</v>
      </c>
      <c r="C34" s="57" t="s">
        <v>107</v>
      </c>
      <c r="D34" s="63"/>
      <c r="E34" s="62">
        <f>SUM(E33/((1-(1/((1.05)^25)))/0.07))</f>
        <v>14798.370142199885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O16"/>
  <sheetViews>
    <sheetView tabSelected="1" workbookViewId="0">
      <selection activeCell="H23" sqref="H23"/>
    </sheetView>
  </sheetViews>
  <sheetFormatPr defaultRowHeight="17.399999999999999"/>
  <cols>
    <col min="3" max="3" width="14.8984375" style="60" customWidth="1"/>
    <col min="4" max="4" width="15.296875" style="60" customWidth="1"/>
    <col min="5" max="5" width="16.69921875" style="60" customWidth="1"/>
    <col min="14" max="14" width="25.3984375" style="60" customWidth="1"/>
  </cols>
  <sheetData>
    <row r="1" spans="2:15" ht="18" customHeight="1" thickBot="1"/>
    <row r="2" spans="2:15" ht="18" customHeight="1" thickBot="1">
      <c r="B2" s="1" t="s">
        <v>108</v>
      </c>
      <c r="C2" s="2" t="s">
        <v>109</v>
      </c>
      <c r="D2" s="2" t="s">
        <v>110</v>
      </c>
      <c r="E2" s="3" t="s">
        <v>111</v>
      </c>
      <c r="F2" s="9" t="s">
        <v>112</v>
      </c>
    </row>
    <row r="3" spans="2:15" ht="18" customHeight="1" thickBot="1">
      <c r="B3" s="64" t="s">
        <v>113</v>
      </c>
      <c r="C3" s="16">
        <v>70.208750899999998</v>
      </c>
      <c r="D3" s="16">
        <f>24/1000</f>
        <v>2.4E-2</v>
      </c>
      <c r="E3" s="65">
        <f>C3*D3*SMRCCU!D31</f>
        <v>14322.585183599998</v>
      </c>
      <c r="F3" s="15" t="s">
        <v>114</v>
      </c>
    </row>
    <row r="4" spans="2:15">
      <c r="F4" s="66" t="s">
        <v>115</v>
      </c>
      <c r="N4" t="s">
        <v>116</v>
      </c>
    </row>
    <row r="5" spans="2:15">
      <c r="N5" t="s">
        <v>117</v>
      </c>
      <c r="O5">
        <v>1.6</v>
      </c>
    </row>
    <row r="6" spans="2:15">
      <c r="N6" t="s">
        <v>118</v>
      </c>
      <c r="O6">
        <v>0.63600000000000001</v>
      </c>
    </row>
    <row r="7" spans="2:15">
      <c r="N7" t="s">
        <v>119</v>
      </c>
      <c r="O7">
        <v>0.56000000000000005</v>
      </c>
    </row>
    <row r="8" spans="2:15">
      <c r="N8" t="s">
        <v>120</v>
      </c>
      <c r="O8">
        <v>0.7</v>
      </c>
    </row>
    <row r="9" spans="2:15">
      <c r="N9" t="s">
        <v>121</v>
      </c>
      <c r="O9">
        <v>1.457142857</v>
      </c>
    </row>
    <row r="10" spans="2:15">
      <c r="N10" t="s">
        <v>122</v>
      </c>
      <c r="O10">
        <v>0.37</v>
      </c>
    </row>
    <row r="11" spans="2:15">
      <c r="N11" t="s">
        <v>123</v>
      </c>
      <c r="O11" s="67">
        <v>0.7</v>
      </c>
    </row>
    <row r="12" spans="2:15">
      <c r="N12" t="s">
        <v>124</v>
      </c>
      <c r="O12" s="67">
        <v>0.5</v>
      </c>
    </row>
    <row r="13" spans="2:15">
      <c r="N13" t="s">
        <v>125</v>
      </c>
      <c r="O13" s="67">
        <v>15000</v>
      </c>
    </row>
    <row r="14" spans="2:15">
      <c r="N14" t="s">
        <v>126</v>
      </c>
      <c r="O14">
        <v>0.18</v>
      </c>
    </row>
    <row r="15" spans="2:15">
      <c r="N15" t="s">
        <v>127</v>
      </c>
      <c r="O15" s="68">
        <v>2.628000000000001E-7</v>
      </c>
    </row>
    <row r="16" spans="2:15">
      <c r="N16" t="s">
        <v>128</v>
      </c>
      <c r="O16" s="68">
        <v>2.9200000000000002E-7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SMRCCU</vt:lpstr>
      <vt:lpstr>SMRCCU EAC&amp;TPC</vt:lpstr>
      <vt:lpstr>Revenue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김유림</dc:creator>
  <cp:lastModifiedBy>안나현</cp:lastModifiedBy>
  <dcterms:created xsi:type="dcterms:W3CDTF">2023-09-21T04:44:28Z</dcterms:created>
  <dcterms:modified xsi:type="dcterms:W3CDTF">2023-12-14T08:34:43Z</dcterms:modified>
</cp:coreProperties>
</file>