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7310086F-12A4-4E2A-AF62-314E9C287E6B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D24" i="1" s="1"/>
  <c r="C40" i="1"/>
  <c r="C39" i="1"/>
  <c r="C38" i="1"/>
  <c r="D38" i="1" s="1"/>
  <c r="D31" i="1"/>
  <c r="D29" i="1"/>
  <c r="D26" i="1"/>
  <c r="I14" i="1"/>
  <c r="I13" i="1"/>
  <c r="I12" i="1"/>
  <c r="I11" i="1"/>
  <c r="I10" i="1"/>
  <c r="I8" i="1"/>
  <c r="I7" i="1"/>
  <c r="I6" i="1"/>
  <c r="I15" i="1" s="1"/>
  <c r="E7" i="2" s="1"/>
  <c r="I5" i="1"/>
  <c r="D19" i="3" l="1"/>
  <c r="C19" i="3"/>
  <c r="E29" i="2"/>
  <c r="D23" i="1"/>
  <c r="D28" i="1"/>
  <c r="D25" i="1"/>
  <c r="D30" i="1"/>
  <c r="E30" i="2" l="1"/>
  <c r="E11" i="2"/>
  <c r="E8" i="2"/>
  <c r="E24" i="2"/>
  <c r="E22" i="2"/>
  <c r="E15" i="2"/>
  <c r="E9" i="2"/>
  <c r="E33" i="2"/>
  <c r="E34" i="2" s="1"/>
  <c r="G38" i="1" s="1"/>
  <c r="E23" i="2"/>
  <c r="E16" i="2"/>
  <c r="E14" i="2"/>
  <c r="E10" i="2"/>
  <c r="E31" i="2"/>
  <c r="E25" i="2"/>
  <c r="K6" i="2"/>
  <c r="E17" i="2"/>
  <c r="D33" i="1"/>
  <c r="K9" i="2" s="1"/>
  <c r="E19" i="2" l="1"/>
  <c r="K12" i="2"/>
  <c r="E27" i="2"/>
  <c r="K27" i="2" l="1"/>
  <c r="K25" i="2" s="1"/>
  <c r="K15" i="2"/>
  <c r="K23" i="2" l="1"/>
  <c r="G39" i="1"/>
  <c r="K22" i="2"/>
  <c r="K1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<sst xmlns="http://schemas.openxmlformats.org/spreadsheetml/2006/main" count="187" uniqueCount="145">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</sst>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6</v>
      </c>
      <c r="G5" s="9">
        <v>0.78</v>
      </c>
      <c r="H5" s="9">
        <v>1990</v>
      </c>
      <c r="I5" s="3">
        <f>C5*(F5/E5)^G5*595.6/357.6</f>
        <v>4169.3921897277669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20</v>
      </c>
      <c r="G6">
        <v>0.78</v>
      </c>
      <c r="H6">
        <v>1990</v>
      </c>
      <c r="I6" s="5">
        <f>C6*(F6/E6)^G6*595.6/357.6</f>
        <v>10663.951711659392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10</v>
      </c>
      <c r="G7">
        <v>0.78</v>
      </c>
      <c r="H7">
        <v>1990</v>
      </c>
      <c r="I7" s="5">
        <f>C7*(F7/E7)^G7*595.6/357.6</f>
        <v>6210.3313615237375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6</v>
      </c>
      <c r="G8">
        <v>0.78</v>
      </c>
      <c r="H8">
        <v>1990</v>
      </c>
      <c r="I8" s="5">
        <f>C8*(F8/E8)^G8*595.6/357.6</f>
        <v>4169.3921897277669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2.4145350999999999E-2</v>
      </c>
      <c r="G10">
        <v>0.59</v>
      </c>
      <c r="H10">
        <v>2006</v>
      </c>
      <c r="I10" s="5">
        <f>C10*(F10/E10)^G10*595.6/499.6</f>
        <v>132.0345530404403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42</v>
      </c>
      <c r="G11">
        <v>0.7</v>
      </c>
      <c r="H11">
        <v>1990</v>
      </c>
      <c r="I11" s="5">
        <f>C11*(F11/E11)^G11*595.6/357.6</f>
        <v>107353.43261108579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42.0015134</v>
      </c>
      <c r="G12">
        <v>0.78</v>
      </c>
      <c r="H12">
        <v>1990</v>
      </c>
      <c r="I12" s="5">
        <f>C12*(F12/E12)^G12*595.6/357.6</f>
        <v>19022.229882725846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0.27311044099999998</v>
      </c>
      <c r="G13">
        <v>0.59</v>
      </c>
      <c r="H13">
        <v>2006</v>
      </c>
      <c r="I13" s="5">
        <f>C13*(F13/E13)^G13*595.6/499.6</f>
        <v>552.40222611663853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42.0015134</v>
      </c>
      <c r="G14" s="7">
        <v>0.6</v>
      </c>
      <c r="H14" s="7">
        <v>1998</v>
      </c>
      <c r="I14" s="48">
        <f>C14*(F14/E14)^G14*595.6/389.5</f>
        <v>1103.1704992946118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153376.33722490197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1437.87328</v>
      </c>
      <c r="D23" s="11">
        <f>C23*IF(C23&gt;0,$C$41,$C$40)*$C$38</f>
        <v>3568.3126040448005</v>
      </c>
    </row>
    <row r="24" spans="2:5">
      <c r="B24" s="4" t="s">
        <v>13</v>
      </c>
      <c r="C24" s="72">
        <v>4751.80836</v>
      </c>
      <c r="D24" s="11">
        <f>C24*IF(C24&gt;0,$C$41,$C$40)*$C$38</f>
        <v>11792.372734677601</v>
      </c>
    </row>
    <row r="25" spans="2:5">
      <c r="B25" s="4" t="s">
        <v>14</v>
      </c>
      <c r="C25" s="72">
        <v>2475.3341500000001</v>
      </c>
      <c r="D25" s="11">
        <f>C25*IF(C25&gt;0,$C$41,$C$40)*$C$38</f>
        <v>6142.937746689001</v>
      </c>
    </row>
    <row r="26" spans="2:5">
      <c r="B26" s="4" t="s">
        <v>15</v>
      </c>
      <c r="C26" s="72">
        <v>560.09161200000005</v>
      </c>
      <c r="D26" s="11">
        <f>C26*IF(C26&gt;0,$C$41,$C$40)*$C$38</f>
        <v>1389.9569498359203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3603.26514</v>
      </c>
      <c r="D28" s="11">
        <f>C28*IF(C28&gt;0,$C$41,$C$40)*$C$38</f>
        <v>8942.0789673324016</v>
      </c>
      <c r="E28" t="s">
        <v>30</v>
      </c>
    </row>
    <row r="29" spans="2:5">
      <c r="B29" s="4" t="s">
        <v>21</v>
      </c>
      <c r="C29" s="73">
        <v>-2071.6262700000002</v>
      </c>
      <c r="D29" s="11">
        <f>C29*IF(C29&gt;0,$C$41,$C$40)*$C$38</f>
        <v>5141.0720492082</v>
      </c>
      <c r="E29" t="s">
        <v>31</v>
      </c>
    </row>
    <row r="30" spans="2:5">
      <c r="B30" s="4" t="s">
        <v>23</v>
      </c>
      <c r="C30" s="72">
        <v>-2421.6004800000001</v>
      </c>
      <c r="D30" s="11">
        <f>C30*IF(C30&gt;0,$C$41,$C$40)*$C$38</f>
        <v>6009.5890471968005</v>
      </c>
    </row>
    <row r="31" spans="2:5">
      <c r="B31" s="4" t="s">
        <v>24</v>
      </c>
      <c r="C31" s="73">
        <v>-4079.5126300000002</v>
      </c>
      <c r="D31" s="11">
        <f>C31*IF(C31&gt;0,$C$41,$C$40)*$C$38</f>
        <v>10123.963313365801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53110.283412350524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71098.529715392389</v>
      </c>
    </row>
    <row r="39" spans="1:7">
      <c r="B39" s="52" t="s">
        <v>34</v>
      </c>
      <c r="C39" s="51">
        <f>Revenue!O14</f>
        <v>0.05</v>
      </c>
      <c r="F39" t="s">
        <v>35</v>
      </c>
      <c r="G39">
        <f>'Plastic EAC&amp;TPC'!K25</f>
        <v>118524.44331149288</v>
      </c>
    </row>
    <row r="40" spans="1:7">
      <c r="A40" s="13" t="s">
        <v>17</v>
      </c>
      <c r="B40" s="52" t="s">
        <v>36</v>
      </c>
      <c r="C40" s="81">
        <f>Revenue!O15*(-1)</f>
        <v>-8.1100000000000005E-8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8.1100000000000005E-8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5112.5445741633994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153376.33722490197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51125.445741633994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25562.722870816997</v>
      </c>
      <c r="I9" s="36" t="s">
        <v>60</v>
      </c>
      <c r="J9" s="36" t="s">
        <v>17</v>
      </c>
      <c r="K9" s="67">
        <f>Plastic!D33</f>
        <v>53110.283412350524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51125.445741633994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25562.722870816997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204.50178296653598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17778.66649672393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40900.356593307195</v>
      </c>
      <c r="I14" s="21" t="s">
        <v>74</v>
      </c>
      <c r="J14" s="36" t="s">
        <v>75</v>
      </c>
      <c r="K14" s="58">
        <f>SUM(K13*0.3)</f>
        <v>5333.5999490171789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10225.089148326799</v>
      </c>
      <c r="I15" s="21" t="s">
        <v>78</v>
      </c>
      <c r="J15" s="36" t="s">
        <v>79</v>
      </c>
      <c r="K15" s="58">
        <f>SUM(K12*0.15)</f>
        <v>30.675267444980395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40900.356593307195</v>
      </c>
      <c r="I16" s="21" t="s">
        <v>82</v>
      </c>
      <c r="J16" s="36" t="s">
        <v>83</v>
      </c>
      <c r="K16" s="58">
        <f>SUM(K13*0.15)</f>
        <v>2666.7999745085895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10225.089148326799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13990.060937224587</v>
      </c>
    </row>
    <row r="19" spans="2:11">
      <c r="B19" s="20" t="s">
        <v>88</v>
      </c>
      <c r="C19" s="21"/>
      <c r="D19" s="22"/>
      <c r="E19" s="24">
        <f>SUM(E7:E17)</f>
        <v>409003.56593307189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3111.2666369266876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25562.722870816997</v>
      </c>
      <c r="I22" s="39" t="s">
        <v>95</v>
      </c>
      <c r="J22" s="36" t="s">
        <v>96</v>
      </c>
      <c r="K22" s="58">
        <f>SUM(K25*0.11)</f>
        <v>13037.688764264218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25562.722870816997</v>
      </c>
      <c r="I23" s="21" t="s">
        <v>99</v>
      </c>
      <c r="J23" s="39" t="s">
        <v>100</v>
      </c>
      <c r="K23" s="58">
        <f>SUM(K25*0.035)</f>
        <v>4148.3555159022517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25562.722870816997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25562.722870816997</v>
      </c>
      <c r="I25" s="29" t="s">
        <v>35</v>
      </c>
      <c r="J25" s="29"/>
      <c r="K25" s="62">
        <f>SUM(K27/0.49425)</f>
        <v>118524.44331149288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102250.89148326799</v>
      </c>
      <c r="I27" s="22"/>
      <c r="J27" s="22"/>
      <c r="K27" s="63">
        <f>SUM(K6:K12,K15,0.6*K12)</f>
        <v>58580.706106705358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511254.45741633989</v>
      </c>
      <c r="I29" s="15"/>
      <c r="J29" s="15" t="s">
        <v>106</v>
      </c>
      <c r="K29" s="63">
        <f>(K12+K13+K14)</f>
        <v>23316.768228707646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102250.89148326799</v>
      </c>
      <c r="K30" s="64">
        <f>SUM(K6:K23)</f>
        <v>118524.44331149285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102250.89148326799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715756.2403828759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71098.529715392389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topLeftCell="A7" workbookViewId="0">
      <selection activeCell="A3" sqref="A3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4.4893959999999997E-3</v>
      </c>
      <c r="D4">
        <f>C4*O5</f>
        <v>1.0774550399999999E-2</v>
      </c>
      <c r="N4" t="s">
        <v>115</v>
      </c>
    </row>
    <row r="5" spans="2:15">
      <c r="B5" t="s">
        <v>116</v>
      </c>
      <c r="C5" s="77">
        <v>5.815593E-3</v>
      </c>
      <c r="D5">
        <f>C5*$O$7</f>
        <v>5.7574370699999995E-3</v>
      </c>
      <c r="N5" t="s">
        <v>117</v>
      </c>
      <c r="O5">
        <v>2.4</v>
      </c>
    </row>
    <row r="6" spans="2:15">
      <c r="B6" t="s">
        <v>118</v>
      </c>
      <c r="C6" s="76">
        <v>1.6550980999999999E-2</v>
      </c>
      <c r="D6">
        <f>C6*$O$7</f>
        <v>1.6385471190000001E-2</v>
      </c>
      <c r="N6" t="s">
        <v>119</v>
      </c>
      <c r="O6">
        <v>0.37040000000000001</v>
      </c>
    </row>
    <row r="7" spans="2:15">
      <c r="B7" t="s">
        <v>120</v>
      </c>
      <c r="C7" s="77">
        <v>0.124850515</v>
      </c>
      <c r="D7">
        <f>C7*$O$8</f>
        <v>8.7395360499999991E-2</v>
      </c>
      <c r="N7" t="s">
        <v>121</v>
      </c>
      <c r="O7">
        <v>0.99</v>
      </c>
    </row>
    <row r="8" spans="2:15">
      <c r="B8" t="s">
        <v>122</v>
      </c>
      <c r="C8" s="77">
        <v>7.5529356300000003</v>
      </c>
      <c r="D8">
        <f>C8*$O$8</f>
        <v>5.2870549410000001</v>
      </c>
      <c r="N8" t="s">
        <v>123</v>
      </c>
      <c r="O8">
        <v>0.7</v>
      </c>
    </row>
    <row r="9" spans="2:15">
      <c r="B9" t="s">
        <v>124</v>
      </c>
      <c r="C9" s="77">
        <v>8.5364257200000004</v>
      </c>
      <c r="D9">
        <f>C9*$O$8</f>
        <v>5.9754980040000003</v>
      </c>
      <c r="N9" t="s">
        <v>125</v>
      </c>
      <c r="O9">
        <v>0.23809523799999999</v>
      </c>
    </row>
    <row r="10" spans="2:15">
      <c r="B10" t="s">
        <v>126</v>
      </c>
      <c r="C10" s="77">
        <v>1.94705737</v>
      </c>
      <c r="D10">
        <f>C10*$O$8</f>
        <v>1.3629401589999999</v>
      </c>
      <c r="N10" t="s">
        <v>127</v>
      </c>
      <c r="O10">
        <v>0.4</v>
      </c>
    </row>
    <row r="11" spans="2:15">
      <c r="B11" t="s">
        <v>128</v>
      </c>
      <c r="C11" s="76">
        <v>1.1653525199999999</v>
      </c>
      <c r="D11">
        <f>C11*$O$8</f>
        <v>0.8157467639999999</v>
      </c>
      <c r="N11" t="s">
        <v>129</v>
      </c>
      <c r="O11" s="79">
        <v>0.7</v>
      </c>
    </row>
    <row r="12" spans="2:15">
      <c r="B12" t="s">
        <v>130</v>
      </c>
      <c r="C12" s="77">
        <v>0.47419454700000002</v>
      </c>
      <c r="D12">
        <f>C12*$O$9</f>
        <v>0.11290346352626718</v>
      </c>
      <c r="N12" t="s">
        <v>131</v>
      </c>
      <c r="O12" s="79">
        <v>0.5</v>
      </c>
    </row>
    <row r="13" spans="2:15">
      <c r="B13" t="s">
        <v>132</v>
      </c>
      <c r="C13" s="77">
        <v>0.53389038799999999</v>
      </c>
      <c r="D13">
        <f>C13*$O$9</f>
        <v>0.12711675899677233</v>
      </c>
      <c r="N13" t="s">
        <v>133</v>
      </c>
      <c r="O13" s="79">
        <v>15000</v>
      </c>
    </row>
    <row r="14" spans="2:15">
      <c r="B14" t="s">
        <v>134</v>
      </c>
      <c r="C14" s="77">
        <v>0.85274586100000005</v>
      </c>
      <c r="D14">
        <f>C14*$O$9</f>
        <v>0.20303472872830991</v>
      </c>
      <c r="N14" t="s">
        <v>135</v>
      </c>
      <c r="O14">
        <v>0.05</v>
      </c>
    </row>
    <row r="15" spans="2:15">
      <c r="B15" t="s">
        <v>136</v>
      </c>
      <c r="C15" s="76">
        <v>0.13633405100000001</v>
      </c>
      <c r="D15">
        <f>C15*$O$9</f>
        <v>3.2460488320349139E-2</v>
      </c>
      <c r="N15" t="s">
        <v>137</v>
      </c>
      <c r="O15" s="80">
        <v>8.1100000000000005E-8</v>
      </c>
    </row>
    <row r="16" spans="2:15">
      <c r="B16" t="s">
        <v>138</v>
      </c>
      <c r="C16" s="77">
        <v>3.4505187500000001</v>
      </c>
      <c r="D16">
        <f>C16*44175.392*0.000277778*0.08*0.5</f>
        <v>1.693646003633497</v>
      </c>
      <c r="N16" t="s">
        <v>139</v>
      </c>
      <c r="O16" s="80">
        <v>8.1100000000000005E-8</v>
      </c>
    </row>
    <row r="17" spans="2:7">
      <c r="B17" t="s">
        <v>140</v>
      </c>
      <c r="C17" s="77">
        <v>4.0108536299999997</v>
      </c>
      <c r="D17">
        <f>C17*G17</f>
        <v>2.9570018387174994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158845.58573720293</v>
      </c>
      <c r="D19">
        <f>SUM(D4:D16)*Plastic!D38</f>
        <v>133711.07010810415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2023-12-12T16:06:03Z</dcterms:modified>
</cp:coreProperties>
</file>