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97D643FB-F11D-49AA-956D-FD6019BA6320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E3" i="3" s="1"/>
  <c r="D3" i="3"/>
  <c r="C31" i="1"/>
  <c r="D20" i="1" s="1"/>
  <c r="C30" i="1"/>
  <c r="D21" i="1" s="1"/>
  <c r="C29" i="1"/>
  <c r="C28" i="1"/>
  <c r="D22" i="1"/>
  <c r="D19" i="1"/>
  <c r="D18" i="1"/>
  <c r="I9" i="1"/>
  <c r="I8" i="1"/>
  <c r="I7" i="1"/>
  <c r="I6" i="1"/>
  <c r="I5" i="1"/>
  <c r="I10" i="1" s="1"/>
  <c r="E7" i="2" s="1"/>
  <c r="E29" i="2" l="1"/>
  <c r="D23" i="1"/>
  <c r="K9" i="2" s="1"/>
  <c r="E23" i="2" l="1"/>
  <c r="E16" i="2"/>
  <c r="E14" i="2"/>
  <c r="E10" i="2"/>
  <c r="E17" i="2"/>
  <c r="E11" i="2"/>
  <c r="E31" i="2"/>
  <c r="E25" i="2"/>
  <c r="K6" i="2"/>
  <c r="E24" i="2"/>
  <c r="E22" i="2"/>
  <c r="E27" i="2" s="1"/>
  <c r="E15" i="2"/>
  <c r="E9" i="2"/>
  <c r="E30" i="2"/>
  <c r="E33" i="2" s="1"/>
  <c r="E34" i="2" s="1"/>
  <c r="E8" i="2"/>
  <c r="E19" i="2" s="1"/>
  <c r="K12" i="2" l="1"/>
  <c r="K15" i="2" l="1"/>
  <c r="K27" i="2"/>
  <c r="K25" i="2" s="1"/>
  <c r="K23" i="2" l="1"/>
  <c r="K22" i="2"/>
  <c r="K13" i="2"/>
  <c r="K16" i="2" l="1"/>
  <c r="K21" i="2"/>
  <c r="K14" i="2"/>
  <c r="K30" i="2" s="1"/>
  <c r="K29" i="2"/>
  <c r="K18" i="2" s="1"/>
</calcChain>
</file>

<file path=xl/sharedStrings.xml><?xml version="1.0" encoding="utf-8"?>
<sst xmlns="http://schemas.openxmlformats.org/spreadsheetml/2006/main" count="138" uniqueCount="120">
  <si>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</si>
  <si>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</si>
  <si>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</si>
  <si>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</si>
  <si>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</si>
  <si>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</si>
  <si>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</si>
  <si>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</si>
  <si>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</si>
  <si>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</si>
  <si>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</si>
  <si>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</si>
  <si>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</si>
  <si>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</si>
  <si>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</si>
  <si>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</si>
  <si>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</si>
  <si>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</si>
  <si>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</si>
  <si>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</si>
  <si>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</si>
  <si>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</si>
  <si>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</si>
  <si>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</si>
  <si>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</si>
  <si>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</si>
  <si>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</si>
  <si>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</si>
  <si>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</si>
  <si>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</si>
  <si>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</si>
  <si>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</si>
  <si>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</si>
  <si>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</si>
  <si>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</si>
  <si>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</si>
  <si>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</si>
  <si>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</si>
  <si>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</si>
  <si>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</si>
  <si>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</si>
  <si>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</si>
  <si>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</si>
  <si>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</si>
  <si>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</si>
  <si>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</si>
  <si>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</si>
  <si>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</si>
  <si>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</si>
  <si>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</si>
  <si>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</si>
  <si>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</si>
  <si>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</si>
  <si>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</si>
  <si>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</si>
  <si>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</si>
  <si>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</si>
  <si>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</si>
  <si>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</si>
  <si>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</si>
  <si>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</si>
  <si>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</si>
  <si>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</si>
  <si>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</si>
  <si>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</si>
  <si>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</si>
  <si>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</si>
  <si>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</si>
  <si>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</si>
  <si>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</si>
  <si>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</si>
  <si>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</si>
  <si>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</si>
  <si>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</si>
  <si>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</si>
  <si>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</si>
  <si>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</si>
  <si>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</si>
  <si>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</si>
  <si>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</si>
  <si>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</si>
  <si>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</si>
  <si>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</si>
  <si>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</si>
  <si>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</si>
  <si>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</si>
  <si>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</si>
  <si>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</si>
  <si>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</si>
  <si>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</si>
  <si>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</si>
  <si>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</si>
  <si>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</si>
  <si>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</si>
  <si>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</si>
  <si>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</si>
  <si>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</si>
  <si>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</si>
  <si>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</si>
  <si>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</si>
  <si>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</si>
  <si>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</si>
  <si>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[kg/h]</t>
  </si>
  <si>
    <t>Cost [USD/tonne]</t>
  </si>
  <si>
    <t>Revenue [$/yr]</t>
  </si>
  <si>
    <t>CALCI-02</t>
  </si>
  <si>
    <t>ton/h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</si>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</sst>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  <xf numFmtId="0" fontId="10" fillId="0" borderId="0" xfId="0" applyFont="1" applyAlignment="1"/>
    <xf numFmtId="11" fontId="10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workbookViewId="0">
      <selection activeCell="D34" sqref="D34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59">
        <v>147800</v>
      </c>
      <c r="D5" s="57" t="s">
        <v>11</v>
      </c>
      <c r="E5" s="59">
        <v>461492</v>
      </c>
      <c r="F5" s="60">
        <v>8.5845588599999996</v>
      </c>
      <c r="G5" s="59">
        <v>0.5</v>
      </c>
      <c r="H5" s="59">
        <v>1997</v>
      </c>
      <c r="I5" s="2">
        <f>C5*(F5/E5)^G5*(595.6/386.5)</f>
        <v>982.32801031749193</v>
      </c>
      <c r="J5" s="5"/>
    </row>
    <row r="6" spans="2:10">
      <c r="B6" s="6" t="s">
        <v>12</v>
      </c>
      <c r="C6" s="59">
        <v>20000</v>
      </c>
      <c r="D6" s="57" t="s">
        <v>13</v>
      </c>
      <c r="E6" s="59">
        <v>2500</v>
      </c>
      <c r="F6" s="60">
        <v>38948.168176047999</v>
      </c>
      <c r="G6" s="61">
        <v>0.6</v>
      </c>
      <c r="H6" s="59">
        <v>1987</v>
      </c>
      <c r="I6" s="3">
        <f>C6*(F6/E6)^G6*(595.6/323.8)</f>
        <v>191089.16252794163</v>
      </c>
      <c r="J6" s="6"/>
    </row>
    <row r="7" spans="2:10">
      <c r="B7" s="6" t="s">
        <v>14</v>
      </c>
      <c r="C7" s="59">
        <v>20000</v>
      </c>
      <c r="D7" s="57" t="s">
        <v>13</v>
      </c>
      <c r="E7" s="59">
        <v>2500</v>
      </c>
      <c r="F7" s="60">
        <v>40085.70495996</v>
      </c>
      <c r="G7" s="61">
        <v>0.6</v>
      </c>
      <c r="H7" s="59">
        <v>1987</v>
      </c>
      <c r="I7" s="56">
        <f>C7*(F7/E7)^G7*(595.6/323.8)</f>
        <v>194418.48317675444</v>
      </c>
      <c r="J7" s="6"/>
    </row>
    <row r="8" spans="2:10">
      <c r="B8" s="6" t="s">
        <v>15</v>
      </c>
      <c r="C8" s="59">
        <v>165000</v>
      </c>
      <c r="D8" s="57" t="s">
        <v>11</v>
      </c>
      <c r="E8" s="59">
        <v>359263</v>
      </c>
      <c r="F8" s="39">
        <v>78.886292999999995</v>
      </c>
      <c r="G8">
        <v>0.6</v>
      </c>
      <c r="H8">
        <v>1998</v>
      </c>
      <c r="I8" s="3">
        <f>C8*(F8/E8)^G8*(595.6/389.5)</f>
        <v>1610.2177325193786</v>
      </c>
      <c r="J8" s="6"/>
    </row>
    <row r="9" spans="2:10" ht="18" customHeight="1" thickBot="1">
      <c r="B9" s="7" t="s">
        <v>16</v>
      </c>
      <c r="C9" s="59">
        <v>165000</v>
      </c>
      <c r="D9" s="57" t="s">
        <v>11</v>
      </c>
      <c r="E9" s="59">
        <v>359263</v>
      </c>
      <c r="F9" s="39">
        <v>3.45070516</v>
      </c>
      <c r="G9">
        <v>0.6</v>
      </c>
      <c r="H9">
        <v>1998</v>
      </c>
      <c r="I9" s="3">
        <f>C9*(F9/E9)^G9*(595.6/389.5)</f>
        <v>246.27957075486049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388346.47101828782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2">
        <v>6.00949241</v>
      </c>
      <c r="D18" s="36">
        <f>C18*C31*C28</f>
        <v>50.753769097895997</v>
      </c>
    </row>
    <row r="19" spans="1:4">
      <c r="B19" s="6" t="s">
        <v>12</v>
      </c>
      <c r="C19" s="58">
        <v>1066.6922500000001</v>
      </c>
      <c r="D19" s="36">
        <f>C19*C31*C28</f>
        <v>9008.8560665999994</v>
      </c>
    </row>
    <row r="20" spans="1:4">
      <c r="B20" s="6" t="s">
        <v>14</v>
      </c>
      <c r="C20" s="58">
        <v>112.644598</v>
      </c>
      <c r="D20" s="36">
        <f>C20*C31*C28</f>
        <v>951.35121686880007</v>
      </c>
    </row>
    <row r="21" spans="1:4">
      <c r="B21" s="6" t="s">
        <v>15</v>
      </c>
      <c r="C21" s="58">
        <v>-190.57692499999999</v>
      </c>
      <c r="D21" s="36">
        <f>C21*C30*C28</f>
        <v>1609.5364777799998</v>
      </c>
    </row>
    <row r="22" spans="1:4" ht="18" customHeight="1" thickBot="1">
      <c r="B22" s="6" t="s">
        <v>16</v>
      </c>
      <c r="C22" s="63">
        <v>7.9957894000000002E-2</v>
      </c>
      <c r="D22" s="36">
        <f>C22*C31*C28</f>
        <v>0.67529238956640003</v>
      </c>
    </row>
    <row r="23" spans="1:4" ht="18" customHeight="1" thickBot="1">
      <c r="B23" s="4" t="s">
        <v>17</v>
      </c>
      <c r="C23" s="38"/>
      <c r="D23" s="53">
        <f>SUM(D18:D22)</f>
        <v>11621.17282273626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2" t="s">
        <v>22</v>
      </c>
      <c r="C29" s="55">
        <f>'Desulf revenue'!O14</f>
        <v>0.17</v>
      </c>
    </row>
    <row r="30" spans="1:4">
      <c r="A30" s="8" t="s">
        <v>23</v>
      </c>
      <c r="B30" s="42" t="s">
        <v>24</v>
      </c>
      <c r="C30" s="70">
        <f>(-1)*'Desulf revenue'!O15</f>
        <v>-2.7599999999999998E-7</v>
      </c>
    </row>
    <row r="31" spans="1:4" ht="18" customHeight="1" thickBot="1">
      <c r="A31" s="8" t="s">
        <v>25</v>
      </c>
      <c r="B31" s="43" t="s">
        <v>26</v>
      </c>
      <c r="C31" s="71">
        <f>'Desulf revenue'!O16</f>
        <v>2.7599999999999998E-7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4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5">
        <f>SUM(E29*0.01)</f>
        <v>12944.882367276261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388346.47101828782</v>
      </c>
      <c r="I7" s="21" t="s">
        <v>42</v>
      </c>
      <c r="J7" s="31"/>
      <c r="K7" s="45"/>
    </row>
    <row r="8" spans="2:11">
      <c r="B8" s="19" t="s">
        <v>43</v>
      </c>
      <c r="C8" s="16" t="s">
        <v>44</v>
      </c>
      <c r="D8" s="17">
        <v>10</v>
      </c>
      <c r="E8" s="19">
        <f>SUM(E29*0.1)</f>
        <v>129448.82367276261</v>
      </c>
      <c r="I8" s="32" t="s">
        <v>45</v>
      </c>
      <c r="J8" s="31" t="s">
        <v>23</v>
      </c>
      <c r="K8" s="46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64724.411836381303</v>
      </c>
      <c r="I9" s="31" t="s">
        <v>48</v>
      </c>
      <c r="J9" s="31" t="s">
        <v>23</v>
      </c>
      <c r="K9" s="54">
        <f>Desulf!D23</f>
        <v>11621.17282273626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129448.82367276261</v>
      </c>
      <c r="I10" s="31" t="s">
        <v>51</v>
      </c>
      <c r="J10" s="31"/>
      <c r="K10" s="47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64724.411836381303</v>
      </c>
      <c r="I11" s="31" t="s">
        <v>54</v>
      </c>
      <c r="J11" s="31" t="s">
        <v>55</v>
      </c>
      <c r="K11" s="52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48">
        <f>SUM(K6*0.04)</f>
        <v>517.79529469105046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5">
        <f>SUM(K25*0.15)</f>
        <v>7730.5605328442671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103559.05893821009</v>
      </c>
      <c r="I14" s="16" t="s">
        <v>62</v>
      </c>
      <c r="J14" s="31" t="s">
        <v>63</v>
      </c>
      <c r="K14" s="45">
        <f>SUM(K13*0.3)</f>
        <v>2319.16815985328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25889.764734552522</v>
      </c>
      <c r="I15" s="16" t="s">
        <v>66</v>
      </c>
      <c r="J15" s="31" t="s">
        <v>67</v>
      </c>
      <c r="K15" s="45">
        <f>SUM(K12*0.15)</f>
        <v>77.669294203657572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103559.05893821009</v>
      </c>
      <c r="I16" s="16" t="s">
        <v>70</v>
      </c>
      <c r="J16" s="31" t="s">
        <v>71</v>
      </c>
      <c r="K16" s="45">
        <f>SUM(K13*0.15)</f>
        <v>1159.58407992664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25889.764734552522</v>
      </c>
      <c r="I17" s="16"/>
      <c r="J17" s="31"/>
      <c r="K17" s="45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5">
        <f>SUM(0.6*K29)</f>
        <v>6340.5143924331578</v>
      </c>
    </row>
    <row r="19" spans="2:11">
      <c r="B19" s="15" t="s">
        <v>76</v>
      </c>
      <c r="C19" s="16"/>
      <c r="D19" s="17"/>
      <c r="E19" s="19">
        <f>SUM(E7:E17)</f>
        <v>1035590.5893821009</v>
      </c>
      <c r="I19" s="16"/>
      <c r="J19" s="31"/>
      <c r="K19" s="45"/>
    </row>
    <row r="20" spans="2:11">
      <c r="B20" s="19"/>
      <c r="C20" s="16"/>
      <c r="D20" s="17"/>
      <c r="E20" s="19"/>
      <c r="I20" s="21" t="s">
        <v>77</v>
      </c>
      <c r="J20" s="31"/>
      <c r="K20" s="45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5">
        <f>SUM(K13*0.175)</f>
        <v>1352.8480932477466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64724.411836381303</v>
      </c>
      <c r="I22" s="34" t="s">
        <v>83</v>
      </c>
      <c r="J22" s="31" t="s">
        <v>84</v>
      </c>
      <c r="K22" s="45">
        <f>SUM(K25*0.11)</f>
        <v>5669.077724085796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64724.411836381303</v>
      </c>
      <c r="I23" s="16" t="s">
        <v>87</v>
      </c>
      <c r="J23" s="34" t="s">
        <v>88</v>
      </c>
      <c r="K23" s="45">
        <f>SUM(K25*0.035)</f>
        <v>1803.7974576636625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64724.411836381303</v>
      </c>
      <c r="I24" s="16"/>
      <c r="J24" s="34"/>
      <c r="K24" s="45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64724.411836381303</v>
      </c>
      <c r="I25" s="24" t="s">
        <v>92</v>
      </c>
      <c r="J25" s="24"/>
      <c r="K25" s="49">
        <f>SUM(K27/0.49425)</f>
        <v>51537.07021896178</v>
      </c>
    </row>
    <row r="26" spans="2:11">
      <c r="B26" s="19"/>
      <c r="C26" s="16"/>
      <c r="D26" s="17"/>
      <c r="E26" s="19"/>
      <c r="I26" s="17"/>
      <c r="J26" s="17"/>
      <c r="K26" s="50"/>
    </row>
    <row r="27" spans="2:11">
      <c r="B27" s="15" t="s">
        <v>93</v>
      </c>
      <c r="C27" s="16"/>
      <c r="D27" s="17"/>
      <c r="E27" s="19">
        <f>SUM(E22:E25)</f>
        <v>258897.64734552521</v>
      </c>
      <c r="I27" s="17"/>
      <c r="J27" s="17"/>
      <c r="K27" s="50">
        <f>SUM(K6:K12,K15,0.6*K12)</f>
        <v>25472.196955721862</v>
      </c>
    </row>
    <row r="28" spans="2:11">
      <c r="B28" s="19"/>
      <c r="C28" s="16"/>
      <c r="D28" s="17"/>
      <c r="E28" s="19"/>
      <c r="I28" s="10"/>
      <c r="J28" s="10"/>
      <c r="K28" s="50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1294488.2367276261</v>
      </c>
      <c r="I29" s="10"/>
      <c r="J29" s="10" t="s">
        <v>95</v>
      </c>
      <c r="K29" s="50">
        <f>(K12+K13+K14)</f>
        <v>10567.523987388597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258897.64734552521</v>
      </c>
      <c r="K30" s="51">
        <f>SUM(K6:K23)</f>
        <v>51537.07021896178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258897.64734552521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1812283.5314186765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180020.35782791302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E6" sqref="E6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23" style="35" customWidth="1"/>
    <col min="14" max="14" width="20.796875" style="35" customWidth="1"/>
  </cols>
  <sheetData>
    <row r="1" spans="2:15" ht="18" customHeight="1" thickBot="1"/>
    <row r="2" spans="2:15" ht="18" customHeight="1" thickBot="1">
      <c r="B2" s="4"/>
      <c r="C2" s="65" t="s">
        <v>102</v>
      </c>
      <c r="D2" s="37" t="s">
        <v>103</v>
      </c>
      <c r="E2" s="38" t="s">
        <v>104</v>
      </c>
    </row>
    <row r="3" spans="2:15" ht="18" customHeight="1" thickBot="1">
      <c r="B3" s="7" t="s">
        <v>105</v>
      </c>
      <c r="C3" s="66">
        <v>0.522587633</v>
      </c>
      <c r="D3" s="64">
        <f>O12*1000</f>
        <v>500</v>
      </c>
      <c r="E3" s="67">
        <f>C4*D3*8500</f>
        <v>2220.9974402500002</v>
      </c>
    </row>
    <row r="4" spans="2:15">
      <c r="B4" t="s">
        <v>106</v>
      </c>
      <c r="C4">
        <f>C3*0.001</f>
        <v>5.2258763299999999E-4</v>
      </c>
      <c r="N4" t="s">
        <v>107</v>
      </c>
    </row>
    <row r="5" spans="2:15">
      <c r="N5" t="s">
        <v>108</v>
      </c>
      <c r="O5">
        <v>2.2000000000000002</v>
      </c>
    </row>
    <row r="6" spans="2:15">
      <c r="N6" t="s">
        <v>109</v>
      </c>
      <c r="O6">
        <v>2.4380000000000002</v>
      </c>
    </row>
    <row r="7" spans="2:15">
      <c r="N7" t="s">
        <v>110</v>
      </c>
      <c r="O7">
        <v>1.26</v>
      </c>
    </row>
    <row r="8" spans="2:15">
      <c r="N8" t="s">
        <v>111</v>
      </c>
      <c r="O8">
        <v>0.84099999999999997</v>
      </c>
    </row>
    <row r="9" spans="2:15">
      <c r="N9" t="s">
        <v>112</v>
      </c>
      <c r="O9">
        <v>1.4916666670000001</v>
      </c>
    </row>
    <row r="10" spans="2:15">
      <c r="N10" t="s">
        <v>113</v>
      </c>
      <c r="O10">
        <v>0.37</v>
      </c>
    </row>
    <row r="11" spans="2:15">
      <c r="N11" t="s">
        <v>114</v>
      </c>
      <c r="O11" s="68">
        <v>0.7</v>
      </c>
    </row>
    <row r="12" spans="2:15">
      <c r="N12" t="s">
        <v>115</v>
      </c>
      <c r="O12" s="68">
        <v>0.5</v>
      </c>
    </row>
    <row r="13" spans="2:15">
      <c r="N13" t="s">
        <v>116</v>
      </c>
      <c r="O13" s="68">
        <v>15000</v>
      </c>
    </row>
    <row r="14" spans="2:15">
      <c r="N14" t="s">
        <v>117</v>
      </c>
      <c r="O14">
        <v>0.17</v>
      </c>
    </row>
    <row r="15" spans="2:15">
      <c r="N15" t="s">
        <v>118</v>
      </c>
      <c r="O15" s="69">
        <v>2.7599999999999998E-7</v>
      </c>
    </row>
    <row r="16" spans="2:15">
      <c r="N16" t="s">
        <v>119</v>
      </c>
      <c r="O16" s="69">
        <v>2.7599999999999998E-7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2023-12-12T16:14:03Z</dcterms:modified>
</cp:coreProperties>
</file>