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ahyeonAn\Documents\GitHub\TeamEnv\TEA\BaseCases\"/>
    </mc:Choice>
  </mc:AlternateContent>
  <xr:revisionPtr revIDLastSave="0" documentId="8_{ED843922-13AC-4821-AF9A-0C928FF0F169}" xr6:coauthVersionLast="47" xr6:coauthVersionMax="47" xr10:uidLastSave="{00000000-0000-0000-0000-000000000000}"/>
  <bookViews>
    <workbookView xWindow="768" yWindow="768" windowWidth="17280" windowHeight="8964" activeTab="2" xr2:uid="{00000000-000D-0000-FFFF-FFFF00000000}"/>
  </bookViews>
  <sheets>
    <sheet name="Desulf" sheetId="1" r:id="rId1"/>
    <sheet name="Desulf EAC&amp;TPC" sheetId="2" r:id="rId2"/>
    <sheet name="Desulf 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3" i="3"/>
  <c r="E3" i="3" s="1"/>
  <c r="C31" i="1"/>
  <c r="D20" i="1" s="1"/>
  <c r="C30" i="1"/>
  <c r="D21" i="1" s="1"/>
  <c r="C29" i="1"/>
  <c r="C28" i="1"/>
  <c r="D22" i="1"/>
  <c r="D19" i="1"/>
  <c r="D18" i="1"/>
  <c r="I9" i="1"/>
  <c r="I8" i="1"/>
  <c r="I7" i="1"/>
  <c r="I6" i="1"/>
  <c r="I5" i="1"/>
  <c r="I10" i="1" s="1"/>
  <c r="E7" i="2" s="1"/>
  <c r="E29" i="2" l="1"/>
  <c r="D23" i="1"/>
  <c r="K9" i="2" s="1"/>
  <c r="E23" i="2" l="1"/>
  <c r="E16" i="2"/>
  <c r="E14" i="2"/>
  <c r="E10" i="2"/>
  <c r="E31" i="2"/>
  <c r="E25" i="2"/>
  <c r="K6" i="2"/>
  <c r="E24" i="2"/>
  <c r="E22" i="2"/>
  <c r="E17" i="2"/>
  <c r="E15" i="2"/>
  <c r="E9" i="2"/>
  <c r="E30" i="2"/>
  <c r="E33" i="2" s="1"/>
  <c r="E34" i="2" s="1"/>
  <c r="E11" i="2"/>
  <c r="E8" i="2"/>
  <c r="E19" i="2" s="1"/>
  <c r="K12" i="2" l="1"/>
  <c r="E27" i="2"/>
  <c r="K15" i="2" l="1"/>
  <c r="K27" i="2"/>
  <c r="K25" i="2" s="1"/>
  <c r="K22" i="2" l="1"/>
  <c r="K13" i="2"/>
  <c r="K23" i="2"/>
  <c r="K21" i="2" l="1"/>
  <c r="K16" i="2"/>
  <c r="K14" i="2"/>
  <c r="K30" i="2" s="1"/>
  <c r="K29" i="2"/>
  <c r="K18" i="2" s="1"/>
</calcChain>
</file>

<file path=xl/sharedStrings.xml><?xml version="1.0" encoding="utf-8"?>
<sst xmlns="http://schemas.openxmlformats.org/spreadsheetml/2006/main" count="138" uniqueCount="120">
  <si>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</si>
  <si>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</si>
  <si>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</si>
  <si>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</si>
  <si>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</si>
  <si>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</si>
  <si>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</si>
  <si>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</si>
  <si>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</si>
  <si>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</si>
  <si>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LIME-DS</t>
  </si>
  <si>
    <t>Feed flow rate (kg/h)</t>
  </si>
  <si>
    <t>SCRUBBER</t>
  </si>
  <si>
    <t>Volume (gal)</t>
  </si>
  <si>
    <t>GYP-CR</t>
  </si>
  <si>
    <t>GAS-SP</t>
  </si>
  <si>
    <t>GYP-SP</t>
  </si>
  <si>
    <t>Total</t>
  </si>
  <si>
    <t>Opex</t>
  </si>
  <si>
    <t>Block heat duty (cal/sec)</t>
  </si>
  <si>
    <t>Annual operating cost</t>
  </si>
  <si>
    <t>Annual operating hours [sec/yr]</t>
  </si>
  <si>
    <t>Electricity cost [$/kWh]</t>
  </si>
  <si>
    <t>-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</si>
  <si>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</si>
  <si>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</si>
  <si>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</si>
  <si>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</si>
  <si>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</si>
  <si>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</si>
  <si>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</si>
  <si>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</si>
  <si>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</si>
  <si>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</si>
  <si>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</si>
  <si>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</si>
  <si>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</si>
  <si>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</si>
  <si>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</si>
  <si>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</si>
  <si>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</si>
  <si>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</si>
  <si>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</si>
  <si>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</si>
  <si>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</si>
  <si>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</si>
  <si>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</si>
  <si>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</si>
  <si>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</si>
  <si>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</si>
  <si>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</si>
  <si>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</si>
  <si>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</si>
  <si>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</si>
  <si>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</si>
  <si>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</si>
  <si>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</si>
  <si>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</si>
  <si>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</si>
  <si>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</si>
  <si>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</si>
  <si>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</si>
  <si>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</si>
  <si>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</si>
  <si>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</si>
  <si>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</si>
  <si>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</si>
  <si>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</si>
  <si>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</si>
  <si>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</si>
  <si>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</si>
  <si>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</si>
  <si>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</si>
  <si>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</si>
  <si>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</si>
  <si>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</si>
  <si>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</si>
  <si>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</si>
  <si>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</si>
  <si>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</si>
  <si>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</si>
  <si>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</si>
  <si>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</si>
  <si>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</si>
  <si>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</si>
  <si>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</si>
  <si>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</si>
  <si>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</si>
  <si>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</si>
  <si>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</si>
  <si>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</si>
  <si>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</si>
  <si>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</si>
  <si>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</si>
  <si>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</si>
  <si>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</si>
  <si>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</si>
  <si>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</si>
  <si>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</si>
  <si>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</si>
  <si>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</si>
  <si>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</si>
  <si>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Flow rate [kg/h]</t>
  </si>
  <si>
    <t>Cost [USD/tonne]</t>
  </si>
  <si>
    <t>Revenue [$/yr]</t>
  </si>
  <si>
    <t>CALCI-02</t>
  </si>
  <si>
    <t>ton/h</t>
  </si>
  <si>
    <t>Selling price</t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</si>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</sst>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72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7" fillId="0" borderId="1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0" xfId="0" applyFill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0" fillId="0" borderId="11" xfId="0" applyBorder="1" applyAlignment="1"/>
    <xf numFmtId="0" fontId="0" fillId="0" borderId="12" xfId="0" applyBorder="1" applyAlignment="1"/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176" fontId="6" fillId="0" borderId="11" xfId="1" applyNumberFormat="1" applyFont="1" applyBorder="1" applyAlignment="1">
      <alignment horizontal="right" vertical="center" wrapText="1"/>
    </xf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5" xfId="0" applyBorder="1" applyAlignment="1">
      <alignment horizontal="right" vertical="center"/>
    </xf>
    <xf numFmtId="41" fontId="0" fillId="0" borderId="0" xfId="1" applyFont="1" applyAlignment="1">
      <alignment horizontal="right"/>
    </xf>
    <xf numFmtId="0" fontId="7" fillId="5" borderId="5" xfId="0" applyFont="1" applyFill="1" applyBorder="1">
      <alignment vertical="center"/>
    </xf>
    <xf numFmtId="41" fontId="0" fillId="0" borderId="0" xfId="1" applyFont="1" applyAlignment="1"/>
    <xf numFmtId="41" fontId="0" fillId="4" borderId="0" xfId="1" applyFont="1" applyFill="1" applyAlignment="1"/>
    <xf numFmtId="0" fontId="0" fillId="0" borderId="0" xfId="1" applyNumberFormat="1" applyFont="1" applyAlignment="1"/>
    <xf numFmtId="0" fontId="0" fillId="5" borderId="3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6" borderId="7" xfId="0" applyFill="1" applyBorder="1">
      <alignment vertical="center"/>
    </xf>
    <xf numFmtId="0" fontId="0" fillId="7" borderId="12" xfId="0" applyFill="1" applyBorder="1">
      <alignment vertical="center"/>
    </xf>
    <xf numFmtId="0" fontId="10" fillId="0" borderId="0" xfId="0" applyFont="1" applyAlignment="1"/>
    <xf numFmtId="11" fontId="10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1"/>
  <sheetViews>
    <sheetView workbookViewId="0">
      <selection activeCell="D34" sqref="D34"/>
    </sheetView>
  </sheetViews>
  <sheetFormatPr defaultRowHeight="17.399999999999999"/>
  <cols>
    <col min="2" max="2" width="29" style="35" bestFit="1" customWidth="1"/>
    <col min="3" max="3" width="27" style="35" bestFit="1" customWidth="1"/>
    <col min="4" max="4" width="24" style="35" bestFit="1" customWidth="1"/>
    <col min="5" max="5" width="21.59765625" style="35" bestFit="1" customWidth="1"/>
    <col min="6" max="6" width="14.59765625" style="35" customWidth="1"/>
    <col min="7" max="7" width="23.69921875" style="35" bestFit="1" customWidth="1"/>
    <col min="8" max="8" width="14.3984375" style="35" bestFit="1" customWidth="1"/>
    <col min="9" max="9" width="17.69921875" style="35" bestFit="1" customWidth="1"/>
    <col min="10" max="10" width="107.5" style="35" bestFit="1" customWidth="1"/>
  </cols>
  <sheetData>
    <row r="2" spans="2:10">
      <c r="B2" s="8" t="s">
        <v>0</v>
      </c>
    </row>
    <row r="3" spans="2:10" ht="18" customHeight="1" thickBot="1"/>
    <row r="4" spans="2:10" ht="18" customHeight="1" thickBot="1">
      <c r="B4" s="4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>
      <c r="B5" s="5" t="s">
        <v>10</v>
      </c>
      <c r="C5" s="59">
        <v>147800</v>
      </c>
      <c r="D5" s="57" t="s">
        <v>11</v>
      </c>
      <c r="E5" s="59">
        <v>461492</v>
      </c>
      <c r="F5" s="60">
        <v>15.272704600000001</v>
      </c>
      <c r="G5" s="59">
        <v>0.5</v>
      </c>
      <c r="H5" s="59">
        <v>1997</v>
      </c>
      <c r="I5" s="2">
        <f>C5*(F5/E5)^G5*(595.6/386.5)</f>
        <v>1310.2540547555568</v>
      </c>
      <c r="J5" s="5"/>
    </row>
    <row r="6" spans="2:10">
      <c r="B6" s="6" t="s">
        <v>12</v>
      </c>
      <c r="C6" s="59">
        <v>20000</v>
      </c>
      <c r="D6" s="57" t="s">
        <v>13</v>
      </c>
      <c r="E6" s="59">
        <v>2500</v>
      </c>
      <c r="F6" s="60">
        <v>69291.614751684014</v>
      </c>
      <c r="G6" s="61">
        <v>0.6</v>
      </c>
      <c r="H6" s="59">
        <v>1987</v>
      </c>
      <c r="I6" s="3">
        <f>C6*(F6/E6)^G6*(595.6/323.8)</f>
        <v>269992.83828283957</v>
      </c>
      <c r="J6" s="6"/>
    </row>
    <row r="7" spans="2:10">
      <c r="B7" s="6" t="s">
        <v>14</v>
      </c>
      <c r="C7" s="59">
        <v>20000</v>
      </c>
      <c r="D7" s="57" t="s">
        <v>13</v>
      </c>
      <c r="E7" s="59">
        <v>2500</v>
      </c>
      <c r="F7" s="60">
        <v>71312.434657247999</v>
      </c>
      <c r="G7" s="61">
        <v>0.6</v>
      </c>
      <c r="H7" s="59">
        <v>1987</v>
      </c>
      <c r="I7" s="56">
        <f>C7*(F7/E7)^G7*(595.6/323.8)</f>
        <v>274690.0911165952</v>
      </c>
      <c r="J7" s="6"/>
    </row>
    <row r="8" spans="2:10">
      <c r="B8" s="6" t="s">
        <v>15</v>
      </c>
      <c r="C8" s="59">
        <v>165000</v>
      </c>
      <c r="D8" s="57" t="s">
        <v>11</v>
      </c>
      <c r="E8" s="59">
        <v>359263</v>
      </c>
      <c r="F8" s="39">
        <v>140.349062</v>
      </c>
      <c r="G8">
        <v>0.6</v>
      </c>
      <c r="H8">
        <v>1998</v>
      </c>
      <c r="I8" s="3">
        <f>C8*(F8/E8)^G8*(595.6/389.5)</f>
        <v>2275.1465939412074</v>
      </c>
      <c r="J8" s="6"/>
    </row>
    <row r="9" spans="2:10" ht="18" customHeight="1" thickBot="1">
      <c r="B9" s="7" t="s">
        <v>16</v>
      </c>
      <c r="C9" s="59">
        <v>165000</v>
      </c>
      <c r="D9" s="57" t="s">
        <v>11</v>
      </c>
      <c r="E9" s="59">
        <v>359263</v>
      </c>
      <c r="F9" s="39">
        <v>6.1441190399999996</v>
      </c>
      <c r="G9">
        <v>0.6</v>
      </c>
      <c r="H9">
        <v>1998</v>
      </c>
      <c r="I9" s="3">
        <f>C9*(F9/E9)^G9*(595.6/389.5)</f>
        <v>348.14442808351652</v>
      </c>
      <c r="J9" s="7"/>
    </row>
    <row r="10" spans="2:10" ht="18" customHeight="1" thickBot="1">
      <c r="B10" s="4" t="s">
        <v>17</v>
      </c>
      <c r="C10" s="37"/>
      <c r="D10" s="37"/>
      <c r="E10" s="37"/>
      <c r="F10" s="37"/>
      <c r="G10" s="37"/>
      <c r="H10" s="37"/>
      <c r="I10" s="40">
        <f>SUM(I5:I9)</f>
        <v>548616.4744762152</v>
      </c>
    </row>
    <row r="15" spans="2:10">
      <c r="B15" s="8" t="s">
        <v>18</v>
      </c>
    </row>
    <row r="16" spans="2:10" ht="18" customHeight="1" thickBot="1"/>
    <row r="17" spans="1:4" ht="18" customHeight="1" thickBot="1">
      <c r="B17" s="4" t="s">
        <v>1</v>
      </c>
      <c r="C17" s="2" t="s">
        <v>19</v>
      </c>
      <c r="D17" s="4" t="s">
        <v>20</v>
      </c>
    </row>
    <row r="18" spans="1:4">
      <c r="B18" s="5" t="s">
        <v>10</v>
      </c>
      <c r="C18" s="62">
        <v>10.691429100000001</v>
      </c>
      <c r="D18" s="36">
        <f>C18*C31*C28</f>
        <v>42.530504959799998</v>
      </c>
    </row>
    <row r="19" spans="1:4">
      <c r="B19" s="6" t="s">
        <v>12</v>
      </c>
      <c r="C19" s="58">
        <v>1897.5684900000001</v>
      </c>
      <c r="D19" s="36">
        <f>C19*C31*C28</f>
        <v>7548.5274532200001</v>
      </c>
    </row>
    <row r="20" spans="1:4">
      <c r="B20" s="6" t="s">
        <v>14</v>
      </c>
      <c r="C20" s="58">
        <v>198.63031699999999</v>
      </c>
      <c r="D20" s="36">
        <f>C20*C31*C28</f>
        <v>790.15140102600003</v>
      </c>
    </row>
    <row r="21" spans="1:4">
      <c r="B21" s="6" t="s">
        <v>15</v>
      </c>
      <c r="C21" s="58">
        <v>-338.99708399999997</v>
      </c>
      <c r="D21" s="36">
        <f>C21*C30*C28</f>
        <v>1348.5304001519999</v>
      </c>
    </row>
    <row r="22" spans="1:4" ht="18" customHeight="1" thickBot="1">
      <c r="B22" s="6" t="s">
        <v>16</v>
      </c>
      <c r="C22" s="63">
        <v>0.14252991000000001</v>
      </c>
      <c r="D22" s="36">
        <f>C22*C31*C28</f>
        <v>0.56698398198000011</v>
      </c>
    </row>
    <row r="23" spans="1:4" ht="18" customHeight="1" thickBot="1">
      <c r="B23" s="4" t="s">
        <v>17</v>
      </c>
      <c r="C23" s="38"/>
      <c r="D23" s="53">
        <f>SUM(D18:D22)</f>
        <v>9730.306743339781</v>
      </c>
    </row>
    <row r="27" spans="1:4" ht="18" customHeight="1" thickBot="1"/>
    <row r="28" spans="1:4" ht="18" customHeight="1" thickBot="1">
      <c r="B28" s="5" t="s">
        <v>21</v>
      </c>
      <c r="C28" s="2">
        <f>8500*3600</f>
        <v>30600000</v>
      </c>
      <c r="D28" s="4">
        <v>8500</v>
      </c>
    </row>
    <row r="29" spans="1:4">
      <c r="B29" s="42" t="s">
        <v>22</v>
      </c>
      <c r="C29" s="55">
        <f>'Desulf revenue'!O14</f>
        <v>0.08</v>
      </c>
    </row>
    <row r="30" spans="1:4">
      <c r="A30" s="8" t="s">
        <v>23</v>
      </c>
      <c r="B30" s="42" t="s">
        <v>24</v>
      </c>
      <c r="C30" s="70">
        <f>(-1)*'Desulf revenue'!O15</f>
        <v>-1.3E-7</v>
      </c>
    </row>
    <row r="31" spans="1:4" ht="18" customHeight="1" thickBot="1">
      <c r="A31" s="8" t="s">
        <v>25</v>
      </c>
      <c r="B31" s="43" t="s">
        <v>26</v>
      </c>
      <c r="C31" s="71">
        <f>'Desulf revenue'!O16</f>
        <v>1.3E-7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topLeftCell="B1" workbookViewId="0">
      <selection activeCell="K25" sqref="K25"/>
    </sheetView>
  </sheetViews>
  <sheetFormatPr defaultRowHeight="17.399999999999999"/>
  <cols>
    <col min="2" max="2" width="55.8984375" style="35" bestFit="1" customWidth="1"/>
    <col min="4" max="4" width="7.8984375" style="35" bestFit="1" customWidth="1"/>
    <col min="5" max="5" width="16.59765625" style="35" bestFit="1" customWidth="1"/>
    <col min="9" max="9" width="46.69921875" style="35" bestFit="1" customWidth="1"/>
    <col min="10" max="10" width="18.3984375" style="35" bestFit="1" customWidth="1"/>
    <col min="11" max="11" width="14.19921875" style="35" bestFit="1" customWidth="1"/>
  </cols>
  <sheetData>
    <row r="3" spans="2:11" ht="18" customHeight="1" thickBot="1">
      <c r="B3" s="9" t="s">
        <v>27</v>
      </c>
      <c r="C3" s="10"/>
      <c r="D3" s="10"/>
      <c r="E3" s="10"/>
      <c r="I3" s="22" t="s">
        <v>28</v>
      </c>
      <c r="J3" s="17"/>
      <c r="K3" s="17"/>
    </row>
    <row r="4" spans="2:11" ht="18" customHeight="1" thickBot="1">
      <c r="B4" s="11" t="s">
        <v>29</v>
      </c>
      <c r="C4" s="12" t="s">
        <v>30</v>
      </c>
      <c r="D4" s="13" t="s">
        <v>31</v>
      </c>
      <c r="E4" s="14" t="s">
        <v>32</v>
      </c>
      <c r="I4" s="11" t="s">
        <v>33</v>
      </c>
      <c r="J4" s="26" t="s">
        <v>34</v>
      </c>
      <c r="K4" s="27" t="s">
        <v>32</v>
      </c>
    </row>
    <row r="5" spans="2:11">
      <c r="B5" s="15" t="s">
        <v>35</v>
      </c>
      <c r="C5" s="16"/>
      <c r="D5" s="17"/>
      <c r="E5" s="18"/>
      <c r="I5" s="28" t="s">
        <v>36</v>
      </c>
      <c r="J5" s="29"/>
      <c r="K5" s="44"/>
    </row>
    <row r="6" spans="2:11">
      <c r="B6" s="15" t="s">
        <v>37</v>
      </c>
      <c r="C6" s="16"/>
      <c r="D6" s="17"/>
      <c r="E6" s="19"/>
      <c r="I6" s="16" t="s">
        <v>38</v>
      </c>
      <c r="J6" s="30" t="s">
        <v>39</v>
      </c>
      <c r="K6" s="45">
        <f>SUM(E29*0.01)</f>
        <v>18287.215815873842</v>
      </c>
    </row>
    <row r="7" spans="2:11">
      <c r="B7" s="19" t="s">
        <v>40</v>
      </c>
      <c r="C7" s="16" t="s">
        <v>41</v>
      </c>
      <c r="D7" s="20">
        <v>30</v>
      </c>
      <c r="E7" s="41">
        <f>Desulf!I10</f>
        <v>548616.4744762152</v>
      </c>
      <c r="I7" s="21" t="s">
        <v>42</v>
      </c>
      <c r="J7" s="31"/>
      <c r="K7" s="45"/>
    </row>
    <row r="8" spans="2:11">
      <c r="B8" s="19" t="s">
        <v>43</v>
      </c>
      <c r="C8" s="16" t="s">
        <v>44</v>
      </c>
      <c r="D8" s="17">
        <v>10</v>
      </c>
      <c r="E8" s="19">
        <f>SUM(E29*0.1)</f>
        <v>182872.1581587384</v>
      </c>
      <c r="I8" s="32" t="s">
        <v>45</v>
      </c>
      <c r="J8" s="31" t="s">
        <v>23</v>
      </c>
      <c r="K8" s="46" t="s">
        <v>23</v>
      </c>
    </row>
    <row r="9" spans="2:11">
      <c r="B9" s="19" t="s">
        <v>46</v>
      </c>
      <c r="C9" s="16" t="s">
        <v>47</v>
      </c>
      <c r="D9" s="17">
        <v>5</v>
      </c>
      <c r="E9" s="19">
        <f>SUM(E29*0.05)</f>
        <v>91436.079079369199</v>
      </c>
      <c r="I9" s="31" t="s">
        <v>48</v>
      </c>
      <c r="J9" s="31" t="s">
        <v>23</v>
      </c>
      <c r="K9" s="54">
        <f>Desulf!D23</f>
        <v>9730.306743339781</v>
      </c>
    </row>
    <row r="10" spans="2:11">
      <c r="B10" s="19" t="s">
        <v>49</v>
      </c>
      <c r="C10" s="16" t="s">
        <v>50</v>
      </c>
      <c r="D10" s="17">
        <v>10</v>
      </c>
      <c r="E10" s="19">
        <f>SUM(E29*0.1)</f>
        <v>182872.1581587384</v>
      </c>
      <c r="I10" s="31" t="s">
        <v>51</v>
      </c>
      <c r="J10" s="31"/>
      <c r="K10" s="47" t="s">
        <v>23</v>
      </c>
    </row>
    <row r="11" spans="2:11">
      <c r="B11" s="19" t="s">
        <v>52</v>
      </c>
      <c r="C11" s="16" t="s">
        <v>53</v>
      </c>
      <c r="D11" s="17">
        <v>5</v>
      </c>
      <c r="E11" s="19">
        <f>SUM(E29*0.05)</f>
        <v>91436.079079369199</v>
      </c>
      <c r="I11" s="31" t="s">
        <v>54</v>
      </c>
      <c r="J11" s="31" t="s">
        <v>55</v>
      </c>
      <c r="K11" s="52" t="s">
        <v>23</v>
      </c>
    </row>
    <row r="12" spans="2:11">
      <c r="B12" s="19"/>
      <c r="C12" s="16"/>
      <c r="D12" s="17"/>
      <c r="E12" s="19"/>
      <c r="I12" s="16" t="s">
        <v>56</v>
      </c>
      <c r="J12" s="33" t="s">
        <v>39</v>
      </c>
      <c r="K12" s="48">
        <f>SUM(K6*0.04)</f>
        <v>731.48863263495366</v>
      </c>
    </row>
    <row r="13" spans="2:11">
      <c r="B13" s="15" t="s">
        <v>57</v>
      </c>
      <c r="C13" s="16"/>
      <c r="D13" s="17"/>
      <c r="E13" s="19"/>
      <c r="I13" s="16" t="s">
        <v>58</v>
      </c>
      <c r="J13" s="31" t="s">
        <v>59</v>
      </c>
      <c r="K13" s="45">
        <f>SUM(K25*0.15)</f>
        <v>8891.5410216463715</v>
      </c>
    </row>
    <row r="14" spans="2:11">
      <c r="B14" s="19" t="s">
        <v>60</v>
      </c>
      <c r="C14" s="16" t="s">
        <v>61</v>
      </c>
      <c r="D14" s="17">
        <v>8</v>
      </c>
      <c r="E14" s="19">
        <f>SUM(E29*0.08)</f>
        <v>146297.72652699074</v>
      </c>
      <c r="I14" s="16" t="s">
        <v>62</v>
      </c>
      <c r="J14" s="31" t="s">
        <v>63</v>
      </c>
      <c r="K14" s="45">
        <f>SUM(K13*0.3)</f>
        <v>2667.4623064939115</v>
      </c>
    </row>
    <row r="15" spans="2:11">
      <c r="B15" s="19" t="s">
        <v>64</v>
      </c>
      <c r="C15" s="16" t="s">
        <v>65</v>
      </c>
      <c r="D15" s="17">
        <v>2</v>
      </c>
      <c r="E15" s="19">
        <f>SUM(E29*0.02)</f>
        <v>36574.431631747684</v>
      </c>
      <c r="I15" s="16" t="s">
        <v>66</v>
      </c>
      <c r="J15" s="31" t="s">
        <v>67</v>
      </c>
      <c r="K15" s="45">
        <f>SUM(K12*0.15)</f>
        <v>109.72329489524304</v>
      </c>
    </row>
    <row r="16" spans="2:11">
      <c r="B16" s="19" t="s">
        <v>68</v>
      </c>
      <c r="C16" s="16" t="s">
        <v>69</v>
      </c>
      <c r="D16" s="17">
        <v>8</v>
      </c>
      <c r="E16" s="19">
        <f>SUM(E29*0.08)</f>
        <v>146297.72652699074</v>
      </c>
      <c r="I16" s="16" t="s">
        <v>70</v>
      </c>
      <c r="J16" s="31" t="s">
        <v>71</v>
      </c>
      <c r="K16" s="45">
        <f>SUM(K13*0.15)</f>
        <v>1333.7311532469557</v>
      </c>
    </row>
    <row r="17" spans="2:11">
      <c r="B17" s="19" t="s">
        <v>72</v>
      </c>
      <c r="C17" s="16" t="s">
        <v>73</v>
      </c>
      <c r="D17" s="17">
        <v>2</v>
      </c>
      <c r="E17" s="19">
        <f>SUM(E29*0.02)</f>
        <v>36574.431631747684</v>
      </c>
      <c r="I17" s="16"/>
      <c r="J17" s="31"/>
      <c r="K17" s="45"/>
    </row>
    <row r="18" spans="2:11">
      <c r="B18" s="19"/>
      <c r="C18" s="16"/>
      <c r="D18" s="17"/>
      <c r="E18" s="19"/>
      <c r="I18" s="21" t="s">
        <v>74</v>
      </c>
      <c r="J18" s="31" t="s">
        <v>75</v>
      </c>
      <c r="K18" s="45">
        <f>SUM(0.6*K29)</f>
        <v>7374.2951764651416</v>
      </c>
    </row>
    <row r="19" spans="2:11">
      <c r="B19" s="15" t="s">
        <v>76</v>
      </c>
      <c r="C19" s="16"/>
      <c r="D19" s="17"/>
      <c r="E19" s="19">
        <f>SUM(E7:E17)</f>
        <v>1462977.2652699072</v>
      </c>
      <c r="I19" s="16"/>
      <c r="J19" s="31"/>
      <c r="K19" s="45"/>
    </row>
    <row r="20" spans="2:11">
      <c r="B20" s="19"/>
      <c r="C20" s="16"/>
      <c r="D20" s="17"/>
      <c r="E20" s="19"/>
      <c r="I20" s="21" t="s">
        <v>77</v>
      </c>
      <c r="J20" s="31"/>
      <c r="K20" s="45"/>
    </row>
    <row r="21" spans="2:11">
      <c r="B21" s="15" t="s">
        <v>78</v>
      </c>
      <c r="C21" s="16"/>
      <c r="D21" s="17"/>
      <c r="E21" s="19"/>
      <c r="I21" s="16" t="s">
        <v>79</v>
      </c>
      <c r="J21" s="31" t="s">
        <v>80</v>
      </c>
      <c r="K21" s="45">
        <f>SUM(K13*0.175)</f>
        <v>1556.019678788115</v>
      </c>
    </row>
    <row r="22" spans="2:11">
      <c r="B22" s="19" t="s">
        <v>81</v>
      </c>
      <c r="C22" s="16" t="s">
        <v>82</v>
      </c>
      <c r="D22" s="17">
        <v>5</v>
      </c>
      <c r="E22" s="19">
        <f>SUM(E29*0.05)</f>
        <v>91436.079079369199</v>
      </c>
      <c r="I22" s="34" t="s">
        <v>83</v>
      </c>
      <c r="J22" s="31" t="s">
        <v>84</v>
      </c>
      <c r="K22" s="45">
        <f>SUM(K25*0.11)</f>
        <v>6520.4634158740055</v>
      </c>
    </row>
    <row r="23" spans="2:11">
      <c r="B23" s="19" t="s">
        <v>85</v>
      </c>
      <c r="C23" s="16" t="s">
        <v>86</v>
      </c>
      <c r="D23" s="17">
        <v>5</v>
      </c>
      <c r="E23" s="19">
        <f>SUM(E29*0.05)</f>
        <v>91436.079079369199</v>
      </c>
      <c r="I23" s="16" t="s">
        <v>87</v>
      </c>
      <c r="J23" s="34" t="s">
        <v>88</v>
      </c>
      <c r="K23" s="45">
        <f>SUM(K25*0.035)</f>
        <v>2074.6929050508202</v>
      </c>
    </row>
    <row r="24" spans="2:11">
      <c r="B24" s="19" t="s">
        <v>89</v>
      </c>
      <c r="C24" s="16" t="s">
        <v>65</v>
      </c>
      <c r="D24" s="17">
        <v>5</v>
      </c>
      <c r="E24" s="19">
        <f>SUM(E29*0.05)</f>
        <v>91436.079079369199</v>
      </c>
      <c r="I24" s="16"/>
      <c r="J24" s="34"/>
      <c r="K24" s="45"/>
    </row>
    <row r="25" spans="2:11" ht="18" customHeight="1" thickBot="1">
      <c r="B25" s="19" t="s">
        <v>90</v>
      </c>
      <c r="C25" s="16" t="s">
        <v>91</v>
      </c>
      <c r="D25" s="17">
        <v>5</v>
      </c>
      <c r="E25" s="19">
        <f>SUM(E29*0.05)</f>
        <v>91436.079079369199</v>
      </c>
      <c r="I25" s="24" t="s">
        <v>92</v>
      </c>
      <c r="J25" s="24"/>
      <c r="K25" s="49">
        <f>SUM(K27/0.49425)</f>
        <v>59276.940144309141</v>
      </c>
    </row>
    <row r="26" spans="2:11">
      <c r="B26" s="19"/>
      <c r="C26" s="16"/>
      <c r="D26" s="17"/>
      <c r="E26" s="19"/>
      <c r="I26" s="17"/>
      <c r="J26" s="17"/>
      <c r="K26" s="50"/>
    </row>
    <row r="27" spans="2:11">
      <c r="B27" s="15" t="s">
        <v>93</v>
      </c>
      <c r="C27" s="16"/>
      <c r="D27" s="17"/>
      <c r="E27" s="19">
        <f>SUM(E22:E25)</f>
        <v>365744.3163174768</v>
      </c>
      <c r="I27" s="17"/>
      <c r="J27" s="17"/>
      <c r="K27" s="50">
        <f>SUM(K6:K12,K15,0.6*K12)</f>
        <v>29297.627666324795</v>
      </c>
    </row>
    <row r="28" spans="2:11">
      <c r="B28" s="19"/>
      <c r="C28" s="16"/>
      <c r="D28" s="17"/>
      <c r="E28" s="19"/>
      <c r="I28" s="10"/>
      <c r="J28" s="10"/>
      <c r="K28" s="50"/>
    </row>
    <row r="29" spans="2:11">
      <c r="B29" s="19" t="s">
        <v>94</v>
      </c>
      <c r="C29" s="16">
        <v>100</v>
      </c>
      <c r="D29" s="17">
        <v>100</v>
      </c>
      <c r="E29" s="19">
        <f>SUM(E7*100/D7)</f>
        <v>1828721.581587384</v>
      </c>
      <c r="I29" s="10"/>
      <c r="J29" s="10" t="s">
        <v>95</v>
      </c>
      <c r="K29" s="50">
        <f>(K12+K13+K14)</f>
        <v>12290.491960775236</v>
      </c>
    </row>
    <row r="30" spans="2:11">
      <c r="B30" s="19" t="s">
        <v>96</v>
      </c>
      <c r="C30" s="16">
        <v>20</v>
      </c>
      <c r="D30" s="20">
        <v>20</v>
      </c>
      <c r="E30" s="19">
        <f>SUM(E29*0.2)</f>
        <v>365744.3163174768</v>
      </c>
      <c r="K30" s="51">
        <f>SUM(K6:K23)</f>
        <v>59276.940144309148</v>
      </c>
    </row>
    <row r="31" spans="2:11">
      <c r="B31" s="19" t="s">
        <v>97</v>
      </c>
      <c r="C31" s="16">
        <v>20</v>
      </c>
      <c r="D31" s="20">
        <v>20</v>
      </c>
      <c r="E31" s="19">
        <f>SUM(E29*0.2)</f>
        <v>365744.3163174768</v>
      </c>
    </row>
    <row r="32" spans="2:11">
      <c r="B32" s="19"/>
      <c r="C32" s="16"/>
      <c r="D32" s="17"/>
      <c r="E32" s="19"/>
    </row>
    <row r="33" spans="2:5">
      <c r="B33" s="15" t="s">
        <v>98</v>
      </c>
      <c r="C33" s="21" t="s">
        <v>99</v>
      </c>
      <c r="D33" s="22"/>
      <c r="E33" s="15">
        <f>SUM(E29:E31)</f>
        <v>2560210.2142223376</v>
      </c>
    </row>
    <row r="34" spans="2:5" ht="18" customHeight="1" thickBot="1">
      <c r="B34" s="23" t="s">
        <v>100</v>
      </c>
      <c r="C34" s="24" t="s">
        <v>101</v>
      </c>
      <c r="D34" s="25"/>
      <c r="E34" s="23">
        <f>SUM(E33/((1-(1/((1.05)^25)))/0.07))</f>
        <v>254314.48826232672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6"/>
  <sheetViews>
    <sheetView tabSelected="1" workbookViewId="0">
      <selection activeCell="E6" sqref="E6"/>
    </sheetView>
  </sheetViews>
  <sheetFormatPr defaultRowHeight="17.399999999999999"/>
  <cols>
    <col min="3" max="3" width="18.8984375" style="35" bestFit="1" customWidth="1"/>
    <col min="4" max="4" width="17.3984375" style="35" bestFit="1" customWidth="1"/>
    <col min="5" max="5" width="23" style="35" customWidth="1"/>
    <col min="14" max="14" width="20.796875" style="35" customWidth="1"/>
  </cols>
  <sheetData>
    <row r="1" spans="2:15" ht="18" customHeight="1" thickBot="1"/>
    <row r="2" spans="2:15" ht="18" customHeight="1" thickBot="1">
      <c r="B2" s="4"/>
      <c r="C2" s="65" t="s">
        <v>102</v>
      </c>
      <c r="D2" s="37" t="s">
        <v>103</v>
      </c>
      <c r="E2" s="38" t="s">
        <v>104</v>
      </c>
    </row>
    <row r="3" spans="2:15" ht="18" customHeight="1" thickBot="1">
      <c r="B3" s="7" t="s">
        <v>105</v>
      </c>
      <c r="C3" s="66">
        <v>0.93157786300000001</v>
      </c>
      <c r="D3" s="64">
        <f>O12*1000</f>
        <v>500</v>
      </c>
      <c r="E3" s="67">
        <f>C4*D3*8500</f>
        <v>3959.2059177500005</v>
      </c>
    </row>
    <row r="4" spans="2:15">
      <c r="B4" t="s">
        <v>106</v>
      </c>
      <c r="C4">
        <f>C3*0.001</f>
        <v>9.3157786300000008E-4</v>
      </c>
      <c r="N4" t="s">
        <v>107</v>
      </c>
    </row>
    <row r="5" spans="2:15">
      <c r="N5" t="s">
        <v>108</v>
      </c>
      <c r="O5">
        <v>2.2999999999999998</v>
      </c>
    </row>
    <row r="6" spans="2:15">
      <c r="N6" t="s">
        <v>109</v>
      </c>
      <c r="O6">
        <v>0.86639999999999995</v>
      </c>
    </row>
    <row r="7" spans="2:15">
      <c r="N7" t="s">
        <v>110</v>
      </c>
      <c r="O7">
        <v>1.06</v>
      </c>
    </row>
    <row r="8" spans="2:15">
      <c r="N8" t="s">
        <v>111</v>
      </c>
      <c r="O8">
        <v>1.1436599999999999</v>
      </c>
    </row>
    <row r="9" spans="2:15">
      <c r="N9" t="s">
        <v>112</v>
      </c>
      <c r="O9">
        <v>1.271428571</v>
      </c>
    </row>
    <row r="10" spans="2:15">
      <c r="N10" t="s">
        <v>113</v>
      </c>
      <c r="O10">
        <v>0.64</v>
      </c>
    </row>
    <row r="11" spans="2:15">
      <c r="N11" t="s">
        <v>114</v>
      </c>
      <c r="O11" s="68">
        <v>0.7</v>
      </c>
    </row>
    <row r="12" spans="2:15">
      <c r="N12" t="s">
        <v>115</v>
      </c>
      <c r="O12" s="68">
        <v>0.5</v>
      </c>
    </row>
    <row r="13" spans="2:15">
      <c r="N13" t="s">
        <v>116</v>
      </c>
      <c r="O13" s="68">
        <v>15000</v>
      </c>
    </row>
    <row r="14" spans="2:15">
      <c r="N14" t="s">
        <v>117</v>
      </c>
      <c r="O14">
        <v>0.08</v>
      </c>
    </row>
    <row r="15" spans="2:15">
      <c r="N15" t="s">
        <v>118</v>
      </c>
      <c r="O15" s="69">
        <v>1.3E-7</v>
      </c>
    </row>
    <row r="16" spans="2:15">
      <c r="N16" t="s">
        <v>119</v>
      </c>
      <c r="O16" s="69">
        <v>1.3E-7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Desulf</vt:lpstr>
      <vt:lpstr>Desulf EAC&amp;TPC</vt:lpstr>
      <vt:lpstr>Desulf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안나현</cp:lastModifiedBy>
  <dcterms:created xsi:type="dcterms:W3CDTF">2023-07-27T05:08:20Z</dcterms:created>
  <dcterms:modified xsi:type="dcterms:W3CDTF">2023-12-12T16:14:04Z</dcterms:modified>
</cp:coreProperties>
</file>