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NahyeonAn\Documents\GitHub\TeamEnv\TEA\BaseCases\"/>
    </mc:Choice>
  </mc:AlternateContent>
  <xr:revisionPtr revIDLastSave="0" documentId="8_{4719A744-9A49-4F48-949A-BBCDD0E0FF86}" xr6:coauthVersionLast="47" xr6:coauthVersionMax="47" xr10:uidLastSave="{00000000-0000-0000-0000-000000000000}"/>
  <bookViews>
    <workbookView xWindow="768" yWindow="768" windowWidth="17280" windowHeight="8964" activeTab="2" xr2:uid="{00000000-000D-0000-FFFF-FFFF00000000}"/>
  </bookViews>
  <sheets>
    <sheet name="Desulf" sheetId="1" r:id="rId1"/>
    <sheet name="Desulf EAC&amp;TPC" sheetId="2" r:id="rId2"/>
    <sheet name="Desulf revenu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E3" i="3" s="1"/>
  <c r="D3" i="3"/>
  <c r="C31" i="1"/>
  <c r="D20" i="1" s="1"/>
  <c r="C30" i="1"/>
  <c r="D21" i="1" s="1"/>
  <c r="C29" i="1"/>
  <c r="C28" i="1"/>
  <c r="D22" i="1"/>
  <c r="D19" i="1"/>
  <c r="D18" i="1"/>
  <c r="I9" i="1"/>
  <c r="I8" i="1"/>
  <c r="I7" i="1"/>
  <c r="I6" i="1"/>
  <c r="I5" i="1"/>
  <c r="I10" i="1" s="1"/>
  <c r="E7" i="2" s="1"/>
  <c r="E29" i="2" l="1"/>
  <c r="D23" i="1"/>
  <c r="K9" i="2" s="1"/>
  <c r="E23" i="2" l="1"/>
  <c r="E16" i="2"/>
  <c r="E14" i="2"/>
  <c r="E10" i="2"/>
  <c r="E22" i="2"/>
  <c r="E15" i="2"/>
  <c r="E9" i="2"/>
  <c r="E11" i="2"/>
  <c r="E8" i="2"/>
  <c r="E31" i="2"/>
  <c r="E25" i="2"/>
  <c r="K6" i="2"/>
  <c r="E24" i="2"/>
  <c r="E17" i="2"/>
  <c r="E30" i="2"/>
  <c r="E33" i="2" s="1"/>
  <c r="E34" i="2" s="1"/>
  <c r="E19" i="2" l="1"/>
  <c r="E27" i="2"/>
  <c r="K12" i="2"/>
  <c r="K15" i="2" l="1"/>
  <c r="K27" i="2"/>
  <c r="K25" i="2" s="1"/>
  <c r="K23" i="2" l="1"/>
  <c r="K22" i="2"/>
  <c r="K13" i="2"/>
  <c r="K16" i="2" l="1"/>
  <c r="K21" i="2"/>
  <c r="K14" i="2"/>
  <c r="K30" i="2" s="1"/>
  <c r="K29" i="2"/>
  <c r="K18" i="2" s="1"/>
</calcChain>
</file>

<file path=xl/sharedStrings.xml><?xml version="1.0" encoding="utf-8"?>
<sst xmlns="http://schemas.openxmlformats.org/spreadsheetml/2006/main" count="138" uniqueCount="120">
  <si>
    <t>Capex</t>
  </si>
  <si>
    <t>Equipment</t>
  </si>
  <si>
    <t>Reference equpment cost ($)</t>
  </si>
  <si>
    <t xml:space="preserve">Scale paramter </t>
  </si>
  <si>
    <t>Refernece capacity</t>
  </si>
  <si>
    <t xml:space="preserve">Capacity </t>
  </si>
  <si>
    <t>Capacity correction factor</t>
  </si>
  <si>
    <t>Refernece year</t>
  </si>
  <si>
    <t>Equipment cost ($)</t>
  </si>
  <si>
    <t>Ref</t>
  </si>
  <si>
    <t>LIME-DS</t>
  </si>
  <si>
    <t>Feed flow rate (kg/h)</t>
  </si>
  <si>
    <t>SCRUBBER</t>
  </si>
  <si>
    <t>Volume (gal)</t>
  </si>
  <si>
    <t>GYP-CR</t>
  </si>
  <si>
    <t>GAS-SP</t>
  </si>
  <si>
    <t>GYP-SP</t>
  </si>
  <si>
    <t>Total</t>
  </si>
  <si>
    <t>Opex</t>
  </si>
  <si>
    <t>Block heat duty (cal/sec)</t>
  </si>
  <si>
    <t>Annual operating cost</t>
  </si>
  <si>
    <t>Annual operating hours [sec/yr]</t>
  </si>
  <si>
    <t>Electricity cost [$/kWh]</t>
  </si>
  <si>
    <t>-</t>
  </si>
  <si>
    <t>Cooling price [$/cal]</t>
  </si>
  <si>
    <t>+</t>
  </si>
  <si>
    <t>Heating price [$/cal]</t>
  </si>
  <si>
    <t>EAC (B.P)</t>
  </si>
  <si>
    <t>TPC (BP)</t>
  </si>
  <si>
    <t xml:space="preserve">Classification </t>
  </si>
  <si>
    <t>% of FCI</t>
  </si>
  <si>
    <t xml:space="preserve">Used </t>
  </si>
  <si>
    <t>Value</t>
  </si>
  <si>
    <t>Classification</t>
  </si>
  <si>
    <t>Range</t>
  </si>
  <si>
    <t>Direct cost</t>
  </si>
  <si>
    <t>Fixed charge(FC) = FCI * 0.08</t>
  </si>
  <si>
    <t>ISBL (Inside battery limit, 전체공사구역 중 주 공정시설)</t>
  </si>
  <si>
    <t>Local taxes, Insurance</t>
  </si>
  <si>
    <t>8% of FCI</t>
  </si>
  <si>
    <t xml:space="preserve">Equipment cost &lt;&lt; 직접 구하길 </t>
  </si>
  <si>
    <t>20-40</t>
  </si>
  <si>
    <t>Direct production cost (DPC)</t>
  </si>
  <si>
    <t>Installation of equipment = FCI * 0.1</t>
  </si>
  <si>
    <t>7.3-26</t>
  </si>
  <si>
    <t>Carbon tax</t>
  </si>
  <si>
    <t>Instrument and control = FCI * 0.05</t>
  </si>
  <si>
    <t>2.5-7.0</t>
  </si>
  <si>
    <t xml:space="preserve">Raw materials </t>
  </si>
  <si>
    <t>Piping = FCI * 0.1</t>
  </si>
  <si>
    <t>3.0-15</t>
  </si>
  <si>
    <t>Membrane replacement cost</t>
  </si>
  <si>
    <t>Electrical = FCI * 0.05</t>
  </si>
  <si>
    <t>2.5-9.0</t>
  </si>
  <si>
    <t>Electricity</t>
  </si>
  <si>
    <t>$0.06/kWh</t>
  </si>
  <si>
    <t>Matinenenance (M) = FC * 0.08</t>
  </si>
  <si>
    <t>OSBL(Outside bettery limit,주공정시설 외 부대시설)</t>
  </si>
  <si>
    <t>Operating labor (OL) = TPC * 0.15</t>
  </si>
  <si>
    <t>15% of OPEX</t>
  </si>
  <si>
    <t>Building and building services = FCI * 0.08</t>
  </si>
  <si>
    <t>6.0-20</t>
  </si>
  <si>
    <t>Supervision and support labor (S) = labor * 0.3</t>
  </si>
  <si>
    <t>30% of OL</t>
  </si>
  <si>
    <t>Yard improvements = FCI * 0.02</t>
  </si>
  <si>
    <t>1.5-5.0</t>
  </si>
  <si>
    <t>Operating supplies = maintenance * 0.15</t>
  </si>
  <si>
    <t>15% of M</t>
  </si>
  <si>
    <t>Services facilities = FCI * 0.08</t>
  </si>
  <si>
    <t>8.0-35</t>
  </si>
  <si>
    <t>Laboratory charges = labor * 0.15</t>
  </si>
  <si>
    <t>15% of OL</t>
  </si>
  <si>
    <t>Land = FCI * 0.02</t>
  </si>
  <si>
    <t>1.0-2.0</t>
  </si>
  <si>
    <t>Plant overhead cost(OVHD)</t>
  </si>
  <si>
    <t>60% of M+OL+S</t>
  </si>
  <si>
    <t>Total direct cost = FCI * 0.5 + Equipment cost</t>
  </si>
  <si>
    <t>General expenses</t>
  </si>
  <si>
    <t>Indirect cost</t>
  </si>
  <si>
    <t xml:space="preserve">Admistrative cost </t>
  </si>
  <si>
    <t>17.5% of OL</t>
  </si>
  <si>
    <t>Engineering = FCI * 0.05</t>
  </si>
  <si>
    <t>4.0-21</t>
  </si>
  <si>
    <t>Distribution and marketing</t>
  </si>
  <si>
    <t>11% of OPEX</t>
  </si>
  <si>
    <t>Construction expenses = FCI * 0.05</t>
  </si>
  <si>
    <t>4.8-22</t>
  </si>
  <si>
    <t xml:space="preserve">R&amp;D cost </t>
  </si>
  <si>
    <t>3.5% of OPEX</t>
  </si>
  <si>
    <t>Contractor's fee = FCI * 0.05</t>
  </si>
  <si>
    <t>Contingency = FCI * 0.05</t>
  </si>
  <si>
    <t>5.0-20</t>
  </si>
  <si>
    <t>TPC</t>
  </si>
  <si>
    <t>Total indirect cost = FCI * 0.2</t>
  </si>
  <si>
    <t>Fixed capital investment (FCI)</t>
  </si>
  <si>
    <t>OVHD</t>
  </si>
  <si>
    <t>Start up cost (SUC)  = FCI * 0.2</t>
  </si>
  <si>
    <t>Working capital investment (WCI)  = FCI * 0.2</t>
  </si>
  <si>
    <t>TCI</t>
  </si>
  <si>
    <t>NPV</t>
  </si>
  <si>
    <t>EAC (r=7%, t=25 year)    RP=r, NP=t</t>
  </si>
  <si>
    <t>EAC</t>
  </si>
  <si>
    <t>Flow rate [kg/h]</t>
  </si>
  <si>
    <t>Cost [USD/tonne]</t>
  </si>
  <si>
    <t>Revenue [$/yr]</t>
  </si>
  <si>
    <t>CALCI-02</t>
  </si>
  <si>
    <t>ton/h</t>
  </si>
  <si>
    <t>Selling price</t>
  </si>
  <si>
    <t>H2 [USD/kg]</t>
  </si>
  <si>
    <t>CH4 [USD/kg]</t>
  </si>
  <si>
    <t>C2H6,C2H4 [USD/kg]</t>
  </si>
  <si>
    <t>C4~C9 (납사) [USD/kg]</t>
  </si>
  <si>
    <t>C10~C16 (디젤) [USD/kg]</t>
  </si>
  <si>
    <t>CaCO3 [USD/kg]</t>
  </si>
  <si>
    <t>MgCO3 [USD/kg]</t>
  </si>
  <si>
    <t>Gypsum [USD/kg]</t>
  </si>
  <si>
    <t>HCL [USD/kg]</t>
  </si>
  <si>
    <t>Electricity [USD/kWh]</t>
  </si>
  <si>
    <t>Cooling price [USD/cal]</t>
  </si>
  <si>
    <t>Heating price [USD/cal]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</si>
</sst>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 tint="-0.249977111117893"/>
      <name val="맑은 고딕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>
      <alignment vertical="center"/>
    </xf>
  </cellStyleXfs>
  <cellXfs count="72">
    <xf numFmtId="0" fontId="0" fillId="0" borderId="0" xfId="0">
      <alignment vertical="center"/>
    </xf>
    <xf numFmtId="0" fontId="3" fillId="0" borderId="1" xfId="0" applyFont="1" applyBorder="1" applyAlignment="1"/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41" fontId="0" fillId="0" borderId="1" xfId="1" applyFont="1" applyBorder="1" applyAlignment="1">
      <alignment horizontal="left"/>
    </xf>
    <xf numFmtId="41" fontId="0" fillId="0" borderId="13" xfId="1" applyFont="1" applyBorder="1" applyAlignment="1">
      <alignment horizontal="left"/>
    </xf>
    <xf numFmtId="41" fontId="0" fillId="0" borderId="14" xfId="1" applyFont="1" applyBorder="1" applyAlignment="1">
      <alignment horizontal="left"/>
    </xf>
    <xf numFmtId="41" fontId="0" fillId="0" borderId="1" xfId="1" applyFont="1" applyBorder="1" applyAlignment="1">
      <alignment horizontal="left" vertical="center"/>
    </xf>
    <xf numFmtId="41" fontId="4" fillId="0" borderId="11" xfId="1" applyFont="1" applyBorder="1" applyAlignment="1">
      <alignment horizontal="left"/>
    </xf>
    <xf numFmtId="41" fontId="0" fillId="0" borderId="4" xfId="1" applyFont="1" applyBorder="1" applyAlignment="1">
      <alignment horizontal="left"/>
    </xf>
    <xf numFmtId="41" fontId="0" fillId="0" borderId="0" xfId="1" applyFont="1" applyAlignment="1">
      <alignment horizontal="left"/>
    </xf>
    <xf numFmtId="41" fontId="0" fillId="0" borderId="10" xfId="1" applyFont="1" applyBorder="1" applyAlignment="1">
      <alignment horizontal="left"/>
    </xf>
    <xf numFmtId="41" fontId="0" fillId="0" borderId="11" xfId="1" applyFont="1" applyBorder="1" applyAlignment="1">
      <alignment horizontal="left"/>
    </xf>
    <xf numFmtId="41" fontId="5" fillId="0" borderId="0" xfId="1" applyFont="1" applyAlignment="1">
      <alignment horizontal="left"/>
    </xf>
    <xf numFmtId="41" fontId="4" fillId="0" borderId="4" xfId="1" applyFont="1" applyBorder="1" applyAlignment="1">
      <alignment horizontal="left"/>
    </xf>
    <xf numFmtId="41" fontId="4" fillId="0" borderId="0" xfId="1" applyFont="1" applyAlignment="1">
      <alignment horizontal="left"/>
    </xf>
    <xf numFmtId="41" fontId="4" fillId="0" borderId="12" xfId="1" applyFont="1" applyBorder="1" applyAlignment="1">
      <alignment horizontal="left"/>
    </xf>
    <xf numFmtId="41" fontId="4" fillId="0" borderId="6" xfId="1" applyFont="1" applyBorder="1" applyAlignment="1">
      <alignment horizontal="left"/>
    </xf>
    <xf numFmtId="41" fontId="4" fillId="0" borderId="7" xfId="1" applyFont="1" applyBorder="1" applyAlignment="1">
      <alignment horizontal="left"/>
    </xf>
    <xf numFmtId="41" fontId="0" fillId="0" borderId="9" xfId="1" applyFont="1" applyBorder="1" applyAlignment="1">
      <alignment horizontal="left"/>
    </xf>
    <xf numFmtId="0" fontId="0" fillId="0" borderId="1" xfId="1" applyNumberFormat="1" applyFont="1" applyBorder="1" applyAlignment="1">
      <alignment horizontal="left" vertical="center"/>
    </xf>
    <xf numFmtId="41" fontId="4" fillId="0" borderId="2" xfId="1" applyFont="1" applyBorder="1" applyAlignment="1">
      <alignment horizontal="left"/>
    </xf>
    <xf numFmtId="41" fontId="0" fillId="0" borderId="2" xfId="1" applyFont="1" applyBorder="1" applyAlignment="1">
      <alignment horizontal="left"/>
    </xf>
    <xf numFmtId="41" fontId="5" fillId="0" borderId="4" xfId="1" applyFont="1" applyBorder="1" applyAlignment="1">
      <alignment horizontal="left"/>
    </xf>
    <xf numFmtId="41" fontId="6" fillId="0" borderId="4" xfId="1" applyFont="1" applyBorder="1" applyAlignment="1">
      <alignment horizontal="left"/>
    </xf>
    <xf numFmtId="41" fontId="7" fillId="0" borderId="4" xfId="1" applyFont="1" applyBorder="1" applyAlignment="1">
      <alignment horizontal="left"/>
    </xf>
    <xf numFmtId="41" fontId="8" fillId="0" borderId="4" xfId="1" applyFont="1" applyBorder="1" applyAlignment="1">
      <alignment horizontal="left"/>
    </xf>
    <xf numFmtId="41" fontId="9" fillId="0" borderId="4" xfId="1" applyFont="1" applyBorder="1" applyAlignment="1">
      <alignment horizontal="left"/>
    </xf>
    <xf numFmtId="0" fontId="0" fillId="0" borderId="0" xfId="0" applyAlignment="1"/>
    <xf numFmtId="0" fontId="7" fillId="0" borderId="11" xfId="0" applyFon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4" borderId="0" xfId="0" applyFill="1">
      <alignment vertical="center"/>
    </xf>
    <xf numFmtId="0" fontId="0" fillId="2" borderId="15" xfId="0" applyFill="1" applyBorder="1">
      <alignment vertical="center"/>
    </xf>
    <xf numFmtId="41" fontId="0" fillId="2" borderId="11" xfId="1" applyFont="1" applyFill="1" applyBorder="1" applyAlignment="1">
      <alignment horizontal="left"/>
    </xf>
    <xf numFmtId="0" fontId="0" fillId="0" borderId="11" xfId="0" applyBorder="1" applyAlignment="1"/>
    <xf numFmtId="0" fontId="0" fillId="0" borderId="12" xfId="0" applyBorder="1" applyAlignment="1"/>
    <xf numFmtId="176" fontId="0" fillId="0" borderId="10" xfId="1" applyNumberFormat="1" applyFont="1" applyBorder="1" applyAlignment="1">
      <alignment horizontal="left"/>
    </xf>
    <xf numFmtId="176" fontId="0" fillId="0" borderId="11" xfId="1" applyNumberFormat="1" applyFont="1" applyBorder="1" applyAlignment="1">
      <alignment horizontal="left"/>
    </xf>
    <xf numFmtId="176" fontId="7" fillId="0" borderId="11" xfId="1" applyNumberFormat="1" applyFont="1" applyBorder="1" applyAlignment="1">
      <alignment horizontal="right"/>
    </xf>
    <xf numFmtId="176" fontId="6" fillId="0" borderId="11" xfId="1" applyNumberFormat="1" applyFont="1" applyBorder="1" applyAlignment="1">
      <alignment horizontal="right"/>
    </xf>
    <xf numFmtId="176" fontId="0" fillId="0" borderId="11" xfId="1" applyNumberFormat="1" applyFont="1" applyBorder="1" applyAlignment="1">
      <alignment horizontal="left" vertical="top"/>
    </xf>
    <xf numFmtId="176" fontId="4" fillId="0" borderId="12" xfId="1" applyNumberFormat="1" applyFont="1" applyBorder="1" applyAlignment="1">
      <alignment horizontal="left"/>
    </xf>
    <xf numFmtId="176" fontId="0" fillId="0" borderId="0" xfId="1" applyNumberFormat="1" applyFont="1" applyAlignment="1">
      <alignment horizontal="left"/>
    </xf>
    <xf numFmtId="176" fontId="0" fillId="0" borderId="0" xfId="0" applyNumberFormat="1" applyAlignment="1"/>
    <xf numFmtId="176" fontId="6" fillId="0" borderId="11" xfId="1" applyNumberFormat="1" applyFont="1" applyBorder="1" applyAlignment="1">
      <alignment horizontal="right" vertical="center" wrapText="1"/>
    </xf>
    <xf numFmtId="0" fontId="0" fillId="3" borderId="1" xfId="0" applyFill="1" applyBorder="1">
      <alignment vertical="center"/>
    </xf>
    <xf numFmtId="176" fontId="6" fillId="3" borderId="11" xfId="1" applyNumberFormat="1" applyFont="1" applyFill="1" applyBorder="1" applyAlignment="1">
      <alignment horizontal="right"/>
    </xf>
    <xf numFmtId="0" fontId="3" fillId="0" borderId="5" xfId="0" applyFont="1" applyBorder="1" applyAlignment="1"/>
    <xf numFmtId="0" fontId="0" fillId="0" borderId="5" xfId="0" applyBorder="1" applyAlignment="1">
      <alignment horizontal="right" vertical="center"/>
    </xf>
    <xf numFmtId="41" fontId="0" fillId="0" borderId="0" xfId="1" applyFont="1" applyAlignment="1">
      <alignment horizontal="right"/>
    </xf>
    <xf numFmtId="0" fontId="7" fillId="5" borderId="5" xfId="0" applyFont="1" applyFill="1" applyBorder="1">
      <alignment vertical="center"/>
    </xf>
    <xf numFmtId="41" fontId="0" fillId="0" borderId="0" xfId="1" applyFont="1" applyAlignment="1"/>
    <xf numFmtId="41" fontId="0" fillId="4" borderId="0" xfId="1" applyFont="1" applyFill="1" applyAlignment="1"/>
    <xf numFmtId="0" fontId="0" fillId="0" borderId="0" xfId="1" applyNumberFormat="1" applyFont="1" applyAlignment="1"/>
    <xf numFmtId="0" fontId="0" fillId="5" borderId="3" xfId="0" applyFill="1" applyBorder="1">
      <alignment vertical="center"/>
    </xf>
    <xf numFmtId="0" fontId="0" fillId="5" borderId="5" xfId="0" applyFill="1" applyBorder="1">
      <alignment vertical="center"/>
    </xf>
    <xf numFmtId="0" fontId="0" fillId="0" borderId="7" xfId="0" applyBorder="1">
      <alignment vertical="center"/>
    </xf>
    <xf numFmtId="0" fontId="0" fillId="0" borderId="13" xfId="0" applyBorder="1">
      <alignment vertical="center"/>
    </xf>
    <xf numFmtId="0" fontId="0" fillId="6" borderId="7" xfId="0" applyFill="1" applyBorder="1">
      <alignment vertical="center"/>
    </xf>
    <xf numFmtId="0" fontId="0" fillId="7" borderId="12" xfId="0" applyFill="1" applyBorder="1">
      <alignment vertical="center"/>
    </xf>
    <xf numFmtId="0" fontId="10" fillId="0" borderId="0" xfId="0" applyFont="1" applyAlignment="1"/>
    <xf numFmtId="11" fontId="10" fillId="0" borderId="0" xfId="0" applyNumberFormat="1" applyFont="1" applyAlignment="1"/>
    <xf numFmtId="11" fontId="0" fillId="0" borderId="5" xfId="0" applyNumberFormat="1" applyBorder="1" applyAlignment="1"/>
    <xf numFmtId="11" fontId="0" fillId="0" borderId="8" xfId="0" applyNumberFormat="1" applyBorder="1" applyAlignment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1"/>
  <sheetViews>
    <sheetView workbookViewId="0">
      <selection activeCell="D34" sqref="D34"/>
    </sheetView>
  </sheetViews>
  <sheetFormatPr defaultRowHeight="17.399999999999999"/>
  <cols>
    <col min="2" max="2" width="29" style="35" bestFit="1" customWidth="1"/>
    <col min="3" max="3" width="27" style="35" bestFit="1" customWidth="1"/>
    <col min="4" max="4" width="24" style="35" bestFit="1" customWidth="1"/>
    <col min="5" max="5" width="21.59765625" style="35" bestFit="1" customWidth="1"/>
    <col min="6" max="6" width="14.59765625" style="35" customWidth="1"/>
    <col min="7" max="7" width="23.69921875" style="35" bestFit="1" customWidth="1"/>
    <col min="8" max="8" width="14.3984375" style="35" bestFit="1" customWidth="1"/>
    <col min="9" max="9" width="17.69921875" style="35" bestFit="1" customWidth="1"/>
    <col min="10" max="10" width="107.5" style="35" bestFit="1" customWidth="1"/>
  </cols>
  <sheetData>
    <row r="2" spans="2:10">
      <c r="B2" s="8" t="s">
        <v>0</v>
      </c>
    </row>
    <row r="3" spans="2:10" ht="18" customHeight="1" thickBot="1"/>
    <row r="4" spans="2:10" ht="18" customHeight="1" thickBot="1">
      <c r="B4" s="4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</row>
    <row r="5" spans="2:10">
      <c r="B5" s="5" t="s">
        <v>10</v>
      </c>
      <c r="C5" s="59">
        <v>147800</v>
      </c>
      <c r="D5" s="57" t="s">
        <v>11</v>
      </c>
      <c r="E5" s="59">
        <v>461492</v>
      </c>
      <c r="F5" s="60">
        <v>10.126917000000001</v>
      </c>
      <c r="G5" s="59">
        <v>0.5</v>
      </c>
      <c r="H5" s="59">
        <v>1997</v>
      </c>
      <c r="I5" s="2">
        <f>C5*(F5/E5)^G5*(595.6/386.5)</f>
        <v>1066.9305770294004</v>
      </c>
      <c r="J5" s="5"/>
    </row>
    <row r="6" spans="2:10">
      <c r="B6" s="6" t="s">
        <v>12</v>
      </c>
      <c r="C6" s="59">
        <v>20000</v>
      </c>
      <c r="D6" s="57" t="s">
        <v>13</v>
      </c>
      <c r="E6" s="59">
        <v>2500</v>
      </c>
      <c r="F6" s="60">
        <v>45948.813088636001</v>
      </c>
      <c r="G6" s="61">
        <v>0.6</v>
      </c>
      <c r="H6" s="59">
        <v>1987</v>
      </c>
      <c r="I6" s="3">
        <f>C6*(F6/E6)^G6*(595.6/323.8)</f>
        <v>211012.61212165028</v>
      </c>
      <c r="J6" s="6"/>
    </row>
    <row r="7" spans="2:10">
      <c r="B7" s="6" t="s">
        <v>14</v>
      </c>
      <c r="C7" s="59">
        <v>20000</v>
      </c>
      <c r="D7" s="57" t="s">
        <v>13</v>
      </c>
      <c r="E7" s="59">
        <v>2500</v>
      </c>
      <c r="F7" s="60">
        <v>47286.759205251998</v>
      </c>
      <c r="G7" s="61">
        <v>0.6</v>
      </c>
      <c r="H7" s="59">
        <v>1987</v>
      </c>
      <c r="I7" s="56">
        <f>C7*(F7/E7)^G7*(595.6/323.8)</f>
        <v>214678.01231531316</v>
      </c>
      <c r="J7" s="6"/>
    </row>
    <row r="8" spans="2:10">
      <c r="B8" s="6" t="s">
        <v>15</v>
      </c>
      <c r="C8" s="59">
        <v>165000</v>
      </c>
      <c r="D8" s="57" t="s">
        <v>11</v>
      </c>
      <c r="E8" s="59">
        <v>359263</v>
      </c>
      <c r="F8" s="39">
        <v>93.061432100000005</v>
      </c>
      <c r="G8">
        <v>0.6</v>
      </c>
      <c r="H8">
        <v>1998</v>
      </c>
      <c r="I8" s="3">
        <f>C8*(F8/E8)^G8*(595.6/389.5)</f>
        <v>1778.056327243869</v>
      </c>
      <c r="J8" s="6"/>
    </row>
    <row r="9" spans="2:10" ht="18" customHeight="1" thickBot="1">
      <c r="B9" s="7" t="s">
        <v>16</v>
      </c>
      <c r="C9" s="59">
        <v>165000</v>
      </c>
      <c r="D9" s="57" t="s">
        <v>11</v>
      </c>
      <c r="E9" s="59">
        <v>359263</v>
      </c>
      <c r="F9" s="39">
        <v>4.0721984999999998</v>
      </c>
      <c r="G9">
        <v>0.6</v>
      </c>
      <c r="H9">
        <v>1998</v>
      </c>
      <c r="I9" s="3">
        <f>C9*(F9/E9)^G9*(595.6/389.5)</f>
        <v>272.00760075903861</v>
      </c>
      <c r="J9" s="7"/>
    </row>
    <row r="10" spans="2:10" ht="18" customHeight="1" thickBot="1">
      <c r="B10" s="4" t="s">
        <v>17</v>
      </c>
      <c r="C10" s="37"/>
      <c r="D10" s="37"/>
      <c r="E10" s="37"/>
      <c r="F10" s="37"/>
      <c r="G10" s="37"/>
      <c r="H10" s="37"/>
      <c r="I10" s="40">
        <f>SUM(I5:I9)</f>
        <v>428807.61894199572</v>
      </c>
    </row>
    <row r="15" spans="2:10">
      <c r="B15" s="8" t="s">
        <v>18</v>
      </c>
    </row>
    <row r="16" spans="2:10" ht="18" customHeight="1" thickBot="1"/>
    <row r="17" spans="1:4" ht="18" customHeight="1" thickBot="1">
      <c r="B17" s="4" t="s">
        <v>1</v>
      </c>
      <c r="C17" s="2" t="s">
        <v>19</v>
      </c>
      <c r="D17" s="4" t="s">
        <v>20</v>
      </c>
    </row>
    <row r="18" spans="1:4">
      <c r="B18" s="5" t="s">
        <v>10</v>
      </c>
      <c r="C18" s="62">
        <v>7.0891972399999998</v>
      </c>
      <c r="D18" s="36">
        <f>C18*C31*C28</f>
        <v>126.68679035769601</v>
      </c>
    </row>
    <row r="19" spans="1:4">
      <c r="B19" s="6" t="s">
        <v>12</v>
      </c>
      <c r="C19" s="58">
        <v>1258.57674</v>
      </c>
      <c r="D19" s="36">
        <f>C19*C31*C28</f>
        <v>22491.269774496002</v>
      </c>
    </row>
    <row r="20" spans="1:4">
      <c r="B20" s="6" t="s">
        <v>14</v>
      </c>
      <c r="C20" s="58">
        <v>131.799575</v>
      </c>
      <c r="D20" s="36">
        <f>C20*C31*C28</f>
        <v>2355.3111250800002</v>
      </c>
    </row>
    <row r="21" spans="1:4">
      <c r="B21" s="6" t="s">
        <v>15</v>
      </c>
      <c r="C21" s="58">
        <v>-224.823905</v>
      </c>
      <c r="D21" s="36">
        <f>C21*C30*C28</f>
        <v>4017.6931119120004</v>
      </c>
    </row>
    <row r="22" spans="1:4" ht="18" customHeight="1" thickBot="1">
      <c r="B22" s="6" t="s">
        <v>16</v>
      </c>
      <c r="C22" s="63">
        <v>9.4191957000000007E-2</v>
      </c>
      <c r="D22" s="36">
        <f>C22*C31*C28</f>
        <v>1.6832479483728002</v>
      </c>
    </row>
    <row r="23" spans="1:4" ht="18" customHeight="1" thickBot="1">
      <c r="B23" s="4" t="s">
        <v>17</v>
      </c>
      <c r="C23" s="38"/>
      <c r="D23" s="53">
        <f>SUM(D18:D22)</f>
        <v>28992.644049794071</v>
      </c>
    </row>
    <row r="27" spans="1:4" ht="18" customHeight="1" thickBot="1"/>
    <row r="28" spans="1:4" ht="18" customHeight="1" thickBot="1">
      <c r="B28" s="5" t="s">
        <v>21</v>
      </c>
      <c r="C28" s="2">
        <f>8500*3600</f>
        <v>30600000</v>
      </c>
      <c r="D28" s="4">
        <v>8500</v>
      </c>
    </row>
    <row r="29" spans="1:4">
      <c r="B29" s="42" t="s">
        <v>22</v>
      </c>
      <c r="C29" s="55">
        <f>'Desulf revenue'!O14</f>
        <v>0.36</v>
      </c>
    </row>
    <row r="30" spans="1:4">
      <c r="A30" s="8" t="s">
        <v>23</v>
      </c>
      <c r="B30" s="42" t="s">
        <v>24</v>
      </c>
      <c r="C30" s="70">
        <f>(-1)*'Desulf revenue'!O15</f>
        <v>-5.8400000000000004E-7</v>
      </c>
    </row>
    <row r="31" spans="1:4" ht="18" customHeight="1" thickBot="1">
      <c r="A31" s="8" t="s">
        <v>25</v>
      </c>
      <c r="B31" s="43" t="s">
        <v>26</v>
      </c>
      <c r="C31" s="71">
        <f>'Desulf revenue'!O16</f>
        <v>5.8400000000000004E-7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34"/>
  <sheetViews>
    <sheetView topLeftCell="B1" workbookViewId="0">
      <selection activeCell="K25" sqref="K25"/>
    </sheetView>
  </sheetViews>
  <sheetFormatPr defaultRowHeight="17.399999999999999"/>
  <cols>
    <col min="2" max="2" width="55.8984375" style="35" bestFit="1" customWidth="1"/>
    <col min="4" max="4" width="7.8984375" style="35" bestFit="1" customWidth="1"/>
    <col min="5" max="5" width="16.59765625" style="35" bestFit="1" customWidth="1"/>
    <col min="9" max="9" width="46.69921875" style="35" bestFit="1" customWidth="1"/>
    <col min="10" max="10" width="18.3984375" style="35" bestFit="1" customWidth="1"/>
    <col min="11" max="11" width="14.19921875" style="35" bestFit="1" customWidth="1"/>
  </cols>
  <sheetData>
    <row r="3" spans="2:11" ht="18" customHeight="1" thickBot="1">
      <c r="B3" s="9" t="s">
        <v>27</v>
      </c>
      <c r="C3" s="10"/>
      <c r="D3" s="10"/>
      <c r="E3" s="10"/>
      <c r="I3" s="22" t="s">
        <v>28</v>
      </c>
      <c r="J3" s="17"/>
      <c r="K3" s="17"/>
    </row>
    <row r="4" spans="2:11" ht="18" customHeight="1" thickBot="1">
      <c r="B4" s="11" t="s">
        <v>29</v>
      </c>
      <c r="C4" s="12" t="s">
        <v>30</v>
      </c>
      <c r="D4" s="13" t="s">
        <v>31</v>
      </c>
      <c r="E4" s="14" t="s">
        <v>32</v>
      </c>
      <c r="I4" s="11" t="s">
        <v>33</v>
      </c>
      <c r="J4" s="26" t="s">
        <v>34</v>
      </c>
      <c r="K4" s="27" t="s">
        <v>32</v>
      </c>
    </row>
    <row r="5" spans="2:11">
      <c r="B5" s="15" t="s">
        <v>35</v>
      </c>
      <c r="C5" s="16"/>
      <c r="D5" s="17"/>
      <c r="E5" s="18"/>
      <c r="I5" s="28" t="s">
        <v>36</v>
      </c>
      <c r="J5" s="29"/>
      <c r="K5" s="44"/>
    </row>
    <row r="6" spans="2:11">
      <c r="B6" s="15" t="s">
        <v>37</v>
      </c>
      <c r="C6" s="16"/>
      <c r="D6" s="17"/>
      <c r="E6" s="19"/>
      <c r="I6" s="16" t="s">
        <v>38</v>
      </c>
      <c r="J6" s="30" t="s">
        <v>39</v>
      </c>
      <c r="K6" s="45">
        <f>SUM(E29*0.01)</f>
        <v>14293.587298066526</v>
      </c>
    </row>
    <row r="7" spans="2:11">
      <c r="B7" s="19" t="s">
        <v>40</v>
      </c>
      <c r="C7" s="16" t="s">
        <v>41</v>
      </c>
      <c r="D7" s="20">
        <v>30</v>
      </c>
      <c r="E7" s="41">
        <f>Desulf!I10</f>
        <v>428807.61894199572</v>
      </c>
      <c r="I7" s="21" t="s">
        <v>42</v>
      </c>
      <c r="J7" s="31"/>
      <c r="K7" s="45"/>
    </row>
    <row r="8" spans="2:11">
      <c r="B8" s="19" t="s">
        <v>43</v>
      </c>
      <c r="C8" s="16" t="s">
        <v>44</v>
      </c>
      <c r="D8" s="17">
        <v>10</v>
      </c>
      <c r="E8" s="19">
        <f>SUM(E29*0.1)</f>
        <v>142935.87298066527</v>
      </c>
      <c r="I8" s="32" t="s">
        <v>45</v>
      </c>
      <c r="J8" s="31" t="s">
        <v>23</v>
      </c>
      <c r="K8" s="46" t="s">
        <v>23</v>
      </c>
    </row>
    <row r="9" spans="2:11">
      <c r="B9" s="19" t="s">
        <v>46</v>
      </c>
      <c r="C9" s="16" t="s">
        <v>47</v>
      </c>
      <c r="D9" s="17">
        <v>5</v>
      </c>
      <c r="E9" s="19">
        <f>SUM(E29*0.05)</f>
        <v>71467.936490332635</v>
      </c>
      <c r="I9" s="31" t="s">
        <v>48</v>
      </c>
      <c r="J9" s="31" t="s">
        <v>23</v>
      </c>
      <c r="K9" s="54">
        <f>Desulf!D23</f>
        <v>28992.644049794071</v>
      </c>
    </row>
    <row r="10" spans="2:11">
      <c r="B10" s="19" t="s">
        <v>49</v>
      </c>
      <c r="C10" s="16" t="s">
        <v>50</v>
      </c>
      <c r="D10" s="17">
        <v>10</v>
      </c>
      <c r="E10" s="19">
        <f>SUM(E29*0.1)</f>
        <v>142935.87298066527</v>
      </c>
      <c r="I10" s="31" t="s">
        <v>51</v>
      </c>
      <c r="J10" s="31"/>
      <c r="K10" s="47" t="s">
        <v>23</v>
      </c>
    </row>
    <row r="11" spans="2:11">
      <c r="B11" s="19" t="s">
        <v>52</v>
      </c>
      <c r="C11" s="16" t="s">
        <v>53</v>
      </c>
      <c r="D11" s="17">
        <v>5</v>
      </c>
      <c r="E11" s="19">
        <f>SUM(E29*0.05)</f>
        <v>71467.936490332635</v>
      </c>
      <c r="I11" s="31" t="s">
        <v>54</v>
      </c>
      <c r="J11" s="31" t="s">
        <v>55</v>
      </c>
      <c r="K11" s="52" t="s">
        <v>23</v>
      </c>
    </row>
    <row r="12" spans="2:11">
      <c r="B12" s="19"/>
      <c r="C12" s="16"/>
      <c r="D12" s="17"/>
      <c r="E12" s="19"/>
      <c r="I12" s="16" t="s">
        <v>56</v>
      </c>
      <c r="J12" s="33" t="s">
        <v>39</v>
      </c>
      <c r="K12" s="48">
        <f>SUM(K6*0.04)</f>
        <v>571.74349192266106</v>
      </c>
    </row>
    <row r="13" spans="2:11">
      <c r="B13" s="15" t="s">
        <v>57</v>
      </c>
      <c r="C13" s="16"/>
      <c r="D13" s="17"/>
      <c r="E13" s="19"/>
      <c r="I13" s="16" t="s">
        <v>58</v>
      </c>
      <c r="J13" s="31" t="s">
        <v>59</v>
      </c>
      <c r="K13" s="45">
        <f>SUM(K25*0.15)</f>
        <v>13440.601656669271</v>
      </c>
    </row>
    <row r="14" spans="2:11">
      <c r="B14" s="19" t="s">
        <v>60</v>
      </c>
      <c r="C14" s="16" t="s">
        <v>61</v>
      </c>
      <c r="D14" s="17">
        <v>8</v>
      </c>
      <c r="E14" s="19">
        <f>SUM(E29*0.08)</f>
        <v>114348.69838453221</v>
      </c>
      <c r="I14" s="16" t="s">
        <v>62</v>
      </c>
      <c r="J14" s="31" t="s">
        <v>63</v>
      </c>
      <c r="K14" s="45">
        <f>SUM(K13*0.3)</f>
        <v>4032.1804970007811</v>
      </c>
    </row>
    <row r="15" spans="2:11">
      <c r="B15" s="19" t="s">
        <v>64</v>
      </c>
      <c r="C15" s="16" t="s">
        <v>65</v>
      </c>
      <c r="D15" s="17">
        <v>2</v>
      </c>
      <c r="E15" s="19">
        <f>SUM(E29*0.02)</f>
        <v>28587.174596133053</v>
      </c>
      <c r="I15" s="16" t="s">
        <v>66</v>
      </c>
      <c r="J15" s="31" t="s">
        <v>67</v>
      </c>
      <c r="K15" s="45">
        <f>SUM(K12*0.15)</f>
        <v>85.76152378839916</v>
      </c>
    </row>
    <row r="16" spans="2:11">
      <c r="B16" s="19" t="s">
        <v>68</v>
      </c>
      <c r="C16" s="16" t="s">
        <v>69</v>
      </c>
      <c r="D16" s="17">
        <v>8</v>
      </c>
      <c r="E16" s="19">
        <f>SUM(E29*0.08)</f>
        <v>114348.69838453221</v>
      </c>
      <c r="I16" s="16" t="s">
        <v>70</v>
      </c>
      <c r="J16" s="31" t="s">
        <v>71</v>
      </c>
      <c r="K16" s="45">
        <f>SUM(K13*0.15)</f>
        <v>2016.0902485003905</v>
      </c>
    </row>
    <row r="17" spans="2:11">
      <c r="B17" s="19" t="s">
        <v>72</v>
      </c>
      <c r="C17" s="16" t="s">
        <v>73</v>
      </c>
      <c r="D17" s="17">
        <v>2</v>
      </c>
      <c r="E17" s="19">
        <f>SUM(E29*0.02)</f>
        <v>28587.174596133053</v>
      </c>
      <c r="I17" s="16"/>
      <c r="J17" s="31"/>
      <c r="K17" s="45"/>
    </row>
    <row r="18" spans="2:11">
      <c r="B18" s="19"/>
      <c r="C18" s="16"/>
      <c r="D18" s="17"/>
      <c r="E18" s="19"/>
      <c r="I18" s="21" t="s">
        <v>74</v>
      </c>
      <c r="J18" s="31" t="s">
        <v>75</v>
      </c>
      <c r="K18" s="45">
        <f>SUM(0.6*K29)</f>
        <v>10826.715387355627</v>
      </c>
    </row>
    <row r="19" spans="2:11">
      <c r="B19" s="15" t="s">
        <v>76</v>
      </c>
      <c r="C19" s="16"/>
      <c r="D19" s="17"/>
      <c r="E19" s="19">
        <f>SUM(E7:E17)</f>
        <v>1143486.9838453219</v>
      </c>
      <c r="I19" s="16"/>
      <c r="J19" s="31"/>
      <c r="K19" s="45"/>
    </row>
    <row r="20" spans="2:11">
      <c r="B20" s="19"/>
      <c r="C20" s="16"/>
      <c r="D20" s="17"/>
      <c r="E20" s="19"/>
      <c r="I20" s="21" t="s">
        <v>77</v>
      </c>
      <c r="J20" s="31"/>
      <c r="K20" s="45"/>
    </row>
    <row r="21" spans="2:11">
      <c r="B21" s="15" t="s">
        <v>78</v>
      </c>
      <c r="C21" s="16"/>
      <c r="D21" s="17"/>
      <c r="E21" s="19"/>
      <c r="I21" s="16" t="s">
        <v>79</v>
      </c>
      <c r="J21" s="31" t="s">
        <v>80</v>
      </c>
      <c r="K21" s="45">
        <f>SUM(K13*0.175)</f>
        <v>2352.1052899171223</v>
      </c>
    </row>
    <row r="22" spans="2:11">
      <c r="B22" s="19" t="s">
        <v>81</v>
      </c>
      <c r="C22" s="16" t="s">
        <v>82</v>
      </c>
      <c r="D22" s="17">
        <v>5</v>
      </c>
      <c r="E22" s="19">
        <f>SUM(E29*0.05)</f>
        <v>71467.936490332635</v>
      </c>
      <c r="I22" s="34" t="s">
        <v>83</v>
      </c>
      <c r="J22" s="31" t="s">
        <v>84</v>
      </c>
      <c r="K22" s="45">
        <f>SUM(K25*0.11)</f>
        <v>9856.4412148907977</v>
      </c>
    </row>
    <row r="23" spans="2:11">
      <c r="B23" s="19" t="s">
        <v>85</v>
      </c>
      <c r="C23" s="16" t="s">
        <v>86</v>
      </c>
      <c r="D23" s="17">
        <v>5</v>
      </c>
      <c r="E23" s="19">
        <f>SUM(E29*0.05)</f>
        <v>71467.936490332635</v>
      </c>
      <c r="I23" s="16" t="s">
        <v>87</v>
      </c>
      <c r="J23" s="34" t="s">
        <v>88</v>
      </c>
      <c r="K23" s="45">
        <f>SUM(K25*0.035)</f>
        <v>3136.1403865561633</v>
      </c>
    </row>
    <row r="24" spans="2:11">
      <c r="B24" s="19" t="s">
        <v>89</v>
      </c>
      <c r="C24" s="16" t="s">
        <v>65</v>
      </c>
      <c r="D24" s="17">
        <v>5</v>
      </c>
      <c r="E24" s="19">
        <f>SUM(E29*0.05)</f>
        <v>71467.936490332635</v>
      </c>
      <c r="I24" s="16"/>
      <c r="J24" s="34"/>
      <c r="K24" s="45"/>
    </row>
    <row r="25" spans="2:11" ht="18" customHeight="1" thickBot="1">
      <c r="B25" s="19" t="s">
        <v>90</v>
      </c>
      <c r="C25" s="16" t="s">
        <v>91</v>
      </c>
      <c r="D25" s="17">
        <v>5</v>
      </c>
      <c r="E25" s="19">
        <f>SUM(E29*0.05)</f>
        <v>71467.936490332635</v>
      </c>
      <c r="I25" s="24" t="s">
        <v>92</v>
      </c>
      <c r="J25" s="24"/>
      <c r="K25" s="49">
        <f>SUM(K27/0.49425)</f>
        <v>89604.011044461804</v>
      </c>
    </row>
    <row r="26" spans="2:11">
      <c r="B26" s="19"/>
      <c r="C26" s="16"/>
      <c r="D26" s="17"/>
      <c r="E26" s="19"/>
      <c r="I26" s="17"/>
      <c r="J26" s="17"/>
      <c r="K26" s="50"/>
    </row>
    <row r="27" spans="2:11">
      <c r="B27" s="15" t="s">
        <v>93</v>
      </c>
      <c r="C27" s="16"/>
      <c r="D27" s="17"/>
      <c r="E27" s="19">
        <f>SUM(E22:E25)</f>
        <v>285871.74596133054</v>
      </c>
      <c r="I27" s="17"/>
      <c r="J27" s="17"/>
      <c r="K27" s="50">
        <f>SUM(K6:K12,K15,0.6*K12)</f>
        <v>44286.782458725247</v>
      </c>
    </row>
    <row r="28" spans="2:11">
      <c r="B28" s="19"/>
      <c r="C28" s="16"/>
      <c r="D28" s="17"/>
      <c r="E28" s="19"/>
      <c r="I28" s="10"/>
      <c r="J28" s="10"/>
      <c r="K28" s="50"/>
    </row>
    <row r="29" spans="2:11">
      <c r="B29" s="19" t="s">
        <v>94</v>
      </c>
      <c r="C29" s="16">
        <v>100</v>
      </c>
      <c r="D29" s="17">
        <v>100</v>
      </c>
      <c r="E29" s="19">
        <f>SUM(E7*100/D7)</f>
        <v>1429358.7298066525</v>
      </c>
      <c r="I29" s="10"/>
      <c r="J29" s="10" t="s">
        <v>95</v>
      </c>
      <c r="K29" s="50">
        <f>(K12+K13+K14)</f>
        <v>18044.525645592712</v>
      </c>
    </row>
    <row r="30" spans="2:11">
      <c r="B30" s="19" t="s">
        <v>96</v>
      </c>
      <c r="C30" s="16">
        <v>20</v>
      </c>
      <c r="D30" s="20">
        <v>20</v>
      </c>
      <c r="E30" s="19">
        <f>SUM(E29*0.2)</f>
        <v>285871.74596133054</v>
      </c>
      <c r="K30" s="51">
        <f>SUM(K6:K23)</f>
        <v>89604.011044461804</v>
      </c>
    </row>
    <row r="31" spans="2:11">
      <c r="B31" s="19" t="s">
        <v>97</v>
      </c>
      <c r="C31" s="16">
        <v>20</v>
      </c>
      <c r="D31" s="20">
        <v>20</v>
      </c>
      <c r="E31" s="19">
        <f>SUM(E29*0.2)</f>
        <v>285871.74596133054</v>
      </c>
    </row>
    <row r="32" spans="2:11">
      <c r="B32" s="19"/>
      <c r="C32" s="16"/>
      <c r="D32" s="17"/>
      <c r="E32" s="19"/>
    </row>
    <row r="33" spans="2:5">
      <c r="B33" s="15" t="s">
        <v>98</v>
      </c>
      <c r="C33" s="21" t="s">
        <v>99</v>
      </c>
      <c r="D33" s="22"/>
      <c r="E33" s="15">
        <f>SUM(E29:E31)</f>
        <v>2001102.2217293137</v>
      </c>
    </row>
    <row r="34" spans="2:5" ht="18" customHeight="1" thickBot="1">
      <c r="B34" s="23" t="s">
        <v>100</v>
      </c>
      <c r="C34" s="24" t="s">
        <v>101</v>
      </c>
      <c r="D34" s="25"/>
      <c r="E34" s="23">
        <f>SUM(E33/((1-(1/((1.05)^25)))/0.07))</f>
        <v>198776.36791409974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16"/>
  <sheetViews>
    <sheetView tabSelected="1" workbookViewId="0">
      <selection activeCell="E6" sqref="E6"/>
    </sheetView>
  </sheetViews>
  <sheetFormatPr defaultRowHeight="17.399999999999999"/>
  <cols>
    <col min="3" max="3" width="18.8984375" style="35" bestFit="1" customWidth="1"/>
    <col min="4" max="4" width="17.3984375" style="35" bestFit="1" customWidth="1"/>
    <col min="5" max="5" width="23" style="35" customWidth="1"/>
    <col min="14" max="14" width="20.796875" style="35" customWidth="1"/>
  </cols>
  <sheetData>
    <row r="1" spans="2:15" ht="18" customHeight="1" thickBot="1"/>
    <row r="2" spans="2:15" ht="18" customHeight="1" thickBot="1">
      <c r="B2" s="4"/>
      <c r="C2" s="65" t="s">
        <v>102</v>
      </c>
      <c r="D2" s="37" t="s">
        <v>103</v>
      </c>
      <c r="E2" s="38" t="s">
        <v>104</v>
      </c>
    </row>
    <row r="3" spans="2:15" ht="18" customHeight="1" thickBot="1">
      <c r="B3" s="7" t="s">
        <v>105</v>
      </c>
      <c r="C3" s="66">
        <v>0.61730956199999998</v>
      </c>
      <c r="D3" s="64">
        <f>O12*1000</f>
        <v>500</v>
      </c>
      <c r="E3" s="67">
        <f>C4*D3*8500</f>
        <v>2623.5656384999997</v>
      </c>
    </row>
    <row r="4" spans="2:15">
      <c r="B4" t="s">
        <v>106</v>
      </c>
      <c r="C4">
        <f>C3*0.001</f>
        <v>6.1730956199999994E-4</v>
      </c>
      <c r="N4" t="s">
        <v>107</v>
      </c>
    </row>
    <row r="5" spans="2:15">
      <c r="N5" t="s">
        <v>108</v>
      </c>
      <c r="O5">
        <v>2.2999999999999998</v>
      </c>
    </row>
    <row r="6" spans="2:15">
      <c r="N6" t="s">
        <v>109</v>
      </c>
      <c r="O6">
        <v>2.0139999999999998</v>
      </c>
    </row>
    <row r="7" spans="2:15">
      <c r="N7" t="s">
        <v>110</v>
      </c>
      <c r="O7">
        <v>1.2</v>
      </c>
    </row>
    <row r="8" spans="2:15">
      <c r="N8" t="s">
        <v>111</v>
      </c>
      <c r="O8">
        <v>0.7</v>
      </c>
    </row>
    <row r="9" spans="2:15">
      <c r="N9" t="s">
        <v>112</v>
      </c>
      <c r="O9">
        <v>2.1226190479999998</v>
      </c>
    </row>
    <row r="10" spans="2:15">
      <c r="N10" t="s">
        <v>113</v>
      </c>
      <c r="O10">
        <v>0.28000000000000003</v>
      </c>
    </row>
    <row r="11" spans="2:15">
      <c r="N11" t="s">
        <v>114</v>
      </c>
      <c r="O11" s="68">
        <v>0.7</v>
      </c>
    </row>
    <row r="12" spans="2:15">
      <c r="N12" t="s">
        <v>115</v>
      </c>
      <c r="O12" s="68">
        <v>0.5</v>
      </c>
    </row>
    <row r="13" spans="2:15">
      <c r="N13" t="s">
        <v>116</v>
      </c>
      <c r="O13" s="68">
        <v>15000</v>
      </c>
    </row>
    <row r="14" spans="2:15">
      <c r="N14" t="s">
        <v>117</v>
      </c>
      <c r="O14">
        <v>0.36</v>
      </c>
    </row>
    <row r="15" spans="2:15">
      <c r="N15" t="s">
        <v>118</v>
      </c>
      <c r="O15" s="69">
        <v>5.8400000000000004E-7</v>
      </c>
    </row>
    <row r="16" spans="2:15">
      <c r="N16" t="s">
        <v>119</v>
      </c>
      <c r="O16" s="69">
        <v>5.8400000000000004E-7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Desulf</vt:lpstr>
      <vt:lpstr>Desulf EAC&amp;TPC</vt:lpstr>
      <vt:lpstr>Desulf 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PSID_17</dc:creator>
  <cp:lastModifiedBy>안나현</cp:lastModifiedBy>
  <dcterms:created xsi:type="dcterms:W3CDTF">2023-07-27T05:08:20Z</dcterms:created>
  <dcterms:modified xsi:type="dcterms:W3CDTF">2023-12-12T16:14:06Z</dcterms:modified>
</cp:coreProperties>
</file>