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236" yWindow="4620" windowWidth="30264" windowHeight="12660" tabRatio="600" firstSheet="0" activeTab="0" autoFilterDateGrouping="1"/>
  </bookViews>
  <sheets>
    <sheet name="SMR" sheetId="1" state="visible" r:id="rId1"/>
    <sheet name="SMR EAC&amp;TPC" sheetId="2" state="visible" r:id="rId2"/>
    <sheet name="Revenue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.00_-;\-* #,##0.00_-;_-* &quot;-&quot;_-;_-@_-"/>
  </numFmts>
  <fonts count="1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Arial"/>
      <family val="2"/>
      <color theme="1"/>
      <sz val="11"/>
    </font>
    <font>
      <name val="맑은 고딕"/>
      <charset val="129"/>
      <family val="3"/>
      <b val="1"/>
      <color theme="1"/>
      <sz val="11"/>
      <scheme val="minor"/>
    </font>
    <font>
      <name val="맑은 고딕"/>
      <family val="2"/>
      <color rgb="FFFF0000"/>
      <sz val="11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2"/>
      <sz val="11"/>
      <scheme val="minor"/>
    </font>
    <font>
      <name val="맑은 고딕"/>
      <charset val="129"/>
      <family val="3"/>
      <color rgb="FFFF000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theme="4" tint="-0.249977111117893"/>
      <sz val="11"/>
      <scheme val="minor"/>
    </font>
    <font>
      <name val="맑은 고딕"/>
      <family val="2"/>
      <color theme="0" tint="-0.249977111117893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599993896298104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1" fillId="0" borderId="0" applyAlignment="1">
      <alignment vertical="center"/>
    </xf>
    <xf numFmtId="41" fontId="1" fillId="0" borderId="0" applyAlignment="1">
      <alignment vertical="center"/>
    </xf>
    <xf numFmtId="41" fontId="1" fillId="0" borderId="0" applyAlignment="1">
      <alignment vertical="center"/>
    </xf>
  </cellStyleXfs>
  <cellXfs count="122">
    <xf numFmtId="0" fontId="0" fillId="0" borderId="0" applyAlignment="1" pivotButton="0" quotePrefix="0" xfId="0">
      <alignment vertical="center"/>
    </xf>
    <xf numFmtId="0" fontId="3" fillId="0" borderId="1" pivotButton="0" quotePrefix="0" xfId="0"/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4" fontId="0" fillId="0" borderId="1" applyAlignment="1" pivotButton="0" quotePrefix="0" xfId="1">
      <alignment horizontal="left"/>
    </xf>
    <xf numFmtId="164" fontId="0" fillId="0" borderId="13" applyAlignment="1" pivotButton="0" quotePrefix="0" xfId="1">
      <alignment horizontal="left"/>
    </xf>
    <xf numFmtId="164" fontId="0" fillId="0" borderId="14" applyAlignment="1" pivotButton="0" quotePrefix="0" xfId="1">
      <alignment horizontal="left"/>
    </xf>
    <xf numFmtId="164" fontId="0" fillId="0" borderId="1" applyAlignment="1" pivotButton="0" quotePrefix="0" xfId="1">
      <alignment horizontal="left" vertical="center"/>
    </xf>
    <xf numFmtId="164" fontId="4" fillId="0" borderId="11" applyAlignment="1" pivotButton="0" quotePrefix="0" xfId="1">
      <alignment horizontal="left"/>
    </xf>
    <xf numFmtId="164" fontId="0" fillId="0" borderId="4" applyAlignment="1" pivotButton="0" quotePrefix="0" xfId="1">
      <alignment horizontal="left"/>
    </xf>
    <xf numFmtId="164" fontId="0" fillId="0" borderId="0" applyAlignment="1" pivotButton="0" quotePrefix="0" xfId="1">
      <alignment horizontal="left"/>
    </xf>
    <xf numFmtId="164" fontId="0" fillId="0" borderId="10" applyAlignment="1" pivotButton="0" quotePrefix="0" xfId="1">
      <alignment horizontal="left"/>
    </xf>
    <xf numFmtId="164" fontId="0" fillId="0" borderId="11" applyAlignment="1" pivotButton="0" quotePrefix="0" xfId="1">
      <alignment horizontal="left"/>
    </xf>
    <xf numFmtId="164" fontId="5" fillId="0" borderId="0" applyAlignment="1" pivotButton="0" quotePrefix="0" xfId="1">
      <alignment horizontal="left"/>
    </xf>
    <xf numFmtId="164" fontId="4" fillId="0" borderId="4" applyAlignment="1" pivotButton="0" quotePrefix="0" xfId="1">
      <alignment horizontal="left"/>
    </xf>
    <xf numFmtId="164" fontId="4" fillId="0" borderId="0" applyAlignment="1" pivotButton="0" quotePrefix="0" xfId="1">
      <alignment horizontal="left"/>
    </xf>
    <xf numFmtId="164" fontId="4" fillId="0" borderId="12" applyAlignment="1" pivotButton="0" quotePrefix="0" xfId="1">
      <alignment horizontal="left"/>
    </xf>
    <xf numFmtId="164" fontId="4" fillId="0" borderId="6" applyAlignment="1" pivotButton="0" quotePrefix="0" xfId="1">
      <alignment horizontal="left"/>
    </xf>
    <xf numFmtId="164" fontId="4" fillId="0" borderId="7" applyAlignment="1" pivotButton="0" quotePrefix="0" xfId="1">
      <alignment horizontal="left"/>
    </xf>
    <xf numFmtId="164" fontId="0" fillId="0" borderId="9" applyAlignment="1" pivotButton="0" quotePrefix="0" xfId="1">
      <alignment horizontal="left"/>
    </xf>
    <xf numFmtId="0" fontId="0" fillId="0" borderId="1" applyAlignment="1" pivotButton="0" quotePrefix="0" xfId="1">
      <alignment horizontal="left" vertical="center"/>
    </xf>
    <xf numFmtId="164" fontId="4" fillId="0" borderId="2" applyAlignment="1" pivotButton="0" quotePrefix="0" xfId="1">
      <alignment horizontal="left"/>
    </xf>
    <xf numFmtId="164" fontId="0" fillId="0" borderId="2" applyAlignment="1" pivotButton="0" quotePrefix="0" xfId="1">
      <alignment horizontal="left"/>
    </xf>
    <xf numFmtId="164" fontId="5" fillId="0" borderId="4" applyAlignment="1" pivotButton="0" quotePrefix="0" xfId="1">
      <alignment horizontal="left"/>
    </xf>
    <xf numFmtId="164" fontId="6" fillId="0" borderId="4" applyAlignment="1" pivotButton="0" quotePrefix="0" xfId="1">
      <alignment horizontal="left"/>
    </xf>
    <xf numFmtId="164" fontId="7" fillId="0" borderId="4" applyAlignment="1" pivotButton="0" quotePrefix="0" xfId="1">
      <alignment horizontal="left"/>
    </xf>
    <xf numFmtId="164" fontId="8" fillId="0" borderId="4" applyAlignment="1" pivotButton="0" quotePrefix="0" xfId="1">
      <alignment horizontal="left"/>
    </xf>
    <xf numFmtId="164" fontId="9" fillId="0" borderId="4" applyAlignment="1" pivotButton="0" quotePrefix="0" xfId="1">
      <alignment horizontal="left"/>
    </xf>
    <xf numFmtId="0" fontId="0" fillId="0" borderId="0" pivotButton="0" quotePrefix="0" xfId="0"/>
    <xf numFmtId="0" fontId="7" fillId="0" borderId="11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0" fillId="4" borderId="9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2" borderId="15" applyAlignment="1" pivotButton="0" quotePrefix="0" xfId="0">
      <alignment vertical="center"/>
    </xf>
    <xf numFmtId="164" fontId="0" fillId="2" borderId="11" applyAlignment="1" pivotButton="0" quotePrefix="0" xfId="1">
      <alignment horizontal="left"/>
    </xf>
    <xf numFmtId="0" fontId="0" fillId="0" borderId="11" pivotButton="0" quotePrefix="0" xfId="0"/>
    <xf numFmtId="0" fontId="0" fillId="0" borderId="12" pivotButton="0" quotePrefix="0" xfId="0"/>
    <xf numFmtId="0" fontId="0" fillId="0" borderId="9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165" fontId="0" fillId="0" borderId="10" applyAlignment="1" pivotButton="0" quotePrefix="0" xfId="1">
      <alignment horizontal="left"/>
    </xf>
    <xf numFmtId="165" fontId="0" fillId="0" borderId="11" applyAlignment="1" pivotButton="0" quotePrefix="0" xfId="1">
      <alignment horizontal="left"/>
    </xf>
    <xf numFmtId="165" fontId="7" fillId="0" borderId="11" applyAlignment="1" pivotButton="0" quotePrefix="0" xfId="1">
      <alignment horizontal="right"/>
    </xf>
    <xf numFmtId="165" fontId="6" fillId="0" borderId="11" applyAlignment="1" pivotButton="0" quotePrefix="0" xfId="1">
      <alignment horizontal="right"/>
    </xf>
    <xf numFmtId="165" fontId="0" fillId="0" borderId="11" applyAlignment="1" pivotButton="0" quotePrefix="0" xfId="1">
      <alignment horizontal="left" vertical="top"/>
    </xf>
    <xf numFmtId="165" fontId="4" fillId="0" borderId="12" applyAlignment="1" pivotButton="0" quotePrefix="0" xfId="1">
      <alignment horizontal="left"/>
    </xf>
    <xf numFmtId="165" fontId="0" fillId="0" borderId="0" applyAlignment="1" pivotButton="0" quotePrefix="0" xfId="1">
      <alignment horizontal="left"/>
    </xf>
    <xf numFmtId="165" fontId="0" fillId="0" borderId="0" pivotButton="0" quotePrefix="0" xfId="0"/>
    <xf numFmtId="0" fontId="0" fillId="3" borderId="1" applyAlignment="1" pivotButton="0" quotePrefix="0" xfId="0">
      <alignment vertical="center"/>
    </xf>
    <xf numFmtId="165" fontId="6" fillId="3" borderId="11" applyAlignment="1" pivotButton="0" quotePrefix="0" xfId="1">
      <alignment horizontal="right"/>
    </xf>
    <xf numFmtId="0" fontId="3" fillId="0" borderId="5" pivotButton="0" quotePrefix="0" xfId="0"/>
    <xf numFmtId="0" fontId="0" fillId="0" borderId="4" applyAlignment="1" pivotButton="0" quotePrefix="0" xfId="0">
      <alignment horizontal="right" vertical="center"/>
    </xf>
    <xf numFmtId="0" fontId="0" fillId="0" borderId="5" applyAlignment="1" pivotButton="0" quotePrefix="0" xfId="0">
      <alignment horizontal="right" vertical="center"/>
    </xf>
    <xf numFmtId="164" fontId="0" fillId="0" borderId="0" applyAlignment="1" pivotButton="0" quotePrefix="0" xfId="1">
      <alignment horizontal="right"/>
    </xf>
    <xf numFmtId="0" fontId="0" fillId="0" borderId="7" applyAlignment="1" pivotButton="0" quotePrefix="0" xfId="0">
      <alignment horizontal="right" vertical="center"/>
    </xf>
    <xf numFmtId="0" fontId="0" fillId="0" borderId="7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164" fontId="0" fillId="0" borderId="4" pivotButton="0" quotePrefix="0" xfId="1"/>
    <xf numFmtId="0" fontId="0" fillId="0" borderId="6" applyAlignment="1" pivotButton="0" quotePrefix="0" xfId="0">
      <alignment horizontal="right" vertical="center"/>
    </xf>
    <xf numFmtId="164" fontId="0" fillId="0" borderId="8" applyAlignment="1" pivotButton="0" quotePrefix="0" xfId="0">
      <alignment horizontal="right" vertical="center"/>
    </xf>
    <xf numFmtId="0" fontId="0" fillId="6" borderId="10" applyAlignment="1" pivotButton="0" quotePrefix="0" xfId="0">
      <alignment vertical="center"/>
    </xf>
    <xf numFmtId="0" fontId="0" fillId="6" borderId="11" applyAlignment="1" pivotButton="0" quotePrefix="0" xfId="0">
      <alignment vertical="center"/>
    </xf>
    <xf numFmtId="0" fontId="7" fillId="7" borderId="5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10" fillId="7" borderId="5" applyAlignment="1" pivotButton="0" quotePrefix="0" xfId="0">
      <alignment vertical="center"/>
    </xf>
    <xf numFmtId="0" fontId="10" fillId="0" borderId="5" applyAlignment="1" pivotButton="0" quotePrefix="0" xfId="0">
      <alignment vertical="center"/>
    </xf>
    <xf numFmtId="0" fontId="0" fillId="5" borderId="12" applyAlignment="1" pivotButton="0" quotePrefix="0" xfId="0">
      <alignment vertical="center"/>
    </xf>
    <xf numFmtId="165" fontId="6" fillId="5" borderId="11" applyAlignment="1" pivotButton="0" quotePrefix="0" xfId="1">
      <alignment horizontal="right" vertical="center" wrapText="1"/>
    </xf>
    <xf numFmtId="0" fontId="0" fillId="0" borderId="13" applyAlignment="1" pivotButton="0" quotePrefix="0" xfId="0">
      <alignment vertical="center"/>
    </xf>
    <xf numFmtId="165" fontId="0" fillId="8" borderId="15" applyAlignment="1" pivotButton="0" quotePrefix="0" xfId="2">
      <alignment vertical="center"/>
    </xf>
    <xf numFmtId="0" fontId="11" fillId="0" borderId="0" pivotButton="0" quotePrefix="0" xfId="0"/>
    <xf numFmtId="11" fontId="11" fillId="0" borderId="0" pivotButton="0" quotePrefix="0" xfId="0"/>
    <xf numFmtId="11" fontId="0" fillId="0" borderId="5" pivotButton="0" quotePrefix="0" xfId="0"/>
    <xf numFmtId="11" fontId="0" fillId="0" borderId="8" pivotButton="0" quotePrefix="0" xfId="0"/>
    <xf numFmtId="164" fontId="0" fillId="0" borderId="4" pivotButton="0" quotePrefix="0" xfId="1"/>
    <xf numFmtId="164" fontId="0" fillId="0" borderId="0" applyAlignment="1" pivotButton="0" quotePrefix="0" xfId="1">
      <alignment horizontal="right"/>
    </xf>
    <xf numFmtId="164" fontId="0" fillId="0" borderId="8" applyAlignment="1" pivotButton="0" quotePrefix="0" xfId="0">
      <alignment horizontal="right" vertical="center"/>
    </xf>
    <xf numFmtId="164" fontId="4" fillId="0" borderId="0" applyAlignment="1" pivotButton="0" quotePrefix="0" xfId="1">
      <alignment horizontal="left"/>
    </xf>
    <xf numFmtId="164" fontId="0" fillId="0" borderId="0" applyAlignment="1" pivotButton="0" quotePrefix="0" xfId="1">
      <alignment horizontal="left"/>
    </xf>
    <xf numFmtId="164" fontId="0" fillId="0" borderId="1" applyAlignment="1" pivotButton="0" quotePrefix="0" xfId="1">
      <alignment horizontal="left"/>
    </xf>
    <xf numFmtId="164" fontId="0" fillId="0" borderId="13" applyAlignment="1" pivotButton="0" quotePrefix="0" xfId="1">
      <alignment horizontal="left"/>
    </xf>
    <xf numFmtId="164" fontId="0" fillId="0" borderId="14" applyAlignment="1" pivotButton="0" quotePrefix="0" xfId="1">
      <alignment horizontal="left"/>
    </xf>
    <xf numFmtId="164" fontId="0" fillId="0" borderId="1" applyAlignment="1" pivotButton="0" quotePrefix="0" xfId="1">
      <alignment horizontal="left" vertical="center"/>
    </xf>
    <xf numFmtId="164" fontId="0" fillId="0" borderId="9" applyAlignment="1" pivotButton="0" quotePrefix="0" xfId="1">
      <alignment horizontal="left"/>
    </xf>
    <xf numFmtId="164" fontId="4" fillId="0" borderId="11" applyAlignment="1" pivotButton="0" quotePrefix="0" xfId="1">
      <alignment horizontal="left"/>
    </xf>
    <xf numFmtId="164" fontId="0" fillId="0" borderId="4" applyAlignment="1" pivotButton="0" quotePrefix="0" xfId="1">
      <alignment horizontal="left"/>
    </xf>
    <xf numFmtId="164" fontId="0" fillId="0" borderId="10" applyAlignment="1" pivotButton="0" quotePrefix="0" xfId="1">
      <alignment horizontal="left"/>
    </xf>
    <xf numFmtId="164" fontId="4" fillId="0" borderId="2" applyAlignment="1" pivotButton="0" quotePrefix="0" xfId="1">
      <alignment horizontal="left"/>
    </xf>
    <xf numFmtId="164" fontId="0" fillId="0" borderId="2" applyAlignment="1" pivotButton="0" quotePrefix="0" xfId="1">
      <alignment horizontal="left"/>
    </xf>
    <xf numFmtId="165" fontId="0" fillId="0" borderId="10" applyAlignment="1" pivotButton="0" quotePrefix="0" xfId="1">
      <alignment horizontal="left"/>
    </xf>
    <xf numFmtId="164" fontId="0" fillId="0" borderId="11" applyAlignment="1" pivotButton="0" quotePrefix="0" xfId="1">
      <alignment horizontal="left"/>
    </xf>
    <xf numFmtId="164" fontId="5" fillId="0" borderId="4" applyAlignment="1" pivotButton="0" quotePrefix="0" xfId="1">
      <alignment horizontal="left"/>
    </xf>
    <xf numFmtId="165" fontId="0" fillId="0" borderId="11" applyAlignment="1" pivotButton="0" quotePrefix="0" xfId="1">
      <alignment horizontal="left"/>
    </xf>
    <xf numFmtId="164" fontId="5" fillId="0" borderId="0" applyAlignment="1" pivotButton="0" quotePrefix="0" xfId="1">
      <alignment horizontal="left"/>
    </xf>
    <xf numFmtId="164" fontId="0" fillId="2" borderId="11" applyAlignment="1" pivotButton="0" quotePrefix="0" xfId="1">
      <alignment horizontal="left"/>
    </xf>
    <xf numFmtId="164" fontId="4" fillId="0" borderId="4" applyAlignment="1" pivotButton="0" quotePrefix="0" xfId="1">
      <alignment horizontal="left"/>
    </xf>
    <xf numFmtId="164" fontId="6" fillId="0" borderId="4" applyAlignment="1" pivotButton="0" quotePrefix="0" xfId="1">
      <alignment horizontal="left"/>
    </xf>
    <xf numFmtId="164" fontId="7" fillId="0" borderId="4" applyAlignment="1" pivotButton="0" quotePrefix="0" xfId="1">
      <alignment horizontal="left"/>
    </xf>
    <xf numFmtId="165" fontId="7" fillId="0" borderId="11" applyAlignment="1" pivotButton="0" quotePrefix="0" xfId="1">
      <alignment horizontal="right"/>
    </xf>
    <xf numFmtId="165" fontId="6" fillId="3" borderId="11" applyAlignment="1" pivotButton="0" quotePrefix="0" xfId="1">
      <alignment horizontal="right"/>
    </xf>
    <xf numFmtId="165" fontId="6" fillId="0" borderId="11" applyAlignment="1" pivotButton="0" quotePrefix="0" xfId="1">
      <alignment horizontal="right"/>
    </xf>
    <xf numFmtId="165" fontId="6" fillId="5" borderId="11" applyAlignment="1" pivotButton="0" quotePrefix="0" xfId="1">
      <alignment horizontal="right" vertical="center" wrapText="1"/>
    </xf>
    <xf numFmtId="164" fontId="8" fillId="0" borderId="4" applyAlignment="1" pivotButton="0" quotePrefix="0" xfId="1">
      <alignment horizontal="left"/>
    </xf>
    <xf numFmtId="165" fontId="0" fillId="0" borderId="11" applyAlignment="1" pivotButton="0" quotePrefix="0" xfId="1">
      <alignment horizontal="left" vertical="top"/>
    </xf>
    <xf numFmtId="164" fontId="9" fillId="0" borderId="4" applyAlignment="1" pivotButton="0" quotePrefix="0" xfId="1">
      <alignment horizontal="left"/>
    </xf>
    <xf numFmtId="164" fontId="4" fillId="0" borderId="6" applyAlignment="1" pivotButton="0" quotePrefix="0" xfId="1">
      <alignment horizontal="left"/>
    </xf>
    <xf numFmtId="165" fontId="4" fillId="0" borderId="12" applyAlignment="1" pivotButton="0" quotePrefix="0" xfId="1">
      <alignment horizontal="left"/>
    </xf>
    <xf numFmtId="165" fontId="0" fillId="0" borderId="0" applyAlignment="1" pivotButton="0" quotePrefix="0" xfId="1">
      <alignment horizontal="left"/>
    </xf>
    <xf numFmtId="165" fontId="0" fillId="0" borderId="0" pivotButton="0" quotePrefix="0" xfId="0"/>
    <xf numFmtId="164" fontId="4" fillId="0" borderId="12" applyAlignment="1" pivotButton="0" quotePrefix="0" xfId="1">
      <alignment horizontal="left"/>
    </xf>
    <xf numFmtId="164" fontId="4" fillId="0" borderId="7" applyAlignment="1" pivotButton="0" quotePrefix="0" xfId="1">
      <alignment horizontal="left"/>
    </xf>
    <xf numFmtId="165" fontId="0" fillId="8" borderId="15" applyAlignment="1" pivotButton="0" quotePrefix="0" xfId="2">
      <alignment vertical="center"/>
    </xf>
  </cellXfs>
  <cellStyles count="3">
    <cellStyle name="표준" xfId="0" builtinId="0"/>
    <cellStyle name="쉼표 [0]" xfId="1" builtinId="6"/>
    <cellStyle name="쉼표 [0]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55"/>
  <sheetViews>
    <sheetView tabSelected="1" topLeftCell="A19" zoomScale="85" zoomScaleNormal="85" workbookViewId="0">
      <selection activeCell="J16" sqref="J16"/>
    </sheetView>
  </sheetViews>
  <sheetFormatPr baseColWidth="8" defaultRowHeight="17.4"/>
  <cols>
    <col width="29" bestFit="1" customWidth="1" style="38" min="2" max="2"/>
    <col width="27" bestFit="1" customWidth="1" style="38" min="3" max="3"/>
    <col width="24" bestFit="1" customWidth="1" style="38" min="4" max="4"/>
    <col width="21.59765625" bestFit="1" customWidth="1" style="38" min="5" max="5"/>
    <col width="14.59765625" customWidth="1" style="38" min="6" max="6"/>
    <col width="23.69921875" bestFit="1" customWidth="1" style="38" min="7" max="7"/>
    <col width="14.3984375" bestFit="1" customWidth="1" style="38" min="8" max="8"/>
    <col width="17.69921875" bestFit="1" customWidth="1" style="38" min="9" max="9"/>
    <col width="107.5" bestFit="1" customWidth="1" style="38" min="10" max="10"/>
  </cols>
  <sheetData>
    <row r="2">
      <c r="B2" s="11" t="inlineStr">
        <is>
          <t>Capex</t>
        </is>
      </c>
    </row>
    <row r="3" ht="17.25" customHeight="1" s="38" thickBot="1"/>
    <row r="4" ht="17.25" customHeight="1" s="38" thickBot="1">
      <c r="B4" s="6" t="inlineStr">
        <is>
          <t>Equipment</t>
        </is>
      </c>
      <c r="C4" s="1" t="inlineStr">
        <is>
          <t>Reference equpment cost ($)</t>
        </is>
      </c>
      <c r="D4" s="1" t="inlineStr">
        <is>
          <t xml:space="preserve">Scale paramter </t>
        </is>
      </c>
      <c r="E4" s="1" t="inlineStr">
        <is>
          <t>Refernece capacity</t>
        </is>
      </c>
      <c r="F4" s="1" t="inlineStr">
        <is>
          <t xml:space="preserve">Capacity </t>
        </is>
      </c>
      <c r="G4" s="1" t="inlineStr">
        <is>
          <t>Capacity correction factor</t>
        </is>
      </c>
      <c r="H4" s="1" t="inlineStr">
        <is>
          <t>Refernece year</t>
        </is>
      </c>
      <c r="I4" s="1" t="inlineStr">
        <is>
          <t>Equipment cost ($)</t>
        </is>
      </c>
      <c r="J4" s="1" t="inlineStr">
        <is>
          <t>Ref</t>
        </is>
      </c>
    </row>
    <row r="5">
      <c r="B5" s="8" t="inlineStr">
        <is>
          <t>COMP</t>
        </is>
      </c>
      <c r="C5" s="2" t="n">
        <v>15000</v>
      </c>
      <c r="D5" s="48" t="inlineStr">
        <is>
          <t>Power (Kw)</t>
        </is>
      </c>
      <c r="E5" s="7" t="n">
        <v>10</v>
      </c>
      <c r="F5" s="42" t="n">
        <v>9.9089922</v>
      </c>
      <c r="G5" s="7" t="n">
        <v>0.9</v>
      </c>
      <c r="H5" s="7" t="n">
        <v>2004</v>
      </c>
      <c r="I5" s="3">
        <f>C5*(F5/E5)^G5*(595.6/444.2)</f>
        <v/>
      </c>
      <c r="J5" s="3" t="n"/>
    </row>
    <row r="6">
      <c r="B6" s="9" t="inlineStr">
        <is>
          <t>HEAT1</t>
        </is>
      </c>
      <c r="C6" s="4" t="n">
        <v>15500</v>
      </c>
      <c r="D6" s="49" t="inlineStr">
        <is>
          <t>Heat exchange area (m^2)</t>
        </is>
      </c>
      <c r="E6" s="0" t="n">
        <v>2</v>
      </c>
      <c r="F6" s="43" t="n">
        <v>0.101794103</v>
      </c>
      <c r="G6" s="0" t="n">
        <v>0.59</v>
      </c>
      <c r="H6" s="0" t="n">
        <v>2006</v>
      </c>
      <c r="I6" s="5">
        <f>C6*(F6/E6)^G6*(595.6/499.6)</f>
        <v/>
      </c>
      <c r="J6" s="5" t="n"/>
    </row>
    <row r="7">
      <c r="B7" s="9" t="inlineStr">
        <is>
          <t>MIX2</t>
        </is>
      </c>
      <c r="C7" s="61" t="inlineStr">
        <is>
          <t>-</t>
        </is>
      </c>
      <c r="D7" s="49" t="inlineStr">
        <is>
          <t>-</t>
        </is>
      </c>
      <c r="E7" s="49" t="inlineStr">
        <is>
          <t>-</t>
        </is>
      </c>
      <c r="F7" s="49" t="inlineStr">
        <is>
          <t>-</t>
        </is>
      </c>
      <c r="G7" s="49" t="inlineStr">
        <is>
          <t>-</t>
        </is>
      </c>
      <c r="H7" s="49" t="inlineStr">
        <is>
          <t>-</t>
        </is>
      </c>
      <c r="I7" s="62" t="inlineStr">
        <is>
          <t>-</t>
        </is>
      </c>
      <c r="J7" s="5" t="n"/>
    </row>
    <row r="8">
      <c r="B8" s="9" t="inlineStr">
        <is>
          <t>SMR</t>
        </is>
      </c>
      <c r="C8" s="4" t="n">
        <v>2100</v>
      </c>
      <c r="D8" s="49" t="inlineStr">
        <is>
          <t>Feed flow rate (kg/hr)</t>
        </is>
      </c>
      <c r="E8" s="0" t="n">
        <v>4.79</v>
      </c>
      <c r="F8" s="43" t="n">
        <v>162.18817</v>
      </c>
      <c r="G8" s="0" t="n">
        <v>0.78</v>
      </c>
      <c r="H8" s="0" t="n">
        <v>1990</v>
      </c>
      <c r="I8" s="5">
        <f>C8*(F8/E8)^G8*(595.6/357.6)</f>
        <v/>
      </c>
      <c r="J8" s="5" t="n"/>
    </row>
    <row r="9">
      <c r="B9" s="9" t="inlineStr">
        <is>
          <t>PUMP</t>
        </is>
      </c>
      <c r="C9" s="4" t="n">
        <v>9840</v>
      </c>
      <c r="D9" s="49" t="inlineStr">
        <is>
          <t>Power (Kw)</t>
        </is>
      </c>
      <c r="E9" s="0" t="n">
        <v>4</v>
      </c>
      <c r="F9" s="43" t="n">
        <v>0.259960356</v>
      </c>
      <c r="G9" s="0" t="n">
        <v>0.55</v>
      </c>
      <c r="H9" s="0" t="n">
        <v>2000</v>
      </c>
      <c r="I9" s="5">
        <f>C9*(F9/E9)^G9*(595.6/394.1)</f>
        <v/>
      </c>
      <c r="J9" s="5" t="inlineStr">
        <is>
          <t>Energy, exergy, economy analysis and multi-objective optimization of a novel cascade absorption heat transformer driven by low-level waste heat</t>
        </is>
      </c>
    </row>
    <row r="10">
      <c r="B10" s="9" t="inlineStr">
        <is>
          <t>HX1</t>
        </is>
      </c>
      <c r="C10" s="4" t="n">
        <v>15500</v>
      </c>
      <c r="D10" s="49" t="inlineStr">
        <is>
          <t>Heat exchange area (m^2)</t>
        </is>
      </c>
      <c r="E10" s="0" t="n">
        <v>2</v>
      </c>
      <c r="F10" s="43" t="n">
        <v>0.266087855</v>
      </c>
      <c r="G10" s="0" t="n">
        <v>0.59</v>
      </c>
      <c r="H10" s="0" t="n">
        <v>2006</v>
      </c>
      <c r="I10" s="5">
        <f>C10*(F10/E10)^G10*(595.6/499.6)</f>
        <v/>
      </c>
      <c r="J10" s="5" t="n"/>
    </row>
    <row r="11">
      <c r="B11" s="9" t="inlineStr">
        <is>
          <t>HX2</t>
        </is>
      </c>
      <c r="C11" s="4" t="n">
        <v>15500</v>
      </c>
      <c r="D11" s="49" t="inlineStr">
        <is>
          <t>Heat exchange area (m^2)</t>
        </is>
      </c>
      <c r="E11" s="0" t="n">
        <v>2</v>
      </c>
      <c r="F11" s="43" t="n">
        <v>0.330333117</v>
      </c>
      <c r="G11" s="0" t="n">
        <v>0.59</v>
      </c>
      <c r="H11" s="0" t="n">
        <v>2006</v>
      </c>
      <c r="I11" s="5">
        <f>C11*(F11/E11)^G11*(595.6/499.6)</f>
        <v/>
      </c>
      <c r="J11" s="5" t="n"/>
    </row>
    <row r="12">
      <c r="B12" s="9" t="inlineStr">
        <is>
          <t>MIX1</t>
        </is>
      </c>
      <c r="C12" s="61" t="inlineStr">
        <is>
          <t>-</t>
        </is>
      </c>
      <c r="D12" s="49" t="inlineStr">
        <is>
          <t>-</t>
        </is>
      </c>
      <c r="E12" s="49" t="inlineStr">
        <is>
          <t>-</t>
        </is>
      </c>
      <c r="F12" s="49" t="inlineStr">
        <is>
          <t>-</t>
        </is>
      </c>
      <c r="G12" s="49" t="inlineStr">
        <is>
          <t>-</t>
        </is>
      </c>
      <c r="H12" s="49" t="inlineStr">
        <is>
          <t>-</t>
        </is>
      </c>
      <c r="I12" s="62" t="inlineStr">
        <is>
          <t>-</t>
        </is>
      </c>
      <c r="J12" s="5" t="n"/>
    </row>
    <row r="13">
      <c r="B13" s="9" t="inlineStr">
        <is>
          <t>WGS</t>
        </is>
      </c>
      <c r="C13" s="4" t="n">
        <v>2100</v>
      </c>
      <c r="D13" s="49" t="inlineStr">
        <is>
          <t>Feed flow rate (kg/hr)</t>
        </is>
      </c>
      <c r="E13" s="0" t="n">
        <v>4.79</v>
      </c>
      <c r="F13" s="43" t="n">
        <v>162.18817</v>
      </c>
      <c r="G13" s="0" t="n">
        <v>0.78</v>
      </c>
      <c r="H13" s="0" t="n">
        <v>1990</v>
      </c>
      <c r="I13" s="5">
        <f>C13*(F13/E13)^G13*(595.6/357.6)</f>
        <v/>
      </c>
      <c r="J13" s="5" t="n"/>
    </row>
    <row r="14">
      <c r="B14" s="9" t="inlineStr">
        <is>
          <t>COOL1</t>
        </is>
      </c>
      <c r="C14" s="4" t="n">
        <v>15500</v>
      </c>
      <c r="D14" s="49" t="inlineStr">
        <is>
          <t>Heat exchange area (m^2)</t>
        </is>
      </c>
      <c r="E14" s="0" t="n">
        <v>2</v>
      </c>
      <c r="F14" s="43" t="n">
        <v>3.44955974</v>
      </c>
      <c r="G14" s="0" t="n">
        <v>0.59</v>
      </c>
      <c r="H14" s="0" t="n">
        <v>2006</v>
      </c>
      <c r="I14" s="5">
        <f>C14*(F14/E14)^G14*(595.6/499.6)</f>
        <v/>
      </c>
      <c r="J14" s="5" t="n"/>
    </row>
    <row r="15">
      <c r="B15" s="9" t="inlineStr">
        <is>
          <t>DRUM</t>
        </is>
      </c>
      <c r="C15" s="84" t="n">
        <v>165000</v>
      </c>
      <c r="D15" s="85" t="inlineStr">
        <is>
          <t>Feed flow rate (kg/h)</t>
        </is>
      </c>
      <c r="E15" s="85" t="n">
        <v>359263</v>
      </c>
      <c r="F15" s="43" t="n">
        <v>162.18817</v>
      </c>
      <c r="G15" s="0" t="n">
        <v>0.6</v>
      </c>
      <c r="H15" s="0" t="n">
        <v>1998</v>
      </c>
      <c r="I15" s="5">
        <f>C15*(F15/E15)^G15*(595.6/389.5)</f>
        <v/>
      </c>
      <c r="J15" s="5" t="n"/>
    </row>
    <row r="16">
      <c r="B16" s="9" t="inlineStr">
        <is>
          <t>PSA</t>
        </is>
      </c>
      <c r="C16" s="4" t="n">
        <v>1510000</v>
      </c>
      <c r="D16" s="49" t="inlineStr">
        <is>
          <t>Feed flow rate (kmol/hr)</t>
        </is>
      </c>
      <c r="E16" s="0" t="n">
        <v>500</v>
      </c>
      <c r="F16" s="43" t="n">
        <v>10.3943942</v>
      </c>
      <c r="G16" s="0" t="n">
        <v>0.6</v>
      </c>
      <c r="H16" s="0" t="n">
        <v>2000</v>
      </c>
      <c r="I16" s="5">
        <f>C16*(F16/E16)^G16*(595.6/394.1)</f>
        <v/>
      </c>
      <c r="J16" s="5" t="inlineStr">
        <is>
          <t>Ghokan, Alptekin. TDA Research, Inc., September 2000</t>
        </is>
      </c>
    </row>
    <row r="17">
      <c r="B17" s="9" t="inlineStr">
        <is>
          <t>VALVE1</t>
        </is>
      </c>
      <c r="C17" s="61" t="inlineStr">
        <is>
          <t>-</t>
        </is>
      </c>
      <c r="D17" s="49" t="inlineStr">
        <is>
          <t>-</t>
        </is>
      </c>
      <c r="E17" s="49" t="inlineStr">
        <is>
          <t>-</t>
        </is>
      </c>
      <c r="F17" s="49" t="inlineStr">
        <is>
          <t>-</t>
        </is>
      </c>
      <c r="G17" s="49" t="inlineStr">
        <is>
          <t>-</t>
        </is>
      </c>
      <c r="H17" s="49" t="inlineStr">
        <is>
          <t>-</t>
        </is>
      </c>
      <c r="I17" s="62" t="inlineStr">
        <is>
          <t>-</t>
        </is>
      </c>
      <c r="J17" s="5" t="n"/>
    </row>
    <row r="18">
      <c r="B18" s="9" t="inlineStr">
        <is>
          <t>VALVE2</t>
        </is>
      </c>
      <c r="C18" s="61" t="inlineStr">
        <is>
          <t>-</t>
        </is>
      </c>
      <c r="D18" s="49" t="inlineStr">
        <is>
          <t>-</t>
        </is>
      </c>
      <c r="E18" s="49" t="inlineStr">
        <is>
          <t>-</t>
        </is>
      </c>
      <c r="F18" s="49" t="inlineStr">
        <is>
          <t>-</t>
        </is>
      </c>
      <c r="G18" s="49" t="inlineStr">
        <is>
          <t>-</t>
        </is>
      </c>
      <c r="H18" s="49" t="inlineStr">
        <is>
          <t>-</t>
        </is>
      </c>
      <c r="I18" s="62" t="inlineStr">
        <is>
          <t>-</t>
        </is>
      </c>
      <c r="J18" s="5" t="n"/>
    </row>
    <row r="19">
      <c r="B19" s="9" t="inlineStr">
        <is>
          <t>HEAT2</t>
        </is>
      </c>
      <c r="C19" s="4" t="n">
        <v>15500</v>
      </c>
      <c r="D19" s="49" t="inlineStr">
        <is>
          <t>Heat exchange area (m^2)</t>
        </is>
      </c>
      <c r="E19" s="0" t="n">
        <v>2</v>
      </c>
      <c r="F19" s="43" t="n">
        <v>0.08014879699999999</v>
      </c>
      <c r="G19" s="0" t="n">
        <v>0.59</v>
      </c>
      <c r="H19" s="0" t="n">
        <v>2006</v>
      </c>
      <c r="I19" s="5">
        <f>C19*(F19/E19)^G19*(595.6/499.6)</f>
        <v/>
      </c>
      <c r="J19" s="5" t="n"/>
    </row>
    <row r="20">
      <c r="B20" s="9" t="inlineStr">
        <is>
          <t>VSA</t>
        </is>
      </c>
      <c r="C20" s="4" t="n">
        <v>475000</v>
      </c>
      <c r="D20" s="49" t="inlineStr">
        <is>
          <t>CO2 feed flow rate (kg/h)</t>
        </is>
      </c>
      <c r="E20" s="0" t="n">
        <v>600</v>
      </c>
      <c r="F20" s="43" t="n">
        <v>93.67514920000001</v>
      </c>
      <c r="G20" s="0" t="n">
        <v>0.7</v>
      </c>
      <c r="H20" s="49" t="n">
        <v>2004</v>
      </c>
      <c r="I20" s="5">
        <f>C20*(F20/E20)^G20*(595.6/444.2)</f>
        <v/>
      </c>
      <c r="J20" s="5" t="inlineStr">
        <is>
          <t>Techno-economic prospects of small-scale membrane reactors in a future hydrogen-fuelled transportation sector</t>
        </is>
      </c>
    </row>
    <row r="21" ht="17.25" customHeight="1" s="38" thickBot="1">
      <c r="B21" s="10" t="inlineStr">
        <is>
          <t>VALVE3</t>
        </is>
      </c>
      <c r="C21" s="68" t="inlineStr">
        <is>
          <t>-</t>
        </is>
      </c>
      <c r="D21" s="64" t="inlineStr">
        <is>
          <t>-</t>
        </is>
      </c>
      <c r="E21" s="64" t="inlineStr">
        <is>
          <t>-</t>
        </is>
      </c>
      <c r="F21" s="65" t="inlineStr">
        <is>
          <t>-</t>
        </is>
      </c>
      <c r="G21" s="64" t="inlineStr">
        <is>
          <t>-</t>
        </is>
      </c>
      <c r="H21" s="64" t="inlineStr">
        <is>
          <t>-</t>
        </is>
      </c>
      <c r="I21" s="86" t="inlineStr">
        <is>
          <t>-</t>
        </is>
      </c>
      <c r="J21" s="66" t="n"/>
    </row>
    <row r="22" ht="17.25" customHeight="1" s="38" thickBot="1">
      <c r="B22" s="6" t="inlineStr">
        <is>
          <t>Total</t>
        </is>
      </c>
      <c r="C22" s="40" t="n"/>
      <c r="D22" s="40" t="n"/>
      <c r="E22" s="40" t="n"/>
      <c r="F22" s="40" t="n"/>
      <c r="G22" s="40" t="n"/>
      <c r="H22" s="40" t="n"/>
      <c r="I22" s="44">
        <f>SUM(I5:I21)</f>
        <v/>
      </c>
    </row>
    <row r="27">
      <c r="B27" s="11" t="inlineStr">
        <is>
          <t>Opex</t>
        </is>
      </c>
    </row>
    <row r="28" ht="17.25" customHeight="1" s="38" thickBot="1"/>
    <row r="29" ht="17.25" customHeight="1" s="38" thickBot="1">
      <c r="B29" s="6" t="inlineStr">
        <is>
          <t>Equipment</t>
        </is>
      </c>
      <c r="C29" s="8" t="inlineStr">
        <is>
          <t>Block brake power (kW)</t>
        </is>
      </c>
      <c r="D29" s="3" t="inlineStr">
        <is>
          <t>Block heat duty (cal/sec)</t>
        </is>
      </c>
      <c r="E29" s="6" t="inlineStr">
        <is>
          <t>Annual operating cost</t>
        </is>
      </c>
    </row>
    <row r="30">
      <c r="B30" s="8" t="inlineStr">
        <is>
          <t>COMP</t>
        </is>
      </c>
      <c r="C30" s="70" t="n">
        <v>9.9089922</v>
      </c>
      <c r="D30" s="3" t="inlineStr">
        <is>
          <t>-</t>
        </is>
      </c>
      <c r="E30" s="39">
        <f>C30*C53*D52</f>
        <v/>
      </c>
      <c r="F30" s="0" t="inlineStr">
        <is>
          <t>** Heat duty가 아닌 kW로 계산</t>
        </is>
      </c>
    </row>
    <row r="31">
      <c r="B31" s="9" t="inlineStr">
        <is>
          <t>HEAT1</t>
        </is>
      </c>
      <c r="C31" s="9" t="inlineStr">
        <is>
          <t>-</t>
        </is>
      </c>
      <c r="D31" s="72" t="n">
        <v>682.016126</v>
      </c>
      <c r="E31" s="39">
        <f>D31*IF(D31&gt;0,$C$55,$C$54)*$C$52</f>
        <v/>
      </c>
    </row>
    <row r="32">
      <c r="B32" s="9" t="inlineStr">
        <is>
          <t>MIX2</t>
        </is>
      </c>
      <c r="C32" s="9" t="inlineStr">
        <is>
          <t>-</t>
        </is>
      </c>
      <c r="D32" s="73" t="inlineStr">
        <is>
          <t>-</t>
        </is>
      </c>
      <c r="E32" s="39" t="inlineStr">
        <is>
          <t>-</t>
        </is>
      </c>
    </row>
    <row r="33">
      <c r="B33" s="9" t="inlineStr">
        <is>
          <t>SMR</t>
        </is>
      </c>
      <c r="C33" s="9" t="inlineStr">
        <is>
          <t>-</t>
        </is>
      </c>
      <c r="D33" s="72" t="n">
        <v>45001.5477</v>
      </c>
      <c r="E33" s="39">
        <f>D33*IF(D33&gt;0,$C$55,$C$54)*$C$52</f>
        <v/>
      </c>
    </row>
    <row r="34">
      <c r="B34" s="9" t="inlineStr">
        <is>
          <t>PUMP</t>
        </is>
      </c>
      <c r="C34" s="71" t="n">
        <v>0.259960356</v>
      </c>
      <c r="D34" s="5" t="inlineStr">
        <is>
          <t>-</t>
        </is>
      </c>
      <c r="E34" s="39">
        <f>C34*C53*D52</f>
        <v/>
      </c>
      <c r="F34" s="0" t="inlineStr">
        <is>
          <t>** Heat duty가 아닌 kW로 계산</t>
        </is>
      </c>
    </row>
    <row r="35">
      <c r="B35" s="9" t="inlineStr">
        <is>
          <t>HX1</t>
        </is>
      </c>
      <c r="C35" s="9" t="inlineStr">
        <is>
          <t>-</t>
        </is>
      </c>
      <c r="D35" s="74" t="n">
        <v>7585.91708</v>
      </c>
      <c r="E35" s="39">
        <f>D35*IF(D35&gt;0,$C$55,$C$54)*$C$52</f>
        <v/>
      </c>
    </row>
    <row r="36">
      <c r="B36" s="9" t="inlineStr">
        <is>
          <t>HX2</t>
        </is>
      </c>
      <c r="C36" s="9" t="inlineStr">
        <is>
          <t>-</t>
        </is>
      </c>
      <c r="D36" s="74" t="n">
        <v>18778.19</v>
      </c>
      <c r="E36" s="39">
        <f>D36*IF(D36&gt;0,$C$55,$C$54)*$C$52</f>
        <v/>
      </c>
    </row>
    <row r="37">
      <c r="B37" s="9" t="inlineStr">
        <is>
          <t>MIX1</t>
        </is>
      </c>
      <c r="C37" s="9" t="inlineStr">
        <is>
          <t>-</t>
        </is>
      </c>
      <c r="D37" s="73" t="inlineStr">
        <is>
          <t>-</t>
        </is>
      </c>
      <c r="E37" s="39" t="inlineStr">
        <is>
          <t>-</t>
        </is>
      </c>
    </row>
    <row r="38">
      <c r="B38" s="9" t="inlineStr">
        <is>
          <t>WGS</t>
        </is>
      </c>
      <c r="C38" s="9" t="inlineStr">
        <is>
          <t>-</t>
        </is>
      </c>
      <c r="D38" s="73" t="inlineStr">
        <is>
          <t>-</t>
        </is>
      </c>
      <c r="E38" s="39" t="inlineStr">
        <is>
          <t>-</t>
        </is>
      </c>
    </row>
    <row r="39">
      <c r="B39" s="9" t="inlineStr">
        <is>
          <t>COOL1</t>
        </is>
      </c>
      <c r="C39" s="9" t="inlineStr">
        <is>
          <t>-</t>
        </is>
      </c>
      <c r="D39" s="72" t="n">
        <v>-12272.0901</v>
      </c>
      <c r="E39" s="39">
        <f>D39*IF(D39&gt;0,$C$55,$C$54)*$C$52</f>
        <v/>
      </c>
    </row>
    <row r="40">
      <c r="B40" s="9" t="inlineStr">
        <is>
          <t>DRUM</t>
        </is>
      </c>
      <c r="C40" s="9" t="inlineStr">
        <is>
          <t>-</t>
        </is>
      </c>
      <c r="D40" s="73" t="inlineStr">
        <is>
          <t>-</t>
        </is>
      </c>
      <c r="E40" s="39" t="inlineStr">
        <is>
          <t>-</t>
        </is>
      </c>
    </row>
    <row r="41">
      <c r="B41" s="9" t="inlineStr">
        <is>
          <t>PSA</t>
        </is>
      </c>
      <c r="C41" s="9" t="inlineStr">
        <is>
          <t>-</t>
        </is>
      </c>
      <c r="D41" s="72" t="n">
        <v>-58.7324119</v>
      </c>
      <c r="E41" s="39">
        <f>D41*IF(D41&gt;0,$C$55,$C$54)*$C$52</f>
        <v/>
      </c>
    </row>
    <row r="42">
      <c r="B42" s="9" t="inlineStr">
        <is>
          <t>VALVE1</t>
        </is>
      </c>
      <c r="C42" s="9" t="inlineStr">
        <is>
          <t>-</t>
        </is>
      </c>
      <c r="D42" s="73" t="inlineStr">
        <is>
          <t>-</t>
        </is>
      </c>
      <c r="E42" s="39" t="inlineStr">
        <is>
          <t>-</t>
        </is>
      </c>
    </row>
    <row r="43">
      <c r="B43" s="9" t="inlineStr">
        <is>
          <t>VALVE2</t>
        </is>
      </c>
      <c r="C43" s="9" t="inlineStr">
        <is>
          <t>-</t>
        </is>
      </c>
      <c r="D43" s="73" t="inlineStr">
        <is>
          <t>-</t>
        </is>
      </c>
      <c r="E43" s="39" t="inlineStr">
        <is>
          <t>-</t>
        </is>
      </c>
    </row>
    <row r="44">
      <c r="B44" s="9" t="inlineStr">
        <is>
          <t>HEAT2</t>
        </is>
      </c>
      <c r="C44" s="9" t="inlineStr">
        <is>
          <t>-</t>
        </is>
      </c>
      <c r="D44" s="72" t="n">
        <v>93.237635</v>
      </c>
      <c r="E44" s="39">
        <f>D44*IF(D44&gt;0,$C$55,$C$54)*$C$52</f>
        <v/>
      </c>
    </row>
    <row r="45">
      <c r="B45" s="9" t="inlineStr">
        <is>
          <t>VSA</t>
        </is>
      </c>
      <c r="C45" s="9" t="inlineStr">
        <is>
          <t>-</t>
        </is>
      </c>
      <c r="D45" s="75" t="inlineStr">
        <is>
          <t>-</t>
        </is>
      </c>
      <c r="E45" s="39" t="inlineStr">
        <is>
          <t>-</t>
        </is>
      </c>
    </row>
    <row r="46" ht="17.25" customHeight="1" s="38" thickBot="1">
      <c r="B46" s="10" t="inlineStr">
        <is>
          <t>VALVE3</t>
        </is>
      </c>
      <c r="C46" s="10" t="inlineStr">
        <is>
          <t>-</t>
        </is>
      </c>
      <c r="D46" s="66" t="inlineStr">
        <is>
          <t>-</t>
        </is>
      </c>
      <c r="E46" s="39" t="inlineStr">
        <is>
          <t>-</t>
        </is>
      </c>
    </row>
    <row r="47" ht="17.25" customHeight="1" s="38" thickBot="1">
      <c r="B47" s="6" t="inlineStr">
        <is>
          <t>Total</t>
        </is>
      </c>
      <c r="C47" s="76">
        <f>SUM(C30:C46)</f>
        <v/>
      </c>
      <c r="D47" s="41" t="n"/>
      <c r="E47" s="58">
        <f>SUM(E30:E46)</f>
        <v/>
      </c>
    </row>
    <row r="51" ht="17.25" customHeight="1" s="38" thickBot="1"/>
    <row r="52" ht="17.25" customHeight="1" s="38" thickBot="1">
      <c r="B52" s="8" t="inlineStr">
        <is>
          <t>Annual operating hours [sec/yr]</t>
        </is>
      </c>
      <c r="C52" s="3">
        <f>8500*3600</f>
        <v/>
      </c>
      <c r="D52" s="6" t="n">
        <v>8500</v>
      </c>
    </row>
    <row r="53">
      <c r="B53" s="46" t="inlineStr">
        <is>
          <t>Electricity cost [$/kWh]</t>
        </is>
      </c>
      <c r="C53" s="60">
        <f>Revenue!O14</f>
        <v/>
      </c>
    </row>
    <row r="54">
      <c r="A54" s="11" t="inlineStr">
        <is>
          <t>-</t>
        </is>
      </c>
      <c r="B54" s="46" t="inlineStr">
        <is>
          <t>Cooling price [$/cal]</t>
        </is>
      </c>
      <c r="C54" s="82">
        <f>Revenue!O15*(-1)</f>
        <v/>
      </c>
    </row>
    <row r="55" ht="17.25" customHeight="1" s="38" thickBot="1">
      <c r="A55" s="11" t="inlineStr">
        <is>
          <t>+</t>
        </is>
      </c>
      <c r="B55" s="47" t="inlineStr">
        <is>
          <t>Heating price [$/cal]</t>
        </is>
      </c>
      <c r="C55" s="83">
        <f>Revenue!O16</f>
        <v/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34"/>
  <sheetViews>
    <sheetView zoomScale="85" zoomScaleNormal="85" workbookViewId="0">
      <selection activeCell="K25" sqref="K25"/>
    </sheetView>
  </sheetViews>
  <sheetFormatPr baseColWidth="8" defaultRowHeight="17.4"/>
  <cols>
    <col width="55.8984375" bestFit="1" customWidth="1" style="38" min="2" max="2"/>
    <col width="7.8984375" bestFit="1" customWidth="1" style="38" min="4" max="4"/>
    <col width="16.59765625" bestFit="1" customWidth="1" style="38" min="5" max="5"/>
    <col width="46.69921875" bestFit="1" customWidth="1" style="38" min="9" max="9"/>
    <col width="18.3984375" bestFit="1" customWidth="1" style="38" min="10" max="10"/>
    <col width="14.19921875" bestFit="1" customWidth="1" style="38" min="11" max="11"/>
  </cols>
  <sheetData>
    <row r="3" ht="17.25" customHeight="1" s="38" thickBot="1">
      <c r="B3" s="12" t="inlineStr">
        <is>
          <t>EAC (B.P)</t>
        </is>
      </c>
      <c r="C3" s="13" t="n"/>
      <c r="D3" s="13" t="n"/>
      <c r="E3" s="13" t="n"/>
      <c r="I3" s="87" t="inlineStr">
        <is>
          <t>TPC (BP)</t>
        </is>
      </c>
      <c r="J3" s="88" t="n"/>
      <c r="K3" s="88" t="n"/>
    </row>
    <row r="4" ht="17.25" customHeight="1" s="38" thickBot="1">
      <c r="B4" s="89" t="inlineStr">
        <is>
          <t xml:space="preserve">Classification </t>
        </is>
      </c>
      <c r="C4" s="90" t="inlineStr">
        <is>
          <t>% of FCI</t>
        </is>
      </c>
      <c r="D4" s="91" t="inlineStr">
        <is>
          <t xml:space="preserve">Used </t>
        </is>
      </c>
      <c r="E4" s="92" t="inlineStr">
        <is>
          <t>Value</t>
        </is>
      </c>
      <c r="I4" s="89" t="inlineStr">
        <is>
          <t>Classification</t>
        </is>
      </c>
      <c r="J4" s="93" t="inlineStr">
        <is>
          <t>Range</t>
        </is>
      </c>
      <c r="K4" s="30" t="inlineStr">
        <is>
          <t>Value</t>
        </is>
      </c>
    </row>
    <row r="5">
      <c r="B5" s="94" t="inlineStr">
        <is>
          <t>Direct cost</t>
        </is>
      </c>
      <c r="C5" s="95" t="n"/>
      <c r="D5" s="88" t="n"/>
      <c r="E5" s="96" t="n"/>
      <c r="I5" s="97" t="inlineStr">
        <is>
          <t>Fixed charge(FC) = FCI * 0.08</t>
        </is>
      </c>
      <c r="J5" s="98" t="n"/>
      <c r="K5" s="99" t="n"/>
    </row>
    <row r="6">
      <c r="B6" s="94" t="inlineStr">
        <is>
          <t>ISBL (Inside battery limit, 전체공사구역 중 주 공정시설)</t>
        </is>
      </c>
      <c r="C6" s="95" t="n"/>
      <c r="D6" s="88" t="n"/>
      <c r="E6" s="100" t="n"/>
      <c r="I6" s="95" t="inlineStr">
        <is>
          <t>Local taxes, Insurance</t>
        </is>
      </c>
      <c r="J6" s="101" t="inlineStr">
        <is>
          <t>8% of FCI</t>
        </is>
      </c>
      <c r="K6" s="102">
        <f>SUM(E29*0.01)</f>
        <v/>
      </c>
    </row>
    <row r="7">
      <c r="B7" s="100" t="inlineStr">
        <is>
          <t xml:space="preserve">Equipment cost &lt;&lt; 직접 구하길 </t>
        </is>
      </c>
      <c r="C7" s="95" t="inlineStr">
        <is>
          <t>20-40</t>
        </is>
      </c>
      <c r="D7" s="103" t="n">
        <v>30</v>
      </c>
      <c r="E7" s="104">
        <f>SMR!I22</f>
        <v/>
      </c>
      <c r="I7" s="105" t="inlineStr">
        <is>
          <t>Direct production cost (DPC)</t>
        </is>
      </c>
      <c r="J7" s="106" t="n"/>
      <c r="K7" s="102" t="n"/>
    </row>
    <row r="8">
      <c r="B8" s="100" t="inlineStr">
        <is>
          <t>Installation of equipment = FCI * 0.1</t>
        </is>
      </c>
      <c r="C8" s="95" t="inlineStr">
        <is>
          <t>7.3-26</t>
        </is>
      </c>
      <c r="D8" s="88" t="n">
        <v>10</v>
      </c>
      <c r="E8" s="100">
        <f>SUM(E29*0.1)</f>
        <v/>
      </c>
      <c r="I8" s="107" t="inlineStr">
        <is>
          <t>Carbon tax</t>
        </is>
      </c>
      <c r="J8" s="106" t="inlineStr">
        <is>
          <t>-</t>
        </is>
      </c>
      <c r="K8" s="108" t="inlineStr">
        <is>
          <t>-</t>
        </is>
      </c>
    </row>
    <row r="9">
      <c r="B9" s="100" t="inlineStr">
        <is>
          <t>Instrument and control = FCI * 0.05</t>
        </is>
      </c>
      <c r="C9" s="95" t="inlineStr">
        <is>
          <t>2.5-7.0</t>
        </is>
      </c>
      <c r="D9" s="88" t="n">
        <v>5</v>
      </c>
      <c r="E9" s="100">
        <f>SUM(E29*0.05)</f>
        <v/>
      </c>
      <c r="I9" s="106" t="inlineStr">
        <is>
          <t xml:space="preserve">Raw materials </t>
        </is>
      </c>
      <c r="J9" s="106" t="inlineStr">
        <is>
          <t>-</t>
        </is>
      </c>
      <c r="K9" s="109" t="inlineStr">
        <is>
          <t>-</t>
        </is>
      </c>
    </row>
    <row r="10">
      <c r="B10" s="100" t="inlineStr">
        <is>
          <t>Piping = FCI * 0.1</t>
        </is>
      </c>
      <c r="C10" s="95" t="inlineStr">
        <is>
          <t>3.0-15</t>
        </is>
      </c>
      <c r="D10" s="88" t="n">
        <v>10</v>
      </c>
      <c r="E10" s="100">
        <f>SUM(E29*0.1)</f>
        <v/>
      </c>
      <c r="I10" s="106" t="inlineStr">
        <is>
          <t>Membrane replacement cost</t>
        </is>
      </c>
      <c r="J10" s="106" t="n"/>
      <c r="K10" s="110" t="inlineStr">
        <is>
          <t>-</t>
        </is>
      </c>
    </row>
    <row r="11">
      <c r="B11" s="100" t="inlineStr">
        <is>
          <t>Electrical = FCI * 0.05</t>
        </is>
      </c>
      <c r="C11" s="95" t="inlineStr">
        <is>
          <t>2.5-9.0</t>
        </is>
      </c>
      <c r="D11" s="88" t="n">
        <v>5</v>
      </c>
      <c r="E11" s="100">
        <f>SUM(E29*0.05)</f>
        <v/>
      </c>
      <c r="I11" s="106" t="inlineStr">
        <is>
          <t>Electricity</t>
        </is>
      </c>
      <c r="J11" s="106" t="inlineStr">
        <is>
          <t>$0.06/kWh</t>
        </is>
      </c>
      <c r="K11" s="111">
        <f>SMR!E47</f>
        <v/>
      </c>
    </row>
    <row r="12">
      <c r="B12" s="100" t="n"/>
      <c r="C12" s="95" t="n"/>
      <c r="D12" s="88" t="n"/>
      <c r="E12" s="100" t="n"/>
      <c r="I12" s="95" t="inlineStr">
        <is>
          <t>Matinenenance (M) = FC * 0.08</t>
        </is>
      </c>
      <c r="J12" s="112" t="inlineStr">
        <is>
          <t>8% of FCI</t>
        </is>
      </c>
      <c r="K12" s="113">
        <f>SUM(K6*0.04)</f>
        <v/>
      </c>
    </row>
    <row r="13">
      <c r="B13" s="94" t="inlineStr">
        <is>
          <t>OSBL(Outside bettery limit,주공정시설 외 부대시설)</t>
        </is>
      </c>
      <c r="C13" s="95" t="n"/>
      <c r="D13" s="88" t="n"/>
      <c r="E13" s="100" t="n"/>
      <c r="I13" s="95" t="inlineStr">
        <is>
          <t>Operating labor (OL) = TPC * 0.15</t>
        </is>
      </c>
      <c r="J13" s="106" t="inlineStr">
        <is>
          <t>15% of OPEX</t>
        </is>
      </c>
      <c r="K13" s="102">
        <f>SUM(K25*0.15)</f>
        <v/>
      </c>
    </row>
    <row r="14">
      <c r="B14" s="100" t="inlineStr">
        <is>
          <t>Building and building services = FCI * 0.08</t>
        </is>
      </c>
      <c r="C14" s="95" t="inlineStr">
        <is>
          <t>6.0-20</t>
        </is>
      </c>
      <c r="D14" s="88" t="n">
        <v>8</v>
      </c>
      <c r="E14" s="100">
        <f>SUM(E29*0.08)</f>
        <v/>
      </c>
      <c r="I14" s="95" t="inlineStr">
        <is>
          <t>Supervision and support labor (S) = labor * 0.3</t>
        </is>
      </c>
      <c r="J14" s="106" t="inlineStr">
        <is>
          <t>30% of OL</t>
        </is>
      </c>
      <c r="K14" s="102">
        <f>SUM(K13*0.3)</f>
        <v/>
      </c>
    </row>
    <row r="15">
      <c r="B15" s="100" t="inlineStr">
        <is>
          <t>Yard improvements = FCI * 0.02</t>
        </is>
      </c>
      <c r="C15" s="95" t="inlineStr">
        <is>
          <t>1.5-5.0</t>
        </is>
      </c>
      <c r="D15" s="88" t="n">
        <v>2</v>
      </c>
      <c r="E15" s="100">
        <f>SUM(E29*0.02)</f>
        <v/>
      </c>
      <c r="I15" s="95" t="inlineStr">
        <is>
          <t>Operating supplies = maintenance * 0.15</t>
        </is>
      </c>
      <c r="J15" s="106" t="inlineStr">
        <is>
          <t>15% of M</t>
        </is>
      </c>
      <c r="K15" s="102">
        <f>SUM(K12*0.15)</f>
        <v/>
      </c>
    </row>
    <row r="16">
      <c r="B16" s="100" t="inlineStr">
        <is>
          <t>Services facilities = FCI * 0.08</t>
        </is>
      </c>
      <c r="C16" s="95" t="inlineStr">
        <is>
          <t>8.0-35</t>
        </is>
      </c>
      <c r="D16" s="88" t="n">
        <v>8</v>
      </c>
      <c r="E16" s="100">
        <f>SUM(E29*0.08)</f>
        <v/>
      </c>
      <c r="I16" s="95" t="inlineStr">
        <is>
          <t>Laboratory charges = labor * 0.15</t>
        </is>
      </c>
      <c r="J16" s="106" t="inlineStr">
        <is>
          <t>15% of OL</t>
        </is>
      </c>
      <c r="K16" s="102">
        <f>SUM(K13*0.15)</f>
        <v/>
      </c>
    </row>
    <row r="17">
      <c r="B17" s="100" t="inlineStr">
        <is>
          <t>Land = FCI * 0.02</t>
        </is>
      </c>
      <c r="C17" s="95" t="inlineStr">
        <is>
          <t>1.0-2.0</t>
        </is>
      </c>
      <c r="D17" s="88" t="n">
        <v>2</v>
      </c>
      <c r="E17" s="100">
        <f>SUM(E29*0.02)</f>
        <v/>
      </c>
      <c r="I17" s="95" t="n"/>
      <c r="J17" s="106" t="n"/>
      <c r="K17" s="102" t="n"/>
    </row>
    <row r="18">
      <c r="B18" s="100" t="n"/>
      <c r="C18" s="95" t="n"/>
      <c r="D18" s="88" t="n"/>
      <c r="E18" s="100" t="n"/>
      <c r="I18" s="105" t="inlineStr">
        <is>
          <t>Plant overhead cost(OVHD)</t>
        </is>
      </c>
      <c r="J18" s="106" t="inlineStr">
        <is>
          <t>60% of M+OL+S</t>
        </is>
      </c>
      <c r="K18" s="102">
        <f>SUM(0.6*K29)</f>
        <v/>
      </c>
    </row>
    <row r="19">
      <c r="B19" s="94" t="inlineStr">
        <is>
          <t>Total direct cost = FCI * 0.5 + Equipment cost</t>
        </is>
      </c>
      <c r="C19" s="95" t="n"/>
      <c r="D19" s="88" t="n"/>
      <c r="E19" s="100">
        <f>SUM(E7:E17)</f>
        <v/>
      </c>
      <c r="I19" s="95" t="n"/>
      <c r="J19" s="106" t="n"/>
      <c r="K19" s="102" t="n"/>
    </row>
    <row r="20">
      <c r="B20" s="100" t="n"/>
      <c r="C20" s="95" t="n"/>
      <c r="D20" s="88" t="n"/>
      <c r="E20" s="100" t="n"/>
      <c r="I20" s="105" t="inlineStr">
        <is>
          <t>General expenses</t>
        </is>
      </c>
      <c r="J20" s="106" t="n"/>
      <c r="K20" s="102" t="n"/>
    </row>
    <row r="21">
      <c r="B21" s="94" t="inlineStr">
        <is>
          <t>Indirect cost</t>
        </is>
      </c>
      <c r="C21" s="95" t="n"/>
      <c r="D21" s="88" t="n"/>
      <c r="E21" s="100" t="n"/>
      <c r="I21" s="95" t="inlineStr">
        <is>
          <t xml:space="preserve">Admistrative cost </t>
        </is>
      </c>
      <c r="J21" s="106" t="inlineStr">
        <is>
          <t>17.5% of OL</t>
        </is>
      </c>
      <c r="K21" s="102">
        <f>SUM(K13*0.175)</f>
        <v/>
      </c>
    </row>
    <row r="22">
      <c r="B22" s="100" t="inlineStr">
        <is>
          <t>Engineering = FCI * 0.05</t>
        </is>
      </c>
      <c r="C22" s="95" t="inlineStr">
        <is>
          <t>4.0-21</t>
        </is>
      </c>
      <c r="D22" s="88" t="n">
        <v>5</v>
      </c>
      <c r="E22" s="100">
        <f>SUM(E29*0.05)</f>
        <v/>
      </c>
      <c r="I22" s="114" t="inlineStr">
        <is>
          <t>Distribution and marketing</t>
        </is>
      </c>
      <c r="J22" s="106" t="inlineStr">
        <is>
          <t>11% of OPEX</t>
        </is>
      </c>
      <c r="K22" s="102">
        <f>SUM(K25*0.11)</f>
        <v/>
      </c>
    </row>
    <row r="23">
      <c r="B23" s="100" t="inlineStr">
        <is>
          <t>Construction expenses = FCI * 0.05</t>
        </is>
      </c>
      <c r="C23" s="95" t="inlineStr">
        <is>
          <t>4.8-22</t>
        </is>
      </c>
      <c r="D23" s="88" t="n">
        <v>5</v>
      </c>
      <c r="E23" s="100">
        <f>SUM(E29*0.05)</f>
        <v/>
      </c>
      <c r="I23" s="95" t="inlineStr">
        <is>
          <t xml:space="preserve">R&amp;D cost </t>
        </is>
      </c>
      <c r="J23" s="114" t="inlineStr">
        <is>
          <t>3.5% of OPEX</t>
        </is>
      </c>
      <c r="K23" s="102">
        <f>SUM(K25*0.035)</f>
        <v/>
      </c>
    </row>
    <row r="24">
      <c r="B24" s="100" t="inlineStr">
        <is>
          <t>Contractor's fee = FCI * 0.05</t>
        </is>
      </c>
      <c r="C24" s="95" t="inlineStr">
        <is>
          <t>1.5-5.0</t>
        </is>
      </c>
      <c r="D24" s="88" t="n">
        <v>5</v>
      </c>
      <c r="E24" s="100">
        <f>SUM(E29*0.05)</f>
        <v/>
      </c>
      <c r="I24" s="95" t="n"/>
      <c r="J24" s="114" t="n"/>
      <c r="K24" s="102" t="n"/>
    </row>
    <row r="25" ht="17.25" customHeight="1" s="38" thickBot="1">
      <c r="B25" s="100" t="inlineStr">
        <is>
          <t>Contingency = FCI * 0.05</t>
        </is>
      </c>
      <c r="C25" s="95" t="inlineStr">
        <is>
          <t>5.0-20</t>
        </is>
      </c>
      <c r="D25" s="88" t="n">
        <v>5</v>
      </c>
      <c r="E25" s="100">
        <f>SUM(E29*0.05)</f>
        <v/>
      </c>
      <c r="I25" s="115" t="inlineStr">
        <is>
          <t>TPC</t>
        </is>
      </c>
      <c r="J25" s="115" t="n"/>
      <c r="K25" s="116">
        <f>SUM(K27/0.49425)</f>
        <v/>
      </c>
    </row>
    <row r="26">
      <c r="B26" s="100" t="n"/>
      <c r="C26" s="95" t="n"/>
      <c r="D26" s="88" t="n"/>
      <c r="E26" s="100" t="n"/>
      <c r="I26" s="88" t="n"/>
      <c r="J26" s="88" t="n"/>
      <c r="K26" s="117" t="n"/>
    </row>
    <row r="27">
      <c r="B27" s="94" t="inlineStr">
        <is>
          <t>Total indirect cost = FCI * 0.2</t>
        </is>
      </c>
      <c r="C27" s="95" t="n"/>
      <c r="D27" s="88" t="n"/>
      <c r="E27" s="100">
        <f>SUM(E22:E25)</f>
        <v/>
      </c>
      <c r="I27" s="88" t="n"/>
      <c r="J27" s="88" t="n"/>
      <c r="K27" s="117">
        <f>SUM(K6:K12,K15,0.6*K12)</f>
        <v/>
      </c>
    </row>
    <row r="28">
      <c r="B28" s="100" t="n"/>
      <c r="C28" s="95" t="n"/>
      <c r="D28" s="88" t="n"/>
      <c r="E28" s="100" t="n"/>
      <c r="I28" s="13" t="n"/>
      <c r="J28" s="13" t="n"/>
      <c r="K28" s="117" t="n"/>
    </row>
    <row r="29">
      <c r="B29" s="100" t="inlineStr">
        <is>
          <t>Fixed capital investment (FCI)</t>
        </is>
      </c>
      <c r="C29" s="95" t="n">
        <v>100</v>
      </c>
      <c r="D29" s="88" t="n">
        <v>100</v>
      </c>
      <c r="E29" s="100">
        <f>SUM(E7*100/D7)</f>
        <v/>
      </c>
      <c r="I29" s="13" t="n"/>
      <c r="J29" s="13" t="inlineStr">
        <is>
          <t>OVHD</t>
        </is>
      </c>
      <c r="K29" s="117">
        <f>(K12+K13+K14)</f>
        <v/>
      </c>
    </row>
    <row r="30">
      <c r="B30" s="100" t="inlineStr">
        <is>
          <t>Start up cost (SUC)  = FCI * 0.2</t>
        </is>
      </c>
      <c r="C30" s="95" t="n">
        <v>20</v>
      </c>
      <c r="D30" s="103" t="n">
        <v>20</v>
      </c>
      <c r="E30" s="100">
        <f>SUM(E29*0.2)</f>
        <v/>
      </c>
      <c r="K30" s="118">
        <f>SUM(K6:K23)</f>
        <v/>
      </c>
    </row>
    <row r="31">
      <c r="B31" s="100" t="inlineStr">
        <is>
          <t>Working capital investment (WCI)  = FCI * 0.2</t>
        </is>
      </c>
      <c r="C31" s="95" t="n">
        <v>20</v>
      </c>
      <c r="D31" s="103" t="n">
        <v>20</v>
      </c>
      <c r="E31" s="100">
        <f>SUM(E29*0.2)</f>
        <v/>
      </c>
    </row>
    <row r="32">
      <c r="B32" s="100" t="n"/>
      <c r="C32" s="95" t="n"/>
      <c r="D32" s="88" t="n"/>
      <c r="E32" s="100" t="n"/>
    </row>
    <row r="33">
      <c r="B33" s="94" t="inlineStr">
        <is>
          <t>TCI</t>
        </is>
      </c>
      <c r="C33" s="105" t="inlineStr">
        <is>
          <t>NPV</t>
        </is>
      </c>
      <c r="D33" s="87" t="n"/>
      <c r="E33" s="94">
        <f>SUM(E29:E31)</f>
        <v/>
      </c>
    </row>
    <row r="34" ht="17.25" customHeight="1" s="38" thickBot="1">
      <c r="B34" s="119" t="inlineStr">
        <is>
          <t>EAC (r=7%, t=25 year)    RP=r, NP=t</t>
        </is>
      </c>
      <c r="C34" s="115" t="inlineStr">
        <is>
          <t>EAC</t>
        </is>
      </c>
      <c r="D34" s="120" t="n"/>
      <c r="E34" s="119">
        <f>SUM(E33/((1-(1/((1.05)^25)))/0.07))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O16"/>
  <sheetViews>
    <sheetView workbookViewId="0">
      <selection activeCell="C35" sqref="C35"/>
    </sheetView>
  </sheetViews>
  <sheetFormatPr baseColWidth="8" defaultRowHeight="17.4"/>
  <cols>
    <col width="23" customWidth="1" style="38" min="3" max="3"/>
    <col width="16" customWidth="1" style="38" min="4" max="4"/>
    <col width="14.19921875" bestFit="1" customWidth="1" style="38" min="5" max="5"/>
    <col width="26.59765625" customWidth="1" style="38" min="14" max="14"/>
  </cols>
  <sheetData>
    <row r="1" ht="18" customHeight="1" s="38" thickBot="1"/>
    <row r="2" ht="18" customHeight="1" s="38" thickBot="1">
      <c r="B2" s="2" t="inlineStr">
        <is>
          <t>Product</t>
        </is>
      </c>
      <c r="C2" s="7" t="inlineStr">
        <is>
          <t>Flow rate [kg/h]</t>
        </is>
      </c>
      <c r="D2" s="7" t="inlineStr">
        <is>
          <t>Cost [USD/kg]</t>
        </is>
      </c>
      <c r="E2" s="3" t="inlineStr">
        <is>
          <t>Revenue [$/yr]</t>
        </is>
      </c>
    </row>
    <row r="3" ht="18" customHeight="1" s="38" thickBot="1">
      <c r="B3" s="78" t="inlineStr">
        <is>
          <t>H2</t>
        </is>
      </c>
      <c r="C3" s="40" t="n">
        <v>13.3052945</v>
      </c>
      <c r="D3" s="40">
        <f>O5</f>
        <v/>
      </c>
      <c r="E3" s="121">
        <f>C3*D3*SMR!D52</f>
        <v/>
      </c>
    </row>
    <row r="4">
      <c r="N4" s="0" t="inlineStr">
        <is>
          <t>Selling price</t>
        </is>
      </c>
    </row>
    <row r="5">
      <c r="N5" s="0" t="inlineStr">
        <is>
          <t>H2 [USD/kg]</t>
        </is>
      </c>
      <c r="O5" s="0" t="n">
        <v>1.6</v>
      </c>
    </row>
    <row r="6">
      <c r="N6" s="0" t="inlineStr">
        <is>
          <t>CH4 [USD/kg]</t>
        </is>
      </c>
      <c r="O6" s="0" t="n">
        <v>0.636</v>
      </c>
    </row>
    <row r="7">
      <c r="N7" s="0" t="inlineStr">
        <is>
          <t>C2H6,C2H4 [USD/kg]</t>
        </is>
      </c>
      <c r="O7" s="0" t="n">
        <v>0.5600000000000001</v>
      </c>
    </row>
    <row r="8">
      <c r="N8" s="0" t="inlineStr">
        <is>
          <t>C4~C9 (납사) [USD/kg]</t>
        </is>
      </c>
      <c r="O8" s="0" t="n">
        <v>0.7</v>
      </c>
    </row>
    <row r="9">
      <c r="N9" s="0" t="inlineStr">
        <is>
          <t>C10~C16 (디젤) [USD/kg]</t>
        </is>
      </c>
      <c r="O9" s="0" t="n">
        <v>1.457142857</v>
      </c>
    </row>
    <row r="10">
      <c r="N10" s="0" t="inlineStr">
        <is>
          <t>CaCO3 [USD/kg]</t>
        </is>
      </c>
      <c r="O10" s="0" t="n">
        <v>0.37</v>
      </c>
    </row>
    <row r="11">
      <c r="N11" s="0" t="inlineStr">
        <is>
          <t>MgCO3 [USD/kg]</t>
        </is>
      </c>
      <c r="O11" s="80" t="n">
        <v>0.7</v>
      </c>
    </row>
    <row r="12">
      <c r="N12" s="0" t="inlineStr">
        <is>
          <t>Gypsum [USD/kg]</t>
        </is>
      </c>
      <c r="O12" s="80" t="n">
        <v>0.5</v>
      </c>
    </row>
    <row r="13">
      <c r="N13" s="0" t="inlineStr">
        <is>
          <t>HCL [USD/kg]</t>
        </is>
      </c>
      <c r="O13" s="80" t="n">
        <v>15000</v>
      </c>
    </row>
    <row r="14">
      <c r="N14" s="0" t="inlineStr">
        <is>
          <t>Electricity [USD/kWh]</t>
        </is>
      </c>
      <c r="O14" s="0" t="n">
        <v>0.18</v>
      </c>
    </row>
    <row r="15">
      <c r="N15" s="0" t="inlineStr">
        <is>
          <t>Cooling price [USD/cal]</t>
        </is>
      </c>
      <c r="O15" s="81" t="n">
        <v>2.92e-07</v>
      </c>
    </row>
    <row r="16">
      <c r="N16" s="0" t="inlineStr">
        <is>
          <t>Heating price [USD/cal]</t>
        </is>
      </c>
      <c r="O16" s="81" t="n">
        <v>2.92e-07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PSID_17</dc:creator>
  <dcterms:created xsi:type="dcterms:W3CDTF">2023-07-27T05:08:20Z</dcterms:created>
  <dcterms:modified xsi:type="dcterms:W3CDTF">2023-12-12T16:11:14Z</dcterms:modified>
  <cp:lastModifiedBy>PSID_PC22</cp:lastModifiedBy>
</cp:coreProperties>
</file>