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380" yWindow="1020" windowWidth="20916" windowHeight="11772" tabRatio="600" firstSheet="0" activeTab="2" autoFilterDateGrouping="1"/>
  </bookViews>
  <sheets>
    <sheet name="SMRCCU" sheetId="1" state="visible" r:id="rId1"/>
    <sheet name="SMRCCU EAC&amp;TPC" sheetId="2" state="visible" r:id="rId2"/>
    <sheet name="Revenue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.00_-;\-* #,##0.00_-;_-* &quot;-&quot;_-;_-@_-"/>
  </numFmts>
  <fonts count="1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rgb="FFFF0000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Arial"/>
      <family val="2"/>
      <color theme="1"/>
      <sz val="11"/>
    </font>
    <font>
      <name val="맑은 고딕"/>
      <charset val="129"/>
      <family val="2"/>
      <sz val="11"/>
      <scheme val="minor"/>
    </font>
    <font>
      <name val="맑은 고딕"/>
      <family val="2"/>
      <color rgb="FFFF0000"/>
      <sz val="11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10"/>
      <scheme val="minor"/>
    </font>
    <font>
      <name val="맑은 고딕"/>
      <family val="2"/>
      <color theme="0" tint="-0.249977111117893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1" fillId="0" borderId="0" applyAlignment="1">
      <alignment vertical="center"/>
    </xf>
    <xf numFmtId="41" fontId="1" fillId="0" borderId="0" applyAlignment="1">
      <alignment vertical="center"/>
    </xf>
  </cellStyleXfs>
  <cellXfs count="105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9" applyAlignment="1" pivotButton="0" quotePrefix="0" xfId="0">
      <alignment vertical="center"/>
    </xf>
    <xf numFmtId="0" fontId="5" fillId="0" borderId="9" pivotButton="0" quotePrefix="0" xfId="0"/>
    <xf numFmtId="0" fontId="0" fillId="0" borderId="10" applyAlignment="1" pivotButton="0" quotePrefix="0" xfId="0">
      <alignment vertical="center"/>
    </xf>
    <xf numFmtId="0" fontId="0" fillId="0" borderId="2" applyAlignment="1" pivotButton="0" quotePrefix="0" xfId="0">
      <alignment horizontal="right" vertical="center"/>
    </xf>
    <xf numFmtId="0" fontId="0" fillId="3" borderId="2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3" borderId="0" applyAlignment="1" pivotButton="0" quotePrefix="0" xfId="0">
      <alignment vertical="center"/>
    </xf>
    <xf numFmtId="0" fontId="0" fillId="0" borderId="12" applyAlignment="1" pivotButton="0" quotePrefix="0" xfId="0">
      <alignment vertical="center"/>
    </xf>
    <xf numFmtId="0" fontId="0" fillId="0" borderId="13" applyAlignment="1" pivotButton="0" quotePrefix="0" xfId="0">
      <alignment vertical="center"/>
    </xf>
    <xf numFmtId="0" fontId="0" fillId="4" borderId="14" applyAlignment="1" pivotButton="0" quotePrefix="0" xfId="0">
      <alignment vertical="center"/>
    </xf>
    <xf numFmtId="0" fontId="0" fillId="5" borderId="10" applyAlignment="1" pivotButton="0" quotePrefix="0" xfId="0">
      <alignment vertical="center"/>
    </xf>
    <xf numFmtId="0" fontId="6" fillId="0" borderId="11" applyAlignment="1" pivotButton="0" quotePrefix="0" xfId="0">
      <alignment vertical="center"/>
    </xf>
    <xf numFmtId="0" fontId="6" fillId="6" borderId="5" applyAlignment="1" pivotButton="0" quotePrefix="0" xfId="0">
      <alignment vertical="center"/>
    </xf>
    <xf numFmtId="0" fontId="0" fillId="7" borderId="12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0" fontId="0" fillId="8" borderId="9" applyAlignment="1" pivotButton="0" quotePrefix="0" xfId="0">
      <alignment vertical="center"/>
    </xf>
    <xf numFmtId="0" fontId="0" fillId="0" borderId="11" pivotButton="0" quotePrefix="0" xfId="0"/>
    <xf numFmtId="0" fontId="5" fillId="0" borderId="5" pivotButton="0" quotePrefix="0" xfId="0"/>
    <xf numFmtId="0" fontId="0" fillId="0" borderId="12" pivotButton="0" quotePrefix="0" xfId="0"/>
    <xf numFmtId="0" fontId="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64" fontId="4" fillId="0" borderId="0" applyAlignment="1" pivotButton="0" quotePrefix="0" xfId="1">
      <alignment horizontal="left"/>
    </xf>
    <xf numFmtId="164" fontId="0" fillId="0" borderId="0" applyAlignment="1" pivotButton="0" quotePrefix="0" xfId="1">
      <alignment horizontal="left"/>
    </xf>
    <xf numFmtId="164" fontId="0" fillId="0" borderId="9" applyAlignment="1" pivotButton="0" quotePrefix="0" xfId="1">
      <alignment horizontal="left"/>
    </xf>
    <xf numFmtId="164" fontId="0" fillId="0" borderId="15" applyAlignment="1" pivotButton="0" quotePrefix="0" xfId="1">
      <alignment horizontal="left"/>
    </xf>
    <xf numFmtId="164" fontId="0" fillId="0" borderId="13" applyAlignment="1" pivotButton="0" quotePrefix="0" xfId="1">
      <alignment horizontal="left"/>
    </xf>
    <xf numFmtId="164" fontId="0" fillId="0" borderId="9" applyAlignment="1" pivotButton="0" quotePrefix="0" xfId="1">
      <alignment horizontal="left" vertical="center"/>
    </xf>
    <xf numFmtId="164" fontId="0" fillId="0" borderId="2" applyAlignment="1" pivotButton="0" quotePrefix="0" xfId="1">
      <alignment horizontal="left"/>
    </xf>
    <xf numFmtId="0" fontId="0" fillId="0" borderId="9" applyAlignment="1" pivotButton="0" quotePrefix="0" xfId="1">
      <alignment horizontal="left" vertical="center"/>
    </xf>
    <xf numFmtId="164" fontId="4" fillId="0" borderId="11" applyAlignment="1" pivotButton="0" quotePrefix="0" xfId="1">
      <alignment horizontal="left"/>
    </xf>
    <xf numFmtId="164" fontId="0" fillId="0" borderId="4" applyAlignment="1" pivotButton="0" quotePrefix="0" xfId="1">
      <alignment horizontal="left"/>
    </xf>
    <xf numFmtId="164" fontId="0" fillId="0" borderId="10" applyAlignment="1" pivotButton="0" quotePrefix="0" xfId="1">
      <alignment horizontal="left"/>
    </xf>
    <xf numFmtId="164" fontId="4" fillId="0" borderId="1" applyAlignment="1" pivotButton="0" quotePrefix="0" xfId="1">
      <alignment horizontal="left"/>
    </xf>
    <xf numFmtId="164" fontId="0" fillId="0" borderId="1" applyAlignment="1" pivotButton="0" quotePrefix="0" xfId="1">
      <alignment horizontal="left"/>
    </xf>
    <xf numFmtId="165" fontId="0" fillId="0" borderId="10" applyAlignment="1" pivotButton="0" quotePrefix="0" xfId="1">
      <alignment horizontal="left"/>
    </xf>
    <xf numFmtId="164" fontId="0" fillId="0" borderId="11" applyAlignment="1" pivotButton="0" quotePrefix="0" xfId="1">
      <alignment horizontal="left"/>
    </xf>
    <xf numFmtId="164" fontId="7" fillId="0" borderId="4" applyAlignment="1" pivotButton="0" quotePrefix="0" xfId="1">
      <alignment horizontal="left"/>
    </xf>
    <xf numFmtId="165" fontId="0" fillId="0" borderId="11" applyAlignment="1" pivotButton="0" quotePrefix="0" xfId="1">
      <alignment horizontal="left"/>
    </xf>
    <xf numFmtId="164" fontId="7" fillId="0" borderId="0" applyAlignment="1" pivotButton="0" quotePrefix="0" xfId="1">
      <alignment horizontal="left"/>
    </xf>
    <xf numFmtId="164" fontId="0" fillId="4" borderId="11" applyAlignment="1" pivotButton="0" quotePrefix="0" xfId="1">
      <alignment horizontal="left"/>
    </xf>
    <xf numFmtId="164" fontId="4" fillId="0" borderId="4" applyAlignment="1" pivotButton="0" quotePrefix="0" xfId="1">
      <alignment horizontal="left"/>
    </xf>
    <xf numFmtId="164" fontId="8" fillId="0" borderId="4" applyAlignment="1" pivotButton="0" quotePrefix="0" xfId="1">
      <alignment horizontal="left"/>
    </xf>
    <xf numFmtId="164" fontId="6" fillId="0" borderId="4" applyAlignment="1" pivotButton="0" quotePrefix="0" xfId="1">
      <alignment horizontal="left"/>
    </xf>
    <xf numFmtId="165" fontId="6" fillId="0" borderId="11" applyAlignment="1" pivotButton="0" quotePrefix="0" xfId="1">
      <alignment horizontal="right"/>
    </xf>
    <xf numFmtId="165" fontId="8" fillId="0" borderId="11" applyAlignment="1" pivotButton="0" quotePrefix="0" xfId="1">
      <alignment horizontal="right"/>
    </xf>
    <xf numFmtId="165" fontId="8" fillId="7" borderId="11" applyAlignment="1" pivotButton="0" quotePrefix="0" xfId="1">
      <alignment horizontal="right" vertical="center" wrapText="1"/>
    </xf>
    <xf numFmtId="164" fontId="3" fillId="0" borderId="4" applyAlignment="1" pivotButton="0" quotePrefix="0" xfId="1">
      <alignment horizontal="left"/>
    </xf>
    <xf numFmtId="165" fontId="0" fillId="0" borderId="11" applyAlignment="1" pivotButton="0" quotePrefix="0" xfId="1">
      <alignment horizontal="left" vertical="top"/>
    </xf>
    <xf numFmtId="164" fontId="9" fillId="0" borderId="4" applyAlignment="1" pivotButton="0" quotePrefix="0" xfId="1">
      <alignment horizontal="left"/>
    </xf>
    <xf numFmtId="164" fontId="4" fillId="0" borderId="6" applyAlignment="1" pivotButton="0" quotePrefix="0" xfId="1">
      <alignment horizontal="left"/>
    </xf>
    <xf numFmtId="165" fontId="4" fillId="0" borderId="12" applyAlignment="1" pivotButton="0" quotePrefix="0" xfId="1">
      <alignment horizontal="left"/>
    </xf>
    <xf numFmtId="165" fontId="0" fillId="0" borderId="0" applyAlignment="1" pivotButton="0" quotePrefix="0" xfId="1">
      <alignment horizontal="left"/>
    </xf>
    <xf numFmtId="0" fontId="0" fillId="0" borderId="0" pivotButton="0" quotePrefix="0" xfId="0"/>
    <xf numFmtId="165" fontId="0" fillId="0" borderId="0" pivotButton="0" quotePrefix="0" xfId="0"/>
    <xf numFmtId="164" fontId="4" fillId="0" borderId="12" applyAlignment="1" pivotButton="0" quotePrefix="0" xfId="1">
      <alignment horizontal="left"/>
    </xf>
    <xf numFmtId="164" fontId="4" fillId="0" borderId="7" applyAlignment="1" pivotButton="0" quotePrefix="0" xfId="1">
      <alignment horizontal="left"/>
    </xf>
    <xf numFmtId="0" fontId="0" fillId="0" borderId="15" applyAlignment="1" pivotButton="0" quotePrefix="0" xfId="0">
      <alignment vertical="center"/>
    </xf>
    <xf numFmtId="165" fontId="0" fillId="2" borderId="14" applyAlignment="1" pivotButton="0" quotePrefix="0" xfId="1">
      <alignment vertical="center"/>
    </xf>
    <xf numFmtId="0" fontId="10" fillId="0" borderId="0" applyAlignment="1" pivotButton="0" quotePrefix="0" xfId="0">
      <alignment vertical="center"/>
    </xf>
    <xf numFmtId="0" fontId="11" fillId="0" borderId="0" pivotButton="0" quotePrefix="0" xfId="0"/>
    <xf numFmtId="11" fontId="11" fillId="0" borderId="0" pivotButton="0" quotePrefix="0" xfId="0"/>
    <xf numFmtId="11" fontId="0" fillId="0" borderId="5" pivotButton="0" quotePrefix="0" xfId="0"/>
    <xf numFmtId="11" fontId="0" fillId="0" borderId="8" pivotButton="0" quotePrefix="0" xfId="0"/>
    <xf numFmtId="164" fontId="4" fillId="0" borderId="0" applyAlignment="1" pivotButton="0" quotePrefix="0" xfId="1">
      <alignment horizontal="left"/>
    </xf>
    <xf numFmtId="164" fontId="0" fillId="0" borderId="0" applyAlignment="1" pivotButton="0" quotePrefix="0" xfId="1">
      <alignment horizontal="left"/>
    </xf>
    <xf numFmtId="164" fontId="0" fillId="0" borderId="9" applyAlignment="1" pivotButton="0" quotePrefix="0" xfId="1">
      <alignment horizontal="left"/>
    </xf>
    <xf numFmtId="164" fontId="0" fillId="0" borderId="15" applyAlignment="1" pivotButton="0" quotePrefix="0" xfId="1">
      <alignment horizontal="left"/>
    </xf>
    <xf numFmtId="164" fontId="0" fillId="0" borderId="13" applyAlignment="1" pivotButton="0" quotePrefix="0" xfId="1">
      <alignment horizontal="left"/>
    </xf>
    <xf numFmtId="164" fontId="0" fillId="0" borderId="9" applyAlignment="1" pivotButton="0" quotePrefix="0" xfId="1">
      <alignment horizontal="left" vertical="center"/>
    </xf>
    <xf numFmtId="164" fontId="0" fillId="0" borderId="2" applyAlignment="1" pivotButton="0" quotePrefix="0" xfId="1">
      <alignment horizontal="left"/>
    </xf>
    <xf numFmtId="164" fontId="4" fillId="0" borderId="11" applyAlignment="1" pivotButton="0" quotePrefix="0" xfId="1">
      <alignment horizontal="left"/>
    </xf>
    <xf numFmtId="164" fontId="0" fillId="0" borderId="4" applyAlignment="1" pivotButton="0" quotePrefix="0" xfId="1">
      <alignment horizontal="left"/>
    </xf>
    <xf numFmtId="164" fontId="0" fillId="0" borderId="10" applyAlignment="1" pivotButton="0" quotePrefix="0" xfId="1">
      <alignment horizontal="left"/>
    </xf>
    <xf numFmtId="164" fontId="4" fillId="0" borderId="1" applyAlignment="1" pivotButton="0" quotePrefix="0" xfId="1">
      <alignment horizontal="left"/>
    </xf>
    <xf numFmtId="164" fontId="0" fillId="0" borderId="1" applyAlignment="1" pivotButton="0" quotePrefix="0" xfId="1">
      <alignment horizontal="left"/>
    </xf>
    <xf numFmtId="165" fontId="0" fillId="0" borderId="10" applyAlignment="1" pivotButton="0" quotePrefix="0" xfId="1">
      <alignment horizontal="left"/>
    </xf>
    <xf numFmtId="164" fontId="0" fillId="0" borderId="11" applyAlignment="1" pivotButton="0" quotePrefix="0" xfId="1">
      <alignment horizontal="left"/>
    </xf>
    <xf numFmtId="164" fontId="7" fillId="0" borderId="4" applyAlignment="1" pivotButton="0" quotePrefix="0" xfId="1">
      <alignment horizontal="left"/>
    </xf>
    <xf numFmtId="165" fontId="0" fillId="0" borderId="11" applyAlignment="1" pivotButton="0" quotePrefix="0" xfId="1">
      <alignment horizontal="left"/>
    </xf>
    <xf numFmtId="164" fontId="7" fillId="0" borderId="0" applyAlignment="1" pivotButton="0" quotePrefix="0" xfId="1">
      <alignment horizontal="left"/>
    </xf>
    <xf numFmtId="164" fontId="0" fillId="4" borderId="11" applyAlignment="1" pivotButton="0" quotePrefix="0" xfId="1">
      <alignment horizontal="left"/>
    </xf>
    <xf numFmtId="164" fontId="4" fillId="0" borderId="4" applyAlignment="1" pivotButton="0" quotePrefix="0" xfId="1">
      <alignment horizontal="left"/>
    </xf>
    <xf numFmtId="164" fontId="8" fillId="0" borderId="4" applyAlignment="1" pivotButton="0" quotePrefix="0" xfId="1">
      <alignment horizontal="left"/>
    </xf>
    <xf numFmtId="164" fontId="6" fillId="0" borderId="4" applyAlignment="1" pivotButton="0" quotePrefix="0" xfId="1">
      <alignment horizontal="left"/>
    </xf>
    <xf numFmtId="165" fontId="6" fillId="0" borderId="11" applyAlignment="1" pivotButton="0" quotePrefix="0" xfId="1">
      <alignment horizontal="right"/>
    </xf>
    <xf numFmtId="165" fontId="8" fillId="0" borderId="11" applyAlignment="1" pivotButton="0" quotePrefix="0" xfId="1">
      <alignment horizontal="right"/>
    </xf>
    <xf numFmtId="165" fontId="8" fillId="7" borderId="11" applyAlignment="1" pivotButton="0" quotePrefix="0" xfId="1">
      <alignment horizontal="right" vertical="center" wrapText="1"/>
    </xf>
    <xf numFmtId="164" fontId="3" fillId="0" borderId="4" applyAlignment="1" pivotButton="0" quotePrefix="0" xfId="1">
      <alignment horizontal="left"/>
    </xf>
    <xf numFmtId="165" fontId="0" fillId="0" borderId="11" applyAlignment="1" pivotButton="0" quotePrefix="0" xfId="1">
      <alignment horizontal="left" vertical="top"/>
    </xf>
    <xf numFmtId="164" fontId="9" fillId="0" borderId="4" applyAlignment="1" pivotButton="0" quotePrefix="0" xfId="1">
      <alignment horizontal="left"/>
    </xf>
    <xf numFmtId="164" fontId="4" fillId="0" borderId="6" applyAlignment="1" pivotButton="0" quotePrefix="0" xfId="1">
      <alignment horizontal="left"/>
    </xf>
    <xf numFmtId="165" fontId="4" fillId="0" borderId="12" applyAlignment="1" pivotButton="0" quotePrefix="0" xfId="1">
      <alignment horizontal="left"/>
    </xf>
    <xf numFmtId="165" fontId="0" fillId="0" borderId="0" applyAlignment="1" pivotButton="0" quotePrefix="0" xfId="1">
      <alignment horizontal="left"/>
    </xf>
    <xf numFmtId="165" fontId="0" fillId="0" borderId="0" pivotButton="0" quotePrefix="0" xfId="0"/>
    <xf numFmtId="164" fontId="4" fillId="0" borderId="12" applyAlignment="1" pivotButton="0" quotePrefix="0" xfId="1">
      <alignment horizontal="left"/>
    </xf>
    <xf numFmtId="164" fontId="4" fillId="0" borderId="7" applyAlignment="1" pivotButton="0" quotePrefix="0" xfId="1">
      <alignment horizontal="left"/>
    </xf>
    <xf numFmtId="165" fontId="0" fillId="2" borderId="14" applyAlignment="1" pivotButton="0" quotePrefix="0" xfId="1">
      <alignment vertical="center"/>
    </xf>
  </cellXfs>
  <cellStyles count="2">
    <cellStyle name="표준" xfId="0" builtinId="0"/>
    <cellStyle name="쉼표 [0]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34"/>
  <sheetViews>
    <sheetView zoomScale="85" zoomScaleNormal="85" workbookViewId="0">
      <selection activeCell="G21" sqref="G21"/>
    </sheetView>
  </sheetViews>
  <sheetFormatPr baseColWidth="8" defaultRowHeight="17.4"/>
  <cols>
    <col width="29" bestFit="1" customWidth="1" style="60" min="2" max="2"/>
    <col width="27" bestFit="1" customWidth="1" style="60" min="3" max="3"/>
    <col width="24" bestFit="1" customWidth="1" style="60" min="4" max="4"/>
    <col width="21.59765625" bestFit="1" customWidth="1" style="60" min="5" max="5"/>
    <col width="14.59765625" customWidth="1" style="60" min="6" max="6"/>
    <col width="46.59765625" bestFit="1" customWidth="1" style="60" min="7" max="7"/>
    <col width="18.3984375" bestFit="1" customWidth="1" style="60" min="8" max="8"/>
    <col width="17.8984375" bestFit="1" customWidth="1" style="60" min="9" max="9"/>
    <col width="18.3984375" bestFit="1" customWidth="1" style="60" min="10" max="10"/>
    <col width="19.09765625" customWidth="1" style="60" min="11" max="12"/>
    <col width="20.59765625" customWidth="1" style="60" min="13" max="15"/>
  </cols>
  <sheetData>
    <row r="2">
      <c r="B2" s="6" t="inlineStr">
        <is>
          <t>Capex</t>
        </is>
      </c>
    </row>
    <row r="3" ht="18" customHeight="1" s="60" thickBot="1"/>
    <row r="4" ht="18" customHeight="1" s="60" thickBot="1">
      <c r="B4" s="7" t="inlineStr">
        <is>
          <t>Equipment</t>
        </is>
      </c>
      <c r="C4" s="8" t="inlineStr">
        <is>
          <t>Reference equpment cost ($)</t>
        </is>
      </c>
      <c r="D4" s="8" t="inlineStr">
        <is>
          <t xml:space="preserve">Scale paramter </t>
        </is>
      </c>
      <c r="E4" s="8" t="inlineStr">
        <is>
          <t>Refernece capacity</t>
        </is>
      </c>
      <c r="F4" s="8" t="inlineStr">
        <is>
          <t xml:space="preserve">Capacity </t>
        </is>
      </c>
      <c r="G4" s="8" t="inlineStr">
        <is>
          <t>Capacity correction factor</t>
        </is>
      </c>
      <c r="H4" s="8" t="inlineStr">
        <is>
          <t>Refernece year</t>
        </is>
      </c>
      <c r="I4" s="8" t="inlineStr">
        <is>
          <t>Equipment cost ($)</t>
        </is>
      </c>
    </row>
    <row r="5">
      <c r="B5" s="9" t="inlineStr">
        <is>
          <t>COMP2</t>
        </is>
      </c>
      <c r="C5" s="1" t="n">
        <v>15000</v>
      </c>
      <c r="D5" s="10" t="inlineStr">
        <is>
          <t>Power (Kw)</t>
        </is>
      </c>
      <c r="E5" s="2" t="n">
        <v>10</v>
      </c>
      <c r="F5" s="11" t="n">
        <v>2.086718358</v>
      </c>
      <c r="G5" s="2" t="n">
        <v>0.9</v>
      </c>
      <c r="H5" s="2" t="n">
        <v>2004</v>
      </c>
      <c r="I5" s="3">
        <f>C5*(F5/E5)^G5*(595.6/444.2)</f>
        <v/>
      </c>
    </row>
    <row r="6" ht="18" customHeight="1" s="60" thickBot="1">
      <c r="B6" s="12" t="inlineStr">
        <is>
          <t>COOL2</t>
        </is>
      </c>
      <c r="C6" s="4" t="n">
        <v>15500</v>
      </c>
      <c r="D6" s="13" t="inlineStr">
        <is>
          <t>Heat exchange area (m^2)</t>
        </is>
      </c>
      <c r="E6" s="0" t="n">
        <v>2</v>
      </c>
      <c r="F6" s="14" t="n">
        <v>0.136558565</v>
      </c>
      <c r="G6" s="0" t="n">
        <v>0.59</v>
      </c>
      <c r="H6" s="0" t="n">
        <v>2006</v>
      </c>
      <c r="I6" s="5">
        <f>C6*(F6/E6)^G6*(595.6/499.6)</f>
        <v/>
      </c>
    </row>
    <row r="7">
      <c r="B7" s="9" t="inlineStr">
        <is>
          <t>COMP3</t>
        </is>
      </c>
      <c r="C7" s="1" t="n">
        <v>15000</v>
      </c>
      <c r="D7" s="10" t="inlineStr">
        <is>
          <t>Power (Kw)</t>
        </is>
      </c>
      <c r="E7" s="2" t="n">
        <v>10</v>
      </c>
      <c r="F7" s="11" t="n">
        <v>2.033581206</v>
      </c>
      <c r="G7" s="2" t="n">
        <v>0.9</v>
      </c>
      <c r="H7" s="2" t="n">
        <v>2004</v>
      </c>
      <c r="I7" s="3">
        <f>C7*(F7/E7)^G7*(595.6/444.2)</f>
        <v/>
      </c>
    </row>
    <row r="8" ht="18" customHeight="1" s="60" thickBot="1">
      <c r="B8" s="12" t="inlineStr">
        <is>
          <t>COOL3</t>
        </is>
      </c>
      <c r="C8" s="4" t="n">
        <v>15500</v>
      </c>
      <c r="D8" s="13" t="inlineStr">
        <is>
          <t>Heat exchange area (m^2)</t>
        </is>
      </c>
      <c r="E8" s="0" t="n">
        <v>2</v>
      </c>
      <c r="F8" s="14" t="n">
        <v>0.146160247</v>
      </c>
      <c r="G8" s="0" t="n">
        <v>0.59</v>
      </c>
      <c r="H8" s="0" t="n">
        <v>2006</v>
      </c>
      <c r="I8" s="5">
        <f>C8*(F8/E8)^G8*(595.6/499.6)</f>
        <v/>
      </c>
    </row>
    <row r="9">
      <c r="B9" s="9" t="inlineStr">
        <is>
          <t>COMP4</t>
        </is>
      </c>
      <c r="C9" s="1" t="n">
        <v>15000</v>
      </c>
      <c r="D9" s="10" t="inlineStr">
        <is>
          <t>Power (Kw)</t>
        </is>
      </c>
      <c r="E9" s="2" t="n">
        <v>10</v>
      </c>
      <c r="F9" s="11" t="n">
        <v>1.860472123</v>
      </c>
      <c r="G9" s="2" t="n">
        <v>0.9</v>
      </c>
      <c r="H9" s="2" t="n">
        <v>2004</v>
      </c>
      <c r="I9" s="3">
        <f>C9*(F9/E9)^G9*(595.6/444.2)</f>
        <v/>
      </c>
    </row>
    <row r="10" ht="18" customHeight="1" s="60" thickBot="1">
      <c r="B10" s="12" t="inlineStr">
        <is>
          <t>COOL4</t>
        </is>
      </c>
      <c r="C10" s="4" t="n">
        <v>15500</v>
      </c>
      <c r="D10" s="13" t="inlineStr">
        <is>
          <t>Heat exchange area (m^2)</t>
        </is>
      </c>
      <c r="E10" s="0" t="n">
        <v>2</v>
      </c>
      <c r="F10" s="14" t="n">
        <v>0.146160247</v>
      </c>
      <c r="G10" s="0" t="n">
        <v>0.59</v>
      </c>
      <c r="H10" s="0" t="n">
        <v>2006</v>
      </c>
      <c r="I10" s="5">
        <f>C10*(F10/E10)^G10*(595.6/499.6)</f>
        <v/>
      </c>
    </row>
    <row r="11">
      <c r="B11" s="9" t="inlineStr">
        <is>
          <t>COMP5</t>
        </is>
      </c>
      <c r="C11" s="1" t="n">
        <v>15000</v>
      </c>
      <c r="D11" s="10" t="inlineStr">
        <is>
          <t>Power (Kw)</t>
        </is>
      </c>
      <c r="E11" s="2" t="n">
        <v>10</v>
      </c>
      <c r="F11" s="11" t="n">
        <v>0.549978369</v>
      </c>
      <c r="G11" s="2" t="n">
        <v>0.9</v>
      </c>
      <c r="H11" s="2" t="n">
        <v>2004</v>
      </c>
      <c r="I11" s="3">
        <f>C11*(F11/E11)^G11*(595.6/444.2)</f>
        <v/>
      </c>
    </row>
    <row r="12" ht="18" customHeight="1" s="60" thickBot="1">
      <c r="B12" s="12" t="inlineStr">
        <is>
          <t>COOL5</t>
        </is>
      </c>
      <c r="C12" s="4" t="n">
        <v>15500</v>
      </c>
      <c r="D12" s="13" t="inlineStr">
        <is>
          <t>Heat exchange area (m^2)</t>
        </is>
      </c>
      <c r="E12" s="0" t="n">
        <v>2</v>
      </c>
      <c r="F12" s="14" t="n">
        <v>0.191249453</v>
      </c>
      <c r="G12" s="0" t="n">
        <v>0.59</v>
      </c>
      <c r="H12" s="0" t="n">
        <v>2006</v>
      </c>
      <c r="I12" s="5">
        <f>C12*(F12/E12)^G12*(595.6/499.6)</f>
        <v/>
      </c>
    </row>
    <row r="13" ht="18" customHeight="1" s="60" thickBot="1">
      <c r="B13" s="7" t="inlineStr">
        <is>
          <t>Total</t>
        </is>
      </c>
      <c r="C13" s="16" t="n"/>
      <c r="D13" s="16" t="n"/>
      <c r="E13" s="16" t="n"/>
      <c r="F13" s="16" t="n"/>
      <c r="G13" s="16" t="n"/>
      <c r="H13" s="16" t="n"/>
      <c r="I13" s="17">
        <f>SUM(I5:I12)</f>
        <v/>
      </c>
    </row>
    <row r="15">
      <c r="B15" s="6" t="inlineStr">
        <is>
          <t>Opex</t>
        </is>
      </c>
    </row>
    <row r="16" ht="18" customHeight="1" s="60" thickBot="1"/>
    <row r="17" ht="18" customHeight="1" s="60" thickBot="1">
      <c r="B17" s="7" t="inlineStr">
        <is>
          <t>Equipment</t>
        </is>
      </c>
      <c r="C17" s="9" t="inlineStr">
        <is>
          <t>Block brake power (kW)</t>
        </is>
      </c>
      <c r="D17" s="3" t="inlineStr">
        <is>
          <t>Block heat duty (cal/sec)</t>
        </is>
      </c>
      <c r="E17" s="7" t="inlineStr">
        <is>
          <t>Annual operating cost</t>
        </is>
      </c>
    </row>
    <row r="18">
      <c r="B18" s="9" t="inlineStr">
        <is>
          <t>COMP</t>
        </is>
      </c>
      <c r="C18" s="18" t="n">
        <v>2.086718358</v>
      </c>
      <c r="D18" s="3" t="inlineStr">
        <is>
          <t>-</t>
        </is>
      </c>
      <c r="E18" s="19">
        <f>C18*$C$32*$D$31</f>
        <v/>
      </c>
      <c r="F18" s="0" t="inlineStr">
        <is>
          <t>** Heat duty가 아닌 kW로 계산</t>
        </is>
      </c>
    </row>
    <row r="19" ht="18" customHeight="1" s="60" thickBot="1">
      <c r="B19" s="12" t="inlineStr">
        <is>
          <t>HEAT1</t>
        </is>
      </c>
      <c r="C19" s="12" t="inlineStr">
        <is>
          <t>-</t>
        </is>
      </c>
      <c r="D19" s="20" t="n">
        <v>485.8182322</v>
      </c>
      <c r="E19" s="19">
        <f>D19*$C$33*$C$31</f>
        <v/>
      </c>
    </row>
    <row r="20">
      <c r="B20" s="9" t="inlineStr">
        <is>
          <t>COMP</t>
        </is>
      </c>
      <c r="C20" s="18" t="n">
        <v>2.033581206</v>
      </c>
      <c r="D20" s="3" t="inlineStr">
        <is>
          <t>-</t>
        </is>
      </c>
      <c r="E20" s="19">
        <f>C20*$C$32*$D$31</f>
        <v/>
      </c>
      <c r="F20" s="0" t="inlineStr">
        <is>
          <t>** Heat duty가 아닌 kW로 계산</t>
        </is>
      </c>
    </row>
    <row r="21" ht="18" customHeight="1" s="60" thickBot="1">
      <c r="B21" s="12" t="inlineStr">
        <is>
          <t>HEAT1</t>
        </is>
      </c>
      <c r="C21" s="12" t="inlineStr">
        <is>
          <t>-</t>
        </is>
      </c>
      <c r="D21" s="20" t="n">
        <v>519.9770004</v>
      </c>
      <c r="E21" s="19">
        <f>D21*$C$33*$C$31</f>
        <v/>
      </c>
    </row>
    <row r="22">
      <c r="B22" s="9" t="inlineStr">
        <is>
          <t>COMP</t>
        </is>
      </c>
      <c r="C22" s="18" t="n">
        <v>1.860472123</v>
      </c>
      <c r="D22" s="3" t="inlineStr">
        <is>
          <t>-</t>
        </is>
      </c>
      <c r="E22" s="19">
        <f>C22*$C$32*$D$31</f>
        <v/>
      </c>
      <c r="F22" s="0" t="inlineStr">
        <is>
          <t>** Heat duty가 아닌 kW로 계산</t>
        </is>
      </c>
    </row>
    <row r="23" ht="18" customHeight="1" s="60" thickBot="1">
      <c r="B23" s="12" t="inlineStr">
        <is>
          <t>HEAT1</t>
        </is>
      </c>
      <c r="C23" s="12" t="inlineStr">
        <is>
          <t>-</t>
        </is>
      </c>
      <c r="D23" s="20" t="n">
        <v>519.9770004</v>
      </c>
      <c r="E23" s="19">
        <f>D23*$C$33*$C$31</f>
        <v/>
      </c>
    </row>
    <row r="24">
      <c r="B24" s="9" t="inlineStr">
        <is>
          <t>COMP</t>
        </is>
      </c>
      <c r="C24" s="18" t="n">
        <v>0.549978369</v>
      </c>
      <c r="D24" s="3" t="inlineStr">
        <is>
          <t>-</t>
        </is>
      </c>
      <c r="E24" s="19">
        <f>C24*$C$32*$D$31</f>
        <v/>
      </c>
      <c r="F24" s="0" t="inlineStr">
        <is>
          <t>** Heat duty가 아닌 kW로 계산</t>
        </is>
      </c>
    </row>
    <row r="25" ht="18" customHeight="1" s="60" thickBot="1">
      <c r="B25" s="12" t="inlineStr">
        <is>
          <t>HEAT1</t>
        </is>
      </c>
      <c r="C25" s="12" t="inlineStr">
        <is>
          <t>-</t>
        </is>
      </c>
      <c r="D25" s="20" t="n">
        <v>680.3855266</v>
      </c>
      <c r="E25" s="19">
        <f>D25*$C$33*$C$31</f>
        <v/>
      </c>
    </row>
    <row r="26" ht="18" customHeight="1" s="60" thickBot="1">
      <c r="B26" s="7" t="inlineStr">
        <is>
          <t>Total</t>
        </is>
      </c>
      <c r="C26" s="21">
        <f>SUM(C18:C19)</f>
        <v/>
      </c>
      <c r="D26" s="22" t="n"/>
      <c r="E26" s="23">
        <f>SUM(E18:E25)</f>
        <v/>
      </c>
    </row>
    <row r="30" ht="18" customHeight="1" s="60" thickBot="1"/>
    <row r="31" ht="18" customHeight="1" s="60" thickBot="1">
      <c r="B31" s="9" t="inlineStr">
        <is>
          <t>Annual operating hours [sec/yr]</t>
        </is>
      </c>
      <c r="C31" s="3">
        <f>8500*3600</f>
        <v/>
      </c>
      <c r="D31" s="7" t="n">
        <v>8500</v>
      </c>
    </row>
    <row r="32">
      <c r="B32" s="24" t="inlineStr">
        <is>
          <t>Electricity cost [$/kWh]</t>
        </is>
      </c>
      <c r="C32" s="25">
        <f>Revenue!O14</f>
        <v/>
      </c>
    </row>
    <row r="33">
      <c r="A33" s="6" t="inlineStr">
        <is>
          <t>-</t>
        </is>
      </c>
      <c r="B33" s="24" t="inlineStr">
        <is>
          <t>Cooling price [$/cal]</t>
        </is>
      </c>
      <c r="C33" s="69">
        <f>Revenue!O15</f>
        <v/>
      </c>
    </row>
    <row r="34" ht="18" customHeight="1" s="60" thickBot="1">
      <c r="A34" s="6" t="inlineStr">
        <is>
          <t>+</t>
        </is>
      </c>
      <c r="B34" s="26" t="inlineStr">
        <is>
          <t>Heating price [$/cal]</t>
        </is>
      </c>
      <c r="C34" s="70">
        <f>Revenue!O16</f>
        <v/>
      </c>
    </row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I34"/>
  <sheetViews>
    <sheetView workbookViewId="0">
      <selection activeCell="G31" sqref="G31"/>
    </sheetView>
  </sheetViews>
  <sheetFormatPr baseColWidth="8" defaultRowHeight="17.4"/>
  <cols>
    <col width="53.59765625" customWidth="1" style="60" min="2" max="2"/>
    <col width="13.69921875" customWidth="1" style="60" min="5" max="5"/>
    <col width="43.69921875" customWidth="1" style="60" min="7" max="7"/>
    <col width="15" customWidth="1" style="60" min="8" max="8"/>
    <col width="14.09765625" customWidth="1" style="60" min="9" max="9"/>
  </cols>
  <sheetData>
    <row r="3" ht="18" customHeight="1" s="60" thickBot="1">
      <c r="B3" s="27" t="inlineStr">
        <is>
          <t>EAC (B.P)</t>
        </is>
      </c>
      <c r="C3" s="28" t="n"/>
      <c r="D3" s="28" t="n"/>
      <c r="E3" s="28" t="n"/>
      <c r="G3" s="71" t="inlineStr">
        <is>
          <t>TPC (BP)</t>
        </is>
      </c>
      <c r="H3" s="72" t="n"/>
      <c r="I3" s="72" t="n"/>
    </row>
    <row r="4" ht="18" customHeight="1" s="60" thickBot="1">
      <c r="B4" s="73" t="inlineStr">
        <is>
          <t xml:space="preserve">Classification </t>
        </is>
      </c>
      <c r="C4" s="74" t="inlineStr">
        <is>
          <t>% of FCI</t>
        </is>
      </c>
      <c r="D4" s="75" t="inlineStr">
        <is>
          <t xml:space="preserve">Used </t>
        </is>
      </c>
      <c r="E4" s="76" t="inlineStr">
        <is>
          <t>Value</t>
        </is>
      </c>
      <c r="G4" s="73" t="inlineStr">
        <is>
          <t>Classification</t>
        </is>
      </c>
      <c r="H4" s="77" t="inlineStr">
        <is>
          <t>Range</t>
        </is>
      </c>
      <c r="I4" s="36" t="inlineStr">
        <is>
          <t>Value</t>
        </is>
      </c>
    </row>
    <row r="5">
      <c r="B5" s="78" t="inlineStr">
        <is>
          <t>Direct cost</t>
        </is>
      </c>
      <c r="C5" s="79" t="n"/>
      <c r="D5" s="72" t="n"/>
      <c r="E5" s="80" t="n"/>
      <c r="G5" s="81" t="inlineStr">
        <is>
          <t>Fixed charge(FC) = FCI * 0.08</t>
        </is>
      </c>
      <c r="H5" s="82" t="n"/>
      <c r="I5" s="83" t="n"/>
    </row>
    <row r="6">
      <c r="B6" s="78" t="inlineStr">
        <is>
          <t>ISBL (Inside battery limit, 전체공사구역 중 주 공정시설)</t>
        </is>
      </c>
      <c r="C6" s="79" t="n"/>
      <c r="D6" s="72" t="n"/>
      <c r="E6" s="84" t="n"/>
      <c r="G6" s="79" t="inlineStr">
        <is>
          <t>Local taxes, Insurance</t>
        </is>
      </c>
      <c r="H6" s="85" t="inlineStr">
        <is>
          <t>8% of FCI</t>
        </is>
      </c>
      <c r="I6" s="86">
        <f>SUM(E29*0.01)</f>
        <v/>
      </c>
    </row>
    <row r="7">
      <c r="B7" s="84" t="inlineStr">
        <is>
          <t xml:space="preserve">Equipment cost &lt;&lt; 직접 구하길 </t>
        </is>
      </c>
      <c r="C7" s="79" t="inlineStr">
        <is>
          <t>20-40</t>
        </is>
      </c>
      <c r="D7" s="87" t="n">
        <v>30</v>
      </c>
      <c r="E7" s="88">
        <f>SMRCCU!I13</f>
        <v/>
      </c>
      <c r="G7" s="89" t="inlineStr">
        <is>
          <t>Direct production cost (DPC)</t>
        </is>
      </c>
      <c r="H7" s="90" t="n"/>
      <c r="I7" s="86" t="n"/>
    </row>
    <row r="8">
      <c r="B8" s="84" t="inlineStr">
        <is>
          <t>Installation of equipment = FCI * 0.1</t>
        </is>
      </c>
      <c r="C8" s="79" t="inlineStr">
        <is>
          <t>7.3-26</t>
        </is>
      </c>
      <c r="D8" s="72" t="n">
        <v>10</v>
      </c>
      <c r="E8" s="84">
        <f>SUM(E29*0.1)</f>
        <v/>
      </c>
      <c r="G8" s="91" t="inlineStr">
        <is>
          <t>Carbon tax</t>
        </is>
      </c>
      <c r="H8" s="90" t="inlineStr">
        <is>
          <t>-</t>
        </is>
      </c>
      <c r="I8" s="92" t="inlineStr">
        <is>
          <t>-</t>
        </is>
      </c>
    </row>
    <row r="9">
      <c r="B9" s="84" t="inlineStr">
        <is>
          <t>Instrument and control = FCI * 0.05</t>
        </is>
      </c>
      <c r="C9" s="79" t="inlineStr">
        <is>
          <t>2.5-7.0</t>
        </is>
      </c>
      <c r="D9" s="72" t="n">
        <v>5</v>
      </c>
      <c r="E9" s="84">
        <f>SUM(E29*0.05)</f>
        <v/>
      </c>
      <c r="G9" s="90" t="inlineStr">
        <is>
          <t xml:space="preserve">Raw materials </t>
        </is>
      </c>
      <c r="H9" s="90" t="inlineStr">
        <is>
          <t>-</t>
        </is>
      </c>
      <c r="I9" s="93" t="inlineStr">
        <is>
          <t>-</t>
        </is>
      </c>
    </row>
    <row r="10">
      <c r="B10" s="84" t="inlineStr">
        <is>
          <t>Piping = FCI * 0.1</t>
        </is>
      </c>
      <c r="C10" s="79" t="inlineStr">
        <is>
          <t>3.0-15</t>
        </is>
      </c>
      <c r="D10" s="72" t="n">
        <v>10</v>
      </c>
      <c r="E10" s="84">
        <f>SUM(E29*0.1)</f>
        <v/>
      </c>
      <c r="G10" s="90" t="inlineStr">
        <is>
          <t>Membrane replacement cost</t>
        </is>
      </c>
      <c r="H10" s="90" t="n"/>
      <c r="I10" s="93" t="inlineStr">
        <is>
          <t>-</t>
        </is>
      </c>
    </row>
    <row r="11">
      <c r="B11" s="84" t="inlineStr">
        <is>
          <t>Electrical = FCI * 0.05</t>
        </is>
      </c>
      <c r="C11" s="79" t="inlineStr">
        <is>
          <t>2.5-9.0</t>
        </is>
      </c>
      <c r="D11" s="72" t="n">
        <v>5</v>
      </c>
      <c r="E11" s="84">
        <f>SUM(E29*0.05)</f>
        <v/>
      </c>
      <c r="G11" s="90" t="inlineStr">
        <is>
          <t>Electricity</t>
        </is>
      </c>
      <c r="H11" s="90" t="inlineStr">
        <is>
          <t>$0.06/kWh</t>
        </is>
      </c>
      <c r="I11" s="94">
        <f>SMRCCU!E26</f>
        <v/>
      </c>
    </row>
    <row r="12">
      <c r="B12" s="84" t="n"/>
      <c r="C12" s="79" t="n"/>
      <c r="D12" s="72" t="n"/>
      <c r="E12" s="84" t="n"/>
      <c r="G12" s="79" t="inlineStr">
        <is>
          <t>Matinenenance (M) = FC * 0.08</t>
        </is>
      </c>
      <c r="H12" s="95" t="inlineStr">
        <is>
          <t>8% of FCI</t>
        </is>
      </c>
      <c r="I12" s="96">
        <f>SUM(I6*0.04)</f>
        <v/>
      </c>
    </row>
    <row r="13">
      <c r="B13" s="78" t="inlineStr">
        <is>
          <t>OSBL(Outside bettery limit,주공정시설 외 부대시설)</t>
        </is>
      </c>
      <c r="C13" s="79" t="n"/>
      <c r="D13" s="72" t="n"/>
      <c r="E13" s="84" t="n"/>
      <c r="G13" s="79" t="inlineStr">
        <is>
          <t>Operating labor (OL) = TPC * 0.15</t>
        </is>
      </c>
      <c r="H13" s="90" t="inlineStr">
        <is>
          <t>15% of OPEX</t>
        </is>
      </c>
      <c r="I13" s="86">
        <f>SUM(I25*0.15)</f>
        <v/>
      </c>
    </row>
    <row r="14">
      <c r="B14" s="84" t="inlineStr">
        <is>
          <t>Building and building services = FCI * 0.08</t>
        </is>
      </c>
      <c r="C14" s="79" t="inlineStr">
        <is>
          <t>6.0-20</t>
        </is>
      </c>
      <c r="D14" s="72" t="n">
        <v>8</v>
      </c>
      <c r="E14" s="84">
        <f>SUM(E29*0.08)</f>
        <v/>
      </c>
      <c r="G14" s="79" t="inlineStr">
        <is>
          <t>Supervision and support labor (S) = labor * 0.3</t>
        </is>
      </c>
      <c r="H14" s="90" t="inlineStr">
        <is>
          <t>30% of OL</t>
        </is>
      </c>
      <c r="I14" s="86">
        <f>SUM(I13*0.3)</f>
        <v/>
      </c>
    </row>
    <row r="15">
      <c r="B15" s="84" t="inlineStr">
        <is>
          <t>Yard improvements = FCI * 0.02</t>
        </is>
      </c>
      <c r="C15" s="79" t="inlineStr">
        <is>
          <t>1.5-5.0</t>
        </is>
      </c>
      <c r="D15" s="72" t="n">
        <v>2</v>
      </c>
      <c r="E15" s="84">
        <f>SUM(E29*0.02)</f>
        <v/>
      </c>
      <c r="G15" s="79" t="inlineStr">
        <is>
          <t>Operating supplies = maintenance * 0.15</t>
        </is>
      </c>
      <c r="H15" s="90" t="inlineStr">
        <is>
          <t>15% of M</t>
        </is>
      </c>
      <c r="I15" s="86">
        <f>SUM(I12*0.15)</f>
        <v/>
      </c>
    </row>
    <row r="16">
      <c r="B16" s="84" t="inlineStr">
        <is>
          <t>Services facilities = FCI * 0.08</t>
        </is>
      </c>
      <c r="C16" s="79" t="inlineStr">
        <is>
          <t>8.0-35</t>
        </is>
      </c>
      <c r="D16" s="72" t="n">
        <v>8</v>
      </c>
      <c r="E16" s="84">
        <f>SUM(E29*0.08)</f>
        <v/>
      </c>
      <c r="G16" s="79" t="inlineStr">
        <is>
          <t>Laboratory charges = labor * 0.15</t>
        </is>
      </c>
      <c r="H16" s="90" t="inlineStr">
        <is>
          <t>15% of OL</t>
        </is>
      </c>
      <c r="I16" s="86">
        <f>SUM(I13*0.15)</f>
        <v/>
      </c>
    </row>
    <row r="17">
      <c r="B17" s="84" t="inlineStr">
        <is>
          <t>Land = FCI * 0.02</t>
        </is>
      </c>
      <c r="C17" s="79" t="inlineStr">
        <is>
          <t>1.0-2.0</t>
        </is>
      </c>
      <c r="D17" s="72" t="n">
        <v>2</v>
      </c>
      <c r="E17" s="84">
        <f>SUM(E29*0.02)</f>
        <v/>
      </c>
      <c r="G17" s="79" t="n"/>
      <c r="H17" s="90" t="n"/>
      <c r="I17" s="86" t="n"/>
    </row>
    <row r="18">
      <c r="B18" s="84" t="n"/>
      <c r="C18" s="79" t="n"/>
      <c r="D18" s="72" t="n"/>
      <c r="E18" s="84" t="n"/>
      <c r="G18" s="89" t="inlineStr">
        <is>
          <t>Plant overhead cost(OVHD)</t>
        </is>
      </c>
      <c r="H18" s="90" t="inlineStr">
        <is>
          <t>60% of M+OL+S</t>
        </is>
      </c>
      <c r="I18" s="86">
        <f>SUM(0.6*I29)</f>
        <v/>
      </c>
    </row>
    <row r="19">
      <c r="B19" s="78" t="inlineStr">
        <is>
          <t>Total direct cost = FCI * 0.5 + Equipment cost</t>
        </is>
      </c>
      <c r="C19" s="79" t="n"/>
      <c r="D19" s="72" t="n"/>
      <c r="E19" s="84">
        <f>SUM(E7:E17)</f>
        <v/>
      </c>
      <c r="G19" s="79" t="n"/>
      <c r="H19" s="90" t="n"/>
      <c r="I19" s="86" t="n"/>
    </row>
    <row r="20">
      <c r="B20" s="84" t="n"/>
      <c r="C20" s="79" t="n"/>
      <c r="D20" s="72" t="n"/>
      <c r="E20" s="84" t="n"/>
      <c r="G20" s="89" t="inlineStr">
        <is>
          <t>General expenses</t>
        </is>
      </c>
      <c r="H20" s="90" t="n"/>
      <c r="I20" s="86" t="n"/>
    </row>
    <row r="21">
      <c r="B21" s="78" t="inlineStr">
        <is>
          <t>Indirect cost</t>
        </is>
      </c>
      <c r="C21" s="79" t="n"/>
      <c r="D21" s="72" t="n"/>
      <c r="E21" s="84" t="n"/>
      <c r="G21" s="79" t="inlineStr">
        <is>
          <t xml:space="preserve">Admistrative cost </t>
        </is>
      </c>
      <c r="H21" s="90" t="inlineStr">
        <is>
          <t>17.5% of OL</t>
        </is>
      </c>
      <c r="I21" s="86">
        <f>SUM(I13*0.175)</f>
        <v/>
      </c>
    </row>
    <row r="22">
      <c r="B22" s="84" t="inlineStr">
        <is>
          <t>Engineering = FCI * 0.05</t>
        </is>
      </c>
      <c r="C22" s="79" t="inlineStr">
        <is>
          <t>4.0-21</t>
        </is>
      </c>
      <c r="D22" s="72" t="n">
        <v>5</v>
      </c>
      <c r="E22" s="84">
        <f>SUM(E29*0.05)</f>
        <v/>
      </c>
      <c r="G22" s="97" t="inlineStr">
        <is>
          <t>Distribution and marketing</t>
        </is>
      </c>
      <c r="H22" s="90" t="inlineStr">
        <is>
          <t>11% of OPEX</t>
        </is>
      </c>
      <c r="I22" s="86">
        <f>SUM(I25*0.11)</f>
        <v/>
      </c>
    </row>
    <row r="23">
      <c r="B23" s="84" t="inlineStr">
        <is>
          <t>Construction expenses = FCI * 0.05</t>
        </is>
      </c>
      <c r="C23" s="79" t="inlineStr">
        <is>
          <t>4.8-22</t>
        </is>
      </c>
      <c r="D23" s="72" t="n">
        <v>5</v>
      </c>
      <c r="E23" s="84">
        <f>SUM(E29*0.05)</f>
        <v/>
      </c>
      <c r="G23" s="79" t="inlineStr">
        <is>
          <t xml:space="preserve">R&amp;D cost </t>
        </is>
      </c>
      <c r="H23" s="97" t="inlineStr">
        <is>
          <t>3.5% of OPEX</t>
        </is>
      </c>
      <c r="I23" s="86">
        <f>SUM(I25*0.035)</f>
        <v/>
      </c>
    </row>
    <row r="24">
      <c r="B24" s="84" t="inlineStr">
        <is>
          <t>Contractor's fee = FCI * 0.05</t>
        </is>
      </c>
      <c r="C24" s="79" t="inlineStr">
        <is>
          <t>1.5-5.0</t>
        </is>
      </c>
      <c r="D24" s="72" t="n">
        <v>5</v>
      </c>
      <c r="E24" s="84">
        <f>SUM(E29*0.05)</f>
        <v/>
      </c>
      <c r="G24" s="79" t="n"/>
      <c r="H24" s="97" t="n"/>
      <c r="I24" s="86" t="n"/>
    </row>
    <row r="25" ht="18" customHeight="1" s="60" thickBot="1">
      <c r="B25" s="84" t="inlineStr">
        <is>
          <t>Contingency = FCI * 0.05</t>
        </is>
      </c>
      <c r="C25" s="79" t="inlineStr">
        <is>
          <t>5.0-20</t>
        </is>
      </c>
      <c r="D25" s="72" t="n">
        <v>5</v>
      </c>
      <c r="E25" s="84">
        <f>SUM(E29*0.05)</f>
        <v/>
      </c>
      <c r="G25" s="98" t="inlineStr">
        <is>
          <t>TPC</t>
        </is>
      </c>
      <c r="H25" s="98" t="n"/>
      <c r="I25" s="99">
        <f>SUM(I27/0.49425)</f>
        <v/>
      </c>
    </row>
    <row r="26">
      <c r="B26" s="84" t="n"/>
      <c r="C26" s="79" t="n"/>
      <c r="D26" s="72" t="n"/>
      <c r="E26" s="84" t="n"/>
      <c r="G26" s="72" t="n"/>
      <c r="H26" s="72" t="n"/>
      <c r="I26" s="100" t="n"/>
    </row>
    <row r="27">
      <c r="B27" s="78" t="inlineStr">
        <is>
          <t>Total indirect cost = FCI * 0.2</t>
        </is>
      </c>
      <c r="C27" s="79" t="n"/>
      <c r="D27" s="72" t="n"/>
      <c r="E27" s="84">
        <f>SUM(E22:E25)</f>
        <v/>
      </c>
      <c r="G27" s="72" t="n"/>
      <c r="H27" s="72" t="n"/>
      <c r="I27" s="100">
        <f>SUM(I6:I12,I15,0.6*I12)</f>
        <v/>
      </c>
    </row>
    <row r="28">
      <c r="B28" s="84" t="n"/>
      <c r="C28" s="79" t="n"/>
      <c r="D28" s="72" t="n"/>
      <c r="E28" s="84" t="n"/>
      <c r="G28" s="28" t="n"/>
      <c r="H28" s="28" t="n"/>
      <c r="I28" s="100" t="n"/>
    </row>
    <row r="29">
      <c r="B29" s="84" t="inlineStr">
        <is>
          <t>Fixed capital investment (FCI)</t>
        </is>
      </c>
      <c r="C29" s="79" t="n">
        <v>100</v>
      </c>
      <c r="D29" s="72" t="n">
        <v>100</v>
      </c>
      <c r="E29" s="84">
        <f>SUM(E7*100/D7)</f>
        <v/>
      </c>
      <c r="G29" s="28" t="n"/>
      <c r="H29" s="28" t="inlineStr">
        <is>
          <t>OVHD</t>
        </is>
      </c>
      <c r="I29" s="100">
        <f>(I12+I13+I14)</f>
        <v/>
      </c>
    </row>
    <row r="30">
      <c r="B30" s="84" t="inlineStr">
        <is>
          <t>Start up cost (SUC)  = FCI * 0.2</t>
        </is>
      </c>
      <c r="C30" s="79" t="n">
        <v>20</v>
      </c>
      <c r="D30" s="87" t="n">
        <v>20</v>
      </c>
      <c r="E30" s="84">
        <f>SUM(E29*0.2)</f>
        <v/>
      </c>
      <c r="I30" s="101">
        <f>SUM(I6:I23)</f>
        <v/>
      </c>
    </row>
    <row r="31">
      <c r="B31" s="84" t="inlineStr">
        <is>
          <t>Working capital investment (WCI)  = FCI * 0.2</t>
        </is>
      </c>
      <c r="C31" s="79" t="n">
        <v>20</v>
      </c>
      <c r="D31" s="87" t="n">
        <v>20</v>
      </c>
      <c r="E31" s="84">
        <f>SUM(E29*0.2)</f>
        <v/>
      </c>
    </row>
    <row r="32">
      <c r="B32" s="84" t="n"/>
      <c r="C32" s="79" t="n"/>
      <c r="D32" s="72" t="n"/>
      <c r="E32" s="84" t="n"/>
    </row>
    <row r="33">
      <c r="B33" s="78" t="inlineStr">
        <is>
          <t>TCI</t>
        </is>
      </c>
      <c r="C33" s="89" t="inlineStr">
        <is>
          <t>NPV</t>
        </is>
      </c>
      <c r="D33" s="71" t="n"/>
      <c r="E33" s="78">
        <f>SUM(E29:E31)</f>
        <v/>
      </c>
    </row>
    <row r="34" ht="18" customHeight="1" s="60" thickBot="1">
      <c r="B34" s="102" t="inlineStr">
        <is>
          <t>EAC (r=7%, t=25 year)    RP=r, NP=t</t>
        </is>
      </c>
      <c r="C34" s="98" t="inlineStr">
        <is>
          <t>EAC</t>
        </is>
      </c>
      <c r="D34" s="103" t="n"/>
      <c r="E34" s="102">
        <f>SUM(E33/((1-(1/((1.05)^25)))/0.07))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O16"/>
  <sheetViews>
    <sheetView tabSelected="1" workbookViewId="0">
      <selection activeCell="H23" sqref="H23"/>
    </sheetView>
  </sheetViews>
  <sheetFormatPr baseColWidth="8" defaultRowHeight="17.4"/>
  <cols>
    <col width="14.8984375" customWidth="1" style="60" min="3" max="3"/>
    <col width="15.296875" customWidth="1" style="60" min="4" max="4"/>
    <col width="16.69921875" customWidth="1" style="60" min="5" max="5"/>
    <col width="25.3984375" customWidth="1" style="60" min="14" max="14"/>
  </cols>
  <sheetData>
    <row r="1" ht="18" customHeight="1" s="60" thickBot="1"/>
    <row r="2" ht="18" customHeight="1" s="60" thickBot="1">
      <c r="B2" s="1" t="inlineStr">
        <is>
          <t>Product</t>
        </is>
      </c>
      <c r="C2" s="2" t="inlineStr">
        <is>
          <t>Flow rate [kg/h]</t>
        </is>
      </c>
      <c r="D2" s="2" t="inlineStr">
        <is>
          <t>Cost [USD/kg]</t>
        </is>
      </c>
      <c r="E2" s="3" t="inlineStr">
        <is>
          <t>Revenue [$/yr]</t>
        </is>
      </c>
      <c r="F2" s="9" t="inlineStr">
        <is>
          <t>Ref</t>
        </is>
      </c>
    </row>
    <row r="3" ht="18" customHeight="1" s="60" thickBot="1">
      <c r="B3" s="64" t="inlineStr">
        <is>
          <t>CO2</t>
        </is>
      </c>
      <c r="C3" s="16" t="n">
        <v>70.2087509</v>
      </c>
      <c r="D3" s="16">
        <f>24/1000</f>
        <v/>
      </c>
      <c r="E3" s="104">
        <f>C3*D3*SMRCCU!D31</f>
        <v/>
      </c>
      <c r="F3" s="15" t="inlineStr">
        <is>
          <t>https://www.sciencedirect.com/science/article/pii/S0196890423006210</t>
        </is>
      </c>
    </row>
    <row r="4">
      <c r="F4" s="66" t="inlineStr">
        <is>
          <t xml:space="preserve">S. Yun, J. Lee, H. Cho, J. Kim, Oxy-fuel combustion-based blue hydrogen production with the integration of water electrolysis, Energy Convers. Manag. 291 (2023) 117275. </t>
        </is>
      </c>
      <c r="N4" s="0" t="inlineStr">
        <is>
          <t>Selling price</t>
        </is>
      </c>
    </row>
    <row r="5">
      <c r="N5" s="0" t="inlineStr">
        <is>
          <t>H2 [USD/kg]</t>
        </is>
      </c>
      <c r="O5" s="0" t="n">
        <v>1.6</v>
      </c>
    </row>
    <row r="6">
      <c r="N6" s="0" t="inlineStr">
        <is>
          <t>CH4 [USD/kg]</t>
        </is>
      </c>
      <c r="O6" s="0" t="n">
        <v>0.636</v>
      </c>
    </row>
    <row r="7">
      <c r="N7" s="0" t="inlineStr">
        <is>
          <t>C2H6,C2H4 [USD/kg]</t>
        </is>
      </c>
      <c r="O7" s="0" t="n">
        <v>0.5600000000000001</v>
      </c>
    </row>
    <row r="8">
      <c r="N8" s="0" t="inlineStr">
        <is>
          <t>C4~C9 (납사) [USD/kg]</t>
        </is>
      </c>
      <c r="O8" s="0" t="n">
        <v>0.7</v>
      </c>
    </row>
    <row r="9">
      <c r="N9" s="0" t="inlineStr">
        <is>
          <t>C10~C16 (디젤) [USD/kg]</t>
        </is>
      </c>
      <c r="O9" s="0" t="n">
        <v>1.457142857</v>
      </c>
    </row>
    <row r="10">
      <c r="N10" s="0" t="inlineStr">
        <is>
          <t>CaCO3 [USD/kg]</t>
        </is>
      </c>
      <c r="O10" s="0" t="n">
        <v>0.37</v>
      </c>
    </row>
    <row r="11">
      <c r="N11" s="0" t="inlineStr">
        <is>
          <t>MgCO3 [USD/kg]</t>
        </is>
      </c>
      <c r="O11" s="67" t="n">
        <v>0.7</v>
      </c>
    </row>
    <row r="12">
      <c r="N12" s="0" t="inlineStr">
        <is>
          <t>Gypsum [USD/kg]</t>
        </is>
      </c>
      <c r="O12" s="67" t="n">
        <v>0.5</v>
      </c>
    </row>
    <row r="13">
      <c r="N13" s="0" t="inlineStr">
        <is>
          <t>HCL [USD/kg]</t>
        </is>
      </c>
      <c r="O13" s="67" t="n">
        <v>15000</v>
      </c>
    </row>
    <row r="14">
      <c r="N14" s="0" t="inlineStr">
        <is>
          <t>Electricity [USD/kWh]</t>
        </is>
      </c>
      <c r="O14" s="0" t="n">
        <v>0.18</v>
      </c>
    </row>
    <row r="15">
      <c r="N15" s="0" t="inlineStr">
        <is>
          <t>Cooling price [USD/cal]</t>
        </is>
      </c>
      <c r="O15" s="68" t="n">
        <v>2.92e-07</v>
      </c>
    </row>
    <row r="16">
      <c r="N16" s="0" t="inlineStr">
        <is>
          <t>Heating price [USD/cal]</t>
        </is>
      </c>
      <c r="O16" s="68" t="n">
        <v>2.92e-07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김유림</dc:creator>
  <dcterms:created xsi:type="dcterms:W3CDTF">2023-09-21T04:44:28Z</dcterms:created>
  <dcterms:modified xsi:type="dcterms:W3CDTF">2023-12-12T16:12:49Z</dcterms:modified>
  <cp:lastModifiedBy>PSID_PC22</cp:lastModifiedBy>
</cp:coreProperties>
</file>