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236" yWindow="4620" windowWidth="30264" windowHeight="12660" tabRatio="600" firstSheet="0" activeTab="2" autoFilterDateGrouping="1"/>
  </bookViews>
  <sheets>
    <sheet name="Desulf" sheetId="1" state="visible" r:id="rId1"/>
    <sheet name="Desulf EAC&amp;TPC" sheetId="2" state="visible" r:id="rId2"/>
    <sheet name="Desulf revenue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.00_-;\-* #,##0.00_-;_-* &quot;-&quot;_-;_-@_-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Arial"/>
      <family val="2"/>
      <color theme="1"/>
      <sz val="11"/>
    </font>
    <font>
      <name val="맑은 고딕"/>
      <charset val="129"/>
      <family val="3"/>
      <b val="1"/>
      <color theme="1"/>
      <sz val="11"/>
      <scheme val="minor"/>
    </font>
    <font>
      <name val="맑은 고딕"/>
      <family val="2"/>
      <color rgb="FFFF0000"/>
      <sz val="11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2"/>
      <sz val="11"/>
      <scheme val="minor"/>
    </font>
    <font>
      <name val="맑은 고딕"/>
      <charset val="129"/>
      <family val="3"/>
      <color rgb="FFFF000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family val="2"/>
      <color theme="0" tint="-0.249977111117893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 applyAlignment="1">
      <alignment vertical="center"/>
    </xf>
    <xf numFmtId="41" fontId="1" fillId="0" borderId="0" applyAlignment="1">
      <alignment vertical="center"/>
    </xf>
  </cellStyleXfs>
  <cellXfs count="109">
    <xf numFmtId="0" fontId="0" fillId="0" borderId="0" applyAlignment="1" pivotButton="0" quotePrefix="0" xfId="0">
      <alignment vertical="center"/>
    </xf>
    <xf numFmtId="0" fontId="3" fillId="0" borderId="1" pivotButton="0" quotePrefix="0" xfId="0"/>
    <xf numFmtId="0" fontId="0" fillId="0" borderId="3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0" fontId="0" fillId="0" borderId="12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64" fontId="0" fillId="0" borderId="1" applyAlignment="1" pivotButton="0" quotePrefix="0" xfId="1">
      <alignment horizontal="left"/>
    </xf>
    <xf numFmtId="164" fontId="0" fillId="0" borderId="13" applyAlignment="1" pivotButton="0" quotePrefix="0" xfId="1">
      <alignment horizontal="left"/>
    </xf>
    <xf numFmtId="164" fontId="0" fillId="0" borderId="14" applyAlignment="1" pivotButton="0" quotePrefix="0" xfId="1">
      <alignment horizontal="left"/>
    </xf>
    <xf numFmtId="164" fontId="0" fillId="0" borderId="1" applyAlignment="1" pivotButton="0" quotePrefix="0" xfId="1">
      <alignment horizontal="left" vertical="center"/>
    </xf>
    <xf numFmtId="164" fontId="4" fillId="0" borderId="11" applyAlignment="1" pivotButton="0" quotePrefix="0" xfId="1">
      <alignment horizontal="left"/>
    </xf>
    <xf numFmtId="164" fontId="0" fillId="0" borderId="4" applyAlignment="1" pivotButton="0" quotePrefix="0" xfId="1">
      <alignment horizontal="left"/>
    </xf>
    <xf numFmtId="164" fontId="0" fillId="0" borderId="0" applyAlignment="1" pivotButton="0" quotePrefix="0" xfId="1">
      <alignment horizontal="left"/>
    </xf>
    <xf numFmtId="164" fontId="0" fillId="0" borderId="10" applyAlignment="1" pivotButton="0" quotePrefix="0" xfId="1">
      <alignment horizontal="left"/>
    </xf>
    <xf numFmtId="164" fontId="0" fillId="0" borderId="11" applyAlignment="1" pivotButton="0" quotePrefix="0" xfId="1">
      <alignment horizontal="left"/>
    </xf>
    <xf numFmtId="164" fontId="5" fillId="0" borderId="0" applyAlignment="1" pivotButton="0" quotePrefix="0" xfId="1">
      <alignment horizontal="left"/>
    </xf>
    <xf numFmtId="164" fontId="4" fillId="0" borderId="4" applyAlignment="1" pivotButton="0" quotePrefix="0" xfId="1">
      <alignment horizontal="left"/>
    </xf>
    <xf numFmtId="164" fontId="4" fillId="0" borderId="0" applyAlignment="1" pivotButton="0" quotePrefix="0" xfId="1">
      <alignment horizontal="left"/>
    </xf>
    <xf numFmtId="164" fontId="4" fillId="0" borderId="12" applyAlignment="1" pivotButton="0" quotePrefix="0" xfId="1">
      <alignment horizontal="left"/>
    </xf>
    <xf numFmtId="164" fontId="4" fillId="0" borderId="6" applyAlignment="1" pivotButton="0" quotePrefix="0" xfId="1">
      <alignment horizontal="left"/>
    </xf>
    <xf numFmtId="164" fontId="4" fillId="0" borderId="7" applyAlignment="1" pivotButton="0" quotePrefix="0" xfId="1">
      <alignment horizontal="left"/>
    </xf>
    <xf numFmtId="164" fontId="0" fillId="0" borderId="9" applyAlignment="1" pivotButton="0" quotePrefix="0" xfId="1">
      <alignment horizontal="left"/>
    </xf>
    <xf numFmtId="0" fontId="0" fillId="0" borderId="1" applyAlignment="1" pivotButton="0" quotePrefix="0" xfId="1">
      <alignment horizontal="left" vertical="center"/>
    </xf>
    <xf numFmtId="164" fontId="4" fillId="0" borderId="2" applyAlignment="1" pivotButton="0" quotePrefix="0" xfId="1">
      <alignment horizontal="left"/>
    </xf>
    <xf numFmtId="164" fontId="0" fillId="0" borderId="2" applyAlignment="1" pivotButton="0" quotePrefix="0" xfId="1">
      <alignment horizontal="left"/>
    </xf>
    <xf numFmtId="164" fontId="5" fillId="0" borderId="4" applyAlignment="1" pivotButton="0" quotePrefix="0" xfId="1">
      <alignment horizontal="left"/>
    </xf>
    <xf numFmtId="164" fontId="6" fillId="0" borderId="4" applyAlignment="1" pivotButton="0" quotePrefix="0" xfId="1">
      <alignment horizontal="left"/>
    </xf>
    <xf numFmtId="164" fontId="7" fillId="0" borderId="4" applyAlignment="1" pivotButton="0" quotePrefix="0" xfId="1">
      <alignment horizontal="left"/>
    </xf>
    <xf numFmtId="164" fontId="8" fillId="0" borderId="4" applyAlignment="1" pivotButton="0" quotePrefix="0" xfId="1">
      <alignment horizontal="left"/>
    </xf>
    <xf numFmtId="164" fontId="9" fillId="0" borderId="4" applyAlignment="1" pivotButton="0" quotePrefix="0" xfId="1">
      <alignment horizontal="left"/>
    </xf>
    <xf numFmtId="0" fontId="0" fillId="0" borderId="0" pivotButton="0" quotePrefix="0" xfId="0"/>
    <xf numFmtId="0" fontId="7" fillId="0" borderId="11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0" fontId="0" fillId="0" borderId="15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2" borderId="15" applyAlignment="1" pivotButton="0" quotePrefix="0" xfId="0">
      <alignment vertical="center"/>
    </xf>
    <xf numFmtId="164" fontId="0" fillId="2" borderId="11" applyAlignment="1" pivotButton="0" quotePrefix="0" xfId="1">
      <alignment horizontal="left"/>
    </xf>
    <xf numFmtId="0" fontId="0" fillId="0" borderId="11" pivotButton="0" quotePrefix="0" xfId="0"/>
    <xf numFmtId="0" fontId="0" fillId="0" borderId="12" pivotButton="0" quotePrefix="0" xfId="0"/>
    <xf numFmtId="165" fontId="0" fillId="0" borderId="10" applyAlignment="1" pivotButton="0" quotePrefix="0" xfId="1">
      <alignment horizontal="left"/>
    </xf>
    <xf numFmtId="165" fontId="0" fillId="0" borderId="11" applyAlignment="1" pivotButton="0" quotePrefix="0" xfId="1">
      <alignment horizontal="left"/>
    </xf>
    <xf numFmtId="165" fontId="7" fillId="0" borderId="11" applyAlignment="1" pivotButton="0" quotePrefix="0" xfId="1">
      <alignment horizontal="right"/>
    </xf>
    <xf numFmtId="165" fontId="6" fillId="0" borderId="11" applyAlignment="1" pivotButton="0" quotePrefix="0" xfId="1">
      <alignment horizontal="right"/>
    </xf>
    <xf numFmtId="165" fontId="0" fillId="0" borderId="11" applyAlignment="1" pivotButton="0" quotePrefix="0" xfId="1">
      <alignment horizontal="left" vertical="top"/>
    </xf>
    <xf numFmtId="165" fontId="4" fillId="0" borderId="12" applyAlignment="1" pivotButton="0" quotePrefix="0" xfId="1">
      <alignment horizontal="left"/>
    </xf>
    <xf numFmtId="165" fontId="0" fillId="0" borderId="0" applyAlignment="1" pivotButton="0" quotePrefix="0" xfId="1">
      <alignment horizontal="left"/>
    </xf>
    <xf numFmtId="165" fontId="0" fillId="0" borderId="0" pivotButton="0" quotePrefix="0" xfId="0"/>
    <xf numFmtId="165" fontId="6" fillId="0" borderId="11" applyAlignment="1" pivotButton="0" quotePrefix="0" xfId="1">
      <alignment horizontal="right" vertical="center" wrapText="1"/>
    </xf>
    <xf numFmtId="0" fontId="0" fillId="3" borderId="1" applyAlignment="1" pivotButton="0" quotePrefix="0" xfId="0">
      <alignment vertical="center"/>
    </xf>
    <xf numFmtId="165" fontId="6" fillId="3" borderId="11" applyAlignment="1" pivotButton="0" quotePrefix="0" xfId="1">
      <alignment horizontal="right"/>
    </xf>
    <xf numFmtId="0" fontId="3" fillId="0" borderId="5" pivotButton="0" quotePrefix="0" xfId="0"/>
    <xf numFmtId="0" fontId="0" fillId="0" borderId="5" applyAlignment="1" pivotButton="0" quotePrefix="0" xfId="0">
      <alignment horizontal="right" vertical="center"/>
    </xf>
    <xf numFmtId="164" fontId="0" fillId="0" borderId="0" applyAlignment="1" pivotButton="0" quotePrefix="0" xfId="1">
      <alignment horizontal="right"/>
    </xf>
    <xf numFmtId="0" fontId="7" fillId="5" borderId="5" applyAlignment="1" pivotButton="0" quotePrefix="0" xfId="0">
      <alignment vertical="center"/>
    </xf>
    <xf numFmtId="164" fontId="0" fillId="0" borderId="0" pivotButton="0" quotePrefix="0" xfId="1"/>
    <xf numFmtId="164" fontId="0" fillId="4" borderId="0" pivotButton="0" quotePrefix="0" xfId="1"/>
    <xf numFmtId="0" fontId="0" fillId="0" borderId="0" pivotButton="0" quotePrefix="0" xfId="1"/>
    <xf numFmtId="0" fontId="0" fillId="5" borderId="3" applyAlignment="1" pivotButton="0" quotePrefix="0" xfId="0">
      <alignment vertical="center"/>
    </xf>
    <xf numFmtId="0" fontId="0" fillId="5" borderId="5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0" fillId="0" borderId="13" applyAlignment="1" pivotButton="0" quotePrefix="0" xfId="0">
      <alignment vertical="center"/>
    </xf>
    <xf numFmtId="0" fontId="0" fillId="6" borderId="7" applyAlignment="1" pivotButton="0" quotePrefix="0" xfId="0">
      <alignment vertical="center"/>
    </xf>
    <xf numFmtId="0" fontId="0" fillId="7" borderId="12" applyAlignment="1" pivotButton="0" quotePrefix="0" xfId="0">
      <alignment vertical="center"/>
    </xf>
    <xf numFmtId="0" fontId="10" fillId="0" borderId="0" pivotButton="0" quotePrefix="0" xfId="0"/>
    <xf numFmtId="11" fontId="10" fillId="0" borderId="0" pivotButton="0" quotePrefix="0" xfId="0"/>
    <xf numFmtId="11" fontId="0" fillId="0" borderId="5" pivotButton="0" quotePrefix="0" xfId="0"/>
    <xf numFmtId="11" fontId="0" fillId="0" borderId="8" pivotButton="0" quotePrefix="0" xfId="0"/>
    <xf numFmtId="164" fontId="0" fillId="0" borderId="0" pivotButton="0" quotePrefix="0" xfId="1"/>
    <xf numFmtId="164" fontId="0" fillId="0" borderId="0" applyAlignment="1" pivotButton="0" quotePrefix="0" xfId="1">
      <alignment horizontal="right"/>
    </xf>
    <xf numFmtId="164" fontId="0" fillId="4" borderId="0" pivotButton="0" quotePrefix="0" xfId="1"/>
    <xf numFmtId="164" fontId="4" fillId="0" borderId="0" applyAlignment="1" pivotButton="0" quotePrefix="0" xfId="1">
      <alignment horizontal="left"/>
    </xf>
    <xf numFmtId="164" fontId="0" fillId="0" borderId="0" applyAlignment="1" pivotButton="0" quotePrefix="0" xfId="1">
      <alignment horizontal="left"/>
    </xf>
    <xf numFmtId="164" fontId="0" fillId="0" borderId="1" applyAlignment="1" pivotButton="0" quotePrefix="0" xfId="1">
      <alignment horizontal="left"/>
    </xf>
    <xf numFmtId="164" fontId="0" fillId="0" borderId="13" applyAlignment="1" pivotButton="0" quotePrefix="0" xfId="1">
      <alignment horizontal="left"/>
    </xf>
    <xf numFmtId="164" fontId="0" fillId="0" borderId="14" applyAlignment="1" pivotButton="0" quotePrefix="0" xfId="1">
      <alignment horizontal="left"/>
    </xf>
    <xf numFmtId="164" fontId="0" fillId="0" borderId="1" applyAlignment="1" pivotButton="0" quotePrefix="0" xfId="1">
      <alignment horizontal="left" vertical="center"/>
    </xf>
    <xf numFmtId="164" fontId="0" fillId="0" borderId="9" applyAlignment="1" pivotButton="0" quotePrefix="0" xfId="1">
      <alignment horizontal="left"/>
    </xf>
    <xf numFmtId="164" fontId="4" fillId="0" borderId="11" applyAlignment="1" pivotButton="0" quotePrefix="0" xfId="1">
      <alignment horizontal="left"/>
    </xf>
    <xf numFmtId="164" fontId="0" fillId="0" borderId="4" applyAlignment="1" pivotButton="0" quotePrefix="0" xfId="1">
      <alignment horizontal="left"/>
    </xf>
    <xf numFmtId="164" fontId="0" fillId="0" borderId="10" applyAlignment="1" pivotButton="0" quotePrefix="0" xfId="1">
      <alignment horizontal="left"/>
    </xf>
    <xf numFmtId="164" fontId="4" fillId="0" borderId="2" applyAlignment="1" pivotButton="0" quotePrefix="0" xfId="1">
      <alignment horizontal="left"/>
    </xf>
    <xf numFmtId="164" fontId="0" fillId="0" borderId="2" applyAlignment="1" pivotButton="0" quotePrefix="0" xfId="1">
      <alignment horizontal="left"/>
    </xf>
    <xf numFmtId="165" fontId="0" fillId="0" borderId="10" applyAlignment="1" pivotButton="0" quotePrefix="0" xfId="1">
      <alignment horizontal="left"/>
    </xf>
    <xf numFmtId="164" fontId="0" fillId="0" borderId="11" applyAlignment="1" pivotButton="0" quotePrefix="0" xfId="1">
      <alignment horizontal="left"/>
    </xf>
    <xf numFmtId="164" fontId="5" fillId="0" borderId="4" applyAlignment="1" pivotButton="0" quotePrefix="0" xfId="1">
      <alignment horizontal="left"/>
    </xf>
    <xf numFmtId="165" fontId="0" fillId="0" borderId="11" applyAlignment="1" pivotButton="0" quotePrefix="0" xfId="1">
      <alignment horizontal="left"/>
    </xf>
    <xf numFmtId="164" fontId="5" fillId="0" borderId="0" applyAlignment="1" pivotButton="0" quotePrefix="0" xfId="1">
      <alignment horizontal="left"/>
    </xf>
    <xf numFmtId="164" fontId="0" fillId="2" borderId="11" applyAlignment="1" pivotButton="0" quotePrefix="0" xfId="1">
      <alignment horizontal="left"/>
    </xf>
    <xf numFmtId="164" fontId="4" fillId="0" borderId="4" applyAlignment="1" pivotButton="0" quotePrefix="0" xfId="1">
      <alignment horizontal="left"/>
    </xf>
    <xf numFmtId="164" fontId="6" fillId="0" borderId="4" applyAlignment="1" pivotButton="0" quotePrefix="0" xfId="1">
      <alignment horizontal="left"/>
    </xf>
    <xf numFmtId="164" fontId="7" fillId="0" borderId="4" applyAlignment="1" pivotButton="0" quotePrefix="0" xfId="1">
      <alignment horizontal="left"/>
    </xf>
    <xf numFmtId="165" fontId="7" fillId="0" borderId="11" applyAlignment="1" pivotButton="0" quotePrefix="0" xfId="1">
      <alignment horizontal="right"/>
    </xf>
    <xf numFmtId="165" fontId="6" fillId="3" borderId="11" applyAlignment="1" pivotButton="0" quotePrefix="0" xfId="1">
      <alignment horizontal="right"/>
    </xf>
    <xf numFmtId="165" fontId="6" fillId="0" borderId="11" applyAlignment="1" pivotButton="0" quotePrefix="0" xfId="1">
      <alignment horizontal="right"/>
    </xf>
    <xf numFmtId="165" fontId="6" fillId="0" borderId="11" applyAlignment="1" pivotButton="0" quotePrefix="0" xfId="1">
      <alignment horizontal="right" vertical="center" wrapText="1"/>
    </xf>
    <xf numFmtId="164" fontId="8" fillId="0" borderId="4" applyAlignment="1" pivotButton="0" quotePrefix="0" xfId="1">
      <alignment horizontal="left"/>
    </xf>
    <xf numFmtId="165" fontId="0" fillId="0" borderId="11" applyAlignment="1" pivotButton="0" quotePrefix="0" xfId="1">
      <alignment horizontal="left" vertical="top"/>
    </xf>
    <xf numFmtId="164" fontId="9" fillId="0" borderId="4" applyAlignment="1" pivotButton="0" quotePrefix="0" xfId="1">
      <alignment horizontal="left"/>
    </xf>
    <xf numFmtId="164" fontId="4" fillId="0" borderId="6" applyAlignment="1" pivotButton="0" quotePrefix="0" xfId="1">
      <alignment horizontal="left"/>
    </xf>
    <xf numFmtId="165" fontId="4" fillId="0" borderId="12" applyAlignment="1" pivotButton="0" quotePrefix="0" xfId="1">
      <alignment horizontal="left"/>
    </xf>
    <xf numFmtId="165" fontId="0" fillId="0" borderId="0" applyAlignment="1" pivotButton="0" quotePrefix="0" xfId="1">
      <alignment horizontal="left"/>
    </xf>
    <xf numFmtId="165" fontId="0" fillId="0" borderId="0" pivotButton="0" quotePrefix="0" xfId="0"/>
    <xf numFmtId="164" fontId="4" fillId="0" borderId="12" applyAlignment="1" pivotButton="0" quotePrefix="0" xfId="1">
      <alignment horizontal="left"/>
    </xf>
    <xf numFmtId="164" fontId="4" fillId="0" borderId="7" applyAlignment="1" pivotButton="0" quotePrefix="0" xfId="1">
      <alignment horizontal="left"/>
    </xf>
  </cellXfs>
  <cellStyles count="2">
    <cellStyle name="표준" xfId="0" builtinId="0"/>
    <cellStyle name="쉼표 [0]" xfId="1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31"/>
  <sheetViews>
    <sheetView workbookViewId="0">
      <selection activeCell="D34" sqref="D34"/>
    </sheetView>
  </sheetViews>
  <sheetFormatPr baseColWidth="8" defaultRowHeight="17.4"/>
  <cols>
    <col width="29" bestFit="1" customWidth="1" style="35" min="2" max="2"/>
    <col width="27" bestFit="1" customWidth="1" style="35" min="3" max="3"/>
    <col width="24" bestFit="1" customWidth="1" style="35" min="4" max="4"/>
    <col width="21.59765625" bestFit="1" customWidth="1" style="35" min="5" max="5"/>
    <col width="14.59765625" customWidth="1" style="35" min="6" max="6"/>
    <col width="23.69921875" bestFit="1" customWidth="1" style="35" min="7" max="7"/>
    <col width="14.3984375" bestFit="1" customWidth="1" style="35" min="8" max="8"/>
    <col width="17.69921875" bestFit="1" customWidth="1" style="35" min="9" max="9"/>
    <col width="107.5" bestFit="1" customWidth="1" style="35" min="10" max="10"/>
  </cols>
  <sheetData>
    <row r="2">
      <c r="B2" s="8" t="inlineStr">
        <is>
          <t>Capex</t>
        </is>
      </c>
    </row>
    <row r="3" ht="18" customHeight="1" s="35" thickBot="1"/>
    <row r="4" ht="18" customHeight="1" s="35" thickBot="1">
      <c r="B4" s="4" t="inlineStr">
        <is>
          <t>Equipment</t>
        </is>
      </c>
      <c r="C4" s="1" t="inlineStr">
        <is>
          <t>Reference equpment cost ($)</t>
        </is>
      </c>
      <c r="D4" s="1" t="inlineStr">
        <is>
          <t xml:space="preserve">Scale paramter </t>
        </is>
      </c>
      <c r="E4" s="1" t="inlineStr">
        <is>
          <t>Refernece capacity</t>
        </is>
      </c>
      <c r="F4" s="1" t="inlineStr">
        <is>
          <t xml:space="preserve">Capacity </t>
        </is>
      </c>
      <c r="G4" s="1" t="inlineStr">
        <is>
          <t>Capacity correction factor</t>
        </is>
      </c>
      <c r="H4" s="1" t="inlineStr">
        <is>
          <t>Refernece year</t>
        </is>
      </c>
      <c r="I4" s="1" t="inlineStr">
        <is>
          <t>Equipment cost ($)</t>
        </is>
      </c>
      <c r="J4" s="1" t="inlineStr">
        <is>
          <t>Ref</t>
        </is>
      </c>
    </row>
    <row r="5">
      <c r="B5" s="5" t="inlineStr">
        <is>
          <t>LIME-DS</t>
        </is>
      </c>
      <c r="C5" s="72" t="n">
        <v>147800</v>
      </c>
      <c r="D5" s="73" t="inlineStr">
        <is>
          <t>Feed flow rate (kg/h)</t>
        </is>
      </c>
      <c r="E5" s="72" t="n">
        <v>461492</v>
      </c>
      <c r="F5" s="74" t="n">
        <v>72.4651192</v>
      </c>
      <c r="G5" s="72" t="n">
        <v>0.5</v>
      </c>
      <c r="H5" s="72" t="n">
        <v>1997</v>
      </c>
      <c r="I5" s="2">
        <f>C5*(F5/E5)^G5*(595.6/386.5)</f>
        <v/>
      </c>
      <c r="J5" s="5" t="n"/>
    </row>
    <row r="6">
      <c r="B6" s="6" t="inlineStr">
        <is>
          <t>SCRUBBER</t>
        </is>
      </c>
      <c r="C6" s="72" t="n">
        <v>20000</v>
      </c>
      <c r="D6" s="73" t="inlineStr">
        <is>
          <t>Volume (gal)</t>
        </is>
      </c>
      <c r="E6" s="72" t="n">
        <v>2500</v>
      </c>
      <c r="F6" s="74" t="n">
        <v>328784.7252410401</v>
      </c>
      <c r="G6" s="61" t="n">
        <v>0.6</v>
      </c>
      <c r="H6" s="72" t="n">
        <v>1987</v>
      </c>
      <c r="I6" s="3">
        <f>C6*(F6/E6)^G6*(595.6/323.8)</f>
        <v/>
      </c>
      <c r="J6" s="6" t="n"/>
    </row>
    <row r="7">
      <c r="B7" s="6" t="inlineStr">
        <is>
          <t>GYP-CR</t>
        </is>
      </c>
      <c r="C7" s="72" t="n">
        <v>20000</v>
      </c>
      <c r="D7" s="73" t="inlineStr">
        <is>
          <t>Volume (gal)</t>
        </is>
      </c>
      <c r="E7" s="72" t="n">
        <v>2500</v>
      </c>
      <c r="F7" s="74" t="n">
        <v>338364.80922708</v>
      </c>
      <c r="G7" s="61" t="n">
        <v>0.6</v>
      </c>
      <c r="H7" s="72" t="n">
        <v>1987</v>
      </c>
      <c r="I7" s="56">
        <f>C7*(F7/E7)^G7*(595.6/323.8)</f>
        <v/>
      </c>
      <c r="J7" s="6" t="n"/>
    </row>
    <row r="8">
      <c r="B8" s="6" t="inlineStr">
        <is>
          <t>GAS-SP</t>
        </is>
      </c>
      <c r="C8" s="72" t="n">
        <v>165000</v>
      </c>
      <c r="D8" s="73" t="inlineStr">
        <is>
          <t>Feed flow rate (kg/h)</t>
        </is>
      </c>
      <c r="E8" s="72" t="n">
        <v>359263</v>
      </c>
      <c r="F8" s="39" t="n">
        <v>665.919924</v>
      </c>
      <c r="G8" s="0" t="n">
        <v>0.6</v>
      </c>
      <c r="H8" s="0" t="n">
        <v>1998</v>
      </c>
      <c r="I8" s="3">
        <f>C8*(F8/E8)^G8*(595.6/389.5)</f>
        <v/>
      </c>
      <c r="J8" s="6" t="n"/>
    </row>
    <row r="9" ht="18" customHeight="1" s="35" thickBot="1">
      <c r="B9" s="7" t="inlineStr">
        <is>
          <t>GYP-SP</t>
        </is>
      </c>
      <c r="C9" s="72" t="n">
        <v>165000</v>
      </c>
      <c r="D9" s="73" t="inlineStr">
        <is>
          <t>Feed flow rate (kg/h)</t>
        </is>
      </c>
      <c r="E9" s="72" t="n">
        <v>359263</v>
      </c>
      <c r="F9" s="39" t="n">
        <v>29.1454958</v>
      </c>
      <c r="G9" s="0" t="n">
        <v>0.6</v>
      </c>
      <c r="H9" s="0" t="n">
        <v>1998</v>
      </c>
      <c r="I9" s="3">
        <f>C9*(F9/E9)^G9*(595.6/389.5)</f>
        <v/>
      </c>
      <c r="J9" s="7" t="n"/>
    </row>
    <row r="10" ht="18" customHeight="1" s="35" thickBot="1">
      <c r="B10" s="4" t="inlineStr">
        <is>
          <t>Total</t>
        </is>
      </c>
      <c r="C10" s="37" t="n"/>
      <c r="D10" s="37" t="n"/>
      <c r="E10" s="37" t="n"/>
      <c r="F10" s="37" t="n"/>
      <c r="G10" s="37" t="n"/>
      <c r="H10" s="37" t="n"/>
      <c r="I10" s="40">
        <f>SUM(I5:I9)</f>
        <v/>
      </c>
    </row>
    <row r="15">
      <c r="B15" s="8" t="inlineStr">
        <is>
          <t>Opex</t>
        </is>
      </c>
    </row>
    <row r="16" ht="18" customHeight="1" s="35" thickBot="1"/>
    <row r="17" ht="18" customHeight="1" s="35" thickBot="1">
      <c r="B17" s="4" t="inlineStr">
        <is>
          <t>Equipment</t>
        </is>
      </c>
      <c r="C17" s="2" t="inlineStr">
        <is>
          <t>Block heat duty (cal/sec)</t>
        </is>
      </c>
      <c r="D17" s="4" t="inlineStr">
        <is>
          <t>Annual operating cost</t>
        </is>
      </c>
    </row>
    <row r="18">
      <c r="B18" s="5" t="inlineStr">
        <is>
          <t>LIME-DS</t>
        </is>
      </c>
      <c r="C18" s="62" t="n">
        <v>50.728126</v>
      </c>
      <c r="D18" s="36">
        <f>C18*C31*C28</f>
        <v/>
      </c>
    </row>
    <row r="19">
      <c r="B19" s="6" t="inlineStr">
        <is>
          <t>SCRUBBER</t>
        </is>
      </c>
      <c r="C19" s="58" t="n">
        <v>9004.811009999999</v>
      </c>
      <c r="D19" s="36">
        <f>C19*C31*C28</f>
        <v/>
      </c>
    </row>
    <row r="20">
      <c r="B20" s="6" t="inlineStr">
        <is>
          <t>GYP-CR</t>
        </is>
      </c>
      <c r="C20" s="58" t="n">
        <v>942.796602</v>
      </c>
      <c r="D20" s="36">
        <f>C20*C31*C28</f>
        <v/>
      </c>
    </row>
    <row r="21">
      <c r="B21" s="6" t="inlineStr">
        <is>
          <t>GAS-SP</t>
        </is>
      </c>
      <c r="C21" s="58" t="n">
        <v>-1608.62487</v>
      </c>
      <c r="D21" s="36">
        <f>C21*C30*C28</f>
        <v/>
      </c>
    </row>
    <row r="22" ht="18" customHeight="1" s="35" thickBot="1">
      <c r="B22" s="6" t="inlineStr">
        <is>
          <t>GYP-SP</t>
        </is>
      </c>
      <c r="C22" s="63" t="n">
        <v>0.675067257</v>
      </c>
      <c r="D22" s="36">
        <f>C22*C31*C28</f>
        <v/>
      </c>
    </row>
    <row r="23" ht="18" customHeight="1" s="35" thickBot="1">
      <c r="B23" s="4" t="inlineStr">
        <is>
          <t>Total</t>
        </is>
      </c>
      <c r="C23" s="38" t="n"/>
      <c r="D23" s="53">
        <f>SUM(D18:D22)</f>
        <v/>
      </c>
    </row>
    <row r="27" ht="18" customHeight="1" s="35" thickBot="1"/>
    <row r="28" ht="18" customHeight="1" s="35" thickBot="1">
      <c r="B28" s="5" t="inlineStr">
        <is>
          <t>Annual operating hours [sec/yr]</t>
        </is>
      </c>
      <c r="C28" s="2">
        <f>8500*3600</f>
        <v/>
      </c>
      <c r="D28" s="4" t="n">
        <v>8500</v>
      </c>
    </row>
    <row r="29">
      <c r="B29" s="42" t="inlineStr">
        <is>
          <t>Electricity cost [$/kWh]</t>
        </is>
      </c>
      <c r="C29" s="55">
        <f>'Desulf revenue'!O14</f>
        <v/>
      </c>
    </row>
    <row r="30">
      <c r="A30" s="8" t="inlineStr">
        <is>
          <t>-</t>
        </is>
      </c>
      <c r="B30" s="42" t="inlineStr">
        <is>
          <t>Cooling price [$/cal]</t>
        </is>
      </c>
      <c r="C30" s="70">
        <f>(-1)*'Desulf revenue'!O15</f>
        <v/>
      </c>
    </row>
    <row r="31" ht="18" customHeight="1" s="35" thickBot="1">
      <c r="A31" s="8" t="inlineStr">
        <is>
          <t>+</t>
        </is>
      </c>
      <c r="B31" s="43" t="inlineStr">
        <is>
          <t>Heating price [$/cal]</t>
        </is>
      </c>
      <c r="C31" s="71">
        <f>'Desulf revenue'!O16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34"/>
  <sheetViews>
    <sheetView topLeftCell="B1" workbookViewId="0">
      <selection activeCell="K25" sqref="K25"/>
    </sheetView>
  </sheetViews>
  <sheetFormatPr baseColWidth="8" defaultRowHeight="17.4"/>
  <cols>
    <col width="55.8984375" bestFit="1" customWidth="1" style="35" min="2" max="2"/>
    <col width="7.8984375" bestFit="1" customWidth="1" style="35" min="4" max="4"/>
    <col width="16.59765625" bestFit="1" customWidth="1" style="35" min="5" max="5"/>
    <col width="46.69921875" bestFit="1" customWidth="1" style="35" min="9" max="9"/>
    <col width="18.3984375" bestFit="1" customWidth="1" style="35" min="10" max="10"/>
    <col width="14.19921875" bestFit="1" customWidth="1" style="35" min="11" max="11"/>
  </cols>
  <sheetData>
    <row r="3" ht="18" customHeight="1" s="35" thickBot="1">
      <c r="B3" s="9" t="inlineStr">
        <is>
          <t>EAC (B.P)</t>
        </is>
      </c>
      <c r="C3" s="10" t="n"/>
      <c r="D3" s="10" t="n"/>
      <c r="E3" s="10" t="n"/>
      <c r="I3" s="75" t="inlineStr">
        <is>
          <t>TPC (BP)</t>
        </is>
      </c>
      <c r="J3" s="76" t="n"/>
      <c r="K3" s="76" t="n"/>
    </row>
    <row r="4" ht="18" customHeight="1" s="35" thickBot="1">
      <c r="B4" s="77" t="inlineStr">
        <is>
          <t xml:space="preserve">Classification </t>
        </is>
      </c>
      <c r="C4" s="78" t="inlineStr">
        <is>
          <t>% of FCI</t>
        </is>
      </c>
      <c r="D4" s="79" t="inlineStr">
        <is>
          <t xml:space="preserve">Used </t>
        </is>
      </c>
      <c r="E4" s="80" t="inlineStr">
        <is>
          <t>Value</t>
        </is>
      </c>
      <c r="I4" s="77" t="inlineStr">
        <is>
          <t>Classification</t>
        </is>
      </c>
      <c r="J4" s="81" t="inlineStr">
        <is>
          <t>Range</t>
        </is>
      </c>
      <c r="K4" s="27" t="inlineStr">
        <is>
          <t>Value</t>
        </is>
      </c>
    </row>
    <row r="5">
      <c r="B5" s="82" t="inlineStr">
        <is>
          <t>Direct cost</t>
        </is>
      </c>
      <c r="C5" s="83" t="n"/>
      <c r="D5" s="76" t="n"/>
      <c r="E5" s="84" t="n"/>
      <c r="I5" s="85" t="inlineStr">
        <is>
          <t>Fixed charge(FC) = FCI * 0.08</t>
        </is>
      </c>
      <c r="J5" s="86" t="n"/>
      <c r="K5" s="87" t="n"/>
    </row>
    <row r="6">
      <c r="B6" s="82" t="inlineStr">
        <is>
          <t>ISBL (Inside battery limit, 전체공사구역 중 주 공정시설)</t>
        </is>
      </c>
      <c r="C6" s="83" t="n"/>
      <c r="D6" s="76" t="n"/>
      <c r="E6" s="88" t="n"/>
      <c r="I6" s="83" t="inlineStr">
        <is>
          <t>Local taxes, Insurance</t>
        </is>
      </c>
      <c r="J6" s="89" t="inlineStr">
        <is>
          <t>8% of FCI</t>
        </is>
      </c>
      <c r="K6" s="90">
        <f>SUM(E29*0.01)</f>
        <v/>
      </c>
    </row>
    <row r="7">
      <c r="B7" s="88" t="inlineStr">
        <is>
          <t xml:space="preserve">Equipment cost &lt;&lt; 직접 구하길 </t>
        </is>
      </c>
      <c r="C7" s="83" t="inlineStr">
        <is>
          <t>20-40</t>
        </is>
      </c>
      <c r="D7" s="91" t="n">
        <v>30</v>
      </c>
      <c r="E7" s="92">
        <f>Desulf!I10</f>
        <v/>
      </c>
      <c r="I7" s="93" t="inlineStr">
        <is>
          <t>Direct production cost (DPC)</t>
        </is>
      </c>
      <c r="J7" s="94" t="n"/>
      <c r="K7" s="90" t="n"/>
    </row>
    <row r="8">
      <c r="B8" s="88" t="inlineStr">
        <is>
          <t>Installation of equipment = FCI * 0.1</t>
        </is>
      </c>
      <c r="C8" s="83" t="inlineStr">
        <is>
          <t>7.3-26</t>
        </is>
      </c>
      <c r="D8" s="76" t="n">
        <v>10</v>
      </c>
      <c r="E8" s="88">
        <f>SUM(E29*0.1)</f>
        <v/>
      </c>
      <c r="I8" s="95" t="inlineStr">
        <is>
          <t>Carbon tax</t>
        </is>
      </c>
      <c r="J8" s="94" t="inlineStr">
        <is>
          <t>-</t>
        </is>
      </c>
      <c r="K8" s="96" t="inlineStr">
        <is>
          <t>-</t>
        </is>
      </c>
    </row>
    <row r="9">
      <c r="B9" s="88" t="inlineStr">
        <is>
          <t>Instrument and control = FCI * 0.05</t>
        </is>
      </c>
      <c r="C9" s="83" t="inlineStr">
        <is>
          <t>2.5-7.0</t>
        </is>
      </c>
      <c r="D9" s="76" t="n">
        <v>5</v>
      </c>
      <c r="E9" s="88">
        <f>SUM(E29*0.05)</f>
        <v/>
      </c>
      <c r="I9" s="94" t="inlineStr">
        <is>
          <t xml:space="preserve">Raw materials </t>
        </is>
      </c>
      <c r="J9" s="94" t="inlineStr">
        <is>
          <t>-</t>
        </is>
      </c>
      <c r="K9" s="97">
        <f>Desulf!D23</f>
        <v/>
      </c>
    </row>
    <row r="10">
      <c r="B10" s="88" t="inlineStr">
        <is>
          <t>Piping = FCI * 0.1</t>
        </is>
      </c>
      <c r="C10" s="83" t="inlineStr">
        <is>
          <t>3.0-15</t>
        </is>
      </c>
      <c r="D10" s="76" t="n">
        <v>10</v>
      </c>
      <c r="E10" s="88">
        <f>SUM(E29*0.1)</f>
        <v/>
      </c>
      <c r="I10" s="94" t="inlineStr">
        <is>
          <t>Membrane replacement cost</t>
        </is>
      </c>
      <c r="J10" s="94" t="n"/>
      <c r="K10" s="98" t="inlineStr">
        <is>
          <t>-</t>
        </is>
      </c>
    </row>
    <row r="11">
      <c r="B11" s="88" t="inlineStr">
        <is>
          <t>Electrical = FCI * 0.05</t>
        </is>
      </c>
      <c r="C11" s="83" t="inlineStr">
        <is>
          <t>2.5-9.0</t>
        </is>
      </c>
      <c r="D11" s="76" t="n">
        <v>5</v>
      </c>
      <c r="E11" s="88">
        <f>SUM(E29*0.05)</f>
        <v/>
      </c>
      <c r="I11" s="94" t="inlineStr">
        <is>
          <t>Electricity</t>
        </is>
      </c>
      <c r="J11" s="94" t="inlineStr">
        <is>
          <t>$0.06/kWh</t>
        </is>
      </c>
      <c r="K11" s="99" t="inlineStr">
        <is>
          <t>-</t>
        </is>
      </c>
    </row>
    <row r="12">
      <c r="B12" s="88" t="n"/>
      <c r="C12" s="83" t="n"/>
      <c r="D12" s="76" t="n"/>
      <c r="E12" s="88" t="n"/>
      <c r="I12" s="83" t="inlineStr">
        <is>
          <t>Matinenenance (M) = FC * 0.08</t>
        </is>
      </c>
      <c r="J12" s="100" t="inlineStr">
        <is>
          <t>8% of FCI</t>
        </is>
      </c>
      <c r="K12" s="101">
        <f>SUM(K6*0.04)</f>
        <v/>
      </c>
    </row>
    <row r="13">
      <c r="B13" s="82" t="inlineStr">
        <is>
          <t>OSBL(Outside bettery limit,주공정시설 외 부대시설)</t>
        </is>
      </c>
      <c r="C13" s="83" t="n"/>
      <c r="D13" s="76" t="n"/>
      <c r="E13" s="88" t="n"/>
      <c r="I13" s="83" t="inlineStr">
        <is>
          <t>Operating labor (OL) = TPC * 0.15</t>
        </is>
      </c>
      <c r="J13" s="94" t="inlineStr">
        <is>
          <t>15% of OPEX</t>
        </is>
      </c>
      <c r="K13" s="90">
        <f>SUM(K25*0.15)</f>
        <v/>
      </c>
    </row>
    <row r="14">
      <c r="B14" s="88" t="inlineStr">
        <is>
          <t>Building and building services = FCI * 0.08</t>
        </is>
      </c>
      <c r="C14" s="83" t="inlineStr">
        <is>
          <t>6.0-20</t>
        </is>
      </c>
      <c r="D14" s="76" t="n">
        <v>8</v>
      </c>
      <c r="E14" s="88">
        <f>SUM(E29*0.08)</f>
        <v/>
      </c>
      <c r="I14" s="83" t="inlineStr">
        <is>
          <t>Supervision and support labor (S) = labor * 0.3</t>
        </is>
      </c>
      <c r="J14" s="94" t="inlineStr">
        <is>
          <t>30% of OL</t>
        </is>
      </c>
      <c r="K14" s="90">
        <f>SUM(K13*0.3)</f>
        <v/>
      </c>
    </row>
    <row r="15">
      <c r="B15" s="88" t="inlineStr">
        <is>
          <t>Yard improvements = FCI * 0.02</t>
        </is>
      </c>
      <c r="C15" s="83" t="inlineStr">
        <is>
          <t>1.5-5.0</t>
        </is>
      </c>
      <c r="D15" s="76" t="n">
        <v>2</v>
      </c>
      <c r="E15" s="88">
        <f>SUM(E29*0.02)</f>
        <v/>
      </c>
      <c r="I15" s="83" t="inlineStr">
        <is>
          <t>Operating supplies = maintenance * 0.15</t>
        </is>
      </c>
      <c r="J15" s="94" t="inlineStr">
        <is>
          <t>15% of M</t>
        </is>
      </c>
      <c r="K15" s="90">
        <f>SUM(K12*0.15)</f>
        <v/>
      </c>
    </row>
    <row r="16">
      <c r="B16" s="88" t="inlineStr">
        <is>
          <t>Services facilities = FCI * 0.08</t>
        </is>
      </c>
      <c r="C16" s="83" t="inlineStr">
        <is>
          <t>8.0-35</t>
        </is>
      </c>
      <c r="D16" s="76" t="n">
        <v>8</v>
      </c>
      <c r="E16" s="88">
        <f>SUM(E29*0.08)</f>
        <v/>
      </c>
      <c r="I16" s="83" t="inlineStr">
        <is>
          <t>Laboratory charges = labor * 0.15</t>
        </is>
      </c>
      <c r="J16" s="94" t="inlineStr">
        <is>
          <t>15% of OL</t>
        </is>
      </c>
      <c r="K16" s="90">
        <f>SUM(K13*0.15)</f>
        <v/>
      </c>
    </row>
    <row r="17">
      <c r="B17" s="88" t="inlineStr">
        <is>
          <t>Land = FCI * 0.02</t>
        </is>
      </c>
      <c r="C17" s="83" t="inlineStr">
        <is>
          <t>1.0-2.0</t>
        </is>
      </c>
      <c r="D17" s="76" t="n">
        <v>2</v>
      </c>
      <c r="E17" s="88">
        <f>SUM(E29*0.02)</f>
        <v/>
      </c>
      <c r="I17" s="83" t="n"/>
      <c r="J17" s="94" t="n"/>
      <c r="K17" s="90" t="n"/>
    </row>
    <row r="18">
      <c r="B18" s="88" t="n"/>
      <c r="C18" s="83" t="n"/>
      <c r="D18" s="76" t="n"/>
      <c r="E18" s="88" t="n"/>
      <c r="I18" s="93" t="inlineStr">
        <is>
          <t>Plant overhead cost(OVHD)</t>
        </is>
      </c>
      <c r="J18" s="94" t="inlineStr">
        <is>
          <t>60% of M+OL+S</t>
        </is>
      </c>
      <c r="K18" s="90">
        <f>SUM(0.6*K29)</f>
        <v/>
      </c>
    </row>
    <row r="19">
      <c r="B19" s="82" t="inlineStr">
        <is>
          <t>Total direct cost = FCI * 0.5 + Equipment cost</t>
        </is>
      </c>
      <c r="C19" s="83" t="n"/>
      <c r="D19" s="76" t="n"/>
      <c r="E19" s="88">
        <f>SUM(E7:E17)</f>
        <v/>
      </c>
      <c r="I19" s="83" t="n"/>
      <c r="J19" s="94" t="n"/>
      <c r="K19" s="90" t="n"/>
    </row>
    <row r="20">
      <c r="B20" s="88" t="n"/>
      <c r="C20" s="83" t="n"/>
      <c r="D20" s="76" t="n"/>
      <c r="E20" s="88" t="n"/>
      <c r="I20" s="93" t="inlineStr">
        <is>
          <t>General expenses</t>
        </is>
      </c>
      <c r="J20" s="94" t="n"/>
      <c r="K20" s="90" t="n"/>
    </row>
    <row r="21">
      <c r="B21" s="82" t="inlineStr">
        <is>
          <t>Indirect cost</t>
        </is>
      </c>
      <c r="C21" s="83" t="n"/>
      <c r="D21" s="76" t="n"/>
      <c r="E21" s="88" t="n"/>
      <c r="I21" s="83" t="inlineStr">
        <is>
          <t xml:space="preserve">Admistrative cost </t>
        </is>
      </c>
      <c r="J21" s="94" t="inlineStr">
        <is>
          <t>17.5% of OL</t>
        </is>
      </c>
      <c r="K21" s="90">
        <f>SUM(K13*0.175)</f>
        <v/>
      </c>
    </row>
    <row r="22">
      <c r="B22" s="88" t="inlineStr">
        <is>
          <t>Engineering = FCI * 0.05</t>
        </is>
      </c>
      <c r="C22" s="83" t="inlineStr">
        <is>
          <t>4.0-21</t>
        </is>
      </c>
      <c r="D22" s="76" t="n">
        <v>5</v>
      </c>
      <c r="E22" s="88">
        <f>SUM(E29*0.05)</f>
        <v/>
      </c>
      <c r="I22" s="102" t="inlineStr">
        <is>
          <t>Distribution and marketing</t>
        </is>
      </c>
      <c r="J22" s="94" t="inlineStr">
        <is>
          <t>11% of OPEX</t>
        </is>
      </c>
      <c r="K22" s="90">
        <f>SUM(K25*0.11)</f>
        <v/>
      </c>
    </row>
    <row r="23">
      <c r="B23" s="88" t="inlineStr">
        <is>
          <t>Construction expenses = FCI * 0.05</t>
        </is>
      </c>
      <c r="C23" s="83" t="inlineStr">
        <is>
          <t>4.8-22</t>
        </is>
      </c>
      <c r="D23" s="76" t="n">
        <v>5</v>
      </c>
      <c r="E23" s="88">
        <f>SUM(E29*0.05)</f>
        <v/>
      </c>
      <c r="I23" s="83" t="inlineStr">
        <is>
          <t xml:space="preserve">R&amp;D cost </t>
        </is>
      </c>
      <c r="J23" s="102" t="inlineStr">
        <is>
          <t>3.5% of OPEX</t>
        </is>
      </c>
      <c r="K23" s="90">
        <f>SUM(K25*0.035)</f>
        <v/>
      </c>
    </row>
    <row r="24">
      <c r="B24" s="88" t="inlineStr">
        <is>
          <t>Contractor's fee = FCI * 0.05</t>
        </is>
      </c>
      <c r="C24" s="83" t="inlineStr">
        <is>
          <t>1.5-5.0</t>
        </is>
      </c>
      <c r="D24" s="76" t="n">
        <v>5</v>
      </c>
      <c r="E24" s="88">
        <f>SUM(E29*0.05)</f>
        <v/>
      </c>
      <c r="I24" s="83" t="n"/>
      <c r="J24" s="102" t="n"/>
      <c r="K24" s="90" t="n"/>
    </row>
    <row r="25" ht="18" customHeight="1" s="35" thickBot="1">
      <c r="B25" s="88" t="inlineStr">
        <is>
          <t>Contingency = FCI * 0.05</t>
        </is>
      </c>
      <c r="C25" s="83" t="inlineStr">
        <is>
          <t>5.0-20</t>
        </is>
      </c>
      <c r="D25" s="76" t="n">
        <v>5</v>
      </c>
      <c r="E25" s="88">
        <f>SUM(E29*0.05)</f>
        <v/>
      </c>
      <c r="I25" s="103" t="inlineStr">
        <is>
          <t>TPC</t>
        </is>
      </c>
      <c r="J25" s="103" t="n"/>
      <c r="K25" s="104">
        <f>SUM(K27/0.49425)</f>
        <v/>
      </c>
    </row>
    <row r="26">
      <c r="B26" s="88" t="n"/>
      <c r="C26" s="83" t="n"/>
      <c r="D26" s="76" t="n"/>
      <c r="E26" s="88" t="n"/>
      <c r="I26" s="76" t="n"/>
      <c r="J26" s="76" t="n"/>
      <c r="K26" s="105" t="n"/>
    </row>
    <row r="27">
      <c r="B27" s="82" t="inlineStr">
        <is>
          <t>Total indirect cost = FCI * 0.2</t>
        </is>
      </c>
      <c r="C27" s="83" t="n"/>
      <c r="D27" s="76" t="n"/>
      <c r="E27" s="88">
        <f>SUM(E22:E25)</f>
        <v/>
      </c>
      <c r="I27" s="76" t="n"/>
      <c r="J27" s="76" t="n"/>
      <c r="K27" s="105">
        <f>SUM(K6:K12,K15,0.6*K12)</f>
        <v/>
      </c>
    </row>
    <row r="28">
      <c r="B28" s="88" t="n"/>
      <c r="C28" s="83" t="n"/>
      <c r="D28" s="76" t="n"/>
      <c r="E28" s="88" t="n"/>
      <c r="I28" s="10" t="n"/>
      <c r="J28" s="10" t="n"/>
      <c r="K28" s="105" t="n"/>
    </row>
    <row r="29">
      <c r="B29" s="88" t="inlineStr">
        <is>
          <t>Fixed capital investment (FCI)</t>
        </is>
      </c>
      <c r="C29" s="83" t="n">
        <v>100</v>
      </c>
      <c r="D29" s="76" t="n">
        <v>100</v>
      </c>
      <c r="E29" s="88">
        <f>SUM(E7*100/D7)</f>
        <v/>
      </c>
      <c r="I29" s="10" t="n"/>
      <c r="J29" s="10" t="inlineStr">
        <is>
          <t>OVHD</t>
        </is>
      </c>
      <c r="K29" s="105">
        <f>(K12+K13+K14)</f>
        <v/>
      </c>
    </row>
    <row r="30">
      <c r="B30" s="88" t="inlineStr">
        <is>
          <t>Start up cost (SUC)  = FCI * 0.2</t>
        </is>
      </c>
      <c r="C30" s="83" t="n">
        <v>20</v>
      </c>
      <c r="D30" s="91" t="n">
        <v>20</v>
      </c>
      <c r="E30" s="88">
        <f>SUM(E29*0.2)</f>
        <v/>
      </c>
      <c r="K30" s="106">
        <f>SUM(K6:K23)</f>
        <v/>
      </c>
    </row>
    <row r="31">
      <c r="B31" s="88" t="inlineStr">
        <is>
          <t>Working capital investment (WCI)  = FCI * 0.2</t>
        </is>
      </c>
      <c r="C31" s="83" t="n">
        <v>20</v>
      </c>
      <c r="D31" s="91" t="n">
        <v>20</v>
      </c>
      <c r="E31" s="88">
        <f>SUM(E29*0.2)</f>
        <v/>
      </c>
    </row>
    <row r="32">
      <c r="B32" s="88" t="n"/>
      <c r="C32" s="83" t="n"/>
      <c r="D32" s="76" t="n"/>
      <c r="E32" s="88" t="n"/>
    </row>
    <row r="33">
      <c r="B33" s="82" t="inlineStr">
        <is>
          <t>TCI</t>
        </is>
      </c>
      <c r="C33" s="93" t="inlineStr">
        <is>
          <t>NPV</t>
        </is>
      </c>
      <c r="D33" s="75" t="n"/>
      <c r="E33" s="82">
        <f>SUM(E29:E31)</f>
        <v/>
      </c>
    </row>
    <row r="34" ht="18" customHeight="1" s="35" thickBot="1">
      <c r="B34" s="107" t="inlineStr">
        <is>
          <t>EAC (r=7%, t=25 year)    RP=r, NP=t</t>
        </is>
      </c>
      <c r="C34" s="103" t="inlineStr">
        <is>
          <t>EAC</t>
        </is>
      </c>
      <c r="D34" s="108" t="n"/>
      <c r="E34" s="107">
        <f>SUM(E33/((1-(1/((1.05)^25)))/0.07))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O16"/>
  <sheetViews>
    <sheetView tabSelected="1" workbookViewId="0">
      <selection activeCell="E6" sqref="E6"/>
    </sheetView>
  </sheetViews>
  <sheetFormatPr baseColWidth="8" defaultRowHeight="17.4"/>
  <cols>
    <col width="18.8984375" bestFit="1" customWidth="1" style="35" min="3" max="3"/>
    <col width="17.3984375" bestFit="1" customWidth="1" style="35" min="4" max="4"/>
    <col width="23" customWidth="1" style="35" min="5" max="5"/>
    <col width="20.796875" customWidth="1" style="35" min="14" max="14"/>
  </cols>
  <sheetData>
    <row r="1" ht="18" customHeight="1" s="35" thickBot="1"/>
    <row r="2" ht="18" customHeight="1" s="35" thickBot="1">
      <c r="B2" s="4" t="n"/>
      <c r="C2" s="65" t="inlineStr">
        <is>
          <t>Flow rate [kg/h]</t>
        </is>
      </c>
      <c r="D2" s="37" t="inlineStr">
        <is>
          <t>Cost [USD/tonne]</t>
        </is>
      </c>
      <c r="E2" s="38" t="inlineStr">
        <is>
          <t>Revenue [$/yr]</t>
        </is>
      </c>
    </row>
    <row r="3" ht="18" customHeight="1" s="35" thickBot="1">
      <c r="B3" s="7" t="inlineStr">
        <is>
          <t>CALCI-02</t>
        </is>
      </c>
      <c r="C3" s="66" t="n">
        <v>4.41861111</v>
      </c>
      <c r="D3" s="64">
        <f>O12*1000</f>
        <v/>
      </c>
      <c r="E3" s="67">
        <f>C4*D3*8500</f>
        <v/>
      </c>
    </row>
    <row r="4">
      <c r="B4" s="0" t="inlineStr">
        <is>
          <t>ton/h</t>
        </is>
      </c>
      <c r="C4" s="0">
        <f>C3*0.001</f>
        <v/>
      </c>
      <c r="N4" s="0" t="inlineStr">
        <is>
          <t>Selling price</t>
        </is>
      </c>
    </row>
    <row r="5">
      <c r="N5" s="0" t="inlineStr">
        <is>
          <t>H2 [USD/kg]</t>
        </is>
      </c>
      <c r="O5" s="0" t="n">
        <v>1.6</v>
      </c>
    </row>
    <row r="6">
      <c r="N6" s="0" t="inlineStr">
        <is>
          <t>CH4 [USD/kg]</t>
        </is>
      </c>
      <c r="O6" s="0" t="n">
        <v>0.636</v>
      </c>
    </row>
    <row r="7">
      <c r="N7" s="0" t="inlineStr">
        <is>
          <t>C2H6,C2H4 [USD/kg]</t>
        </is>
      </c>
      <c r="O7" s="0" t="n">
        <v>0.5600000000000001</v>
      </c>
    </row>
    <row r="8">
      <c r="N8" s="0" t="inlineStr">
        <is>
          <t>C4~C9 (납사) [USD/kg]</t>
        </is>
      </c>
      <c r="O8" s="0" t="n">
        <v>0.7</v>
      </c>
    </row>
    <row r="9">
      <c r="N9" s="0" t="inlineStr">
        <is>
          <t>C10~C16 (디젤) [USD/kg]</t>
        </is>
      </c>
      <c r="O9" s="0" t="n">
        <v>1.457142857</v>
      </c>
    </row>
    <row r="10">
      <c r="N10" s="0" t="inlineStr">
        <is>
          <t>CaCO3 [USD/kg]</t>
        </is>
      </c>
      <c r="O10" s="0" t="n">
        <v>0.37</v>
      </c>
    </row>
    <row r="11">
      <c r="N11" s="0" t="inlineStr">
        <is>
          <t>MgCO3 [USD/kg]</t>
        </is>
      </c>
      <c r="O11" s="68" t="n">
        <v>0.7</v>
      </c>
    </row>
    <row r="12">
      <c r="N12" s="0" t="inlineStr">
        <is>
          <t>Gypsum [USD/kg]</t>
        </is>
      </c>
      <c r="O12" s="68" t="n">
        <v>0.5</v>
      </c>
    </row>
    <row r="13">
      <c r="N13" s="0" t="inlineStr">
        <is>
          <t>HCL [USD/kg]</t>
        </is>
      </c>
      <c r="O13" s="68" t="n">
        <v>15000</v>
      </c>
    </row>
    <row r="14">
      <c r="N14" s="0" t="inlineStr">
        <is>
          <t>Electricity [USD/kWh]</t>
        </is>
      </c>
      <c r="O14" s="0" t="n">
        <v>0.18</v>
      </c>
    </row>
    <row r="15">
      <c r="N15" s="0" t="inlineStr">
        <is>
          <t>Cooling price [USD/cal]</t>
        </is>
      </c>
      <c r="O15" s="69" t="n">
        <v>2.92e-07</v>
      </c>
    </row>
    <row r="16">
      <c r="N16" s="0" t="inlineStr">
        <is>
          <t>Heating price [USD/cal]</t>
        </is>
      </c>
      <c r="O16" s="69" t="n">
        <v>2.92e-07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PSID_17</dc:creator>
  <dcterms:created xsi:type="dcterms:W3CDTF">2023-07-27T05:08:20Z</dcterms:created>
  <dcterms:modified xsi:type="dcterms:W3CDTF">2023-12-12T16:14:07Z</dcterms:modified>
  <cp:lastModifiedBy>PSID_PC22</cp:lastModifiedBy>
</cp:coreProperties>
</file>