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44" yWindow="2316" windowWidth="17280" windowHeight="8964" tabRatio="600" firstSheet="0" activeTab="2" autoFilterDateGrouping="1"/>
  </bookViews>
  <sheets>
    <sheet name="Plastic" sheetId="1" state="visible" r:id="rId1"/>
    <sheet name="Plastic EAC&amp;TPC" sheetId="2" state="visible" r:id="rId2"/>
    <sheet name="Revenu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.00_-;\-* #,##0.00_-;_-* &quot;-&quot;_-;_-@_-"/>
  </numFmts>
  <fonts count="1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Arial"/>
      <family val="2"/>
      <color theme="1"/>
      <sz val="11"/>
    </font>
    <font>
      <name val="맑은 고딕"/>
      <charset val="129"/>
      <family val="3"/>
      <b val="1"/>
      <color theme="1"/>
      <sz val="11"/>
      <scheme val="minor"/>
    </font>
    <font>
      <name val="맑은 고딕"/>
      <family val="2"/>
      <color rgb="FFFF0000"/>
      <sz val="11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2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color theme="1"/>
      <sz val="11"/>
      <scheme val="minor"/>
    </font>
    <font>
      <name val="Arial"/>
      <family val="2"/>
      <i val="1"/>
      <color theme="1"/>
      <sz val="11"/>
    </font>
    <font>
      <name val="맑은 고딕"/>
      <charset val="129"/>
      <family val="2"/>
      <color theme="4" tint="-0.249977111117893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family val="2"/>
      <color theme="0" tint="-0.249977111117893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123">
    <xf numFmtId="0" fontId="0" fillId="0" borderId="0" applyAlignment="1" pivotButton="0" quotePrefix="0" xfId="0">
      <alignment vertical="center"/>
    </xf>
    <xf numFmtId="0" fontId="3" fillId="0" borderId="1" pivotButton="0" quotePrefix="0" xfId="0"/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14" applyAlignment="1" pivotButton="0" quotePrefix="0" xfId="1">
      <alignment horizontal="left"/>
    </xf>
    <xf numFmtId="164" fontId="0" fillId="0" borderId="1" applyAlignment="1" pivotButton="0" quotePrefix="0" xfId="1">
      <alignment horizontal="left" vertical="center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5" fillId="0" borderId="0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4" fillId="0" borderId="0" applyAlignment="1" pivotButton="0" quotePrefix="0" xfId="1">
      <alignment horizontal="left"/>
    </xf>
    <xf numFmtId="164" fontId="4" fillId="0" borderId="12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4" fontId="4" fillId="0" borderId="7" applyAlignment="1" pivotButton="0" quotePrefix="0" xfId="1">
      <alignment horizontal="left"/>
    </xf>
    <xf numFmtId="164" fontId="0" fillId="0" borderId="9" applyAlignment="1" pivotButton="0" quotePrefix="0" xfId="1">
      <alignment horizontal="left"/>
    </xf>
    <xf numFmtId="0" fontId="0" fillId="0" borderId="1" applyAlignment="1" pivotButton="0" quotePrefix="0" xfId="1">
      <alignment horizontal="left" vertical="center"/>
    </xf>
    <xf numFmtId="164" fontId="4" fillId="0" borderId="2" applyAlignment="1" pivotButton="0" quotePrefix="0" xfId="1">
      <alignment horizontal="left"/>
    </xf>
    <xf numFmtId="164" fontId="0" fillId="0" borderId="2" applyAlignment="1" pivotButton="0" quotePrefix="0" xfId="1">
      <alignment horizontal="left"/>
    </xf>
    <xf numFmtId="164" fontId="5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4" fontId="8" fillId="0" borderId="4" applyAlignment="1" pivotButton="0" quotePrefix="0" xfId="1">
      <alignment horizontal="left"/>
    </xf>
    <xf numFmtId="164" fontId="9" fillId="0" borderId="4" applyAlignment="1" pivotButton="0" quotePrefix="0" xfId="1">
      <alignment horizontal="left"/>
    </xf>
    <xf numFmtId="0" fontId="0" fillId="0" borderId="0" pivotButton="0" quotePrefix="0" xfId="0"/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4" borderId="9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4" borderId="7" applyAlignment="1" pivotButton="0" quotePrefix="0" xfId="0">
      <alignment vertical="center"/>
    </xf>
    <xf numFmtId="164" fontId="0" fillId="0" borderId="6" pivotButton="0" quotePrefix="0" xfId="1"/>
    <xf numFmtId="164" fontId="0" fillId="0" borderId="7" pivotButton="0" quotePrefix="0" xfId="1"/>
    <xf numFmtId="164" fontId="0" fillId="0" borderId="8" applyAlignment="1" pivotButton="0" quotePrefix="0" xfId="0">
      <alignment vertical="center"/>
    </xf>
    <xf numFmtId="0" fontId="0" fillId="2" borderId="15" applyAlignment="1" pivotButton="0" quotePrefix="0" xfId="0">
      <alignment vertical="center"/>
    </xf>
    <xf numFmtId="164" fontId="0" fillId="2" borderId="11" applyAlignment="1" pivotButton="0" quotePrefix="0" xfId="1">
      <alignment horizontal="left"/>
    </xf>
    <xf numFmtId="0" fontId="1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164" fontId="0" fillId="0" borderId="7" applyAlignment="1" pivotButton="0" quotePrefix="0" xfId="1">
      <alignment horizontal="right"/>
    </xf>
    <xf numFmtId="165" fontId="0" fillId="0" borderId="10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5" fontId="7" fillId="0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/>
    </xf>
    <xf numFmtId="165" fontId="0" fillId="0" borderId="11" applyAlignment="1" pivotButton="0" quotePrefix="0" xfId="1">
      <alignment horizontal="left" vertical="top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165" fontId="0" fillId="0" borderId="0" pivotButton="0" quotePrefix="0" xfId="0"/>
    <xf numFmtId="165" fontId="6" fillId="0" borderId="11" applyAlignment="1" pivotButton="0" quotePrefix="0" xfId="1">
      <alignment horizontal="right" vertical="center" wrapText="1"/>
    </xf>
    <xf numFmtId="0" fontId="0" fillId="3" borderId="1" applyAlignment="1" pivotButton="0" quotePrefix="0" xfId="0">
      <alignment vertical="center"/>
    </xf>
    <xf numFmtId="165" fontId="6" fillId="3" borderId="11" applyAlignment="1" pivotButton="0" quotePrefix="0" xfId="1">
      <alignment horizontal="right"/>
    </xf>
    <xf numFmtId="0" fontId="12" fillId="0" borderId="0" applyAlignment="1" pivotButton="0" quotePrefix="0" xfId="0">
      <alignment horizontal="right" vertical="center"/>
    </xf>
    <xf numFmtId="0" fontId="12" fillId="0" borderId="11" applyAlignment="1" pivotButton="0" quotePrefix="0" xfId="0">
      <alignment vertical="center"/>
    </xf>
    <xf numFmtId="164" fontId="4" fillId="5" borderId="12" applyAlignment="1" pivotButton="0" quotePrefix="0" xfId="1">
      <alignment horizontal="left"/>
    </xf>
    <xf numFmtId="0" fontId="0" fillId="5" borderId="10" applyAlignment="1" pivotButton="0" quotePrefix="0" xfId="0">
      <alignment vertical="center"/>
    </xf>
    <xf numFmtId="0" fontId="7" fillId="5" borderId="11" applyAlignment="1" pivotButton="0" quotePrefix="0" xfId="0">
      <alignment vertical="center"/>
    </xf>
    <xf numFmtId="0" fontId="11" fillId="5" borderId="11" applyAlignment="1" pivotButton="0" quotePrefix="0" xfId="0">
      <alignment vertical="center"/>
    </xf>
    <xf numFmtId="164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6" borderId="16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13" fillId="0" borderId="0" pivotButton="0" quotePrefix="0" xfId="0"/>
    <xf numFmtId="11" fontId="13" fillId="0" borderId="0" pivotButton="0" quotePrefix="0" xfId="0"/>
    <xf numFmtId="11" fontId="0" fillId="0" borderId="5" pivotButton="0" quotePrefix="0" xfId="0"/>
    <xf numFmtId="11" fontId="0" fillId="0" borderId="8" pivotButton="0" quotePrefix="0" xfId="0"/>
    <xf numFmtId="164" fontId="0" fillId="0" borderId="6" pivotButton="0" quotePrefix="0" xfId="1"/>
    <xf numFmtId="164" fontId="0" fillId="0" borderId="7" applyAlignment="1" pivotButton="0" quotePrefix="0" xfId="1">
      <alignment horizontal="right"/>
    </xf>
    <xf numFmtId="164" fontId="0" fillId="0" borderId="7" pivotButton="0" quotePrefix="0" xfId="1"/>
    <xf numFmtId="164" fontId="0" fillId="0" borderId="8" applyAlignment="1" pivotButton="0" quotePrefix="0" xfId="0">
      <alignment vertical="center"/>
    </xf>
    <xf numFmtId="164" fontId="0" fillId="0" borderId="0" pivotButton="0" quotePrefix="0" xfId="0"/>
    <xf numFmtId="164" fontId="4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1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14" applyAlignment="1" pivotButton="0" quotePrefix="0" xfId="1">
      <alignment horizontal="left"/>
    </xf>
    <xf numFmtId="164" fontId="0" fillId="0" borderId="1" applyAlignment="1" pivotButton="0" quotePrefix="0" xfId="1">
      <alignment horizontal="left" vertical="center"/>
    </xf>
    <xf numFmtId="164" fontId="0" fillId="0" borderId="9" applyAlignment="1" pivotButton="0" quotePrefix="0" xfId="1">
      <alignment horizontal="left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4" fillId="0" borderId="2" applyAlignment="1" pivotButton="0" quotePrefix="0" xfId="1">
      <alignment horizontal="left"/>
    </xf>
    <xf numFmtId="164" fontId="0" fillId="0" borderId="2" applyAlignment="1" pivotButton="0" quotePrefix="0" xfId="1">
      <alignment horizontal="left"/>
    </xf>
    <xf numFmtId="165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5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4" fontId="5" fillId="0" borderId="0" applyAlignment="1" pivotButton="0" quotePrefix="0" xfId="1">
      <alignment horizontal="left"/>
    </xf>
    <xf numFmtId="164" fontId="0" fillId="2" borderId="11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5" fontId="7" fillId="0" borderId="11" applyAlignment="1" pivotButton="0" quotePrefix="0" xfId="1">
      <alignment horizontal="right"/>
    </xf>
    <xf numFmtId="165" fontId="6" fillId="3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 vertical="center" wrapText="1"/>
    </xf>
    <xf numFmtId="164" fontId="8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 vertical="top"/>
    </xf>
    <xf numFmtId="164" fontId="9" fillId="0" borderId="4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165" fontId="0" fillId="0" borderId="0" pivotButton="0" quotePrefix="0" xfId="0"/>
    <xf numFmtId="164" fontId="4" fillId="0" borderId="12" applyAlignment="1" pivotButton="0" quotePrefix="0" xfId="1">
      <alignment horizontal="left"/>
    </xf>
    <xf numFmtId="164" fontId="4" fillId="0" borderId="7" applyAlignment="1" pivotButton="0" quotePrefix="0" xfId="1">
      <alignment horizontal="left"/>
    </xf>
    <xf numFmtId="164" fontId="4" fillId="5" borderId="12" applyAlignment="1" pivotButton="0" quotePrefix="0" xfId="1">
      <alignment horizontal="left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1"/>
  <sheetViews>
    <sheetView topLeftCell="A10" zoomScale="85" zoomScaleNormal="85" workbookViewId="0">
      <selection activeCell="D38" sqref="D38"/>
    </sheetView>
  </sheetViews>
  <sheetFormatPr baseColWidth="8" defaultRowHeight="17.4"/>
  <cols>
    <col width="29" bestFit="1" customWidth="1" style="40" min="2" max="2"/>
    <col width="27" bestFit="1" customWidth="1" style="40" min="3" max="3"/>
    <col width="24" bestFit="1" customWidth="1" style="40" min="4" max="4"/>
    <col width="18" bestFit="1" customWidth="1" style="40" min="5" max="5"/>
    <col width="14.59765625" customWidth="1" style="40" min="6" max="6"/>
    <col width="23.69921875" bestFit="1" customWidth="1" style="40" min="7" max="7"/>
    <col width="14.3984375" bestFit="1" customWidth="1" style="40" min="8" max="8"/>
    <col width="17.69921875" bestFit="1" customWidth="1" style="40" min="9" max="9"/>
    <col width="60.8984375" bestFit="1" customWidth="1" style="40" min="10" max="10"/>
  </cols>
  <sheetData>
    <row r="2">
      <c r="B2" s="13" t="inlineStr">
        <is>
          <t>Capex</t>
        </is>
      </c>
    </row>
    <row r="3" ht="17.25" customHeight="1" s="40" thickBot="1"/>
    <row r="4" ht="17.25" customHeight="1" s="40" thickBot="1">
      <c r="B4" s="8" t="inlineStr">
        <is>
          <t>Equipment</t>
        </is>
      </c>
      <c r="C4" s="1" t="inlineStr">
        <is>
          <t>Reference equpment cost ($)</t>
        </is>
      </c>
      <c r="D4" s="1" t="inlineStr">
        <is>
          <t xml:space="preserve">Scale paramter </t>
        </is>
      </c>
      <c r="E4" s="1" t="inlineStr">
        <is>
          <t>Refernece capacity</t>
        </is>
      </c>
      <c r="F4" s="1" t="inlineStr">
        <is>
          <t xml:space="preserve">Capacity </t>
        </is>
      </c>
      <c r="G4" s="1" t="inlineStr">
        <is>
          <t>Capacity correction factor</t>
        </is>
      </c>
      <c r="H4" s="1" t="inlineStr">
        <is>
          <t>Refernece year</t>
        </is>
      </c>
      <c r="I4" s="1" t="inlineStr">
        <is>
          <t>Equipment cost ($)</t>
        </is>
      </c>
      <c r="J4" s="1" t="inlineStr">
        <is>
          <t>Ref</t>
        </is>
      </c>
    </row>
    <row r="5">
      <c r="B5" s="10" t="inlineStr">
        <is>
          <t>HDPE</t>
        </is>
      </c>
      <c r="C5" s="2" t="n">
        <v>2100</v>
      </c>
      <c r="D5" s="54" t="inlineStr">
        <is>
          <t>Feed flow rate (kg/h)</t>
        </is>
      </c>
      <c r="E5" s="9" t="n">
        <v>4.79</v>
      </c>
      <c r="F5" s="43" t="n">
        <v>86</v>
      </c>
      <c r="G5" s="9" t="n">
        <v>0.78</v>
      </c>
      <c r="H5" s="9" t="n">
        <v>1990</v>
      </c>
      <c r="I5" s="3">
        <f>C5*(F5/E5)^G5*595.6/357.6</f>
        <v/>
      </c>
      <c r="J5" s="10" t="inlineStr">
        <is>
          <t>Design cost factors for scaling up engineering equipment</t>
        </is>
      </c>
    </row>
    <row r="6">
      <c r="B6" s="11" t="inlineStr">
        <is>
          <t>LDPE</t>
        </is>
      </c>
      <c r="C6" s="4" t="n">
        <v>2100</v>
      </c>
      <c r="D6" s="55" t="inlineStr">
        <is>
          <t>Feed flow rate (kg/h)</t>
        </is>
      </c>
      <c r="E6" s="0" t="n">
        <v>4.79</v>
      </c>
      <c r="F6" s="44" t="n">
        <v>170</v>
      </c>
      <c r="G6" s="0" t="n">
        <v>0.78</v>
      </c>
      <c r="H6" s="0" t="n">
        <v>1990</v>
      </c>
      <c r="I6" s="5">
        <f>C6*(F6/E6)^G6*595.6/357.6</f>
        <v/>
      </c>
      <c r="J6" s="11" t="inlineStr">
        <is>
          <t>Design cost factors for scaling up engineering equipment</t>
        </is>
      </c>
    </row>
    <row r="7">
      <c r="B7" s="11" t="inlineStr">
        <is>
          <t>PP</t>
        </is>
      </c>
      <c r="C7" s="4" t="n">
        <v>2100</v>
      </c>
      <c r="D7" s="55" t="inlineStr">
        <is>
          <t>Feed flow rate (kg/h)</t>
        </is>
      </c>
      <c r="E7" s="0" t="n">
        <v>4.79</v>
      </c>
      <c r="F7" s="44" t="n">
        <v>66</v>
      </c>
      <c r="G7" s="0" t="n">
        <v>0.78</v>
      </c>
      <c r="H7" s="0" t="n">
        <v>1990</v>
      </c>
      <c r="I7" s="5">
        <f>C7*(F7/E7)^G7*595.6/357.6</f>
        <v/>
      </c>
      <c r="J7" s="11" t="inlineStr">
        <is>
          <t>Design cost factors for scaling up engineering equipment</t>
        </is>
      </c>
    </row>
    <row r="8">
      <c r="B8" s="11" t="inlineStr">
        <is>
          <t>PS</t>
        </is>
      </c>
      <c r="C8" s="4" t="n">
        <v>2100</v>
      </c>
      <c r="D8" s="55" t="inlineStr">
        <is>
          <t>Feed flow rate (kg/h)</t>
        </is>
      </c>
      <c r="E8" s="0" t="n">
        <v>4.79</v>
      </c>
      <c r="F8" s="44" t="n">
        <v>66</v>
      </c>
      <c r="G8" s="0" t="n">
        <v>0.78</v>
      </c>
      <c r="H8" s="0" t="n">
        <v>1990</v>
      </c>
      <c r="I8" s="5">
        <f>C8*(F8/E8)^G8*595.6/357.6</f>
        <v/>
      </c>
      <c r="J8" s="11" t="inlineStr">
        <is>
          <t>Design cost factors for scaling up engineering equipment</t>
        </is>
      </c>
    </row>
    <row r="9">
      <c r="B9" s="11" t="inlineStr">
        <is>
          <t>MIXER</t>
        </is>
      </c>
      <c r="C9" s="4" t="inlineStr">
        <is>
          <t>-</t>
        </is>
      </c>
      <c r="D9" s="55" t="inlineStr">
        <is>
          <t>-</t>
        </is>
      </c>
      <c r="E9" s="0" t="inlineStr">
        <is>
          <t>-</t>
        </is>
      </c>
      <c r="F9" s="0" t="inlineStr">
        <is>
          <t>-</t>
        </is>
      </c>
      <c r="G9" s="0" t="inlineStr">
        <is>
          <t>-</t>
        </is>
      </c>
      <c r="I9" s="5" t="n"/>
      <c r="J9" s="11" t="n"/>
    </row>
    <row r="10">
      <c r="B10" s="69" t="inlineStr">
        <is>
          <t>HEATER</t>
        </is>
      </c>
      <c r="C10" s="4" t="n">
        <v>1500</v>
      </c>
      <c r="D10" s="68" t="inlineStr">
        <is>
          <t>Heat transfer area (m^2)</t>
        </is>
      </c>
      <c r="E10" s="0" t="n">
        <v>2</v>
      </c>
      <c r="F10" s="44" t="n">
        <v>0.261696915</v>
      </c>
      <c r="G10" s="0" t="n">
        <v>0.59</v>
      </c>
      <c r="H10" s="0" t="n">
        <v>2006</v>
      </c>
      <c r="I10" s="5">
        <f>C10*(F10/E10)^G10*595.6/499.6</f>
        <v/>
      </c>
      <c r="J10" s="11" t="inlineStr">
        <is>
          <t>DACE. Prijzenboekje Dutch Association of Cost Engineers; 2002.</t>
        </is>
      </c>
    </row>
    <row r="11">
      <c r="B11" s="11" t="inlineStr">
        <is>
          <t>RPLUG</t>
        </is>
      </c>
      <c r="C11" s="4" t="n">
        <v>14100</v>
      </c>
      <c r="D11" s="55" t="inlineStr">
        <is>
          <t>Feed flow rate (kg/h)</t>
        </is>
      </c>
      <c r="E11" s="0" t="n">
        <v>4.79</v>
      </c>
      <c r="F11" s="44" t="n">
        <v>388</v>
      </c>
      <c r="G11" s="0" t="n">
        <v>0.7</v>
      </c>
      <c r="H11" s="0" t="n">
        <v>1990</v>
      </c>
      <c r="I11" s="5">
        <f>C11*(F11/E11)^G11*595.6/357.6</f>
        <v/>
      </c>
      <c r="J11" s="11" t="inlineStr">
        <is>
          <t>Design cost factors for scalingup engineering equipment</t>
        </is>
      </c>
    </row>
    <row r="12">
      <c r="B12" s="11" t="inlineStr">
        <is>
          <t>RPYRO</t>
        </is>
      </c>
      <c r="C12" s="4" t="n">
        <v>2100</v>
      </c>
      <c r="D12" s="55" t="inlineStr">
        <is>
          <t>Feed flow rate (kg/h)</t>
        </is>
      </c>
      <c r="E12" s="0" t="n">
        <v>4.79</v>
      </c>
      <c r="F12" s="44" t="n">
        <v>388.004847</v>
      </c>
      <c r="G12" s="0" t="n">
        <v>0.78</v>
      </c>
      <c r="H12" s="0" t="n">
        <v>1990</v>
      </c>
      <c r="I12" s="5">
        <f>C12*(F12/E12)^G12*595.6/357.6</f>
        <v/>
      </c>
      <c r="J12" s="11" t="inlineStr">
        <is>
          <t>Design cost factors for scaling up engineering equipment</t>
        </is>
      </c>
    </row>
    <row r="13">
      <c r="B13" s="69" t="inlineStr">
        <is>
          <t>B2</t>
        </is>
      </c>
      <c r="C13" s="4" t="n">
        <v>1500</v>
      </c>
      <c r="D13" s="68" t="inlineStr">
        <is>
          <t>Heat transfer area (m^2)</t>
        </is>
      </c>
      <c r="E13" s="0" t="n">
        <v>2</v>
      </c>
      <c r="F13" s="44" t="n">
        <v>3.00857716</v>
      </c>
      <c r="G13" s="0" t="n">
        <v>0.59</v>
      </c>
      <c r="H13" s="0" t="n">
        <v>2006</v>
      </c>
      <c r="I13" s="5">
        <f>C13*(F13/E13)^G13*595.6/499.6</f>
        <v/>
      </c>
      <c r="J13" s="11" t="inlineStr">
        <is>
          <t>DACE. Prijzenboekje Dutch Association of Cost Engineers; 2002.</t>
        </is>
      </c>
    </row>
    <row r="14" ht="17.25" customHeight="1" s="40" thickBot="1">
      <c r="B14" s="12" t="inlineStr">
        <is>
          <t>B3</t>
        </is>
      </c>
      <c r="C14" s="83" t="n">
        <v>165000</v>
      </c>
      <c r="D14" s="84" t="inlineStr">
        <is>
          <t>Feed flow rate (kg/h)</t>
        </is>
      </c>
      <c r="E14" s="85" t="n">
        <v>359263</v>
      </c>
      <c r="F14" s="45" t="n">
        <v>388.004847</v>
      </c>
      <c r="G14" s="7" t="n">
        <v>0.6</v>
      </c>
      <c r="H14" s="7" t="n">
        <v>1998</v>
      </c>
      <c r="I14" s="86">
        <f>C14*(F14/E14)^G14*595.6/389.5</f>
        <v/>
      </c>
      <c r="J14" s="12" t="n"/>
    </row>
    <row r="15" ht="17.25" customHeight="1" s="40" thickBot="1">
      <c r="B15" s="8" t="inlineStr">
        <is>
          <t>Total</t>
        </is>
      </c>
      <c r="C15" s="41" t="n"/>
      <c r="D15" s="41" t="n"/>
      <c r="E15" s="41" t="n"/>
      <c r="F15" s="41" t="n"/>
      <c r="G15" s="41" t="n"/>
      <c r="H15" s="41" t="n"/>
      <c r="I15" s="49">
        <f>SUM(I5:I14)</f>
        <v/>
      </c>
    </row>
    <row r="20">
      <c r="B20" s="13" t="inlineStr">
        <is>
          <t>Opex</t>
        </is>
      </c>
    </row>
    <row r="21" ht="17.25" customHeight="1" s="40" thickBot="1"/>
    <row r="22" ht="17.25" customHeight="1" s="40" thickBot="1">
      <c r="B22" s="8" t="inlineStr">
        <is>
          <t>Equipment</t>
        </is>
      </c>
      <c r="C22" s="10" t="inlineStr">
        <is>
          <t>Block heat duty (cal/sec)</t>
        </is>
      </c>
      <c r="D22" s="8" t="inlineStr">
        <is>
          <t>Annual operating cost</t>
        </is>
      </c>
    </row>
    <row r="23">
      <c r="B23" s="2" t="inlineStr">
        <is>
          <t>HDPE</t>
        </is>
      </c>
      <c r="C23" s="71" t="n">
        <v>20609.517</v>
      </c>
      <c r="D23" s="11">
        <f>C23*IF(C23&gt;0,$C$41,$C$40)*$C$38</f>
        <v/>
      </c>
    </row>
    <row r="24">
      <c r="B24" s="4" t="inlineStr">
        <is>
          <t>LDPE</t>
        </is>
      </c>
      <c r="C24" s="72" t="n">
        <v>40390.3711</v>
      </c>
      <c r="D24" s="11">
        <f>C24*IF(C24&gt;0,$C$41,$C$40)*$C$38</f>
        <v/>
      </c>
    </row>
    <row r="25">
      <c r="B25" s="4" t="inlineStr">
        <is>
          <t>PP</t>
        </is>
      </c>
      <c r="C25" s="72" t="n">
        <v>16337.2054</v>
      </c>
      <c r="D25" s="11">
        <f>C25*IF(C25&gt;0,$C$41,$C$40)*$C$38</f>
        <v/>
      </c>
    </row>
    <row r="26">
      <c r="B26" s="4" t="inlineStr">
        <is>
          <t>PS</t>
        </is>
      </c>
      <c r="C26" s="72" t="n">
        <v>6161.00773</v>
      </c>
      <c r="D26" s="11">
        <f>C26*IF(C26&gt;0,$C$41,$C$40)*$C$38</f>
        <v/>
      </c>
    </row>
    <row r="27">
      <c r="B27" s="4" t="inlineStr">
        <is>
          <t>MIXER</t>
        </is>
      </c>
      <c r="C27" s="11" t="inlineStr">
        <is>
          <t>-</t>
        </is>
      </c>
      <c r="D27" s="11" t="n"/>
    </row>
    <row r="28">
      <c r="B28" s="4" t="inlineStr">
        <is>
          <t>HEATER</t>
        </is>
      </c>
      <c r="C28" s="73" t="n">
        <v>33114.4718</v>
      </c>
      <c r="D28" s="11">
        <f>C28*IF(C28&gt;0,$C$41,$C$40)*$C$38</f>
        <v/>
      </c>
      <c r="E28" s="0" t="inlineStr">
        <is>
          <t>*** 파란색 글씨만 변동되는 값</t>
        </is>
      </c>
    </row>
    <row r="29">
      <c r="B29" s="4" t="inlineStr">
        <is>
          <t>RPLUG</t>
        </is>
      </c>
      <c r="C29" s="73" t="n">
        <v>-19175.9626</v>
      </c>
      <c r="D29" s="11">
        <f>C29*IF(C29&gt;0,$C$41,$C$40)*$C$38</f>
        <v/>
      </c>
      <c r="E29" s="0" t="inlineStr">
        <is>
          <t>Cooling, heating 조건문 추가</t>
        </is>
      </c>
    </row>
    <row r="30">
      <c r="B30" s="4" t="inlineStr">
        <is>
          <t>RPYRO</t>
        </is>
      </c>
      <c r="C30" s="72" t="n">
        <v>-22217.6913</v>
      </c>
      <c r="D30" s="11">
        <f>C30*IF(C30&gt;0,$C$41,$C$40)*$C$38</f>
        <v/>
      </c>
    </row>
    <row r="31">
      <c r="B31" s="4" t="inlineStr">
        <is>
          <t>B2</t>
        </is>
      </c>
      <c r="C31" s="73" t="n">
        <v>-37466.929</v>
      </c>
      <c r="D31" s="11">
        <f>C31*IF(C31&gt;0,$C$41,$C$40)*$C$38</f>
        <v/>
      </c>
    </row>
    <row r="32" ht="17.25" customHeight="1" s="40" thickBot="1">
      <c r="B32" s="6" t="inlineStr">
        <is>
          <t>B3</t>
        </is>
      </c>
      <c r="C32" s="12" t="inlineStr">
        <is>
          <t>-</t>
        </is>
      </c>
      <c r="D32" s="11" t="inlineStr">
        <is>
          <t>-</t>
        </is>
      </c>
    </row>
    <row r="33" ht="17.25" customHeight="1" s="40" thickBot="1">
      <c r="B33" s="8" t="inlineStr">
        <is>
          <t>Total</t>
        </is>
      </c>
      <c r="C33" s="42" t="n"/>
      <c r="D33" s="66">
        <f>SUM(D23:D32)</f>
        <v/>
      </c>
    </row>
    <row r="37" ht="17.25" customHeight="1" s="40" thickBot="1"/>
    <row r="38">
      <c r="B38" s="10" t="inlineStr">
        <is>
          <t>Annual operating hours [sec/yr]</t>
        </is>
      </c>
      <c r="C38" s="3">
        <f>8500*3600</f>
        <v/>
      </c>
      <c r="D38" s="0">
        <f>C38/60/60</f>
        <v/>
      </c>
      <c r="F38" s="0" t="inlineStr">
        <is>
          <t>EAC</t>
        </is>
      </c>
      <c r="G38" s="87">
        <f>'Plastic EAC&amp;TPC'!E34</f>
        <v/>
      </c>
    </row>
    <row r="39">
      <c r="B39" s="52" t="inlineStr">
        <is>
          <t>Electricity cost [$/kWh]</t>
        </is>
      </c>
      <c r="C39" s="51">
        <f>Revenue!O14</f>
        <v/>
      </c>
      <c r="F39" s="0" t="inlineStr">
        <is>
          <t>TPC</t>
        </is>
      </c>
      <c r="G39" s="0">
        <f>'Plastic EAC&amp;TPC'!K25</f>
        <v/>
      </c>
    </row>
    <row r="40">
      <c r="A40" s="13" t="inlineStr">
        <is>
          <t>-</t>
        </is>
      </c>
      <c r="B40" s="52" t="inlineStr">
        <is>
          <t>Cooling price [$/cal]</t>
        </is>
      </c>
      <c r="C40" s="81">
        <f>Revenue!O15*(-1)</f>
        <v/>
      </c>
    </row>
    <row r="41" ht="17.25" customHeight="1" s="40" thickBot="1">
      <c r="A41" s="13" t="inlineStr">
        <is>
          <t>+</t>
        </is>
      </c>
      <c r="B41" s="53" t="inlineStr">
        <is>
          <t>Heating price [$/cal]</t>
        </is>
      </c>
      <c r="C41" s="82">
        <f>Revenue!O16</f>
        <v/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34"/>
  <sheetViews>
    <sheetView zoomScale="70" zoomScaleNormal="70" workbookViewId="0">
      <selection activeCell="J18" sqref="J18"/>
    </sheetView>
  </sheetViews>
  <sheetFormatPr baseColWidth="8" defaultRowHeight="17.4"/>
  <cols>
    <col width="55.8984375" bestFit="1" customWidth="1" style="40" min="2" max="2"/>
    <col width="7.8984375" bestFit="1" customWidth="1" style="40" min="4" max="4"/>
    <col width="16.59765625" bestFit="1" customWidth="1" style="40" min="5" max="5"/>
    <col width="46.69921875" bestFit="1" customWidth="1" style="40" min="9" max="9"/>
    <col width="18.3984375" bestFit="1" customWidth="1" style="40" min="10" max="10"/>
    <col width="14.19921875" bestFit="1" customWidth="1" style="40" min="11" max="11"/>
  </cols>
  <sheetData>
    <row r="3" ht="17.25" customHeight="1" s="40" thickBot="1">
      <c r="B3" s="14" t="inlineStr">
        <is>
          <t>EAC (B.P)</t>
        </is>
      </c>
      <c r="C3" s="15" t="n"/>
      <c r="D3" s="15" t="n"/>
      <c r="E3" s="15" t="n"/>
      <c r="I3" s="88" t="inlineStr">
        <is>
          <t>TPC (BP)</t>
        </is>
      </c>
      <c r="J3" s="89" t="n"/>
      <c r="K3" s="89" t="n"/>
    </row>
    <row r="4" ht="17.25" customHeight="1" s="40" thickBot="1">
      <c r="B4" s="90" t="inlineStr">
        <is>
          <t xml:space="preserve">Classification </t>
        </is>
      </c>
      <c r="C4" s="91" t="inlineStr">
        <is>
          <t>% of FCI</t>
        </is>
      </c>
      <c r="D4" s="92" t="inlineStr">
        <is>
          <t xml:space="preserve">Used </t>
        </is>
      </c>
      <c r="E4" s="93" t="inlineStr">
        <is>
          <t>Value</t>
        </is>
      </c>
      <c r="I4" s="90" t="inlineStr">
        <is>
          <t>Classification</t>
        </is>
      </c>
      <c r="J4" s="94" t="inlineStr">
        <is>
          <t>Range</t>
        </is>
      </c>
      <c r="K4" s="32" t="inlineStr">
        <is>
          <t>Value</t>
        </is>
      </c>
    </row>
    <row r="5">
      <c r="B5" s="95" t="inlineStr">
        <is>
          <t>Direct cost</t>
        </is>
      </c>
      <c r="C5" s="96" t="n"/>
      <c r="D5" s="89" t="n"/>
      <c r="E5" s="97" t="n"/>
      <c r="I5" s="98" t="inlineStr">
        <is>
          <t>Fixed charge(FC) = FCI * 0.08</t>
        </is>
      </c>
      <c r="J5" s="99" t="n"/>
      <c r="K5" s="100" t="n"/>
    </row>
    <row r="6">
      <c r="B6" s="95" t="inlineStr">
        <is>
          <t>ISBL (Inside battery limit, 전체공사구역 중 주 공정시설)</t>
        </is>
      </c>
      <c r="C6" s="96" t="n"/>
      <c r="D6" s="89" t="n"/>
      <c r="E6" s="101" t="n"/>
      <c r="I6" s="96" t="inlineStr">
        <is>
          <t>Local taxes, Insurance</t>
        </is>
      </c>
      <c r="J6" s="102" t="inlineStr">
        <is>
          <t>8% of FCI</t>
        </is>
      </c>
      <c r="K6" s="103">
        <f>SUM(E29*0.01)</f>
        <v/>
      </c>
    </row>
    <row r="7">
      <c r="B7" s="101" t="inlineStr">
        <is>
          <t xml:space="preserve">Equipment cost &lt;&lt; 직접 구하길 </t>
        </is>
      </c>
      <c r="C7" s="96" t="inlineStr">
        <is>
          <t>20-40</t>
        </is>
      </c>
      <c r="D7" s="104" t="n">
        <v>30</v>
      </c>
      <c r="E7" s="105">
        <f>Plastic!I15</f>
        <v/>
      </c>
      <c r="I7" s="106" t="inlineStr">
        <is>
          <t>Direct production cost (DPC)</t>
        </is>
      </c>
      <c r="J7" s="107" t="n"/>
      <c r="K7" s="103" t="n"/>
    </row>
    <row r="8">
      <c r="B8" s="101" t="inlineStr">
        <is>
          <t>Installation of equipment = FCI * 0.1</t>
        </is>
      </c>
      <c r="C8" s="96" t="inlineStr">
        <is>
          <t>7.3-26</t>
        </is>
      </c>
      <c r="D8" s="89" t="n">
        <v>10</v>
      </c>
      <c r="E8" s="101">
        <f>SUM(E29*0.1)</f>
        <v/>
      </c>
      <c r="I8" s="108" t="inlineStr">
        <is>
          <t>Carbon tax</t>
        </is>
      </c>
      <c r="J8" s="107" t="inlineStr">
        <is>
          <t>-</t>
        </is>
      </c>
      <c r="K8" s="109" t="inlineStr">
        <is>
          <t>-</t>
        </is>
      </c>
    </row>
    <row r="9">
      <c r="B9" s="101" t="inlineStr">
        <is>
          <t>Instrument and control = FCI * 0.05</t>
        </is>
      </c>
      <c r="C9" s="96" t="inlineStr">
        <is>
          <t>2.5-7.0</t>
        </is>
      </c>
      <c r="D9" s="89" t="n">
        <v>5</v>
      </c>
      <c r="E9" s="101">
        <f>SUM(E29*0.05)</f>
        <v/>
      </c>
      <c r="I9" s="107" t="inlineStr">
        <is>
          <t xml:space="preserve">Raw materials </t>
        </is>
      </c>
      <c r="J9" s="107" t="inlineStr">
        <is>
          <t>-</t>
        </is>
      </c>
      <c r="K9" s="110">
        <f>Plastic!D33</f>
        <v/>
      </c>
    </row>
    <row r="10">
      <c r="B10" s="101" t="inlineStr">
        <is>
          <t>Piping = FCI * 0.1</t>
        </is>
      </c>
      <c r="C10" s="96" t="inlineStr">
        <is>
          <t>3.0-15</t>
        </is>
      </c>
      <c r="D10" s="89" t="n">
        <v>10</v>
      </c>
      <c r="E10" s="101">
        <f>SUM(E29*0.1)</f>
        <v/>
      </c>
      <c r="I10" s="107" t="inlineStr">
        <is>
          <t>Membrane replacement cost</t>
        </is>
      </c>
      <c r="J10" s="107" t="n"/>
      <c r="K10" s="111" t="inlineStr">
        <is>
          <t>-</t>
        </is>
      </c>
    </row>
    <row r="11">
      <c r="B11" s="101" t="inlineStr">
        <is>
          <t>Electrical = FCI * 0.05</t>
        </is>
      </c>
      <c r="C11" s="96" t="inlineStr">
        <is>
          <t>2.5-9.0</t>
        </is>
      </c>
      <c r="D11" s="89" t="n">
        <v>5</v>
      </c>
      <c r="E11" s="101">
        <f>SUM(E29*0.05)</f>
        <v/>
      </c>
      <c r="I11" s="107" t="inlineStr">
        <is>
          <t>Electricity</t>
        </is>
      </c>
      <c r="J11" s="107" t="inlineStr">
        <is>
          <t>$0.075/kWh</t>
        </is>
      </c>
      <c r="K11" s="112" t="inlineStr">
        <is>
          <t>-</t>
        </is>
      </c>
    </row>
    <row r="12">
      <c r="B12" s="101" t="n"/>
      <c r="C12" s="96" t="n"/>
      <c r="D12" s="89" t="n"/>
      <c r="E12" s="101" t="n"/>
      <c r="I12" s="96" t="inlineStr">
        <is>
          <t>Matinenenance (M) = FC * 0.08</t>
        </is>
      </c>
      <c r="J12" s="113" t="inlineStr">
        <is>
          <t>8% of FCI</t>
        </is>
      </c>
      <c r="K12" s="114">
        <f>SUM(K6*0.04)</f>
        <v/>
      </c>
    </row>
    <row r="13">
      <c r="B13" s="95" t="inlineStr">
        <is>
          <t>OSBL(Outside bettery limit,주공정시설 외 부대시설)</t>
        </is>
      </c>
      <c r="C13" s="96" t="n"/>
      <c r="D13" s="89" t="n"/>
      <c r="E13" s="101" t="n"/>
      <c r="I13" s="96" t="inlineStr">
        <is>
          <t>Operating labor (OL) = TPC * 0.15</t>
        </is>
      </c>
      <c r="J13" s="107" t="inlineStr">
        <is>
          <t>15% of OPEX</t>
        </is>
      </c>
      <c r="K13" s="103">
        <f>SUM(K25*0.15)</f>
        <v/>
      </c>
    </row>
    <row r="14">
      <c r="B14" s="101" t="inlineStr">
        <is>
          <t>Building and building services = FCI * 0.08</t>
        </is>
      </c>
      <c r="C14" s="96" t="inlineStr">
        <is>
          <t>6.0-20</t>
        </is>
      </c>
      <c r="D14" s="89" t="n">
        <v>8</v>
      </c>
      <c r="E14" s="101">
        <f>SUM(E29*0.08)</f>
        <v/>
      </c>
      <c r="I14" s="96" t="inlineStr">
        <is>
          <t>Supervision and support labor (S) = labor * 0.3</t>
        </is>
      </c>
      <c r="J14" s="107" t="inlineStr">
        <is>
          <t>30% of OL</t>
        </is>
      </c>
      <c r="K14" s="103">
        <f>SUM(K13*0.3)</f>
        <v/>
      </c>
    </row>
    <row r="15">
      <c r="B15" s="101" t="inlineStr">
        <is>
          <t>Yard improvements = FCI * 0.02</t>
        </is>
      </c>
      <c r="C15" s="96" t="inlineStr">
        <is>
          <t>1.5-5.0</t>
        </is>
      </c>
      <c r="D15" s="89" t="n">
        <v>2</v>
      </c>
      <c r="E15" s="101">
        <f>SUM(E29*0.02)</f>
        <v/>
      </c>
      <c r="I15" s="96" t="inlineStr">
        <is>
          <t>Operating supplies = maintenance * 0.15</t>
        </is>
      </c>
      <c r="J15" s="107" t="inlineStr">
        <is>
          <t>15% of M</t>
        </is>
      </c>
      <c r="K15" s="103">
        <f>SUM(K12*0.15)</f>
        <v/>
      </c>
    </row>
    <row r="16">
      <c r="B16" s="101" t="inlineStr">
        <is>
          <t>Services facilities = FCI * 0.08</t>
        </is>
      </c>
      <c r="C16" s="96" t="inlineStr">
        <is>
          <t>8.0-35</t>
        </is>
      </c>
      <c r="D16" s="89" t="n">
        <v>8</v>
      </c>
      <c r="E16" s="101">
        <f>SUM(E29*0.08)</f>
        <v/>
      </c>
      <c r="I16" s="96" t="inlineStr">
        <is>
          <t>Laboratory charges = labor * 0.15</t>
        </is>
      </c>
      <c r="J16" s="107" t="inlineStr">
        <is>
          <t>15% of OL</t>
        </is>
      </c>
      <c r="K16" s="103">
        <f>SUM(K13*0.15)</f>
        <v/>
      </c>
    </row>
    <row r="17">
      <c r="B17" s="101" t="inlineStr">
        <is>
          <t>Land = FCI * 0.02</t>
        </is>
      </c>
      <c r="C17" s="96" t="inlineStr">
        <is>
          <t>1.0-2.0</t>
        </is>
      </c>
      <c r="D17" s="89" t="n">
        <v>2</v>
      </c>
      <c r="E17" s="101">
        <f>SUM(E29*0.02)</f>
        <v/>
      </c>
      <c r="I17" s="96" t="n"/>
      <c r="J17" s="107" t="n"/>
      <c r="K17" s="103" t="n"/>
    </row>
    <row r="18">
      <c r="B18" s="101" t="n"/>
      <c r="C18" s="96" t="n"/>
      <c r="D18" s="89" t="n"/>
      <c r="E18" s="101" t="n"/>
      <c r="I18" s="106" t="inlineStr">
        <is>
          <t>Plant overhead cost(OVHD)</t>
        </is>
      </c>
      <c r="J18" s="107" t="inlineStr">
        <is>
          <t>60% of M+OL+S</t>
        </is>
      </c>
      <c r="K18" s="103">
        <f>SUM(0.6*K29)</f>
        <v/>
      </c>
    </row>
    <row r="19">
      <c r="B19" s="95" t="inlineStr">
        <is>
          <t>Total direct cost = FCI * 0.5 + Equipment cost</t>
        </is>
      </c>
      <c r="C19" s="96" t="n"/>
      <c r="D19" s="89" t="n"/>
      <c r="E19" s="101">
        <f>SUM(E7:E17)</f>
        <v/>
      </c>
      <c r="I19" s="96" t="n"/>
      <c r="J19" s="107" t="n"/>
      <c r="K19" s="103" t="n"/>
    </row>
    <row r="20">
      <c r="B20" s="101" t="n"/>
      <c r="C20" s="96" t="n"/>
      <c r="D20" s="89" t="n"/>
      <c r="E20" s="101" t="n"/>
      <c r="I20" s="106" t="inlineStr">
        <is>
          <t>General expenses</t>
        </is>
      </c>
      <c r="J20" s="107" t="n"/>
      <c r="K20" s="103" t="n"/>
    </row>
    <row r="21">
      <c r="B21" s="95" t="inlineStr">
        <is>
          <t>Indirect cost</t>
        </is>
      </c>
      <c r="C21" s="96" t="n"/>
      <c r="D21" s="89" t="n"/>
      <c r="E21" s="101" t="n"/>
      <c r="I21" s="96" t="inlineStr">
        <is>
          <t xml:space="preserve">Admistrative cost </t>
        </is>
      </c>
      <c r="J21" s="107" t="inlineStr">
        <is>
          <t>17.5% of OL</t>
        </is>
      </c>
      <c r="K21" s="103">
        <f>SUM(K13*0.175)</f>
        <v/>
      </c>
    </row>
    <row r="22">
      <c r="B22" s="101" t="inlineStr">
        <is>
          <t>Engineering = FCI * 0.05</t>
        </is>
      </c>
      <c r="C22" s="96" t="inlineStr">
        <is>
          <t>4.0-21</t>
        </is>
      </c>
      <c r="D22" s="89" t="n">
        <v>5</v>
      </c>
      <c r="E22" s="101">
        <f>SUM(E29*0.05)</f>
        <v/>
      </c>
      <c r="I22" s="115" t="inlineStr">
        <is>
          <t>Distribution and marketing</t>
        </is>
      </c>
      <c r="J22" s="107" t="inlineStr">
        <is>
          <t>11% of OPEX</t>
        </is>
      </c>
      <c r="K22" s="103">
        <f>SUM(K25*0.11)</f>
        <v/>
      </c>
    </row>
    <row r="23">
      <c r="B23" s="101" t="inlineStr">
        <is>
          <t>Construction expenses = FCI * 0.05</t>
        </is>
      </c>
      <c r="C23" s="96" t="inlineStr">
        <is>
          <t>4.8-22</t>
        </is>
      </c>
      <c r="D23" s="89" t="n">
        <v>5</v>
      </c>
      <c r="E23" s="101">
        <f>SUM(E29*0.05)</f>
        <v/>
      </c>
      <c r="I23" s="96" t="inlineStr">
        <is>
          <t xml:space="preserve">R&amp;D cost </t>
        </is>
      </c>
      <c r="J23" s="115" t="inlineStr">
        <is>
          <t>3.5% of OPEX</t>
        </is>
      </c>
      <c r="K23" s="103">
        <f>SUM(K25*0.035)</f>
        <v/>
      </c>
    </row>
    <row r="24">
      <c r="B24" s="101" t="inlineStr">
        <is>
          <t>Contractor's fee = FCI * 0.05</t>
        </is>
      </c>
      <c r="C24" s="96" t="inlineStr">
        <is>
          <t>1.5-5.0</t>
        </is>
      </c>
      <c r="D24" s="89" t="n">
        <v>5</v>
      </c>
      <c r="E24" s="101">
        <f>SUM(E29*0.05)</f>
        <v/>
      </c>
      <c r="I24" s="96" t="n"/>
      <c r="J24" s="115" t="n"/>
      <c r="K24" s="103" t="n"/>
    </row>
    <row r="25" ht="17.25" customHeight="1" s="40" thickBot="1">
      <c r="B25" s="101" t="inlineStr">
        <is>
          <t>Contingency = FCI * 0.05</t>
        </is>
      </c>
      <c r="C25" s="96" t="inlineStr">
        <is>
          <t>5.0-20</t>
        </is>
      </c>
      <c r="D25" s="89" t="n">
        <v>5</v>
      </c>
      <c r="E25" s="101">
        <f>SUM(E29*0.05)</f>
        <v/>
      </c>
      <c r="I25" s="116" t="inlineStr">
        <is>
          <t>TPC</t>
        </is>
      </c>
      <c r="J25" s="116" t="n"/>
      <c r="K25" s="117">
        <f>SUM(K27/0.49425)</f>
        <v/>
      </c>
    </row>
    <row r="26">
      <c r="B26" s="101" t="n"/>
      <c r="C26" s="96" t="n"/>
      <c r="D26" s="89" t="n"/>
      <c r="E26" s="101" t="n"/>
      <c r="I26" s="89" t="n"/>
      <c r="J26" s="89" t="n"/>
      <c r="K26" s="118" t="n"/>
    </row>
    <row r="27">
      <c r="B27" s="95" t="inlineStr">
        <is>
          <t>Total indirect cost = FCI * 0.2</t>
        </is>
      </c>
      <c r="C27" s="96" t="n"/>
      <c r="D27" s="89" t="n"/>
      <c r="E27" s="101">
        <f>SUM(E22:E25)</f>
        <v/>
      </c>
      <c r="I27" s="89" t="n"/>
      <c r="J27" s="89" t="n"/>
      <c r="K27" s="118">
        <f>SUM(K6:K12,K15,0.6*K12)</f>
        <v/>
      </c>
    </row>
    <row r="28">
      <c r="B28" s="101" t="n"/>
      <c r="C28" s="96" t="n"/>
      <c r="D28" s="89" t="n"/>
      <c r="E28" s="101" t="n"/>
      <c r="I28" s="15" t="n"/>
      <c r="J28" s="15" t="n"/>
      <c r="K28" s="118" t="n"/>
    </row>
    <row r="29">
      <c r="B29" s="101" t="inlineStr">
        <is>
          <t>Fixed capital investment (FCI)</t>
        </is>
      </c>
      <c r="C29" s="96" t="n">
        <v>100</v>
      </c>
      <c r="D29" s="89" t="n">
        <v>100</v>
      </c>
      <c r="E29" s="101">
        <f>SUM(E7*100/D7)</f>
        <v/>
      </c>
      <c r="I29" s="15" t="n"/>
      <c r="J29" s="15" t="inlineStr">
        <is>
          <t>OVHD</t>
        </is>
      </c>
      <c r="K29" s="118">
        <f>(K12+K13+K14)</f>
        <v/>
      </c>
    </row>
    <row r="30">
      <c r="B30" s="101" t="inlineStr">
        <is>
          <t>Start up cost (SUC)  = FCI * 0.2</t>
        </is>
      </c>
      <c r="C30" s="96" t="n">
        <v>20</v>
      </c>
      <c r="D30" s="104" t="n">
        <v>20</v>
      </c>
      <c r="E30" s="101">
        <f>SUM(E29*0.2)</f>
        <v/>
      </c>
      <c r="K30" s="119">
        <f>SUM(K6:K23)</f>
        <v/>
      </c>
    </row>
    <row r="31">
      <c r="B31" s="101" t="inlineStr">
        <is>
          <t>Working capital investment (WCI)  = FCI * 0.2</t>
        </is>
      </c>
      <c r="C31" s="96" t="n">
        <v>20</v>
      </c>
      <c r="D31" s="104" t="n">
        <v>20</v>
      </c>
      <c r="E31" s="101">
        <f>SUM(E29*0.2)</f>
        <v/>
      </c>
    </row>
    <row r="32">
      <c r="B32" s="101" t="n"/>
      <c r="C32" s="96" t="n"/>
      <c r="D32" s="89" t="n"/>
      <c r="E32" s="101" t="n"/>
    </row>
    <row r="33">
      <c r="B33" s="95" t="inlineStr">
        <is>
          <t>TCI</t>
        </is>
      </c>
      <c r="C33" s="106" t="inlineStr">
        <is>
          <t>NPV</t>
        </is>
      </c>
      <c r="D33" s="88" t="n"/>
      <c r="E33" s="95">
        <f>SUM(E29:E31)</f>
        <v/>
      </c>
    </row>
    <row r="34" ht="17.25" customHeight="1" s="40" thickBot="1">
      <c r="B34" s="120" t="inlineStr">
        <is>
          <t>EAC (r=7%, t=25 year)    RP=r, NP=t</t>
        </is>
      </c>
      <c r="C34" s="116" t="inlineStr">
        <is>
          <t>EAC</t>
        </is>
      </c>
      <c r="D34" s="121" t="n"/>
      <c r="E34" s="122">
        <f>SUM(E33/((1-(1/((1.05)^25)))/0.07))</f>
        <v/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O19"/>
  <sheetViews>
    <sheetView tabSelected="1" topLeftCell="A7" workbookViewId="0">
      <selection activeCell="A3" sqref="A3"/>
    </sheetView>
  </sheetViews>
  <sheetFormatPr baseColWidth="8" defaultRowHeight="17.4"/>
  <cols>
    <col width="11.796875" customWidth="1" style="40" min="2" max="2"/>
    <col width="10.3984375" bestFit="1" customWidth="1" style="40" min="3" max="4"/>
    <col width="8.796875" customWidth="1" style="40" min="5" max="5"/>
    <col width="17.19921875" customWidth="1" style="40" min="6" max="6"/>
    <col width="23.796875" customWidth="1" style="40" min="14" max="14"/>
    <col width="16.3984375" customWidth="1" style="40" min="17" max="17"/>
  </cols>
  <sheetData>
    <row r="3">
      <c r="C3" s="0" t="inlineStr">
        <is>
          <t>kg/h</t>
        </is>
      </c>
      <c r="D3" s="0" t="inlineStr">
        <is>
          <t>USD/h</t>
        </is>
      </c>
    </row>
    <row r="4">
      <c r="B4" s="0" t="inlineStr">
        <is>
          <t>CH4</t>
        </is>
      </c>
      <c r="C4" s="76" t="n">
        <v>0.044362079</v>
      </c>
      <c r="D4" s="0">
        <f>C4*O5</f>
        <v/>
      </c>
      <c r="N4" s="0" t="inlineStr">
        <is>
          <t>Selling price</t>
        </is>
      </c>
    </row>
    <row r="5">
      <c r="B5" s="0" t="inlineStr">
        <is>
          <t>C2H6</t>
        </is>
      </c>
      <c r="C5" s="77" t="n">
        <v>0.057483946</v>
      </c>
      <c r="D5" s="0">
        <f>C5*$O$7</f>
        <v/>
      </c>
      <c r="N5" s="0" t="inlineStr">
        <is>
          <t>H2 [USD/kg]</t>
        </is>
      </c>
      <c r="O5" s="0" t="n">
        <v>1.6</v>
      </c>
    </row>
    <row r="6">
      <c r="B6" s="0" t="inlineStr">
        <is>
          <t>C2H4</t>
        </is>
      </c>
      <c r="C6" s="76" t="n">
        <v>0.163617141</v>
      </c>
      <c r="D6" s="0">
        <f>C6*$O$7</f>
        <v/>
      </c>
      <c r="N6" s="0" t="inlineStr">
        <is>
          <t>CH4 [USD/kg]</t>
        </is>
      </c>
      <c r="O6" s="0" t="n">
        <v>0.636</v>
      </c>
    </row>
    <row r="7">
      <c r="B7" s="0" t="inlineStr">
        <is>
          <t>C4H10</t>
        </is>
      </c>
      <c r="C7" s="77" t="n">
        <v>1.22731232</v>
      </c>
      <c r="D7" s="0">
        <f>C7*$O$8</f>
        <v/>
      </c>
      <c r="N7" s="0" t="inlineStr">
        <is>
          <t>C2H6,C2H4 [USD/kg]</t>
        </is>
      </c>
      <c r="O7" s="0" t="n">
        <v>0.5600000000000001</v>
      </c>
    </row>
    <row r="8">
      <c r="B8" s="0" t="inlineStr">
        <is>
          <t>C6H6</t>
        </is>
      </c>
      <c r="C8" s="77" t="n">
        <v>71.81739450000001</v>
      </c>
      <c r="D8" s="0">
        <f>C8*$O$8</f>
        <v/>
      </c>
      <c r="N8" s="0" t="inlineStr">
        <is>
          <t>C4~C9 (납사) [USD/kg]</t>
        </is>
      </c>
      <c r="O8" s="0" t="n">
        <v>0.7</v>
      </c>
    </row>
    <row r="9">
      <c r="B9" s="0" t="inlineStr">
        <is>
          <t>C7H8</t>
        </is>
      </c>
      <c r="C9" s="77" t="n">
        <v>79.87509470000001</v>
      </c>
      <c r="D9" s="0">
        <f>C9*$O$8</f>
        <v/>
      </c>
      <c r="N9" s="0" t="inlineStr">
        <is>
          <t>C10~C16 (디젤) [USD/kg]</t>
        </is>
      </c>
      <c r="O9" s="0" t="n">
        <v>1.457142857</v>
      </c>
    </row>
    <row r="10">
      <c r="B10" s="0" t="inlineStr">
        <is>
          <t>C8H10</t>
        </is>
      </c>
      <c r="C10" s="77" t="n">
        <v>18.0861685</v>
      </c>
      <c r="D10" s="0">
        <f>C10*$O$8</f>
        <v/>
      </c>
      <c r="N10" s="0" t="inlineStr">
        <is>
          <t>CaCO3 [USD/kg]</t>
        </is>
      </c>
      <c r="O10" s="0" t="n">
        <v>0.37</v>
      </c>
    </row>
    <row r="11">
      <c r="B11" s="0" t="inlineStr">
        <is>
          <t>C9H18</t>
        </is>
      </c>
      <c r="C11" s="76" t="n">
        <v>10.8139532</v>
      </c>
      <c r="D11" s="0">
        <f>C11*$O$8</f>
        <v/>
      </c>
      <c r="N11" s="0" t="inlineStr">
        <is>
          <t>MgCO3 [USD/kg]</t>
        </is>
      </c>
      <c r="O11" s="79" t="n">
        <v>0.7</v>
      </c>
    </row>
    <row r="12">
      <c r="B12" s="0" t="inlineStr">
        <is>
          <t>C10H8</t>
        </is>
      </c>
      <c r="C12" s="77" t="n">
        <v>4.3900279</v>
      </c>
      <c r="D12" s="0">
        <f>C12*$O$9</f>
        <v/>
      </c>
      <c r="N12" s="0" t="inlineStr">
        <is>
          <t>Gypsum [USD/kg]</t>
        </is>
      </c>
      <c r="O12" s="79" t="n">
        <v>0.5</v>
      </c>
    </row>
    <row r="13">
      <c r="B13" s="0" t="inlineStr">
        <is>
          <t>C10H14</t>
        </is>
      </c>
      <c r="C13" s="77" t="n">
        <v>4.94426879</v>
      </c>
      <c r="D13" s="0">
        <f>C13*$O$9</f>
        <v/>
      </c>
      <c r="N13" s="0" t="inlineStr">
        <is>
          <t>HCL [USD/kg]</t>
        </is>
      </c>
      <c r="O13" s="79" t="n">
        <v>15000</v>
      </c>
    </row>
    <row r="14">
      <c r="B14" s="0" t="inlineStr">
        <is>
          <t>C14H30</t>
        </is>
      </c>
      <c r="C14" s="77" t="n">
        <v>7.89316945</v>
      </c>
      <c r="D14" s="0">
        <f>C14*$O$9</f>
        <v/>
      </c>
      <c r="N14" s="0" t="inlineStr">
        <is>
          <t>Electricity [USD/kWh]</t>
        </is>
      </c>
      <c r="O14" s="0" t="n">
        <v>0.18</v>
      </c>
    </row>
    <row r="15">
      <c r="B15" s="0" t="inlineStr">
        <is>
          <t>C16H34</t>
        </is>
      </c>
      <c r="C15" s="76" t="n">
        <v>1.26191185</v>
      </c>
      <c r="D15" s="0">
        <f>C15*$O$9</f>
        <v/>
      </c>
      <c r="N15" s="0" t="inlineStr">
        <is>
          <t>Cooling price [USD/cal]</t>
        </is>
      </c>
      <c r="O15" s="80" t="n">
        <v>2.92e-07</v>
      </c>
    </row>
    <row r="16">
      <c r="B16" s="0" t="inlineStr">
        <is>
          <t>C22H46</t>
        </is>
      </c>
      <c r="C16" s="77" t="n">
        <v>31.9379936</v>
      </c>
      <c r="D16" s="0">
        <f>C16*44175.392*0.000277778*0.08*0.5</f>
        <v/>
      </c>
      <c r="N16" s="0" t="inlineStr">
        <is>
          <t>Heating price [USD/cal]</t>
        </is>
      </c>
      <c r="O16" s="80" t="n">
        <v>2.92e-07</v>
      </c>
    </row>
    <row r="17">
      <c r="B17" s="0" t="inlineStr">
        <is>
          <t>CH4(gas)</t>
        </is>
      </c>
      <c r="C17" s="77" t="n">
        <v>37.1216429</v>
      </c>
      <c r="D17" s="0">
        <f>C17*G17</f>
        <v/>
      </c>
      <c r="F17" s="0" t="inlineStr">
        <is>
          <t>NG cost [USD/kg]</t>
        </is>
      </c>
      <c r="G17" s="0" t="n">
        <v>0.73725</v>
      </c>
    </row>
    <row r="18">
      <c r="C18" s="0" t="inlineStr">
        <is>
          <t>Without SMR</t>
        </is>
      </c>
      <c r="D18" s="0" t="inlineStr">
        <is>
          <t>With SMR</t>
        </is>
      </c>
    </row>
    <row r="19" ht="34.8" customHeight="1" s="40">
      <c r="B19" s="75" t="inlineStr">
        <is>
          <t>Revenue
[$/Y]</t>
        </is>
      </c>
      <c r="C19" s="78">
        <f>SUM(D4:D17)*Plastic!D38</f>
        <v/>
      </c>
      <c r="D19" s="0">
        <f>SUM(D4:D16)*Plastic!D38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PSID_17</dc:creator>
  <dcterms:created xsi:type="dcterms:W3CDTF">2023-07-27T05:08:20Z</dcterms:created>
  <dcterms:modified xsi:type="dcterms:W3CDTF">2023-12-12T16:06:05Z</dcterms:modified>
  <cp:lastModifiedBy>안나현</cp:lastModifiedBy>
</cp:coreProperties>
</file>