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CodeOcean\code\"/>
    </mc:Choice>
  </mc:AlternateContent>
  <xr:revisionPtr revIDLastSave="0" documentId="13_ncr:1_{6D407357-F3EE-486D-89DF-9E6730841DE4}" xr6:coauthVersionLast="47" xr6:coauthVersionMax="47" xr10:uidLastSave="{00000000-0000-0000-0000-000000000000}"/>
  <bookViews>
    <workbookView xWindow="252" yWindow="348" windowWidth="29040" windowHeight="12768" activeTab="2" xr2:uid="{00000000-000D-0000-FFFF-FFFF00000000}"/>
  </bookViews>
  <sheets>
    <sheet name="Desulf" sheetId="1" r:id="rId1"/>
    <sheet name="Desulf EAC&amp;TPC" sheetId="2" r:id="rId2"/>
    <sheet name="Desulf 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E3" i="3"/>
  <c r="D3" i="3"/>
  <c r="C31" i="1"/>
  <c r="D20" i="1" s="1"/>
  <c r="C30" i="1"/>
  <c r="D21" i="1" s="1"/>
  <c r="C29" i="1"/>
  <c r="C28" i="1"/>
  <c r="I9" i="1"/>
  <c r="I8" i="1"/>
  <c r="I10" i="1" s="1"/>
  <c r="E7" i="2" s="1"/>
  <c r="I7" i="1"/>
  <c r="I6" i="1"/>
  <c r="I5" i="1"/>
  <c r="E29" i="2" l="1"/>
  <c r="D19" i="1"/>
  <c r="D18" i="1"/>
  <c r="D22" i="1"/>
  <c r="D23" i="1" l="1"/>
  <c r="K9" i="2" s="1"/>
  <c r="E30" i="2"/>
  <c r="E31" i="2"/>
  <c r="E33" i="2" s="1"/>
  <c r="E34" i="2" s="1"/>
  <c r="K6" i="2"/>
  <c r="E9" i="2"/>
  <c r="E25" i="2"/>
  <c r="E23" i="2"/>
  <c r="E22" i="2"/>
  <c r="E27" i="2" s="1"/>
  <c r="E17" i="2"/>
  <c r="E16" i="2"/>
  <c r="E15" i="2"/>
  <c r="E24" i="2"/>
  <c r="E14" i="2"/>
  <c r="E10" i="2"/>
  <c r="E8" i="2"/>
  <c r="E19" i="2" s="1"/>
  <c r="E11" i="2"/>
  <c r="K12" i="2" l="1"/>
  <c r="K27" i="2" l="1"/>
  <c r="K25" i="2" s="1"/>
  <c r="K15" i="2"/>
  <c r="K22" i="2" l="1"/>
  <c r="K13" i="2"/>
  <c r="K23" i="2"/>
  <c r="K14" i="2" l="1"/>
  <c r="K21" i="2"/>
  <c r="K16" i="2"/>
  <c r="K29" i="2"/>
  <c r="K18" i="2" s="1"/>
  <c r="K30" i="2" s="1"/>
</calcChain>
</file>

<file path=xl/sharedStrings.xml><?xml version="1.0" encoding="utf-8"?>
<sst xmlns="http://schemas.openxmlformats.org/spreadsheetml/2006/main" count="138" uniqueCount="120">
  <si>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</si>
  <si>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</si>
  <si>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</si>
  <si>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</si>
  <si>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</si>
  <si>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</si>
  <si>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</si>
  <si>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</si>
  <si>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</si>
  <si>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</si>
  <si>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LIME-DS</t>
  </si>
  <si>
    <t>Feed flow rate (kg/h)</t>
  </si>
  <si>
    <t>SCRUBBER</t>
  </si>
  <si>
    <t>Volume (gal)</t>
  </si>
  <si>
    <t>GYP-CR</t>
  </si>
  <si>
    <t>GAS-SP</t>
  </si>
  <si>
    <t>GYP-SP</t>
  </si>
  <si>
    <t>Total</t>
  </si>
  <si>
    <t>Opex</t>
  </si>
  <si>
    <t>Block heat duty (cal/sec)</t>
  </si>
  <si>
    <t>Annual operating cost</t>
  </si>
  <si>
    <t>Annual operating hours [sec/yr]</t>
  </si>
  <si>
    <t>Electricity cost [$/kWh]</t>
  </si>
  <si>
    <t>-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</si>
  <si>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</si>
  <si>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</si>
  <si>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</si>
  <si>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</si>
  <si>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</si>
  <si>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</si>
  <si>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</si>
  <si>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</si>
  <si>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</si>
  <si>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</si>
  <si>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</si>
  <si>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</si>
  <si>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</si>
  <si>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</si>
  <si>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</si>
  <si>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</si>
  <si>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</si>
  <si>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</si>
  <si>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</si>
  <si>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</si>
  <si>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</si>
  <si>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</si>
  <si>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</si>
  <si>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</si>
  <si>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</si>
  <si>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</si>
  <si>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</si>
  <si>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</si>
  <si>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</si>
  <si>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</si>
  <si>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</si>
  <si>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</si>
  <si>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</si>
  <si>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</si>
  <si>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</si>
  <si>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</si>
  <si>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</si>
  <si>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</si>
  <si>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</si>
  <si>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</si>
  <si>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</si>
  <si>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</si>
  <si>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</si>
  <si>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</si>
  <si>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</si>
  <si>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</si>
  <si>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</si>
  <si>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</si>
  <si>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</si>
  <si>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</si>
  <si>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</si>
  <si>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</si>
  <si>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</si>
  <si>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</si>
  <si>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</si>
  <si>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</si>
  <si>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</si>
  <si>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</si>
  <si>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</si>
  <si>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</si>
  <si>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</si>
  <si>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</si>
  <si>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</si>
  <si>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</si>
  <si>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</si>
  <si>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</si>
  <si>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</si>
  <si>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</si>
  <si>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</si>
  <si>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</si>
  <si>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</si>
  <si>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</si>
  <si>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</si>
  <si>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</si>
  <si>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</si>
  <si>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</si>
  <si>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</si>
  <si>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</si>
  <si>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Flow rate [kg/h]</t>
  </si>
  <si>
    <t>Cost [USD/tonne]</t>
  </si>
  <si>
    <t>Revenue [$/yr]</t>
  </si>
  <si>
    <t>CALCI-02</t>
  </si>
  <si>
    <t>ton/h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</si>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</sst>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7" fillId="5" borderId="5" xfId="0" applyFont="1" applyFill="1" applyBorder="1">
      <alignment vertical="center"/>
    </xf>
    <xf numFmtId="41" fontId="0" fillId="0" borderId="0" xfId="1" applyFont="1" applyAlignment="1"/>
    <xf numFmtId="41" fontId="0" fillId="4" borderId="0" xfId="1" applyFont="1" applyFill="1" applyAlignment="1"/>
    <xf numFmtId="0" fontId="0" fillId="0" borderId="0" xfId="1" applyNumberFormat="1" applyFont="1" applyAlignment="1"/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6" borderId="7" xfId="0" applyFill="1" applyBorder="1">
      <alignment vertical="center"/>
    </xf>
    <xf numFmtId="0" fontId="0" fillId="7" borderId="12" xfId="0" applyFill="1" applyBorder="1">
      <alignment vertical="center"/>
    </xf>
    <xf numFmtId="0" fontId="10" fillId="0" borderId="0" xfId="0" applyFont="1" applyAlignment="1"/>
    <xf numFmtId="11" fontId="10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workbookViewId="0">
      <selection activeCell="D34" sqref="D34"/>
    </sheetView>
  </sheetViews>
  <sheetFormatPr defaultRowHeight="17.399999999999999"/>
  <cols>
    <col min="2" max="2" width="29" style="35" bestFit="1" customWidth="1"/>
    <col min="3" max="3" width="27" style="35" bestFit="1" customWidth="1"/>
    <col min="4" max="4" width="24" style="35" bestFit="1" customWidth="1"/>
    <col min="5" max="5" width="21.59765625" style="35" bestFit="1" customWidth="1"/>
    <col min="6" max="6" width="14.59765625" style="35" customWidth="1"/>
    <col min="7" max="7" width="23.69921875" style="35" bestFit="1" customWidth="1"/>
    <col min="8" max="8" width="14.3984375" style="35" bestFit="1" customWidth="1"/>
    <col min="9" max="9" width="17.69921875" style="35" bestFit="1" customWidth="1"/>
    <col min="10" max="10" width="107.5" style="35" bestFit="1" customWidth="1"/>
  </cols>
  <sheetData>
    <row r="2" spans="2:10">
      <c r="B2" s="8" t="s">
        <v>0</v>
      </c>
    </row>
    <row r="3" spans="2:10" ht="18" customHeight="1" thickBot="1"/>
    <row r="4" spans="2:10" ht="18" customHeight="1" thickBot="1">
      <c r="B4" s="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5" t="s">
        <v>10</v>
      </c>
      <c r="C5" s="59">
        <v>147800</v>
      </c>
      <c r="D5" s="57" t="s">
        <v>11</v>
      </c>
      <c r="E5" s="59">
        <v>461492</v>
      </c>
      <c r="F5" s="60">
        <v>184.86185399999999</v>
      </c>
      <c r="G5" s="59">
        <v>0.5</v>
      </c>
      <c r="H5" s="59">
        <v>1997</v>
      </c>
      <c r="I5" s="2">
        <f>C5*(F5/E5)^G5*(595.6/386.5)</f>
        <v>4558.4919121069079</v>
      </c>
      <c r="J5" s="5"/>
    </row>
    <row r="6" spans="2:10">
      <c r="B6" s="6" t="s">
        <v>12</v>
      </c>
      <c r="C6" s="59">
        <v>20000</v>
      </c>
      <c r="D6" s="57" t="s">
        <v>13</v>
      </c>
      <c r="E6" s="59">
        <v>2500</v>
      </c>
      <c r="F6" s="60">
        <v>838737.54082720005</v>
      </c>
      <c r="G6" s="61">
        <v>0.6</v>
      </c>
      <c r="H6" s="59">
        <v>1987</v>
      </c>
      <c r="I6" s="3">
        <f>C6*(F6/E6)^G6*(595.6/323.8)</f>
        <v>1205367.5187410042</v>
      </c>
      <c r="J6" s="6"/>
    </row>
    <row r="7" spans="2:10">
      <c r="B7" s="6" t="s">
        <v>14</v>
      </c>
      <c r="C7" s="59">
        <v>20000</v>
      </c>
      <c r="D7" s="57" t="s">
        <v>13</v>
      </c>
      <c r="E7" s="59">
        <v>2500</v>
      </c>
      <c r="F7" s="60">
        <v>863185.10345411999</v>
      </c>
      <c r="G7" s="61">
        <v>0.6</v>
      </c>
      <c r="H7" s="59">
        <v>1987</v>
      </c>
      <c r="I7" s="56">
        <f>C7*(F7/E7)^G7*(595.6/323.8)</f>
        <v>1226326.7374255282</v>
      </c>
      <c r="J7" s="6"/>
    </row>
    <row r="8" spans="2:10">
      <c r="B8" s="6" t="s">
        <v>15</v>
      </c>
      <c r="C8" s="59">
        <v>165000</v>
      </c>
      <c r="D8" s="57" t="s">
        <v>11</v>
      </c>
      <c r="E8" s="59">
        <v>359263</v>
      </c>
      <c r="F8" s="39">
        <v>1698.7950499999999</v>
      </c>
      <c r="G8">
        <v>0.6</v>
      </c>
      <c r="H8">
        <v>1998</v>
      </c>
      <c r="I8" s="3">
        <f>C8*(F8/E8)^G8*(595.6/389.5)</f>
        <v>10157.065851483152</v>
      </c>
      <c r="J8" s="6"/>
    </row>
    <row r="9" spans="2:10" ht="18" customHeight="1" thickBot="1">
      <c r="B9" s="7" t="s">
        <v>16</v>
      </c>
      <c r="C9" s="59">
        <v>165000</v>
      </c>
      <c r="D9" s="57" t="s">
        <v>11</v>
      </c>
      <c r="E9" s="59">
        <v>359263</v>
      </c>
      <c r="F9" s="39">
        <v>74.368856699999995</v>
      </c>
      <c r="G9">
        <v>0.6</v>
      </c>
      <c r="H9">
        <v>1998</v>
      </c>
      <c r="I9" s="3">
        <f>C9*(F9/E9)^G9*(595.6/389.5)</f>
        <v>1554.240920468282</v>
      </c>
      <c r="J9" s="7"/>
    </row>
    <row r="10" spans="2:10" ht="18" customHeight="1" thickBot="1">
      <c r="B10" s="4" t="s">
        <v>17</v>
      </c>
      <c r="C10" s="37"/>
      <c r="D10" s="37"/>
      <c r="E10" s="37"/>
      <c r="F10" s="37"/>
      <c r="G10" s="37"/>
      <c r="H10" s="37"/>
      <c r="I10" s="40">
        <f>SUM(I5:I9)</f>
        <v>2447964.0548505909</v>
      </c>
    </row>
    <row r="15" spans="2:10">
      <c r="B15" s="8" t="s">
        <v>18</v>
      </c>
    </row>
    <row r="16" spans="2:10" ht="18" customHeight="1" thickBot="1"/>
    <row r="17" spans="1:4" ht="18" customHeight="1" thickBot="1">
      <c r="B17" s="4" t="s">
        <v>1</v>
      </c>
      <c r="C17" s="2" t="s">
        <v>19</v>
      </c>
      <c r="D17" s="4" t="s">
        <v>20</v>
      </c>
    </row>
    <row r="18" spans="1:4">
      <c r="B18" s="5" t="s">
        <v>10</v>
      </c>
      <c r="C18" s="62">
        <v>129.409784</v>
      </c>
      <c r="D18" s="36">
        <f>C18*C31*C28</f>
        <v>1156.3023019968002</v>
      </c>
    </row>
    <row r="19" spans="1:4">
      <c r="B19" s="6" t="s">
        <v>12</v>
      </c>
      <c r="C19" s="58">
        <v>22968.434000000001</v>
      </c>
      <c r="D19" s="36">
        <f>C19*C31*C28</f>
        <v>205227.55147680003</v>
      </c>
    </row>
    <row r="20" spans="1:4">
      <c r="B20" s="6" t="s">
        <v>14</v>
      </c>
      <c r="C20" s="58">
        <v>2403.95246</v>
      </c>
      <c r="D20" s="36">
        <f>C20*C31*C28</f>
        <v>21479.796020592003</v>
      </c>
    </row>
    <row r="21" spans="1:4">
      <c r="B21" s="6" t="s">
        <v>15</v>
      </c>
      <c r="C21" s="58">
        <v>-4103.2548399999996</v>
      </c>
      <c r="D21" s="36">
        <f>C21*C30*C28</f>
        <v>36663.402646367998</v>
      </c>
    </row>
    <row r="22" spans="1:4" ht="18" customHeight="1" thickBot="1">
      <c r="B22" s="6" t="s">
        <v>16</v>
      </c>
      <c r="C22" s="63">
        <v>1.7251106700000001</v>
      </c>
      <c r="D22" s="36">
        <f>C22*C31*C28</f>
        <v>15.414208858584001</v>
      </c>
    </row>
    <row r="23" spans="1:4" ht="18" customHeight="1" thickBot="1">
      <c r="B23" s="4" t="s">
        <v>17</v>
      </c>
      <c r="C23" s="38"/>
      <c r="D23" s="53">
        <f>SUM(D18:D22)</f>
        <v>264542.46665461542</v>
      </c>
    </row>
    <row r="27" spans="1:4" ht="18" customHeight="1" thickBot="1"/>
    <row r="28" spans="1:4" ht="18" customHeight="1" thickBot="1">
      <c r="B28" s="5" t="s">
        <v>21</v>
      </c>
      <c r="C28" s="2">
        <f>8500*3600</f>
        <v>30600000</v>
      </c>
      <c r="D28" s="4">
        <v>8500</v>
      </c>
    </row>
    <row r="29" spans="1:4">
      <c r="B29" s="42" t="s">
        <v>22</v>
      </c>
      <c r="C29" s="55">
        <f>'Desulf revenue'!O14</f>
        <v>0.18</v>
      </c>
    </row>
    <row r="30" spans="1:4">
      <c r="A30" s="8" t="s">
        <v>23</v>
      </c>
      <c r="B30" s="42" t="s">
        <v>24</v>
      </c>
      <c r="C30" s="70">
        <f>(-1)*'Desulf revenue'!O15</f>
        <v>-2.9200000000000002E-7</v>
      </c>
    </row>
    <row r="31" spans="1:4" ht="18" customHeight="1" thickBot="1">
      <c r="A31" s="8" t="s">
        <v>25</v>
      </c>
      <c r="B31" s="43" t="s">
        <v>26</v>
      </c>
      <c r="C31" s="71">
        <f>'Desulf revenue'!O16</f>
        <v>2.9200000000000002E-7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workbookViewId="0">
      <selection activeCell="K25" sqref="K25"/>
    </sheetView>
  </sheetViews>
  <sheetFormatPr defaultRowHeight="17.399999999999999"/>
  <cols>
    <col min="2" max="2" width="55.8984375" style="35" bestFit="1" customWidth="1"/>
    <col min="4" max="4" width="7.8984375" style="35" bestFit="1" customWidth="1"/>
    <col min="5" max="5" width="16.59765625" style="35" bestFit="1" customWidth="1"/>
    <col min="9" max="9" width="46.69921875" style="35" bestFit="1" customWidth="1"/>
    <col min="10" max="10" width="18.3984375" style="35" bestFit="1" customWidth="1"/>
    <col min="11" max="11" width="14.19921875" style="35" bestFit="1" customWidth="1"/>
  </cols>
  <sheetData>
    <row r="3" spans="2:11" ht="18" customHeight="1" thickBot="1">
      <c r="B3" s="9" t="s">
        <v>27</v>
      </c>
      <c r="C3" s="10"/>
      <c r="D3" s="10"/>
      <c r="E3" s="10"/>
      <c r="I3" s="22" t="s">
        <v>28</v>
      </c>
      <c r="J3" s="17"/>
      <c r="K3" s="17"/>
    </row>
    <row r="4" spans="2:11" ht="18" customHeight="1" thickBot="1">
      <c r="B4" s="11" t="s">
        <v>29</v>
      </c>
      <c r="C4" s="12" t="s">
        <v>30</v>
      </c>
      <c r="D4" s="13" t="s">
        <v>31</v>
      </c>
      <c r="E4" s="14" t="s">
        <v>32</v>
      </c>
      <c r="I4" s="11" t="s">
        <v>33</v>
      </c>
      <c r="J4" s="26" t="s">
        <v>34</v>
      </c>
      <c r="K4" s="27" t="s">
        <v>32</v>
      </c>
    </row>
    <row r="5" spans="2:11">
      <c r="B5" s="15" t="s">
        <v>35</v>
      </c>
      <c r="C5" s="16"/>
      <c r="D5" s="17"/>
      <c r="E5" s="18"/>
      <c r="I5" s="28" t="s">
        <v>36</v>
      </c>
      <c r="J5" s="29"/>
      <c r="K5" s="44"/>
    </row>
    <row r="6" spans="2:11">
      <c r="B6" s="15" t="s">
        <v>37</v>
      </c>
      <c r="C6" s="16"/>
      <c r="D6" s="17"/>
      <c r="E6" s="19"/>
      <c r="I6" s="16" t="s">
        <v>38</v>
      </c>
      <c r="J6" s="30" t="s">
        <v>39</v>
      </c>
      <c r="K6" s="45">
        <f>SUM(E29*0.01)</f>
        <v>81598.801828353025</v>
      </c>
    </row>
    <row r="7" spans="2:11">
      <c r="B7" s="19" t="s">
        <v>40</v>
      </c>
      <c r="C7" s="16" t="s">
        <v>41</v>
      </c>
      <c r="D7" s="20">
        <v>30</v>
      </c>
      <c r="E7" s="41">
        <f>Desulf!I10</f>
        <v>2447964.0548505909</v>
      </c>
      <c r="I7" s="21" t="s">
        <v>42</v>
      </c>
      <c r="J7" s="31"/>
      <c r="K7" s="45"/>
    </row>
    <row r="8" spans="2:11">
      <c r="B8" s="19" t="s">
        <v>43</v>
      </c>
      <c r="C8" s="16" t="s">
        <v>44</v>
      </c>
      <c r="D8" s="17">
        <v>10</v>
      </c>
      <c r="E8" s="19">
        <f>SUM(E29*0.1)</f>
        <v>815988.01828353025</v>
      </c>
      <c r="I8" s="32" t="s">
        <v>45</v>
      </c>
      <c r="J8" s="31" t="s">
        <v>23</v>
      </c>
      <c r="K8" s="46" t="s">
        <v>23</v>
      </c>
    </row>
    <row r="9" spans="2:11">
      <c r="B9" s="19" t="s">
        <v>46</v>
      </c>
      <c r="C9" s="16" t="s">
        <v>47</v>
      </c>
      <c r="D9" s="17">
        <v>5</v>
      </c>
      <c r="E9" s="19">
        <f>SUM(E29*0.05)</f>
        <v>407994.00914176513</v>
      </c>
      <c r="I9" s="31" t="s">
        <v>48</v>
      </c>
      <c r="J9" s="31" t="s">
        <v>23</v>
      </c>
      <c r="K9" s="54">
        <f>Desulf!D23</f>
        <v>264542.46665461542</v>
      </c>
    </row>
    <row r="10" spans="2:11">
      <c r="B10" s="19" t="s">
        <v>49</v>
      </c>
      <c r="C10" s="16" t="s">
        <v>50</v>
      </c>
      <c r="D10" s="17">
        <v>10</v>
      </c>
      <c r="E10" s="19">
        <f>SUM(E29*0.1)</f>
        <v>815988.01828353025</v>
      </c>
      <c r="I10" s="31" t="s">
        <v>51</v>
      </c>
      <c r="J10" s="31"/>
      <c r="K10" s="47" t="s">
        <v>23</v>
      </c>
    </row>
    <row r="11" spans="2:11">
      <c r="B11" s="19" t="s">
        <v>52</v>
      </c>
      <c r="C11" s="16" t="s">
        <v>53</v>
      </c>
      <c r="D11" s="17">
        <v>5</v>
      </c>
      <c r="E11" s="19">
        <f>SUM(E29*0.05)</f>
        <v>407994.00914176513</v>
      </c>
      <c r="I11" s="31" t="s">
        <v>54</v>
      </c>
      <c r="J11" s="31" t="s">
        <v>55</v>
      </c>
      <c r="K11" s="52" t="s">
        <v>23</v>
      </c>
    </row>
    <row r="12" spans="2:11">
      <c r="B12" s="19"/>
      <c r="C12" s="16"/>
      <c r="D12" s="17"/>
      <c r="E12" s="19"/>
      <c r="I12" s="16" t="s">
        <v>56</v>
      </c>
      <c r="J12" s="33" t="s">
        <v>39</v>
      </c>
      <c r="K12" s="48">
        <f>SUM(K6*0.04)</f>
        <v>3263.9520731341213</v>
      </c>
    </row>
    <row r="13" spans="2:11">
      <c r="B13" s="15" t="s">
        <v>57</v>
      </c>
      <c r="C13" s="16"/>
      <c r="D13" s="17"/>
      <c r="E13" s="19"/>
      <c r="I13" s="16" t="s">
        <v>58</v>
      </c>
      <c r="J13" s="31" t="s">
        <v>59</v>
      </c>
      <c r="K13" s="45">
        <f>SUM(K25*0.15)</f>
        <v>106783.97105036514</v>
      </c>
    </row>
    <row r="14" spans="2:11">
      <c r="B14" s="19" t="s">
        <v>60</v>
      </c>
      <c r="C14" s="16" t="s">
        <v>61</v>
      </c>
      <c r="D14" s="17">
        <v>8</v>
      </c>
      <c r="E14" s="19">
        <f>SUM(E29*0.08)</f>
        <v>652790.4146268242</v>
      </c>
      <c r="I14" s="16" t="s">
        <v>62</v>
      </c>
      <c r="J14" s="31" t="s">
        <v>63</v>
      </c>
      <c r="K14" s="45">
        <f>SUM(K13*0.3)</f>
        <v>32035.191315109543</v>
      </c>
    </row>
    <row r="15" spans="2:11">
      <c r="B15" s="19" t="s">
        <v>64</v>
      </c>
      <c r="C15" s="16" t="s">
        <v>65</v>
      </c>
      <c r="D15" s="17">
        <v>2</v>
      </c>
      <c r="E15" s="19">
        <f>SUM(E29*0.02)</f>
        <v>163197.60365670605</v>
      </c>
      <c r="I15" s="16" t="s">
        <v>66</v>
      </c>
      <c r="J15" s="31" t="s">
        <v>67</v>
      </c>
      <c r="K15" s="45">
        <f>SUM(K12*0.15)</f>
        <v>489.59281097011819</v>
      </c>
    </row>
    <row r="16" spans="2:11">
      <c r="B16" s="19" t="s">
        <v>68</v>
      </c>
      <c r="C16" s="16" t="s">
        <v>69</v>
      </c>
      <c r="D16" s="17">
        <v>8</v>
      </c>
      <c r="E16" s="19">
        <f>SUM(E29*0.08)</f>
        <v>652790.4146268242</v>
      </c>
      <c r="I16" s="16" t="s">
        <v>70</v>
      </c>
      <c r="J16" s="31" t="s">
        <v>71</v>
      </c>
      <c r="K16" s="45">
        <f>SUM(K13*0.15)</f>
        <v>16017.595657554772</v>
      </c>
    </row>
    <row r="17" spans="2:11">
      <c r="B17" s="19" t="s">
        <v>72</v>
      </c>
      <c r="C17" s="16" t="s">
        <v>73</v>
      </c>
      <c r="D17" s="17">
        <v>2</v>
      </c>
      <c r="E17" s="19">
        <f>SUM(E29*0.02)</f>
        <v>163197.60365670605</v>
      </c>
      <c r="I17" s="16"/>
      <c r="J17" s="31"/>
      <c r="K17" s="45"/>
    </row>
    <row r="18" spans="2:11">
      <c r="B18" s="19"/>
      <c r="C18" s="16"/>
      <c r="D18" s="17"/>
      <c r="E18" s="19"/>
      <c r="I18" s="21" t="s">
        <v>74</v>
      </c>
      <c r="J18" s="31" t="s">
        <v>75</v>
      </c>
      <c r="K18" s="45">
        <f>SUM(0.6*K29)</f>
        <v>85249.868663165282</v>
      </c>
    </row>
    <row r="19" spans="2:11">
      <c r="B19" s="15" t="s">
        <v>76</v>
      </c>
      <c r="C19" s="16"/>
      <c r="D19" s="17"/>
      <c r="E19" s="19">
        <f>SUM(E7:E17)</f>
        <v>6527904.1462682439</v>
      </c>
      <c r="I19" s="16"/>
      <c r="J19" s="31"/>
      <c r="K19" s="45"/>
    </row>
    <row r="20" spans="2:11">
      <c r="B20" s="19"/>
      <c r="C20" s="16"/>
      <c r="D20" s="17"/>
      <c r="E20" s="19"/>
      <c r="I20" s="21" t="s">
        <v>77</v>
      </c>
      <c r="J20" s="31"/>
      <c r="K20" s="45"/>
    </row>
    <row r="21" spans="2:11">
      <c r="B21" s="15" t="s">
        <v>78</v>
      </c>
      <c r="C21" s="16"/>
      <c r="D21" s="17"/>
      <c r="E21" s="19"/>
      <c r="I21" s="16" t="s">
        <v>79</v>
      </c>
      <c r="J21" s="31" t="s">
        <v>80</v>
      </c>
      <c r="K21" s="45">
        <f>SUM(K13*0.175)</f>
        <v>18687.194933813898</v>
      </c>
    </row>
    <row r="22" spans="2:11">
      <c r="B22" s="19" t="s">
        <v>81</v>
      </c>
      <c r="C22" s="16" t="s">
        <v>82</v>
      </c>
      <c r="D22" s="17">
        <v>5</v>
      </c>
      <c r="E22" s="19">
        <f>SUM(E29*0.05)</f>
        <v>407994.00914176513</v>
      </c>
      <c r="I22" s="34" t="s">
        <v>83</v>
      </c>
      <c r="J22" s="31" t="s">
        <v>84</v>
      </c>
      <c r="K22" s="45">
        <f>SUM(K25*0.11)</f>
        <v>78308.245436934449</v>
      </c>
    </row>
    <row r="23" spans="2:11">
      <c r="B23" s="19" t="s">
        <v>85</v>
      </c>
      <c r="C23" s="16" t="s">
        <v>86</v>
      </c>
      <c r="D23" s="17">
        <v>5</v>
      </c>
      <c r="E23" s="19">
        <f>SUM(E29*0.05)</f>
        <v>407994.00914176513</v>
      </c>
      <c r="I23" s="16" t="s">
        <v>87</v>
      </c>
      <c r="J23" s="34" t="s">
        <v>88</v>
      </c>
      <c r="K23" s="45">
        <f>SUM(K25*0.035)</f>
        <v>24916.259911751869</v>
      </c>
    </row>
    <row r="24" spans="2:11">
      <c r="B24" s="19" t="s">
        <v>89</v>
      </c>
      <c r="C24" s="16" t="s">
        <v>65</v>
      </c>
      <c r="D24" s="17">
        <v>5</v>
      </c>
      <c r="E24" s="19">
        <f>SUM(E29*0.05)</f>
        <v>407994.00914176513</v>
      </c>
      <c r="I24" s="16"/>
      <c r="J24" s="34"/>
      <c r="K24" s="45"/>
    </row>
    <row r="25" spans="2:11" ht="18" customHeight="1" thickBot="1">
      <c r="B25" s="19" t="s">
        <v>90</v>
      </c>
      <c r="C25" s="16" t="s">
        <v>91</v>
      </c>
      <c r="D25" s="17">
        <v>5</v>
      </c>
      <c r="E25" s="19">
        <f>SUM(E29*0.05)</f>
        <v>407994.00914176513</v>
      </c>
      <c r="I25" s="24" t="s">
        <v>92</v>
      </c>
      <c r="J25" s="24"/>
      <c r="K25" s="49">
        <f>SUM(K27/0.49425)</f>
        <v>711893.14033576765</v>
      </c>
    </row>
    <row r="26" spans="2:11">
      <c r="B26" s="19"/>
      <c r="C26" s="16"/>
      <c r="D26" s="17"/>
      <c r="E26" s="19"/>
      <c r="I26" s="17"/>
      <c r="J26" s="17"/>
      <c r="K26" s="50"/>
    </row>
    <row r="27" spans="2:11">
      <c r="B27" s="15" t="s">
        <v>93</v>
      </c>
      <c r="C27" s="16"/>
      <c r="D27" s="17"/>
      <c r="E27" s="19">
        <f>SUM(E22:E25)</f>
        <v>1631976.0365670605</v>
      </c>
      <c r="I27" s="17"/>
      <c r="J27" s="17"/>
      <c r="K27" s="50">
        <f>SUM(K6:K12,K15,0.6*K12)</f>
        <v>351853.18461095315</v>
      </c>
    </row>
    <row r="28" spans="2:11">
      <c r="B28" s="19"/>
      <c r="C28" s="16"/>
      <c r="D28" s="17"/>
      <c r="E28" s="19"/>
      <c r="I28" s="10"/>
      <c r="J28" s="10"/>
      <c r="K28" s="50"/>
    </row>
    <row r="29" spans="2:11">
      <c r="B29" s="19" t="s">
        <v>94</v>
      </c>
      <c r="C29" s="16">
        <v>100</v>
      </c>
      <c r="D29" s="17">
        <v>100</v>
      </c>
      <c r="E29" s="19">
        <f>SUM(E7*100/D7)</f>
        <v>8159880.1828353023</v>
      </c>
      <c r="I29" s="10"/>
      <c r="J29" s="10" t="s">
        <v>95</v>
      </c>
      <c r="K29" s="50">
        <f>(K12+K13+K14)</f>
        <v>142083.11443860881</v>
      </c>
    </row>
    <row r="30" spans="2:11">
      <c r="B30" s="19" t="s">
        <v>96</v>
      </c>
      <c r="C30" s="16">
        <v>20</v>
      </c>
      <c r="D30" s="20">
        <v>20</v>
      </c>
      <c r="E30" s="19">
        <f>SUM(E29*0.2)</f>
        <v>1631976.0365670605</v>
      </c>
      <c r="K30" s="51">
        <f>SUM(K6:K23)</f>
        <v>711893.14033576753</v>
      </c>
    </row>
    <row r="31" spans="2:11">
      <c r="B31" s="19" t="s">
        <v>97</v>
      </c>
      <c r="C31" s="16">
        <v>20</v>
      </c>
      <c r="D31" s="20">
        <v>20</v>
      </c>
      <c r="E31" s="19">
        <f>SUM(E29*0.2)</f>
        <v>1631976.0365670605</v>
      </c>
    </row>
    <row r="32" spans="2:11">
      <c r="B32" s="19"/>
      <c r="C32" s="16"/>
      <c r="D32" s="17"/>
      <c r="E32" s="19"/>
    </row>
    <row r="33" spans="2:5">
      <c r="B33" s="15" t="s">
        <v>98</v>
      </c>
      <c r="C33" s="21" t="s">
        <v>99</v>
      </c>
      <c r="D33" s="22"/>
      <c r="E33" s="15">
        <f>SUM(E29:E31)</f>
        <v>11423832.255969424</v>
      </c>
    </row>
    <row r="34" spans="2:5" ht="18" customHeight="1" thickBot="1">
      <c r="B34" s="23" t="s">
        <v>100</v>
      </c>
      <c r="C34" s="24" t="s">
        <v>101</v>
      </c>
      <c r="D34" s="25"/>
      <c r="E34" s="23">
        <f>SUM(E33/((1-(1/((1.05)^25)))/0.07))</f>
        <v>1134768.5584693258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E6" sqref="E6"/>
    </sheetView>
  </sheetViews>
  <sheetFormatPr defaultRowHeight="17.399999999999999"/>
  <cols>
    <col min="3" max="3" width="18.8984375" style="35" bestFit="1" customWidth="1"/>
    <col min="4" max="4" width="17.3984375" style="35" bestFit="1" customWidth="1"/>
    <col min="5" max="5" width="23" style="35" customWidth="1"/>
    <col min="14" max="14" width="20.796875" style="35" customWidth="1"/>
  </cols>
  <sheetData>
    <row r="1" spans="2:15" ht="18" customHeight="1" thickBot="1"/>
    <row r="2" spans="2:15" ht="18" customHeight="1" thickBot="1">
      <c r="B2" s="4"/>
      <c r="C2" s="65" t="s">
        <v>102</v>
      </c>
      <c r="D2" s="37" t="s">
        <v>103</v>
      </c>
      <c r="E2" s="38" t="s">
        <v>104</v>
      </c>
    </row>
    <row r="3" spans="2:15" ht="18" customHeight="1" thickBot="1">
      <c r="B3" s="7" t="s">
        <v>105</v>
      </c>
      <c r="C3" s="66">
        <v>11.2759176</v>
      </c>
      <c r="D3" s="64">
        <f>O12*1000</f>
        <v>500</v>
      </c>
      <c r="E3" s="67">
        <f>C4*D3*8500</f>
        <v>47922.649799999999</v>
      </c>
    </row>
    <row r="4" spans="2:15">
      <c r="B4" t="s">
        <v>106</v>
      </c>
      <c r="C4">
        <f>C3*0.001</f>
        <v>1.1275917599999999E-2</v>
      </c>
      <c r="N4" t="s">
        <v>107</v>
      </c>
    </row>
    <row r="5" spans="2:15">
      <c r="N5" t="s">
        <v>108</v>
      </c>
      <c r="O5">
        <v>700.63022460937509</v>
      </c>
    </row>
    <row r="6" spans="2:15">
      <c r="N6" t="s">
        <v>109</v>
      </c>
      <c r="O6">
        <v>0.63600000000000001</v>
      </c>
    </row>
    <row r="7" spans="2:15">
      <c r="N7" t="s">
        <v>110</v>
      </c>
      <c r="O7">
        <v>0.56000000000000005</v>
      </c>
    </row>
    <row r="8" spans="2:15">
      <c r="N8" t="s">
        <v>111</v>
      </c>
      <c r="O8">
        <v>0.7</v>
      </c>
    </row>
    <row r="9" spans="2:15">
      <c r="N9" t="s">
        <v>112</v>
      </c>
      <c r="O9">
        <v>1.457142857</v>
      </c>
    </row>
    <row r="10" spans="2:15">
      <c r="N10" t="s">
        <v>113</v>
      </c>
      <c r="O10">
        <v>0.37</v>
      </c>
    </row>
    <row r="11" spans="2:15">
      <c r="N11" t="s">
        <v>114</v>
      </c>
      <c r="O11" s="68">
        <v>0.7</v>
      </c>
    </row>
    <row r="12" spans="2:15">
      <c r="N12" t="s">
        <v>115</v>
      </c>
      <c r="O12" s="68">
        <v>0.5</v>
      </c>
    </row>
    <row r="13" spans="2:15">
      <c r="N13" t="s">
        <v>116</v>
      </c>
      <c r="O13" s="68">
        <v>15000</v>
      </c>
    </row>
    <row r="14" spans="2:15">
      <c r="N14" t="s">
        <v>117</v>
      </c>
      <c r="O14">
        <v>0.18</v>
      </c>
    </row>
    <row r="15" spans="2:15">
      <c r="N15" t="s">
        <v>118</v>
      </c>
      <c r="O15" s="69">
        <v>2.9200000000000002E-7</v>
      </c>
    </row>
    <row r="16" spans="2:15">
      <c r="N16" t="s">
        <v>119</v>
      </c>
      <c r="O16" s="69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Desulf</vt:lpstr>
      <vt:lpstr>Desulf EAC&amp;TPC</vt:lpstr>
      <vt:lpstr>Desulf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2024-10-08T11:21:58Z</dcterms:modified>
</cp:coreProperties>
</file>