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CodeOcean\code\"/>
    </mc:Choice>
  </mc:AlternateContent>
  <xr:revisionPtr revIDLastSave="0" documentId="13_ncr:1_{695F32F3-2E1B-4A02-A864-CC34FEC8F198}" xr6:coauthVersionLast="47" xr6:coauthVersionMax="47" xr10:uidLastSave="{00000000-0000-0000-0000-000000000000}"/>
  <bookViews>
    <workbookView xWindow="252" yWindow="348" windowWidth="29040" windowHeight="12768" activeTab="2" xr2:uid="{00000000-000D-0000-FFFF-FFFF00000000}"/>
  </bookViews>
  <sheets>
    <sheet name="Plastic" sheetId="1" r:id="rId1"/>
    <sheet name="Plastic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41" i="1"/>
  <c r="C40" i="1"/>
  <c r="C39" i="1"/>
  <c r="C38" i="1"/>
  <c r="D25" i="1" s="1"/>
  <c r="D30" i="1"/>
  <c r="I14" i="1"/>
  <c r="I13" i="1"/>
  <c r="I12" i="1"/>
  <c r="I11" i="1"/>
  <c r="I10" i="1"/>
  <c r="I8" i="1"/>
  <c r="I7" i="1"/>
  <c r="I6" i="1"/>
  <c r="I5" i="1"/>
  <c r="I15" i="1" s="1"/>
  <c r="E7" i="2" s="1"/>
  <c r="E29" i="2" l="1"/>
  <c r="D26" i="1"/>
  <c r="D28" i="1"/>
  <c r="D29" i="1"/>
  <c r="D31" i="1"/>
  <c r="D38" i="1"/>
  <c r="D24" i="1"/>
  <c r="D23" i="1"/>
  <c r="D33" i="1" l="1"/>
  <c r="K9" i="2" s="1"/>
  <c r="D19" i="3"/>
  <c r="C19" i="3"/>
  <c r="E23" i="2"/>
  <c r="E22" i="2"/>
  <c r="E17" i="2"/>
  <c r="E16" i="2"/>
  <c r="E15" i="2"/>
  <c r="E11" i="2"/>
  <c r="E10" i="2"/>
  <c r="E9" i="2"/>
  <c r="E30" i="2"/>
  <c r="E33" i="2" s="1"/>
  <c r="E34" i="2" s="1"/>
  <c r="G38" i="1" s="1"/>
  <c r="E31" i="2"/>
  <c r="E25" i="2"/>
  <c r="E14" i="2"/>
  <c r="E8" i="2"/>
  <c r="K6" i="2"/>
  <c r="E24" i="2"/>
  <c r="K12" i="2" l="1"/>
  <c r="E27" i="2"/>
  <c r="E19" i="2"/>
  <c r="K27" i="2" l="1"/>
  <c r="K25" i="2" s="1"/>
  <c r="K15" i="2"/>
  <c r="K13" i="2" l="1"/>
  <c r="K23" i="2"/>
  <c r="G39" i="1"/>
  <c r="K22" i="2"/>
  <c r="K21" i="2" l="1"/>
  <c r="K16" i="2"/>
  <c r="K14" i="2"/>
  <c r="K29" i="2"/>
  <c r="K18" i="2" s="1"/>
  <c r="K30" i="2"/>
</calcChain>
</file>

<file path=xl/sharedStrings.xml><?xml version="1.0" encoding="utf-8"?>
<sst xmlns="http://schemas.openxmlformats.org/spreadsheetml/2006/main" count="187" uniqueCount="145">
  <si>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</si>
  <si>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</si>
  <si>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</si>
  <si>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</si>
  <si>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</si>
  <si>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</si>
  <si>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</si>
  <si>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</si>
  <si>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</si>
  <si>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</si>
  <si>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HDPE</t>
  </si>
  <si>
    <t>Feed flow rate (kg/h)</t>
  </si>
  <si>
    <t>Design cost factors for scaling up engineering equipment</t>
  </si>
  <si>
    <t>LDPE</t>
  </si>
  <si>
    <t>PP</t>
  </si>
  <si>
    <t>PS</t>
  </si>
  <si>
    <t>MIXER</t>
  </si>
  <si>
    <t>-</t>
  </si>
  <si>
    <t>HEATER</t>
  </si>
  <si>
    <t>Heat transfer area (m^2)</t>
  </si>
  <si>
    <t>DACE. Prijzenboekje Dutch Association of Cost Engineers; 2002.</t>
  </si>
  <si>
    <t>RPLUG</t>
  </si>
  <si>
    <t>Design cost factors for scalingup engineering equipment</t>
  </si>
  <si>
    <t>RPYRO</t>
  </si>
  <si>
    <t>B2</t>
  </si>
  <si>
    <t>B3</t>
  </si>
  <si>
    <t>Total</t>
  </si>
  <si>
    <t>Opex</t>
  </si>
  <si>
    <t>Block heat duty (cal/sec)</t>
  </si>
  <si>
    <t>Annual operating cost</t>
  </si>
  <si>
    <t>*** 파란색 글씨만 변동되는 값</t>
  </si>
  <si>
    <t>Cooling, heating 조건문 추가</t>
  </si>
  <si>
    <t>Annual operating hours [sec/yr]</t>
  </si>
  <si>
    <t>EAC</t>
  </si>
  <si>
    <t>Electricity cost [$/kWh]</t>
  </si>
  <si>
    <t>TPC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</si>
  <si>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</si>
  <si>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</si>
  <si>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</si>
  <si>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</si>
  <si>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</si>
  <si>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</si>
  <si>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</si>
  <si>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</si>
  <si>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</si>
  <si>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</si>
  <si>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</si>
  <si>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</si>
  <si>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</si>
  <si>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</si>
  <si>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</si>
  <si>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</si>
  <si>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</si>
  <si>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</si>
  <si>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</si>
  <si>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</si>
  <si>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</si>
  <si>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</si>
  <si>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</si>
  <si>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</si>
  <si>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</si>
  <si>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</si>
  <si>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</si>
  <si>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</si>
  <si>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</si>
  <si>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</si>
  <si>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</si>
  <si>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$0.075/kWh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</si>
  <si>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</si>
  <si>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</si>
  <si>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</si>
  <si>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</si>
  <si>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</si>
  <si>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</si>
  <si>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</si>
  <si>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</si>
  <si>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</si>
  <si>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</si>
  <si>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</si>
  <si>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</si>
  <si>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</si>
  <si>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</si>
  <si>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</si>
  <si>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</si>
  <si>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</si>
  <si>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</si>
  <si>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</si>
  <si>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</si>
  <si>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</si>
  <si>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</si>
  <si>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</si>
  <si>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</si>
  <si>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</si>
  <si>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</si>
  <si>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</si>
  <si>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</si>
  <si>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</si>
  <si>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</si>
  <si>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</si>
  <si>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</si>
  <si>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</si>
  <si>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</si>
  <si>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</si>
  <si>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</si>
  <si>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</si>
  <si>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</si>
  <si>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</si>
  <si>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</si>
  <si>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</si>
  <si>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</si>
  <si>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</si>
  <si>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</si>
  <si>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kg/h</t>
  </si>
  <si>
    <t>USD/h</t>
  </si>
  <si>
    <t>CH4</t>
  </si>
  <si>
    <t>Selling price</t>
  </si>
  <si>
    <t>C2H6</t>
  </si>
  <si>
    <t>H2 [USD/kg]</t>
  </si>
  <si>
    <t>C2H4</t>
  </si>
  <si>
    <t>CH4 [USD/kg]</t>
  </si>
  <si>
    <t>C4H10</t>
  </si>
  <si>
    <t>C2H6,C2H4 [USD/kg]</t>
  </si>
  <si>
    <t>C6H6</t>
  </si>
  <si>
    <t>C4~C9 (납사) [USD/kg]</t>
  </si>
  <si>
    <t>C7H8</t>
  </si>
  <si>
    <t>C10~C16 (디젤) [USD/kg]</t>
  </si>
  <si>
    <t>C8H10</t>
  </si>
  <si>
    <t>CaCO3 [USD/kg]</t>
  </si>
  <si>
    <t>C9H18</t>
  </si>
  <si>
    <t>MgCO3 [USD/kg]</t>
  </si>
  <si>
    <t>C10H8</t>
  </si>
  <si>
    <t>Gypsum [USD/kg]</t>
  </si>
  <si>
    <t>C10H14</t>
  </si>
  <si>
    <t>HCL [USD/kg]</t>
  </si>
  <si>
    <t>C14H30</t>
  </si>
  <si>
    <t>Electricity [USD/kWh]</t>
  </si>
  <si>
    <t>C16H34</t>
  </si>
  <si>
    <t>Cooling price [USD/cal]</t>
  </si>
  <si>
    <t>C22H46</t>
  </si>
  <si>
    <t>Heating price [USD/cal]</t>
  </si>
  <si>
    <t>CH4(gas)</t>
  </si>
  <si>
    <t>NG cost [USD/kg]</t>
  </si>
  <si>
    <t>Without SMR</t>
  </si>
  <si>
    <t>With SMR</t>
  </si>
  <si>
    <t>Revenue
[$/Y]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</si>
</sst>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Arial"/>
      <family val="2"/>
    </font>
    <font>
      <sz val="11"/>
      <color theme="4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 tint="-0.249977111117893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83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4" borderId="7" xfId="0" applyFill="1" applyBorder="1">
      <alignment vertical="center"/>
    </xf>
    <xf numFmtId="41" fontId="0" fillId="0" borderId="6" xfId="1" applyFont="1" applyBorder="1" applyAlignment="1"/>
    <xf numFmtId="41" fontId="0" fillId="0" borderId="7" xfId="1" applyFont="1" applyBorder="1" applyAlignment="1"/>
    <xf numFmtId="41" fontId="0" fillId="0" borderId="8" xfId="0" applyNumberFormat="1" applyBorder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10" fillId="0" borderId="5" xfId="0" applyFont="1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41" fontId="0" fillId="0" borderId="7" xfId="1" applyFont="1" applyBorder="1" applyAlignment="1">
      <alignment horizontal="right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0" fontId="12" fillId="0" borderId="11" xfId="0" applyFont="1" applyBorder="1">
      <alignment vertical="center"/>
    </xf>
    <xf numFmtId="41" fontId="4" fillId="5" borderId="12" xfId="1" applyFont="1" applyFill="1" applyBorder="1" applyAlignment="1">
      <alignment horizontal="left"/>
    </xf>
    <xf numFmtId="0" fontId="0" fillId="5" borderId="10" xfId="0" applyFill="1" applyBorder="1">
      <alignment vertical="center"/>
    </xf>
    <xf numFmtId="0" fontId="7" fillId="5" borderId="11" xfId="0" applyFont="1" applyFill="1" applyBorder="1">
      <alignment vertical="center"/>
    </xf>
    <xf numFmtId="0" fontId="11" fillId="5" borderId="11" xfId="0" applyFont="1" applyFill="1" applyBorder="1">
      <alignment vertical="center"/>
    </xf>
    <xf numFmtId="41" fontId="0" fillId="0" borderId="0" xfId="0" applyNumberFormat="1" applyAlignment="1"/>
    <xf numFmtId="0" fontId="0" fillId="0" borderId="0" xfId="0" applyAlignment="1">
      <alignment vertical="center" wrapText="1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3" fillId="0" borderId="0" xfId="0" applyFont="1" applyAlignment="1"/>
    <xf numFmtId="11" fontId="13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1"/>
  <sheetViews>
    <sheetView topLeftCell="A10" zoomScale="85" zoomScaleNormal="85" workbookViewId="0">
      <selection activeCell="D38" sqref="D38"/>
    </sheetView>
  </sheetViews>
  <sheetFormatPr defaultRowHeight="17.399999999999999"/>
  <cols>
    <col min="2" max="2" width="29" style="40" bestFit="1" customWidth="1"/>
    <col min="3" max="3" width="27" style="40" bestFit="1" customWidth="1"/>
    <col min="4" max="4" width="24" style="40" bestFit="1" customWidth="1"/>
    <col min="5" max="5" width="18" style="40" bestFit="1" customWidth="1"/>
    <col min="6" max="6" width="14.59765625" style="40" customWidth="1"/>
    <col min="7" max="7" width="23.69921875" style="40" bestFit="1" customWidth="1"/>
    <col min="8" max="8" width="14.3984375" style="40" bestFit="1" customWidth="1"/>
    <col min="9" max="9" width="17.69921875" style="40" bestFit="1" customWidth="1"/>
    <col min="10" max="10" width="60.8984375" style="40" bestFit="1" customWidth="1"/>
  </cols>
  <sheetData>
    <row r="2" spans="2:10">
      <c r="B2" s="13" t="s">
        <v>0</v>
      </c>
    </row>
    <row r="3" spans="2:10" ht="17.25" customHeight="1" thickBot="1"/>
    <row r="4" spans="2:10" ht="17.25" customHeight="1" thickBot="1">
      <c r="B4" s="8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10" t="s">
        <v>10</v>
      </c>
      <c r="C5" s="2">
        <v>2100</v>
      </c>
      <c r="D5" s="54" t="s">
        <v>11</v>
      </c>
      <c r="E5" s="9">
        <v>4.79</v>
      </c>
      <c r="F5" s="43">
        <v>86</v>
      </c>
      <c r="G5" s="9">
        <v>0.78</v>
      </c>
      <c r="H5" s="9">
        <v>1990</v>
      </c>
      <c r="I5" s="3">
        <f>C5*(F5/E5)^G5*595.6/357.6</f>
        <v>33267.760418079284</v>
      </c>
      <c r="J5" s="10" t="s">
        <v>12</v>
      </c>
    </row>
    <row r="6" spans="2:10">
      <c r="B6" s="11" t="s">
        <v>13</v>
      </c>
      <c r="C6" s="4">
        <v>2100</v>
      </c>
      <c r="D6" s="55" t="s">
        <v>11</v>
      </c>
      <c r="E6">
        <v>4.79</v>
      </c>
      <c r="F6" s="44">
        <v>170</v>
      </c>
      <c r="G6">
        <v>0.78</v>
      </c>
      <c r="H6">
        <v>1990</v>
      </c>
      <c r="I6" s="5">
        <f>C6*(F6/E6)^G6*595.6/357.6</f>
        <v>56606.321272303598</v>
      </c>
      <c r="J6" s="11" t="s">
        <v>12</v>
      </c>
    </row>
    <row r="7" spans="2:10">
      <c r="B7" s="11" t="s">
        <v>14</v>
      </c>
      <c r="C7" s="4">
        <v>2100</v>
      </c>
      <c r="D7" s="55" t="s">
        <v>11</v>
      </c>
      <c r="E7">
        <v>4.79</v>
      </c>
      <c r="F7" s="44">
        <v>66</v>
      </c>
      <c r="G7">
        <v>0.78</v>
      </c>
      <c r="H7">
        <v>1990</v>
      </c>
      <c r="I7" s="5">
        <f>C7*(F7/E7)^G7*595.6/357.6</f>
        <v>27061.94723643731</v>
      </c>
      <c r="J7" s="11" t="s">
        <v>12</v>
      </c>
    </row>
    <row r="8" spans="2:10">
      <c r="B8" s="11" t="s">
        <v>15</v>
      </c>
      <c r="C8" s="4">
        <v>2100</v>
      </c>
      <c r="D8" s="55" t="s">
        <v>11</v>
      </c>
      <c r="E8">
        <v>4.79</v>
      </c>
      <c r="F8" s="44">
        <v>66</v>
      </c>
      <c r="G8">
        <v>0.78</v>
      </c>
      <c r="H8">
        <v>1990</v>
      </c>
      <c r="I8" s="5">
        <f>C8*(F8/E8)^G8*595.6/357.6</f>
        <v>27061.94723643731</v>
      </c>
      <c r="J8" s="11" t="s">
        <v>12</v>
      </c>
    </row>
    <row r="9" spans="2:10">
      <c r="B9" s="11" t="s">
        <v>16</v>
      </c>
      <c r="C9" s="4" t="s">
        <v>17</v>
      </c>
      <c r="D9" s="55" t="s">
        <v>17</v>
      </c>
      <c r="E9" t="s">
        <v>17</v>
      </c>
      <c r="F9" t="s">
        <v>17</v>
      </c>
      <c r="G9" t="s">
        <v>17</v>
      </c>
      <c r="I9" s="5"/>
      <c r="J9" s="11"/>
    </row>
    <row r="10" spans="2:10">
      <c r="B10" s="69" t="s">
        <v>18</v>
      </c>
      <c r="C10" s="4">
        <v>1500</v>
      </c>
      <c r="D10" s="68" t="s">
        <v>19</v>
      </c>
      <c r="E10">
        <v>2</v>
      </c>
      <c r="F10" s="44">
        <v>2.14424408</v>
      </c>
      <c r="G10">
        <v>0.59</v>
      </c>
      <c r="H10">
        <v>2006</v>
      </c>
      <c r="I10" s="5">
        <f>C10*(F10/E10)^G10*595.6/499.6</f>
        <v>1863.2349013339119</v>
      </c>
      <c r="J10" s="11" t="s">
        <v>20</v>
      </c>
    </row>
    <row r="11" spans="2:10">
      <c r="B11" s="11" t="s">
        <v>21</v>
      </c>
      <c r="C11" s="4">
        <v>14100</v>
      </c>
      <c r="D11" s="55" t="s">
        <v>11</v>
      </c>
      <c r="E11">
        <v>4.79</v>
      </c>
      <c r="F11" s="44">
        <v>388</v>
      </c>
      <c r="G11">
        <v>0.7</v>
      </c>
      <c r="H11">
        <v>1990</v>
      </c>
      <c r="I11" s="5">
        <f>C11*(F11/E11)^G11*595.6/357.6</f>
        <v>509006.86548126535</v>
      </c>
      <c r="J11" s="11" t="s">
        <v>22</v>
      </c>
    </row>
    <row r="12" spans="2:10">
      <c r="B12" s="11" t="s">
        <v>23</v>
      </c>
      <c r="C12" s="4">
        <v>2100</v>
      </c>
      <c r="D12" s="55" t="s">
        <v>11</v>
      </c>
      <c r="E12">
        <v>4.79</v>
      </c>
      <c r="F12" s="44">
        <v>388.00453299999998</v>
      </c>
      <c r="G12">
        <v>0.78</v>
      </c>
      <c r="H12">
        <v>1990</v>
      </c>
      <c r="I12" s="5">
        <f>C12*(F12/E12)^G12*595.6/357.6</f>
        <v>107747.56810251942</v>
      </c>
      <c r="J12" s="11" t="s">
        <v>12</v>
      </c>
    </row>
    <row r="13" spans="2:10">
      <c r="B13" s="69" t="s">
        <v>24</v>
      </c>
      <c r="C13" s="4">
        <v>1500</v>
      </c>
      <c r="D13" s="68" t="s">
        <v>19</v>
      </c>
      <c r="E13">
        <v>2</v>
      </c>
      <c r="F13" s="44">
        <v>3.2567141199999998</v>
      </c>
      <c r="G13">
        <v>0.59</v>
      </c>
      <c r="H13">
        <v>2006</v>
      </c>
      <c r="I13" s="5">
        <f>C13*(F13/E13)^G13*595.6/499.6</f>
        <v>2384.2720454141381</v>
      </c>
      <c r="J13" s="11" t="s">
        <v>20</v>
      </c>
    </row>
    <row r="14" spans="2:10" ht="17.25" customHeight="1" thickBot="1">
      <c r="B14" s="12" t="s">
        <v>25</v>
      </c>
      <c r="C14" s="46">
        <v>165000</v>
      </c>
      <c r="D14" s="56" t="s">
        <v>11</v>
      </c>
      <c r="E14" s="47">
        <v>359263</v>
      </c>
      <c r="F14" s="45">
        <v>388.00453299999998</v>
      </c>
      <c r="G14" s="7">
        <v>0.6</v>
      </c>
      <c r="H14" s="7">
        <v>1998</v>
      </c>
      <c r="I14" s="48">
        <f>C14*(F14/E14)^G14*595.6/389.5</f>
        <v>4187.798294220037</v>
      </c>
      <c r="J14" s="12"/>
    </row>
    <row r="15" spans="2:10" ht="17.25" customHeight="1" thickBot="1">
      <c r="B15" s="8" t="s">
        <v>26</v>
      </c>
      <c r="C15" s="41"/>
      <c r="D15" s="41"/>
      <c r="E15" s="41"/>
      <c r="F15" s="41"/>
      <c r="G15" s="41"/>
      <c r="H15" s="41"/>
      <c r="I15" s="49">
        <f>SUM(I5:I14)</f>
        <v>769187.71498801035</v>
      </c>
    </row>
    <row r="20" spans="2:5">
      <c r="B20" s="13" t="s">
        <v>27</v>
      </c>
    </row>
    <row r="21" spans="2:5" ht="17.25" customHeight="1" thickBot="1"/>
    <row r="22" spans="2:5" ht="17.25" customHeight="1" thickBot="1">
      <c r="B22" s="8" t="s">
        <v>1</v>
      </c>
      <c r="C22" s="10" t="s">
        <v>28</v>
      </c>
      <c r="D22" s="8" t="s">
        <v>29</v>
      </c>
    </row>
    <row r="23" spans="2:5">
      <c r="B23" s="2" t="s">
        <v>10</v>
      </c>
      <c r="C23" s="71">
        <v>20609.517</v>
      </c>
      <c r="D23" s="11">
        <f>C23*IF(C23&gt;0,$C$41,$C$40)*$C$38</f>
        <v>184150.15629840002</v>
      </c>
    </row>
    <row r="24" spans="2:5">
      <c r="B24" s="4" t="s">
        <v>13</v>
      </c>
      <c r="C24" s="72">
        <v>40390.371099999997</v>
      </c>
      <c r="D24" s="11">
        <f>C24*IF(C24&gt;0,$C$41,$C$40)*$C$38</f>
        <v>360896.04385272</v>
      </c>
    </row>
    <row r="25" spans="2:5">
      <c r="B25" s="4" t="s">
        <v>14</v>
      </c>
      <c r="C25" s="72">
        <v>16337.205400000001</v>
      </c>
      <c r="D25" s="11">
        <f>C25*IF(C25&gt;0,$C$41,$C$40)*$C$38</f>
        <v>145976.19769008001</v>
      </c>
    </row>
    <row r="26" spans="2:5">
      <c r="B26" s="4" t="s">
        <v>15</v>
      </c>
      <c r="C26" s="72">
        <v>6161.0077300000003</v>
      </c>
      <c r="D26" s="11">
        <f>C26*IF(C26&gt;0,$C$41,$C$40)*$C$38</f>
        <v>55049.836269096006</v>
      </c>
    </row>
    <row r="27" spans="2:5">
      <c r="B27" s="4" t="s">
        <v>16</v>
      </c>
      <c r="C27" s="11" t="s">
        <v>17</v>
      </c>
      <c r="D27" s="11"/>
    </row>
    <row r="28" spans="2:5">
      <c r="B28" s="4" t="s">
        <v>18</v>
      </c>
      <c r="C28" s="73">
        <v>84476.541500000007</v>
      </c>
      <c r="D28" s="11">
        <f>C28*IF(C28&gt;0,$C$41,$C$40)*$C$38</f>
        <v>754814.79361080017</v>
      </c>
      <c r="E28" t="s">
        <v>30</v>
      </c>
    </row>
    <row r="29" spans="2:5">
      <c r="B29" s="4" t="s">
        <v>21</v>
      </c>
      <c r="C29" s="73">
        <v>-24698.977999999999</v>
      </c>
      <c r="D29" s="11">
        <f>C29*IF(C29&gt;0,$C$41,$C$40)*$C$38</f>
        <v>220690.30822560002</v>
      </c>
      <c r="E29" t="s">
        <v>31</v>
      </c>
    </row>
    <row r="30" spans="2:5">
      <c r="B30" s="4" t="s">
        <v>23</v>
      </c>
      <c r="C30" s="72">
        <v>-60456.4467</v>
      </c>
      <c r="D30" s="11">
        <f>C30*IF(C30&gt;0,$C$41,$C$40)*$C$38</f>
        <v>540190.44255384011</v>
      </c>
    </row>
    <row r="31" spans="2:5">
      <c r="B31" s="4" t="s">
        <v>24</v>
      </c>
      <c r="C31" s="73">
        <v>-38182.315999999999</v>
      </c>
      <c r="D31" s="11">
        <f>C31*IF(C31&gt;0,$C$41,$C$40)*$C$38</f>
        <v>341166.6299232</v>
      </c>
    </row>
    <row r="32" spans="2:5" ht="17.25" customHeight="1" thickBot="1">
      <c r="B32" s="6" t="s">
        <v>25</v>
      </c>
      <c r="C32" s="12" t="s">
        <v>17</v>
      </c>
      <c r="D32" s="11" t="s">
        <v>17</v>
      </c>
    </row>
    <row r="33" spans="1:7" ht="17.25" customHeight="1" thickBot="1">
      <c r="B33" s="8" t="s">
        <v>26</v>
      </c>
      <c r="C33" s="42"/>
      <c r="D33" s="66">
        <f>SUM(D23:D32)</f>
        <v>2602934.4084237367</v>
      </c>
    </row>
    <row r="37" spans="1:7" ht="17.25" customHeight="1" thickBot="1"/>
    <row r="38" spans="1:7">
      <c r="B38" s="10" t="s">
        <v>32</v>
      </c>
      <c r="C38" s="3">
        <f>8500*3600</f>
        <v>30600000</v>
      </c>
      <c r="D38">
        <f>C38/60/60</f>
        <v>8500</v>
      </c>
      <c r="F38" t="s">
        <v>33</v>
      </c>
      <c r="G38" s="74">
        <f>'Plastic EAC&amp;TPC'!E34</f>
        <v>356561.62221815495</v>
      </c>
    </row>
    <row r="39" spans="1:7">
      <c r="B39" s="52" t="s">
        <v>34</v>
      </c>
      <c r="C39" s="51">
        <f>Revenue!O14</f>
        <v>0.18</v>
      </c>
      <c r="F39" t="s">
        <v>35</v>
      </c>
      <c r="G39">
        <f>'Plastic EAC&amp;TPC'!K25</f>
        <v>5321939.8487775596</v>
      </c>
    </row>
    <row r="40" spans="1:7">
      <c r="A40" s="13" t="s">
        <v>17</v>
      </c>
      <c r="B40" s="52" t="s">
        <v>36</v>
      </c>
      <c r="C40" s="81">
        <f>Revenue!O15*(-1)</f>
        <v>-2.9200000000000002E-7</v>
      </c>
    </row>
    <row r="41" spans="1:7" ht="17.25" customHeight="1" thickBot="1">
      <c r="A41" s="13" t="s">
        <v>37</v>
      </c>
      <c r="B41" s="53" t="s">
        <v>38</v>
      </c>
      <c r="C41" s="82">
        <f>Revenue!O16</f>
        <v>2.9200000000000002E-7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zoomScale="70" zoomScaleNormal="70" workbookViewId="0">
      <selection activeCell="J18" sqref="J18"/>
    </sheetView>
  </sheetViews>
  <sheetFormatPr defaultRowHeight="17.399999999999999"/>
  <cols>
    <col min="2" max="2" width="55.8984375" style="40" bestFit="1" customWidth="1"/>
    <col min="4" max="4" width="7.8984375" style="40" bestFit="1" customWidth="1"/>
    <col min="5" max="5" width="16.59765625" style="40" bestFit="1" customWidth="1"/>
    <col min="9" max="9" width="46.69921875" style="40" bestFit="1" customWidth="1"/>
    <col min="10" max="10" width="18.3984375" style="40" bestFit="1" customWidth="1"/>
    <col min="11" max="11" width="14.19921875" style="40" bestFit="1" customWidth="1"/>
  </cols>
  <sheetData>
    <row r="3" spans="2:11" ht="17.25" customHeight="1" thickBot="1">
      <c r="B3" s="14" t="s">
        <v>39</v>
      </c>
      <c r="C3" s="15"/>
      <c r="D3" s="15"/>
      <c r="E3" s="15"/>
      <c r="I3" s="27" t="s">
        <v>40</v>
      </c>
      <c r="J3" s="22"/>
      <c r="K3" s="22"/>
    </row>
    <row r="4" spans="2:11" ht="17.25" customHeight="1" thickBot="1">
      <c r="B4" s="16" t="s">
        <v>41</v>
      </c>
      <c r="C4" s="17" t="s">
        <v>42</v>
      </c>
      <c r="D4" s="18" t="s">
        <v>43</v>
      </c>
      <c r="E4" s="19" t="s">
        <v>44</v>
      </c>
      <c r="I4" s="16" t="s">
        <v>45</v>
      </c>
      <c r="J4" s="31" t="s">
        <v>46</v>
      </c>
      <c r="K4" s="32" t="s">
        <v>44</v>
      </c>
    </row>
    <row r="5" spans="2:11">
      <c r="B5" s="20" t="s">
        <v>47</v>
      </c>
      <c r="C5" s="21"/>
      <c r="D5" s="22"/>
      <c r="E5" s="23"/>
      <c r="I5" s="33" t="s">
        <v>48</v>
      </c>
      <c r="J5" s="34"/>
      <c r="K5" s="57"/>
    </row>
    <row r="6" spans="2:11">
      <c r="B6" s="20" t="s">
        <v>49</v>
      </c>
      <c r="C6" s="21"/>
      <c r="D6" s="22"/>
      <c r="E6" s="24"/>
      <c r="I6" s="21" t="s">
        <v>50</v>
      </c>
      <c r="J6" s="35" t="s">
        <v>51</v>
      </c>
      <c r="K6" s="58">
        <f>SUM(E29*0.01)</f>
        <v>25639.590499600345</v>
      </c>
    </row>
    <row r="7" spans="2:11">
      <c r="B7" s="24" t="s">
        <v>52</v>
      </c>
      <c r="C7" s="21" t="s">
        <v>53</v>
      </c>
      <c r="D7" s="25">
        <v>30</v>
      </c>
      <c r="E7" s="50">
        <f>Plastic!I15</f>
        <v>769187.71498801035</v>
      </c>
      <c r="I7" s="26" t="s">
        <v>54</v>
      </c>
      <c r="J7" s="36"/>
      <c r="K7" s="58"/>
    </row>
    <row r="8" spans="2:11">
      <c r="B8" s="24" t="s">
        <v>55</v>
      </c>
      <c r="C8" s="21" t="s">
        <v>56</v>
      </c>
      <c r="D8" s="22">
        <v>10</v>
      </c>
      <c r="E8" s="24">
        <f>SUM(E29*0.1)</f>
        <v>256395.90499600346</v>
      </c>
      <c r="I8" s="37" t="s">
        <v>57</v>
      </c>
      <c r="J8" s="36" t="s">
        <v>17</v>
      </c>
      <c r="K8" s="59" t="s">
        <v>17</v>
      </c>
    </row>
    <row r="9" spans="2:11">
      <c r="B9" s="24" t="s">
        <v>58</v>
      </c>
      <c r="C9" s="21" t="s">
        <v>59</v>
      </c>
      <c r="D9" s="22">
        <v>5</v>
      </c>
      <c r="E9" s="24">
        <f>SUM(E29*0.05)</f>
        <v>128197.95249800173</v>
      </c>
      <c r="I9" s="36" t="s">
        <v>60</v>
      </c>
      <c r="J9" s="36" t="s">
        <v>17</v>
      </c>
      <c r="K9" s="67">
        <f>Plastic!D33</f>
        <v>2602934.4084237367</v>
      </c>
    </row>
    <row r="10" spans="2:11">
      <c r="B10" s="24" t="s">
        <v>61</v>
      </c>
      <c r="C10" s="21" t="s">
        <v>62</v>
      </c>
      <c r="D10" s="22">
        <v>10</v>
      </c>
      <c r="E10" s="24">
        <f>SUM(E29*0.1)</f>
        <v>256395.90499600346</v>
      </c>
      <c r="I10" s="36" t="s">
        <v>63</v>
      </c>
      <c r="J10" s="36"/>
      <c r="K10" s="60" t="s">
        <v>17</v>
      </c>
    </row>
    <row r="11" spans="2:11">
      <c r="B11" s="24" t="s">
        <v>64</v>
      </c>
      <c r="C11" s="21" t="s">
        <v>65</v>
      </c>
      <c r="D11" s="22">
        <v>5</v>
      </c>
      <c r="E11" s="24">
        <f>SUM(E29*0.05)</f>
        <v>128197.95249800173</v>
      </c>
      <c r="I11" s="36" t="s">
        <v>66</v>
      </c>
      <c r="J11" s="36" t="s">
        <v>67</v>
      </c>
      <c r="K11" s="65" t="s">
        <v>17</v>
      </c>
    </row>
    <row r="12" spans="2:11">
      <c r="B12" s="24"/>
      <c r="C12" s="21"/>
      <c r="D12" s="22"/>
      <c r="E12" s="24"/>
      <c r="I12" s="21" t="s">
        <v>68</v>
      </c>
      <c r="J12" s="38" t="s">
        <v>51</v>
      </c>
      <c r="K12" s="61">
        <f>SUM(K6*0.04)</f>
        <v>1025.5836199840137</v>
      </c>
    </row>
    <row r="13" spans="2:11">
      <c r="B13" s="20" t="s">
        <v>69</v>
      </c>
      <c r="C13" s="21"/>
      <c r="D13" s="22"/>
      <c r="E13" s="24"/>
      <c r="I13" s="21" t="s">
        <v>70</v>
      </c>
      <c r="J13" s="36" t="s">
        <v>71</v>
      </c>
      <c r="K13" s="58">
        <f>SUM(K25*0.15)</f>
        <v>798290.97731663391</v>
      </c>
    </row>
    <row r="14" spans="2:11">
      <c r="B14" s="24" t="s">
        <v>72</v>
      </c>
      <c r="C14" s="21" t="s">
        <v>73</v>
      </c>
      <c r="D14" s="22">
        <v>8</v>
      </c>
      <c r="E14" s="24">
        <f>SUM(E29*0.08)</f>
        <v>205116.72399680276</v>
      </c>
      <c r="I14" s="21" t="s">
        <v>74</v>
      </c>
      <c r="J14" s="36" t="s">
        <v>75</v>
      </c>
      <c r="K14" s="58">
        <f>SUM(K13*0.3)</f>
        <v>239487.29319499017</v>
      </c>
    </row>
    <row r="15" spans="2:11">
      <c r="B15" s="24" t="s">
        <v>76</v>
      </c>
      <c r="C15" s="21" t="s">
        <v>77</v>
      </c>
      <c r="D15" s="22">
        <v>2</v>
      </c>
      <c r="E15" s="24">
        <f>SUM(E29*0.02)</f>
        <v>51279.180999200689</v>
      </c>
      <c r="I15" s="21" t="s">
        <v>78</v>
      </c>
      <c r="J15" s="36" t="s">
        <v>79</v>
      </c>
      <c r="K15" s="58">
        <f>SUM(K12*0.15)</f>
        <v>153.83754299760204</v>
      </c>
    </row>
    <row r="16" spans="2:11">
      <c r="B16" s="24" t="s">
        <v>80</v>
      </c>
      <c r="C16" s="21" t="s">
        <v>81</v>
      </c>
      <c r="D16" s="22">
        <v>8</v>
      </c>
      <c r="E16" s="24">
        <f>SUM(E29*0.08)</f>
        <v>205116.72399680276</v>
      </c>
      <c r="I16" s="21" t="s">
        <v>82</v>
      </c>
      <c r="J16" s="36" t="s">
        <v>83</v>
      </c>
      <c r="K16" s="58">
        <f>SUM(K13*0.15)</f>
        <v>119743.64659749508</v>
      </c>
    </row>
    <row r="17" spans="2:11">
      <c r="B17" s="24" t="s">
        <v>84</v>
      </c>
      <c r="C17" s="21" t="s">
        <v>85</v>
      </c>
      <c r="D17" s="22">
        <v>2</v>
      </c>
      <c r="E17" s="24">
        <f>SUM(E29*0.02)</f>
        <v>51279.180999200689</v>
      </c>
      <c r="I17" s="21"/>
      <c r="J17" s="36"/>
      <c r="K17" s="58"/>
    </row>
    <row r="18" spans="2:11">
      <c r="B18" s="24"/>
      <c r="C18" s="21"/>
      <c r="D18" s="22"/>
      <c r="E18" s="24"/>
      <c r="I18" s="26" t="s">
        <v>86</v>
      </c>
      <c r="J18" s="36" t="s">
        <v>87</v>
      </c>
      <c r="K18" s="58">
        <f>SUM(0.6*K29)</f>
        <v>623282.3124789648</v>
      </c>
    </row>
    <row r="19" spans="2:11">
      <c r="B19" s="20" t="s">
        <v>88</v>
      </c>
      <c r="C19" s="21"/>
      <c r="D19" s="22"/>
      <c r="E19" s="24">
        <f>SUM(E7:E17)</f>
        <v>2051167.2399680277</v>
      </c>
      <c r="I19" s="21"/>
      <c r="J19" s="36"/>
      <c r="K19" s="58"/>
    </row>
    <row r="20" spans="2:11">
      <c r="B20" s="24"/>
      <c r="C20" s="21"/>
      <c r="D20" s="22"/>
      <c r="E20" s="24"/>
      <c r="I20" s="26" t="s">
        <v>89</v>
      </c>
      <c r="J20" s="36"/>
      <c r="K20" s="58"/>
    </row>
    <row r="21" spans="2:11">
      <c r="B21" s="20" t="s">
        <v>90</v>
      </c>
      <c r="C21" s="21"/>
      <c r="D21" s="22"/>
      <c r="E21" s="24"/>
      <c r="I21" s="21" t="s">
        <v>91</v>
      </c>
      <c r="J21" s="36" t="s">
        <v>92</v>
      </c>
      <c r="K21" s="58">
        <f>SUM(K13*0.175)</f>
        <v>139700.92103041091</v>
      </c>
    </row>
    <row r="22" spans="2:11">
      <c r="B22" s="24" t="s">
        <v>93</v>
      </c>
      <c r="C22" s="21" t="s">
        <v>94</v>
      </c>
      <c r="D22" s="22">
        <v>5</v>
      </c>
      <c r="E22" s="24">
        <f>SUM(E29*0.05)</f>
        <v>128197.95249800173</v>
      </c>
      <c r="I22" s="39" t="s">
        <v>95</v>
      </c>
      <c r="J22" s="36" t="s">
        <v>96</v>
      </c>
      <c r="K22" s="58">
        <f>SUM(K25*0.11)</f>
        <v>585413.38336553157</v>
      </c>
    </row>
    <row r="23" spans="2:11">
      <c r="B23" s="24" t="s">
        <v>97</v>
      </c>
      <c r="C23" s="21" t="s">
        <v>98</v>
      </c>
      <c r="D23" s="22">
        <v>5</v>
      </c>
      <c r="E23" s="24">
        <f>SUM(E29*0.05)</f>
        <v>128197.95249800173</v>
      </c>
      <c r="I23" s="21" t="s">
        <v>99</v>
      </c>
      <c r="J23" s="39" t="s">
        <v>100</v>
      </c>
      <c r="K23" s="58">
        <f>SUM(K25*0.035)</f>
        <v>186267.89470721461</v>
      </c>
    </row>
    <row r="24" spans="2:11">
      <c r="B24" s="24" t="s">
        <v>101</v>
      </c>
      <c r="C24" s="21" t="s">
        <v>77</v>
      </c>
      <c r="D24" s="22">
        <v>5</v>
      </c>
      <c r="E24" s="24">
        <f>SUM(E29*0.05)</f>
        <v>128197.95249800173</v>
      </c>
      <c r="I24" s="21"/>
      <c r="J24" s="39"/>
      <c r="K24" s="58"/>
    </row>
    <row r="25" spans="2:11" ht="17.25" customHeight="1" thickBot="1">
      <c r="B25" s="24" t="s">
        <v>102</v>
      </c>
      <c r="C25" s="21" t="s">
        <v>103</v>
      </c>
      <c r="D25" s="22">
        <v>5</v>
      </c>
      <c r="E25" s="24">
        <f>SUM(E29*0.05)</f>
        <v>128197.95249800173</v>
      </c>
      <c r="I25" s="29" t="s">
        <v>35</v>
      </c>
      <c r="J25" s="29"/>
      <c r="K25" s="62">
        <f>SUM(K27/0.49425)</f>
        <v>5321939.8487775596</v>
      </c>
    </row>
    <row r="26" spans="2:11">
      <c r="B26" s="24"/>
      <c r="C26" s="21"/>
      <c r="D26" s="22"/>
      <c r="E26" s="24"/>
      <c r="I26" s="22"/>
      <c r="J26" s="22"/>
      <c r="K26" s="63"/>
    </row>
    <row r="27" spans="2:11">
      <c r="B27" s="20" t="s">
        <v>104</v>
      </c>
      <c r="C27" s="21"/>
      <c r="D27" s="22"/>
      <c r="E27" s="24">
        <f>SUM(E22:E25)</f>
        <v>512791.80999200692</v>
      </c>
      <c r="I27" s="22"/>
      <c r="J27" s="22"/>
      <c r="K27" s="63">
        <f>SUM(K6:K12,K15,0.6*K12)</f>
        <v>2630368.7702583089</v>
      </c>
    </row>
    <row r="28" spans="2:11">
      <c r="B28" s="24"/>
      <c r="C28" s="21"/>
      <c r="D28" s="22"/>
      <c r="E28" s="24"/>
      <c r="I28" s="15"/>
      <c r="J28" s="15"/>
      <c r="K28" s="63"/>
    </row>
    <row r="29" spans="2:11">
      <c r="B29" s="24" t="s">
        <v>105</v>
      </c>
      <c r="C29" s="21">
        <v>100</v>
      </c>
      <c r="D29" s="22">
        <v>100</v>
      </c>
      <c r="E29" s="24">
        <f>SUM(E7*100/D7)</f>
        <v>2563959.0499600344</v>
      </c>
      <c r="I29" s="15"/>
      <c r="J29" s="15" t="s">
        <v>106</v>
      </c>
      <c r="K29" s="63">
        <f>(K12+K13+K14)</f>
        <v>1038803.854131608</v>
      </c>
    </row>
    <row r="30" spans="2:11">
      <c r="B30" s="24" t="s">
        <v>107</v>
      </c>
      <c r="C30" s="21">
        <v>20</v>
      </c>
      <c r="D30" s="25">
        <v>20</v>
      </c>
      <c r="E30" s="24">
        <f>SUM(E29*0.2)</f>
        <v>512791.80999200692</v>
      </c>
      <c r="K30" s="64">
        <f>SUM(K6:K23)</f>
        <v>5321939.8487775596</v>
      </c>
    </row>
    <row r="31" spans="2:11">
      <c r="B31" s="24" t="s">
        <v>108</v>
      </c>
      <c r="C31" s="21">
        <v>20</v>
      </c>
      <c r="D31" s="25">
        <v>20</v>
      </c>
      <c r="E31" s="24">
        <f>SUM(E29*0.2)</f>
        <v>512791.80999200692</v>
      </c>
    </row>
    <row r="32" spans="2:11">
      <c r="B32" s="24"/>
      <c r="C32" s="21"/>
      <c r="D32" s="22"/>
      <c r="E32" s="24"/>
    </row>
    <row r="33" spans="2:5">
      <c r="B33" s="20" t="s">
        <v>109</v>
      </c>
      <c r="C33" s="26" t="s">
        <v>110</v>
      </c>
      <c r="D33" s="27"/>
      <c r="E33" s="20">
        <f>SUM(E29:E31)</f>
        <v>3589542.6699440484</v>
      </c>
    </row>
    <row r="34" spans="2:5" ht="17.25" customHeight="1" thickBot="1">
      <c r="B34" s="28" t="s">
        <v>111</v>
      </c>
      <c r="C34" s="29" t="s">
        <v>33</v>
      </c>
      <c r="D34" s="30"/>
      <c r="E34" s="70">
        <f>SUM(E33/((1-(1/((1.05)^25)))/0.07))</f>
        <v>356561.62221815495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19"/>
  <sheetViews>
    <sheetView tabSelected="1" workbookViewId="0">
      <selection activeCell="I10" sqref="I10"/>
    </sheetView>
  </sheetViews>
  <sheetFormatPr defaultRowHeight="17.399999999999999"/>
  <cols>
    <col min="2" max="2" width="11.796875" style="40" customWidth="1"/>
    <col min="3" max="4" width="10.3984375" style="40" bestFit="1" customWidth="1"/>
    <col min="5" max="5" width="8.796875" style="40" customWidth="1"/>
    <col min="6" max="6" width="17.19921875" style="40" customWidth="1"/>
    <col min="14" max="14" width="23.796875" style="40" customWidth="1"/>
    <col min="17" max="17" width="16.3984375" style="40" customWidth="1"/>
  </cols>
  <sheetData>
    <row r="3" spans="2:15">
      <c r="C3" t="s">
        <v>112</v>
      </c>
      <c r="D3" t="s">
        <v>113</v>
      </c>
    </row>
    <row r="4" spans="2:15">
      <c r="B4" t="s">
        <v>114</v>
      </c>
      <c r="C4" s="76">
        <v>2.9460085E-2</v>
      </c>
      <c r="D4">
        <f>C4*O6</f>
        <v>1.873661406E-2</v>
      </c>
      <c r="N4" t="s">
        <v>115</v>
      </c>
    </row>
    <row r="5" spans="2:15">
      <c r="B5" t="s">
        <v>116</v>
      </c>
      <c r="C5" s="77">
        <v>3.9851310000000001E-2</v>
      </c>
      <c r="D5">
        <f>C5*$O$7</f>
        <v>2.2316733600000003E-2</v>
      </c>
      <c r="N5" t="s">
        <v>117</v>
      </c>
      <c r="O5">
        <v>12</v>
      </c>
    </row>
    <row r="6" spans="2:15">
      <c r="B6" t="s">
        <v>118</v>
      </c>
      <c r="C6" s="76">
        <v>0.113000383</v>
      </c>
      <c r="D6">
        <f>C6*$O$7</f>
        <v>6.3280214479999999E-2</v>
      </c>
      <c r="N6" t="s">
        <v>119</v>
      </c>
      <c r="O6">
        <v>0.63600000000000001</v>
      </c>
    </row>
    <row r="7" spans="2:15">
      <c r="B7" t="s">
        <v>120</v>
      </c>
      <c r="C7" s="77">
        <v>0.86208488999999999</v>
      </c>
      <c r="D7">
        <f>C7*$O$8</f>
        <v>0.60345942299999999</v>
      </c>
      <c r="N7" t="s">
        <v>121</v>
      </c>
      <c r="O7">
        <v>0.56000000000000005</v>
      </c>
    </row>
    <row r="8" spans="2:15">
      <c r="B8" t="s">
        <v>122</v>
      </c>
      <c r="C8" s="77">
        <v>82.669290500000002</v>
      </c>
      <c r="D8">
        <f>C8*$O$8</f>
        <v>57.868503349999997</v>
      </c>
      <c r="N8" t="s">
        <v>123</v>
      </c>
      <c r="O8">
        <v>0.7</v>
      </c>
    </row>
    <row r="9" spans="2:15">
      <c r="B9" t="s">
        <v>124</v>
      </c>
      <c r="C9" s="77">
        <v>92.918295499999999</v>
      </c>
      <c r="D9">
        <f>C9*$O$8</f>
        <v>65.042806849999991</v>
      </c>
      <c r="N9" t="s">
        <v>125</v>
      </c>
      <c r="O9">
        <v>1.457142857</v>
      </c>
    </row>
    <row r="10" spans="2:15">
      <c r="B10" t="s">
        <v>126</v>
      </c>
      <c r="C10" s="77">
        <v>21.1840905</v>
      </c>
      <c r="D10">
        <f>C10*$O$8</f>
        <v>14.828863349999999</v>
      </c>
      <c r="N10" t="s">
        <v>127</v>
      </c>
      <c r="O10">
        <v>0.37</v>
      </c>
    </row>
    <row r="11" spans="2:15">
      <c r="B11" t="s">
        <v>128</v>
      </c>
      <c r="C11" s="76">
        <v>4.7050344700000002</v>
      </c>
      <c r="D11">
        <f>C11*$O$8</f>
        <v>3.2935241290000001</v>
      </c>
      <c r="N11" t="s">
        <v>129</v>
      </c>
      <c r="O11" s="79">
        <v>0.7</v>
      </c>
    </row>
    <row r="12" spans="2:15">
      <c r="B12" t="s">
        <v>130</v>
      </c>
      <c r="C12" s="77">
        <v>5.1683137300000004</v>
      </c>
      <c r="D12">
        <f>C12*$O$9</f>
        <v>7.5309714344045275</v>
      </c>
      <c r="N12" t="s">
        <v>131</v>
      </c>
      <c r="O12" s="79">
        <v>0.5</v>
      </c>
    </row>
    <row r="13" spans="2:15">
      <c r="B13" t="s">
        <v>132</v>
      </c>
      <c r="C13" s="77">
        <v>5.8133866000000003</v>
      </c>
      <c r="D13">
        <f>C13*$O$9</f>
        <v>8.4709347591695163</v>
      </c>
      <c r="N13" t="s">
        <v>133</v>
      </c>
      <c r="O13" s="79">
        <v>15000</v>
      </c>
    </row>
    <row r="14" spans="2:15">
      <c r="B14" t="s">
        <v>134</v>
      </c>
      <c r="C14" s="77">
        <v>2.8412293800000001</v>
      </c>
      <c r="D14">
        <f>C14*$O$9</f>
        <v>4.1400770961655393</v>
      </c>
      <c r="N14" t="s">
        <v>135</v>
      </c>
      <c r="O14">
        <v>0.18</v>
      </c>
    </row>
    <row r="15" spans="2:15">
      <c r="B15" t="s">
        <v>136</v>
      </c>
      <c r="C15" s="76">
        <v>0.45433108799999999</v>
      </c>
      <c r="D15">
        <f>C15*$O$9</f>
        <v>0.66202529959223844</v>
      </c>
      <c r="N15" t="s">
        <v>137</v>
      </c>
      <c r="O15" s="80">
        <v>2.9200000000000002E-7</v>
      </c>
    </row>
    <row r="16" spans="2:15">
      <c r="B16" t="s">
        <v>138</v>
      </c>
      <c r="C16" s="77">
        <v>11.499445700000001</v>
      </c>
      <c r="D16">
        <f>C16*44175.392*0.000277778*0.08*0.5</f>
        <v>5.6443658663803529</v>
      </c>
      <c r="N16" t="s">
        <v>139</v>
      </c>
      <c r="O16" s="80">
        <v>2.9200000000000002E-7</v>
      </c>
    </row>
    <row r="17" spans="2:7">
      <c r="B17" t="s">
        <v>140</v>
      </c>
      <c r="C17" s="77">
        <v>31.389475999999998</v>
      </c>
      <c r="D17">
        <f>C17*G17</f>
        <v>23.141891180999998</v>
      </c>
      <c r="F17" t="s">
        <v>141</v>
      </c>
      <c r="G17">
        <v>0.73724999999999996</v>
      </c>
    </row>
    <row r="18" spans="2:7">
      <c r="C18" t="s">
        <v>142</v>
      </c>
      <c r="D18" t="s">
        <v>143</v>
      </c>
    </row>
    <row r="19" spans="2:7" ht="34.799999999999997" customHeight="1">
      <c r="B19" s="75" t="s">
        <v>144</v>
      </c>
      <c r="C19" s="78">
        <f>SUM(D4:D17)*Plastic!D38</f>
        <v>1626319.9285572434</v>
      </c>
      <c r="D19">
        <f>SUM(D4:D16)*Plastic!D38</f>
        <v>1429613.8535187433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Plastic</vt:lpstr>
      <vt:lpstr>Plastic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2024-10-08T10:38:50Z</dcterms:modified>
</cp:coreProperties>
</file>