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F25548C0-BB7B-4B24-954B-71D09CB88CB0}" xr6:coauthVersionLast="47" xr6:coauthVersionMax="47" xr10:uidLastSave="{00000000-0000-0000-0000-000000000000}"/>
  <bookViews>
    <workbookView xWindow="-108" yWindow="-108" windowWidth="40320" windowHeight="17496" activeTab="1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D3" i="3"/>
  <c r="E3" i="3" s="1"/>
  <c r="C55" i="1"/>
  <c r="C54" i="1"/>
  <c r="E41" i="1" s="1"/>
  <c r="C53" i="1"/>
  <c r="E34" i="1" s="1"/>
  <c r="C52" i="1"/>
  <c r="C47" i="1"/>
  <c r="E44" i="1"/>
  <c r="E36" i="1"/>
  <c r="E35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9" i="1"/>
  <c r="E47" i="1" s="1"/>
  <c r="K11" i="2" s="1"/>
  <c r="E31" i="2" l="1"/>
  <c r="E25" i="2"/>
  <c r="E10" i="2"/>
  <c r="K6" i="2"/>
  <c r="E24" i="2"/>
  <c r="E22" i="2"/>
  <c r="E17" i="2"/>
  <c r="E15" i="2"/>
  <c r="E9" i="2"/>
  <c r="E16" i="2"/>
  <c r="E23" i="2"/>
  <c r="E14" i="2"/>
  <c r="E11" i="2"/>
  <c r="E30" i="2"/>
  <c r="E33" i="2" s="1"/>
  <c r="E34" i="2" s="1"/>
  <c r="E8" i="2"/>
  <c r="E19" i="2" s="1"/>
  <c r="K12" i="2" l="1"/>
  <c r="E27" i="2"/>
  <c r="K15" i="2" l="1"/>
  <c r="K27" i="2"/>
  <c r="K25" i="2" s="1"/>
  <c r="K22" i="2" l="1"/>
  <c r="K13" i="2"/>
  <c r="K2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<sst xmlns="http://schemas.openxmlformats.org/spreadsheetml/2006/main" count="245" uniqueCount="143">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</sst>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5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  <xf numFmtId="41" fontId="1" fillId="0" borderId="0" xfId="1">
      <alignment vertical="center"/>
    </xf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opLeftCell="A7" zoomScale="85" zoomScaleNormal="85" workbookViewId="0">
      <selection activeCell="F46" sqref="F46:F47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2.09621842</v>
      </c>
      <c r="G5" s="7">
        <v>0.9</v>
      </c>
      <c r="H5" s="7">
        <v>2004</v>
      </c>
      <c r="I5" s="3">
        <f>C5*(F5/E5)^G5*(595.6/444.2)</f>
        <v>4929.0165179651194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2.0265808E-2</v>
      </c>
      <c r="G6">
        <v>0.59</v>
      </c>
      <c r="H6">
        <v>2006</v>
      </c>
      <c r="I6" s="5">
        <f>C6*(F6/E6)^G6*(595.6/499.6)</f>
        <v>1230.4018491276449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34.310117400000003</v>
      </c>
      <c r="G8">
        <v>0.78</v>
      </c>
      <c r="H8">
        <v>1990</v>
      </c>
      <c r="I8" s="5">
        <f>C8*(F8/E8)^G8*(595.6/357.6)</f>
        <v>16245.911849688589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5.4993346999999998E-2</v>
      </c>
      <c r="G9">
        <v>0.55000000000000004</v>
      </c>
      <c r="H9">
        <v>2000</v>
      </c>
      <c r="I9" s="5">
        <f>C9*(F9/E9)^G9*(595.6/394.1)</f>
        <v>1407.2813793632081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5.6289581999999998E-2</v>
      </c>
      <c r="G10">
        <v>0.59</v>
      </c>
      <c r="H10">
        <v>2006</v>
      </c>
      <c r="I10" s="5">
        <f>C10*(F10/E10)^G10*(595.6/499.6)</f>
        <v>2248.0646371267248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6.9880362000000001E-2</v>
      </c>
      <c r="G11">
        <v>0.59</v>
      </c>
      <c r="H11">
        <v>2006</v>
      </c>
      <c r="I11" s="5">
        <f>C11*(F11/E11)^G11*(595.6/499.6)</f>
        <v>2554.0288359076326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34.310117400000003</v>
      </c>
      <c r="G13">
        <v>0.78</v>
      </c>
      <c r="H13">
        <v>1990</v>
      </c>
      <c r="I13" s="5">
        <f>C13*(F13/E13)^G13*(595.6/357.6)</f>
        <v>16245.911849688589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0.48078681699999998</v>
      </c>
      <c r="G14">
        <v>0.59</v>
      </c>
      <c r="H14">
        <v>2006</v>
      </c>
      <c r="I14" s="5">
        <f>C14*(F14/E14)^G14*(595.6/499.6)</f>
        <v>7969.0814410025168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34.310117400000003</v>
      </c>
      <c r="G15">
        <v>0.6</v>
      </c>
      <c r="H15">
        <v>1998</v>
      </c>
      <c r="I15" s="5">
        <f>C15*(F15/E15)^G15*(595.6/389.5)</f>
        <v>977.09546697413907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2.1988834399999999</v>
      </c>
      <c r="G16">
        <v>0.6</v>
      </c>
      <c r="H16">
        <v>2000</v>
      </c>
      <c r="I16" s="5">
        <f>C16*(F16/E16)^G16*(595.6/394.1)</f>
        <v>87955.808298489996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1.6539076E-2</v>
      </c>
      <c r="G19">
        <v>0.59</v>
      </c>
      <c r="H19">
        <v>2006</v>
      </c>
      <c r="I19" s="5">
        <f>C19*(F19/E19)^G19*(595.6/499.6)</f>
        <v>1091.3847809999695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19.816521399999999</v>
      </c>
      <c r="G20">
        <v>0.7</v>
      </c>
      <c r="H20" s="49">
        <v>2004</v>
      </c>
      <c r="I20" s="5">
        <f>C20*(F20/E20)^G20*(595.6/444.2)</f>
        <v>58517.136178482484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201371.12308481662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2.09621842</v>
      </c>
      <c r="D30" s="3" t="s">
        <v>15</v>
      </c>
      <c r="E30" s="39">
        <f>C30*C53*D52</f>
        <v>1425.4285256000001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144.27256</v>
      </c>
      <c r="E31" s="39">
        <f>D31*IF(D31&gt;0,$C$55,$C$54)*$C$52</f>
        <v>573.91624367999998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7" x14ac:dyDescent="0.4">
      <c r="B33" s="9" t="s">
        <v>16</v>
      </c>
      <c r="C33" s="9" t="s">
        <v>15</v>
      </c>
      <c r="D33" s="72">
        <v>9519.8582200000001</v>
      </c>
      <c r="E33" s="39">
        <f>D33*IF(D33&gt;0,$C$55,$C$54)*$C$52</f>
        <v>37869.995999159997</v>
      </c>
    </row>
    <row r="34" spans="2:7" x14ac:dyDescent="0.4">
      <c r="B34" s="9" t="s">
        <v>18</v>
      </c>
      <c r="C34" s="71">
        <v>5.4993346999999998E-2</v>
      </c>
      <c r="D34" s="5" t="s">
        <v>15</v>
      </c>
      <c r="E34" s="39">
        <f>C34*C53*D52</f>
        <v>37.395475959999999</v>
      </c>
      <c r="F34" t="s">
        <v>42</v>
      </c>
    </row>
    <row r="35" spans="2:7" x14ac:dyDescent="0.4">
      <c r="B35" s="9" t="s">
        <v>20</v>
      </c>
      <c r="C35" s="9" t="s">
        <v>15</v>
      </c>
      <c r="D35" s="74">
        <v>1604.7638099999999</v>
      </c>
      <c r="E35" s="39">
        <f>D35*IF(D35&gt;0,$C$55,$C$54)*$C$52</f>
        <v>6383.7504361799993</v>
      </c>
    </row>
    <row r="36" spans="2:7" x14ac:dyDescent="0.4">
      <c r="B36" s="9" t="s">
        <v>21</v>
      </c>
      <c r="C36" s="9" t="s">
        <v>15</v>
      </c>
      <c r="D36" s="74">
        <v>3972.4346399999999</v>
      </c>
      <c r="E36" s="39">
        <f>D36*IF(D36&gt;0,$C$55,$C$54)*$C$52</f>
        <v>15802.344997920001</v>
      </c>
    </row>
    <row r="37" spans="2:7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7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7" x14ac:dyDescent="0.4">
      <c r="B39" s="9" t="s">
        <v>24</v>
      </c>
      <c r="C39" s="9" t="s">
        <v>15</v>
      </c>
      <c r="D39" s="72">
        <v>-2596.1010500000002</v>
      </c>
      <c r="E39" s="39">
        <f>D39*IF(D39&gt;0,$C$55,$C$54)*$C$52</f>
        <v>10327.2899769</v>
      </c>
    </row>
    <row r="40" spans="2:7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7" x14ac:dyDescent="0.4">
      <c r="B41" s="9" t="s">
        <v>27</v>
      </c>
      <c r="C41" s="9" t="s">
        <v>15</v>
      </c>
      <c r="D41" s="72">
        <v>-12.4245555</v>
      </c>
      <c r="E41" s="39">
        <f>D41*IF(D41&gt;0,$C$55,$C$54)*$C$52</f>
        <v>49.424881779000003</v>
      </c>
    </row>
    <row r="42" spans="2:7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7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7" x14ac:dyDescent="0.4">
      <c r="B44" s="9" t="s">
        <v>32</v>
      </c>
      <c r="C44" s="9" t="s">
        <v>15</v>
      </c>
      <c r="D44" s="72">
        <v>19.7239681</v>
      </c>
      <c r="E44" s="39">
        <f>D44*IF(D44&gt;0,$C$55,$C$54)*$C$52</f>
        <v>78.461945101799998</v>
      </c>
    </row>
    <row r="45" spans="2:7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7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  <c r="F46" s="84">
        <f>E47-F47</f>
        <v>71085.184480720796</v>
      </c>
      <c r="G46" t="s">
        <v>141</v>
      </c>
    </row>
    <row r="47" spans="2:7" ht="17.25" customHeight="1" thickBot="1" x14ac:dyDescent="0.45">
      <c r="B47" s="6" t="s">
        <v>37</v>
      </c>
      <c r="C47" s="76">
        <f>SUM(C30:C46)</f>
        <v>2.1512117669999999</v>
      </c>
      <c r="D47" s="41"/>
      <c r="E47" s="58">
        <f>SUM(E30:E46)</f>
        <v>72548.008482280798</v>
      </c>
      <c r="F47" s="84">
        <f>SUM(E30,E34)</f>
        <v>1462.8240015599999</v>
      </c>
      <c r="G47" s="38" t="s">
        <v>142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0.08</v>
      </c>
    </row>
    <row r="54" spans="1:4" x14ac:dyDescent="0.4">
      <c r="A54" s="11" t="s">
        <v>15</v>
      </c>
      <c r="B54" s="46" t="s">
        <v>45</v>
      </c>
      <c r="C54" s="82">
        <f>Revenue!O15*(-1)</f>
        <v>-1.3E-7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1.3E-7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abSelected="1" zoomScale="85" zoomScaleNormal="85" workbookViewId="0">
      <selection activeCell="L26" sqref="L26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6712.3707694938885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201371.12308481662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67123.707694938887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33561.853847469443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67123.707694938887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33561.853847469443</v>
      </c>
      <c r="I11" s="34" t="s">
        <v>75</v>
      </c>
      <c r="J11" s="34" t="s">
        <v>76</v>
      </c>
      <c r="K11" s="77">
        <f>SMR!E47</f>
        <v>72548.008482280798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268.49483077975555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24197.343006263811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53698.966155951108</v>
      </c>
      <c r="I14" s="19" t="s">
        <v>83</v>
      </c>
      <c r="J14" s="34" t="s">
        <v>84</v>
      </c>
      <c r="K14" s="51">
        <f>SUM(K13*0.3)</f>
        <v>7259.2029018791427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13424.741538987777</v>
      </c>
      <c r="I15" s="19" t="s">
        <v>87</v>
      </c>
      <c r="J15" s="34" t="s">
        <v>88</v>
      </c>
      <c r="K15" s="51">
        <f>SUM(K12*0.15)</f>
        <v>40.27422461696333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53698.966155951108</v>
      </c>
      <c r="I16" s="19" t="s">
        <v>91</v>
      </c>
      <c r="J16" s="34" t="s">
        <v>92</v>
      </c>
      <c r="K16" s="51">
        <f>SUM(K13*0.15)</f>
        <v>3629.6014509395714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13424.741538987777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19035.024443353625</v>
      </c>
    </row>
    <row r="19" spans="2:11" x14ac:dyDescent="0.4">
      <c r="B19" s="18" t="s">
        <v>97</v>
      </c>
      <c r="C19" s="19"/>
      <c r="D19" s="20"/>
      <c r="E19" s="22">
        <f>SUM(E7:E17)</f>
        <v>536989.66155951098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4234.5350260961668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33561.853847469443</v>
      </c>
      <c r="I22" s="37" t="s">
        <v>104</v>
      </c>
      <c r="J22" s="34" t="s">
        <v>105</v>
      </c>
      <c r="K22" s="51">
        <f>SUM(K25*0.11)</f>
        <v>17744.718204593464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33561.853847469443</v>
      </c>
      <c r="I23" s="19" t="s">
        <v>108</v>
      </c>
      <c r="J23" s="37" t="s">
        <v>109</v>
      </c>
      <c r="K23" s="51">
        <f>SUM(K25*0.035)</f>
        <v>5646.0467014615569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33561.853847469443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33561.853847469443</v>
      </c>
      <c r="I25" s="27" t="s">
        <v>113</v>
      </c>
      <c r="J25" s="27"/>
      <c r="K25" s="55">
        <f>SUM(K27/0.49425)</f>
        <v>161315.62004175875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134247.41538987777</v>
      </c>
      <c r="I27" s="20"/>
      <c r="J27" s="20"/>
      <c r="K27" s="56">
        <f>SUM(K6:K12,K15,0.6*K12)</f>
        <v>79730.245205639265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671237.07694938884</v>
      </c>
      <c r="I29" s="13"/>
      <c r="J29" s="13" t="s">
        <v>116</v>
      </c>
      <c r="K29" s="56">
        <f>(K12+K13+K14)</f>
        <v>31725.040738922711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134247.41538987777</v>
      </c>
      <c r="K30" s="57">
        <f>SUM(K6:K23)</f>
        <v>161315.62004175875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134247.41538987777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939731.90772914432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93346.803278225998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2.81467022</v>
      </c>
      <c r="D3" s="40">
        <f>O5</f>
        <v>2.2999999999999998</v>
      </c>
      <c r="E3" s="79">
        <f>C3*D3*SMR!D52</f>
        <v>55026.802800999998</v>
      </c>
    </row>
    <row r="4" spans="2:15" x14ac:dyDescent="0.4">
      <c r="N4" t="s">
        <v>128</v>
      </c>
    </row>
    <row r="5" spans="2:15" x14ac:dyDescent="0.4">
      <c r="N5" t="s">
        <v>129</v>
      </c>
      <c r="O5">
        <v>2.2999999999999998</v>
      </c>
    </row>
    <row r="6" spans="2:15" x14ac:dyDescent="0.4">
      <c r="N6" t="s">
        <v>130</v>
      </c>
      <c r="O6">
        <v>0.86639999999999995</v>
      </c>
    </row>
    <row r="7" spans="2:15" x14ac:dyDescent="0.4">
      <c r="N7" t="s">
        <v>131</v>
      </c>
      <c r="O7">
        <v>1.06</v>
      </c>
    </row>
    <row r="8" spans="2:15" x14ac:dyDescent="0.4">
      <c r="N8" t="s">
        <v>132</v>
      </c>
      <c r="O8">
        <v>1.1436599999999999</v>
      </c>
    </row>
    <row r="9" spans="2:15" x14ac:dyDescent="0.4">
      <c r="N9" t="s">
        <v>133</v>
      </c>
      <c r="O9">
        <v>1.271428571</v>
      </c>
    </row>
    <row r="10" spans="2:15" x14ac:dyDescent="0.4">
      <c r="N10" t="s">
        <v>134</v>
      </c>
      <c r="O10">
        <v>0.64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0.08</v>
      </c>
    </row>
    <row r="15" spans="2:15" x14ac:dyDescent="0.4">
      <c r="N15" t="s">
        <v>139</v>
      </c>
      <c r="O15" s="81">
        <v>1.3E-7</v>
      </c>
    </row>
    <row r="16" spans="2:15" x14ac:dyDescent="0.4">
      <c r="N16" t="s">
        <v>140</v>
      </c>
      <c r="O16" s="81">
        <v>1.3E-7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2024-01-10T11:21:18Z</dcterms:modified>
</cp:coreProperties>
</file>