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D_PC22\Documents\GitHub\TeamEnv\TEA\BaseCases\"/>
    </mc:Choice>
  </mc:AlternateContent>
  <xr:revisionPtr revIDLastSave="0" documentId="13_ncr:1_{02A1A108-12AD-44A8-84A4-5FE9C3667AEF}" xr6:coauthVersionLast="47" xr6:coauthVersionMax="47" xr10:uidLastSave="{00000000-0000-0000-0000-000000000000}"/>
  <bookViews>
    <workbookView xWindow="-108" yWindow="-108" windowWidth="40320" windowHeight="17496" xr2:uid="{00000000-000D-0000-FFFF-FFFF00000000}"/>
  </bookViews>
  <sheets>
    <sheet name="SMRCCU" sheetId="1" r:id="rId1"/>
    <sheet name="SMRCCU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6" i="1"/>
  <c r="D3" i="3"/>
  <c r="E3" i="3" s="1"/>
  <c r="C34" i="1"/>
  <c r="C33" i="1"/>
  <c r="C32" i="1"/>
  <c r="E24" i="1" s="1"/>
  <c r="C31" i="1"/>
  <c r="C26" i="1"/>
  <c r="E25" i="1"/>
  <c r="E23" i="1"/>
  <c r="E21" i="1"/>
  <c r="E19" i="1"/>
  <c r="I12" i="1"/>
  <c r="I11" i="1"/>
  <c r="I10" i="1"/>
  <c r="I9" i="1"/>
  <c r="I8" i="1"/>
  <c r="I7" i="1"/>
  <c r="I6" i="1"/>
  <c r="I5" i="1"/>
  <c r="I13" i="1" s="1"/>
  <c r="E7" i="2" s="1"/>
  <c r="E29" i="2" l="1"/>
  <c r="E18" i="1"/>
  <c r="E26" i="1" s="1"/>
  <c r="I11" i="2" s="1"/>
  <c r="E22" i="1"/>
  <c r="E20" i="1"/>
  <c r="E31" i="2" l="1"/>
  <c r="E25" i="2"/>
  <c r="E10" i="2"/>
  <c r="I6" i="2"/>
  <c r="E24" i="2"/>
  <c r="E22" i="2"/>
  <c r="E17" i="2"/>
  <c r="E15" i="2"/>
  <c r="E9" i="2"/>
  <c r="E14" i="2"/>
  <c r="E30" i="2"/>
  <c r="E33" i="2" s="1"/>
  <c r="E34" i="2" s="1"/>
  <c r="E8" i="2"/>
  <c r="E23" i="2"/>
  <c r="E16" i="2"/>
  <c r="E11" i="2"/>
  <c r="E19" i="2" l="1"/>
  <c r="I12" i="2"/>
  <c r="E27" i="2"/>
  <c r="I15" i="2" l="1"/>
  <c r="I27" i="2"/>
  <c r="I25" i="2" s="1"/>
  <c r="I22" i="2" l="1"/>
  <c r="I13" i="2"/>
  <c r="I23" i="2"/>
  <c r="I21" i="2" l="1"/>
  <c r="I16" i="2"/>
  <c r="I14" i="2"/>
  <c r="I29" i="2" s="1"/>
  <c r="I18" i="2" s="1"/>
  <c r="I30" i="2" s="1"/>
</calcChain>
</file>

<file path=xl/sharedStrings.xml><?xml version="1.0" encoding="utf-8"?>
<sst xmlns="http://schemas.openxmlformats.org/spreadsheetml/2006/main" count="164" uniqueCount="131">
  <si>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</si>
  <si>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</si>
  <si>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</si>
  <si>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</si>
  <si>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</si>
  <si>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</si>
  <si>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</si>
  <si>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</si>
  <si>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</si>
  <si>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COMP2</t>
  </si>
  <si>
    <t>Power (Kw)</t>
  </si>
  <si>
    <t>COOL2</t>
  </si>
  <si>
    <t>Heat exchange area (m^2)</t>
  </si>
  <si>
    <t>COMP3</t>
  </si>
  <si>
    <t>COOL3</t>
  </si>
  <si>
    <t>COMP4</t>
  </si>
  <si>
    <t>COOL4</t>
  </si>
  <si>
    <t>COMP5</t>
  </si>
  <si>
    <t>COOL5</t>
  </si>
  <si>
    <t>Total</t>
  </si>
  <si>
    <t>Opex</t>
  </si>
  <si>
    <t>Block brake power (kW)</t>
  </si>
  <si>
    <t>Block heat duty (cal/sec)</t>
  </si>
  <si>
    <t>Annual operating cost</t>
  </si>
  <si>
    <t>COMP</t>
  </si>
  <si>
    <t>-</t>
  </si>
  <si>
    <t>** Heat duty가 아닌 kW로 계산</t>
  </si>
  <si>
    <t>HEAT1</t>
  </si>
  <si>
    <t>Annual operating hours [sec/yr]</t>
  </si>
  <si>
    <t>Electricity cost [$/kWh]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</si>
  <si>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</si>
  <si>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</si>
  <si>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</si>
  <si>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</si>
  <si>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</si>
  <si>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</si>
  <si>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</si>
  <si>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</si>
  <si>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</si>
  <si>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</si>
  <si>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</si>
  <si>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</si>
  <si>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</si>
  <si>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</si>
  <si>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</si>
  <si>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</si>
  <si>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</si>
  <si>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</si>
  <si>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</si>
  <si>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</si>
  <si>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</si>
  <si>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</si>
  <si>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</si>
  <si>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</si>
  <si>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</si>
  <si>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</si>
  <si>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</si>
  <si>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</si>
  <si>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</si>
  <si>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</si>
  <si>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</si>
  <si>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</si>
  <si>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</si>
  <si>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</si>
  <si>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</si>
  <si>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</si>
  <si>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</si>
  <si>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</si>
  <si>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</si>
  <si>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</si>
  <si>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</si>
  <si>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</si>
  <si>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</si>
  <si>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</si>
  <si>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</si>
  <si>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</si>
  <si>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</si>
  <si>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</si>
  <si>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</si>
  <si>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</si>
  <si>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</si>
  <si>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</si>
  <si>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</si>
  <si>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</si>
  <si>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</si>
  <si>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</si>
  <si>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</si>
  <si>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</si>
  <si>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</si>
  <si>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</si>
  <si>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</si>
  <si>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</si>
  <si>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</si>
  <si>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</si>
  <si>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</si>
  <si>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</si>
  <si>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</si>
  <si>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</si>
  <si>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</si>
  <si>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</si>
  <si>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</si>
  <si>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</si>
  <si>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</si>
  <si>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</si>
  <si>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</si>
  <si>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</si>
  <si>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</si>
  <si>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</si>
  <si>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Product</t>
  </si>
  <si>
    <t>Flow rate [kg/h]</t>
  </si>
  <si>
    <t>Cost [USD/kg]</t>
  </si>
  <si>
    <t>Revenue [$/yr]</t>
  </si>
  <si>
    <t>Ref</t>
  </si>
  <si>
    <t>CO2</t>
  </si>
  <si>
    <t>https://www.sciencedirect.com/science/article/pii/S0196890423006210</t>
  </si>
  <si>
    <t xml:space="preserve">S. Yun, J. Lee, H. Cho, J. Kim, Oxy-fuel combustion-based blue hydrogen production with the integration of water electrolysis, Energy Convers. Manag. 291 (2023) 117275. </t>
  </si>
  <si>
    <t>Selling price</t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</si>
  <si>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</si>
  <si>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</si>
  <si>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</si>
  <si>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</si>
  <si>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</si>
  <si>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</si>
  <si>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</si>
  <si>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</si>
  <si>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</si>
  <si>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</si>
  <si>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</si>
  <si>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</si>
  <si>
    <t>Raw material</t>
    <phoneticPr fontId="2" type="noConversion"/>
  </si>
  <si>
    <t>전기비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</si>
</sst>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5" fillId="0" borderId="9" xfId="0" applyFont="1" applyBorder="1" applyAlignment="1"/>
    <xf numFmtId="0" fontId="0" fillId="0" borderId="10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3" borderId="2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4" borderId="14" xfId="0" applyFill="1" applyBorder="1">
      <alignment vertical="center"/>
    </xf>
    <xf numFmtId="0" fontId="0" fillId="5" borderId="10" xfId="0" applyFill="1" applyBorder="1">
      <alignment vertical="center"/>
    </xf>
    <xf numFmtId="0" fontId="6" fillId="0" borderId="11" xfId="0" applyFont="1" applyBorder="1">
      <alignment vertical="center"/>
    </xf>
    <xf numFmtId="0" fontId="6" fillId="6" borderId="5" xfId="0" applyFont="1" applyFill="1" applyBorder="1">
      <alignment vertical="center"/>
    </xf>
    <xf numFmtId="0" fontId="0" fillId="7" borderId="12" xfId="0" applyFill="1" applyBorder="1">
      <alignment vertical="center"/>
    </xf>
    <xf numFmtId="0" fontId="0" fillId="0" borderId="14" xfId="0" applyBorder="1">
      <alignment vertical="center"/>
    </xf>
    <xf numFmtId="0" fontId="0" fillId="8" borderId="9" xfId="0" applyFill="1" applyBorder="1">
      <alignment vertical="center"/>
    </xf>
    <xf numFmtId="0" fontId="0" fillId="0" borderId="11" xfId="0" applyBorder="1" applyAlignment="1"/>
    <xf numFmtId="0" fontId="5" fillId="0" borderId="5" xfId="0" applyFont="1" applyBorder="1" applyAlignment="1"/>
    <xf numFmtId="0" fontId="0" fillId="0" borderId="12" xfId="0" applyBorder="1" applyAlignme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4" fillId="0" borderId="0" xfId="1" applyFont="1" applyAlignment="1">
      <alignment horizontal="left"/>
    </xf>
    <xf numFmtId="41" fontId="0" fillId="0" borderId="0" xfId="1" applyFont="1" applyAlignment="1">
      <alignment horizontal="left"/>
    </xf>
    <xf numFmtId="41" fontId="0" fillId="0" borderId="9" xfId="1" applyFont="1" applyBorder="1" applyAlignment="1">
      <alignment horizontal="left"/>
    </xf>
    <xf numFmtId="41" fontId="0" fillId="0" borderId="15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9" xfId="1" applyFont="1" applyBorder="1" applyAlignment="1">
      <alignment horizontal="left" vertical="center"/>
    </xf>
    <xf numFmtId="41" fontId="0" fillId="0" borderId="2" xfId="1" applyFont="1" applyBorder="1" applyAlignment="1">
      <alignment horizontal="left"/>
    </xf>
    <xf numFmtId="0" fontId="0" fillId="0" borderId="9" xfId="1" applyNumberFormat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10" xfId="1" applyFont="1" applyBorder="1" applyAlignment="1">
      <alignment horizontal="left"/>
    </xf>
    <xf numFmtId="41" fontId="4" fillId="0" borderId="1" xfId="1" applyFont="1" applyBorder="1" applyAlignment="1">
      <alignment horizontal="left"/>
    </xf>
    <xf numFmtId="41" fontId="0" fillId="0" borderId="1" xfId="1" applyFont="1" applyBorder="1" applyAlignment="1">
      <alignment horizontal="left"/>
    </xf>
    <xf numFmtId="176" fontId="0" fillId="0" borderId="10" xfId="1" applyNumberFormat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41" fontId="7" fillId="0" borderId="0" xfId="1" applyFont="1" applyAlignment="1">
      <alignment horizontal="left"/>
    </xf>
    <xf numFmtId="41" fontId="0" fillId="4" borderId="11" xfId="1" applyFont="1" applyFill="1" applyBorder="1" applyAlignment="1">
      <alignment horizontal="left"/>
    </xf>
    <xf numFmtId="41" fontId="4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176" fontId="6" fillId="0" borderId="11" xfId="1" applyNumberFormat="1" applyFont="1" applyBorder="1" applyAlignment="1">
      <alignment horizontal="right"/>
    </xf>
    <xf numFmtId="176" fontId="8" fillId="0" borderId="11" xfId="1" applyNumberFormat="1" applyFont="1" applyBorder="1" applyAlignment="1">
      <alignment horizontal="right"/>
    </xf>
    <xf numFmtId="176" fontId="8" fillId="7" borderId="11" xfId="1" applyNumberFormat="1" applyFont="1" applyFill="1" applyBorder="1" applyAlignment="1">
      <alignment horizontal="right" vertical="center" wrapText="1"/>
    </xf>
    <xf numFmtId="41" fontId="3" fillId="0" borderId="4" xfId="1" applyFont="1" applyBorder="1" applyAlignment="1">
      <alignment horizontal="left"/>
    </xf>
    <xf numFmtId="176" fontId="0" fillId="0" borderId="11" xfId="1" applyNumberFormat="1" applyFont="1" applyBorder="1" applyAlignment="1">
      <alignment horizontal="left" vertical="top"/>
    </xf>
    <xf numFmtId="41" fontId="9" fillId="0" borderId="4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0" fontId="0" fillId="0" borderId="0" xfId="0" applyAlignment="1"/>
    <xf numFmtId="176" fontId="0" fillId="0" borderId="0" xfId="0" applyNumberFormat="1" applyAlignment="1"/>
    <xf numFmtId="41" fontId="4" fillId="0" borderId="12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0" fontId="0" fillId="0" borderId="15" xfId="0" applyBorder="1">
      <alignment vertical="center"/>
    </xf>
    <xf numFmtId="176" fontId="0" fillId="2" borderId="14" xfId="1" applyNumberFormat="1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/>
    <xf numFmtId="11" fontId="11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2">
    <cellStyle name="쉼표 [0] 2" xfId="1" xr:uid="{00000000-0005-0000-0000-00000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4"/>
  <sheetViews>
    <sheetView tabSelected="1" zoomScale="85" zoomScaleNormal="85" workbookViewId="0">
      <selection activeCell="F25" sqref="F25:G26"/>
    </sheetView>
  </sheetViews>
  <sheetFormatPr defaultRowHeight="17.399999999999999" x14ac:dyDescent="0.4"/>
  <cols>
    <col min="2" max="2" width="29" style="60" bestFit="1" customWidth="1"/>
    <col min="3" max="3" width="27" style="60" bestFit="1" customWidth="1"/>
    <col min="4" max="4" width="24" style="60" bestFit="1" customWidth="1"/>
    <col min="5" max="5" width="21.59765625" style="60" bestFit="1" customWidth="1"/>
    <col min="6" max="6" width="14.59765625" style="60" customWidth="1"/>
    <col min="7" max="7" width="46.59765625" style="60" bestFit="1" customWidth="1"/>
    <col min="8" max="8" width="18.3984375" style="60" bestFit="1" customWidth="1"/>
    <col min="9" max="9" width="17.8984375" style="60" bestFit="1" customWidth="1"/>
    <col min="10" max="10" width="18.3984375" style="60" bestFit="1" customWidth="1"/>
    <col min="11" max="12" width="19.09765625" style="60" customWidth="1"/>
    <col min="13" max="15" width="20.59765625" style="60" customWidth="1"/>
  </cols>
  <sheetData>
    <row r="2" spans="2:9" x14ac:dyDescent="0.4">
      <c r="B2" s="6" t="s">
        <v>0</v>
      </c>
    </row>
    <row r="3" spans="2:9" ht="18" customHeight="1" thickBot="1" x14ac:dyDescent="0.45"/>
    <row r="4" spans="2:9" ht="18" customHeight="1" thickBot="1" x14ac:dyDescent="0.45"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</row>
    <row r="5" spans="2:9" x14ac:dyDescent="0.4">
      <c r="B5" s="9" t="s">
        <v>9</v>
      </c>
      <c r="C5" s="1">
        <v>15000</v>
      </c>
      <c r="D5" s="10" t="s">
        <v>10</v>
      </c>
      <c r="E5" s="2">
        <v>10</v>
      </c>
      <c r="F5" s="11">
        <v>0.247465348</v>
      </c>
      <c r="G5" s="2">
        <v>0.9</v>
      </c>
      <c r="H5" s="2">
        <v>2004</v>
      </c>
      <c r="I5" s="3">
        <f>C5*(F5/E5)^G5*(595.6/444.2)</f>
        <v>720.4939672276256</v>
      </c>
    </row>
    <row r="6" spans="2:9" ht="18" customHeight="1" thickBot="1" x14ac:dyDescent="0.45">
      <c r="B6" s="12" t="s">
        <v>11</v>
      </c>
      <c r="C6" s="4">
        <v>15500</v>
      </c>
      <c r="D6" s="13" t="s">
        <v>12</v>
      </c>
      <c r="E6">
        <v>2</v>
      </c>
      <c r="F6" s="14">
        <v>1.0274927E-2</v>
      </c>
      <c r="G6">
        <v>0.59</v>
      </c>
      <c r="H6">
        <v>2006</v>
      </c>
      <c r="I6" s="5">
        <f>C6*(F6/E6)^G6*(595.6/499.6)</f>
        <v>824.14896902340138</v>
      </c>
    </row>
    <row r="7" spans="2:9" x14ac:dyDescent="0.4">
      <c r="B7" s="9" t="s">
        <v>13</v>
      </c>
      <c r="C7" s="1">
        <v>15000</v>
      </c>
      <c r="D7" s="10" t="s">
        <v>10</v>
      </c>
      <c r="E7" s="2">
        <v>10</v>
      </c>
      <c r="F7" s="11">
        <v>0.241163777</v>
      </c>
      <c r="G7" s="2">
        <v>0.9</v>
      </c>
      <c r="H7" s="2">
        <v>2004</v>
      </c>
      <c r="I7" s="3">
        <f>C7*(F7/E7)^G7*(595.6/444.2)</f>
        <v>703.96045480277473</v>
      </c>
    </row>
    <row r="8" spans="2:9" ht="18" customHeight="1" thickBot="1" x14ac:dyDescent="0.45">
      <c r="B8" s="12" t="s">
        <v>14</v>
      </c>
      <c r="C8" s="4">
        <v>15500</v>
      </c>
      <c r="D8" s="13" t="s">
        <v>12</v>
      </c>
      <c r="E8">
        <v>2</v>
      </c>
      <c r="F8" s="14">
        <v>1.0997376E-2</v>
      </c>
      <c r="G8">
        <v>0.59</v>
      </c>
      <c r="H8">
        <v>2006</v>
      </c>
      <c r="I8" s="5">
        <f>C8*(F8/E8)^G8*(595.6/499.6)</f>
        <v>857.86078122632716</v>
      </c>
    </row>
    <row r="9" spans="2:9" x14ac:dyDescent="0.4">
      <c r="B9" s="9" t="s">
        <v>15</v>
      </c>
      <c r="C9" s="1">
        <v>15000</v>
      </c>
      <c r="D9" s="10" t="s">
        <v>10</v>
      </c>
      <c r="E9" s="2">
        <v>10</v>
      </c>
      <c r="F9" s="11">
        <v>0.22063465400000001</v>
      </c>
      <c r="G9" s="2">
        <v>0.9</v>
      </c>
      <c r="H9" s="2">
        <v>2004</v>
      </c>
      <c r="I9" s="3">
        <f>C9*(F9/E9)^G9*(595.6/444.2)</f>
        <v>649.79108300776477</v>
      </c>
    </row>
    <row r="10" spans="2:9" ht="18" customHeight="1" thickBot="1" x14ac:dyDescent="0.45">
      <c r="B10" s="12" t="s">
        <v>16</v>
      </c>
      <c r="C10" s="4">
        <v>15500</v>
      </c>
      <c r="D10" s="13" t="s">
        <v>12</v>
      </c>
      <c r="E10">
        <v>2</v>
      </c>
      <c r="F10" s="14">
        <v>1.0997376E-2</v>
      </c>
      <c r="G10">
        <v>0.59</v>
      </c>
      <c r="H10">
        <v>2006</v>
      </c>
      <c r="I10" s="5">
        <f>C10*(F10/E10)^G10*(595.6/499.6)</f>
        <v>857.86078122632716</v>
      </c>
    </row>
    <row r="11" spans="2:9" x14ac:dyDescent="0.4">
      <c r="B11" s="9" t="s">
        <v>17</v>
      </c>
      <c r="C11" s="1">
        <v>15000</v>
      </c>
      <c r="D11" s="10" t="s">
        <v>10</v>
      </c>
      <c r="E11" s="2">
        <v>10</v>
      </c>
      <c r="F11" s="11">
        <v>6.5222309000000006E-2</v>
      </c>
      <c r="G11" s="2">
        <v>0.9</v>
      </c>
      <c r="H11" s="2">
        <v>2004</v>
      </c>
      <c r="I11" s="3">
        <f>C11*(F11/E11)^G11*(595.6/444.2)</f>
        <v>216.98211924262472</v>
      </c>
    </row>
    <row r="12" spans="2:9" ht="18" customHeight="1" thickBot="1" x14ac:dyDescent="0.45">
      <c r="B12" s="12" t="s">
        <v>18</v>
      </c>
      <c r="C12" s="4">
        <v>15500</v>
      </c>
      <c r="D12" s="13" t="s">
        <v>12</v>
      </c>
      <c r="E12">
        <v>2</v>
      </c>
      <c r="F12" s="14">
        <v>1.4389973E-2</v>
      </c>
      <c r="G12">
        <v>0.59</v>
      </c>
      <c r="H12">
        <v>2006</v>
      </c>
      <c r="I12" s="5">
        <f>C12*(F12/E12)^G12*(595.6/499.6)</f>
        <v>1005.3369567491691</v>
      </c>
    </row>
    <row r="13" spans="2:9" ht="18" customHeight="1" thickBot="1" x14ac:dyDescent="0.45">
      <c r="B13" s="7" t="s">
        <v>19</v>
      </c>
      <c r="C13" s="16"/>
      <c r="D13" s="16"/>
      <c r="E13" s="16"/>
      <c r="F13" s="16"/>
      <c r="G13" s="16"/>
      <c r="H13" s="16"/>
      <c r="I13" s="17">
        <f>SUM(I5:I12)</f>
        <v>5836.4351125060139</v>
      </c>
    </row>
    <row r="15" spans="2:9" x14ac:dyDescent="0.4">
      <c r="B15" s="6" t="s">
        <v>20</v>
      </c>
    </row>
    <row r="16" spans="2:9" ht="18" customHeight="1" thickBot="1" x14ac:dyDescent="0.45"/>
    <row r="17" spans="2:7" ht="18" customHeight="1" thickBot="1" x14ac:dyDescent="0.45">
      <c r="B17" s="7" t="s">
        <v>1</v>
      </c>
      <c r="C17" s="9" t="s">
        <v>21</v>
      </c>
      <c r="D17" s="3" t="s">
        <v>22</v>
      </c>
      <c r="E17" s="7" t="s">
        <v>23</v>
      </c>
    </row>
    <row r="18" spans="2:7" x14ac:dyDescent="0.4">
      <c r="B18" s="9" t="s">
        <v>24</v>
      </c>
      <c r="C18" s="18">
        <v>0.247465348</v>
      </c>
      <c r="D18" s="3" t="s">
        <v>25</v>
      </c>
      <c r="E18" s="19">
        <f>C18*$C$32*$D$31</f>
        <v>357.58742786000005</v>
      </c>
      <c r="F18" t="s">
        <v>26</v>
      </c>
    </row>
    <row r="19" spans="2:7" ht="18" customHeight="1" thickBot="1" x14ac:dyDescent="0.45">
      <c r="B19" s="12" t="s">
        <v>27</v>
      </c>
      <c r="C19" s="12" t="s">
        <v>25</v>
      </c>
      <c r="D19" s="20">
        <v>57.612974139999999</v>
      </c>
      <c r="E19" s="19">
        <f>D19*$C$33*$C$31</f>
        <v>486.57613439678397</v>
      </c>
    </row>
    <row r="20" spans="2:7" x14ac:dyDescent="0.4">
      <c r="B20" s="9" t="s">
        <v>24</v>
      </c>
      <c r="C20" s="18">
        <v>0.241163777</v>
      </c>
      <c r="D20" s="3" t="s">
        <v>25</v>
      </c>
      <c r="E20" s="19">
        <f>C20*$C$32*$D$31</f>
        <v>348.48165776500002</v>
      </c>
      <c r="F20" t="s">
        <v>26</v>
      </c>
    </row>
    <row r="21" spans="2:7" ht="18" customHeight="1" thickBot="1" x14ac:dyDescent="0.45">
      <c r="B21" s="12" t="s">
        <v>27</v>
      </c>
      <c r="C21" s="12" t="s">
        <v>25</v>
      </c>
      <c r="D21" s="20">
        <v>61.663847699999998</v>
      </c>
      <c r="E21" s="19">
        <f>D21*$C$33*$C$31</f>
        <v>520.78819213511997</v>
      </c>
    </row>
    <row r="22" spans="2:7" x14ac:dyDescent="0.4">
      <c r="B22" s="9" t="s">
        <v>24</v>
      </c>
      <c r="C22" s="18">
        <v>0.22063465400000001</v>
      </c>
      <c r="D22" s="3" t="s">
        <v>25</v>
      </c>
      <c r="E22" s="19">
        <f>C22*$C$32*$D$31</f>
        <v>318.81707503000001</v>
      </c>
      <c r="F22" t="s">
        <v>26</v>
      </c>
    </row>
    <row r="23" spans="2:7" ht="18" customHeight="1" thickBot="1" x14ac:dyDescent="0.45">
      <c r="B23" s="12" t="s">
        <v>27</v>
      </c>
      <c r="C23" s="12" t="s">
        <v>25</v>
      </c>
      <c r="D23" s="20">
        <v>61.663847699999998</v>
      </c>
      <c r="E23" s="19">
        <f>D23*$C$33*$C$31</f>
        <v>520.78819213511997</v>
      </c>
    </row>
    <row r="24" spans="2:7" x14ac:dyDescent="0.4">
      <c r="B24" s="9" t="s">
        <v>24</v>
      </c>
      <c r="C24" s="18">
        <v>6.5222309000000006E-2</v>
      </c>
      <c r="D24" s="3" t="s">
        <v>25</v>
      </c>
      <c r="E24" s="19">
        <f>C24*$C$32*$D$31</f>
        <v>94.246236505000013</v>
      </c>
      <c r="F24" t="s">
        <v>26</v>
      </c>
    </row>
    <row r="25" spans="2:7" ht="18" customHeight="1" thickBot="1" x14ac:dyDescent="0.45">
      <c r="B25" s="12" t="s">
        <v>27</v>
      </c>
      <c r="C25" s="12" t="s">
        <v>25</v>
      </c>
      <c r="D25" s="20">
        <v>80.686625480000004</v>
      </c>
      <c r="E25" s="19">
        <f>D25*$C$33*$C$31</f>
        <v>681.44696415388796</v>
      </c>
      <c r="F25" s="60">
        <f>E26-F26</f>
        <v>2209.5994828209123</v>
      </c>
      <c r="G25" t="s">
        <v>129</v>
      </c>
    </row>
    <row r="26" spans="2:7" ht="18" customHeight="1" thickBot="1" x14ac:dyDescent="0.45">
      <c r="B26" s="7" t="s">
        <v>19</v>
      </c>
      <c r="C26" s="21">
        <f>SUM(C18:C19)</f>
        <v>0.247465348</v>
      </c>
      <c r="D26" s="22"/>
      <c r="E26" s="23">
        <f>SUM(E18:E25)</f>
        <v>3328.7318799809123</v>
      </c>
      <c r="F26" s="60">
        <f>SUM(E18,E20,E22,E24)</f>
        <v>1119.1323971600002</v>
      </c>
      <c r="G26" s="60" t="s">
        <v>130</v>
      </c>
    </row>
    <row r="30" spans="2:7" ht="18" customHeight="1" thickBot="1" x14ac:dyDescent="0.45"/>
    <row r="31" spans="2:7" ht="18" customHeight="1" thickBot="1" x14ac:dyDescent="0.45">
      <c r="B31" s="9" t="s">
        <v>28</v>
      </c>
      <c r="C31" s="3">
        <f>8500*3600</f>
        <v>30600000</v>
      </c>
      <c r="D31" s="7">
        <v>8500</v>
      </c>
    </row>
    <row r="32" spans="2:7" x14ac:dyDescent="0.4">
      <c r="B32" s="24" t="s">
        <v>29</v>
      </c>
      <c r="C32" s="25">
        <f>Revenue!O14</f>
        <v>0.17</v>
      </c>
    </row>
    <row r="33" spans="1:3" x14ac:dyDescent="0.4">
      <c r="A33" s="6" t="s">
        <v>25</v>
      </c>
      <c r="B33" s="24" t="s">
        <v>30</v>
      </c>
      <c r="C33" s="69">
        <f>Revenue!O15</f>
        <v>2.7599999999999998E-7</v>
      </c>
    </row>
    <row r="34" spans="1:3" ht="18" customHeight="1" thickBot="1" x14ac:dyDescent="0.45">
      <c r="A34" s="6" t="s">
        <v>31</v>
      </c>
      <c r="B34" s="26" t="s">
        <v>32</v>
      </c>
      <c r="C34" s="70">
        <f>Revenue!O16</f>
        <v>2.7599999999999998E-7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34"/>
  <sheetViews>
    <sheetView workbookViewId="0">
      <selection activeCell="I25" sqref="I25"/>
    </sheetView>
  </sheetViews>
  <sheetFormatPr defaultRowHeight="17.399999999999999" x14ac:dyDescent="0.4"/>
  <cols>
    <col min="2" max="2" width="53.59765625" style="60" customWidth="1"/>
    <col min="5" max="5" width="13.69921875" style="60" customWidth="1"/>
    <col min="7" max="7" width="43.69921875" style="60" customWidth="1"/>
    <col min="8" max="8" width="15" style="60" customWidth="1"/>
    <col min="9" max="9" width="14.09765625" style="60" customWidth="1"/>
  </cols>
  <sheetData>
    <row r="3" spans="2:9" ht="18" customHeight="1" thickBot="1" x14ac:dyDescent="0.45">
      <c r="B3" s="27" t="s">
        <v>33</v>
      </c>
      <c r="C3" s="28"/>
      <c r="D3" s="28"/>
      <c r="E3" s="28"/>
      <c r="G3" s="29" t="s">
        <v>34</v>
      </c>
      <c r="H3" s="30"/>
      <c r="I3" s="30"/>
    </row>
    <row r="4" spans="2:9" ht="18" customHeight="1" thickBot="1" x14ac:dyDescent="0.45">
      <c r="B4" s="31" t="s">
        <v>35</v>
      </c>
      <c r="C4" s="32" t="s">
        <v>36</v>
      </c>
      <c r="D4" s="33" t="s">
        <v>37</v>
      </c>
      <c r="E4" s="34" t="s">
        <v>38</v>
      </c>
      <c r="G4" s="31" t="s">
        <v>39</v>
      </c>
      <c r="H4" s="35" t="s">
        <v>40</v>
      </c>
      <c r="I4" s="36" t="s">
        <v>38</v>
      </c>
    </row>
    <row r="5" spans="2:9" x14ac:dyDescent="0.4">
      <c r="B5" s="37" t="s">
        <v>41</v>
      </c>
      <c r="C5" s="38"/>
      <c r="D5" s="30"/>
      <c r="E5" s="39"/>
      <c r="G5" s="40" t="s">
        <v>42</v>
      </c>
      <c r="H5" s="41"/>
      <c r="I5" s="42"/>
    </row>
    <row r="6" spans="2:9" x14ac:dyDescent="0.4">
      <c r="B6" s="37" t="s">
        <v>43</v>
      </c>
      <c r="C6" s="38"/>
      <c r="D6" s="30"/>
      <c r="E6" s="43"/>
      <c r="G6" s="38" t="s">
        <v>44</v>
      </c>
      <c r="H6" s="44" t="s">
        <v>45</v>
      </c>
      <c r="I6" s="45">
        <f>SUM(E29*0.01)</f>
        <v>194.54783708353378</v>
      </c>
    </row>
    <row r="7" spans="2:9" x14ac:dyDescent="0.4">
      <c r="B7" s="43" t="s">
        <v>46</v>
      </c>
      <c r="C7" s="38" t="s">
        <v>47</v>
      </c>
      <c r="D7" s="46">
        <v>30</v>
      </c>
      <c r="E7" s="47">
        <f>SMRCCU!I13</f>
        <v>5836.4351125060139</v>
      </c>
      <c r="G7" s="48" t="s">
        <v>48</v>
      </c>
      <c r="H7" s="49"/>
      <c r="I7" s="45"/>
    </row>
    <row r="8" spans="2:9" x14ac:dyDescent="0.4">
      <c r="B8" s="43" t="s">
        <v>49</v>
      </c>
      <c r="C8" s="38" t="s">
        <v>50</v>
      </c>
      <c r="D8" s="30">
        <v>10</v>
      </c>
      <c r="E8" s="43">
        <f>SUM(E29*0.1)</f>
        <v>1945.478370835338</v>
      </c>
      <c r="G8" s="50" t="s">
        <v>51</v>
      </c>
      <c r="H8" s="49" t="s">
        <v>25</v>
      </c>
      <c r="I8" s="51" t="s">
        <v>25</v>
      </c>
    </row>
    <row r="9" spans="2:9" x14ac:dyDescent="0.4">
      <c r="B9" s="43" t="s">
        <v>52</v>
      </c>
      <c r="C9" s="38" t="s">
        <v>53</v>
      </c>
      <c r="D9" s="30">
        <v>5</v>
      </c>
      <c r="E9" s="43">
        <f>SUM(E29*0.05)</f>
        <v>972.73918541766898</v>
      </c>
      <c r="G9" s="49" t="s">
        <v>54</v>
      </c>
      <c r="H9" s="49" t="s">
        <v>25</v>
      </c>
      <c r="I9" s="52" t="s">
        <v>25</v>
      </c>
    </row>
    <row r="10" spans="2:9" x14ac:dyDescent="0.4">
      <c r="B10" s="43" t="s">
        <v>55</v>
      </c>
      <c r="C10" s="38" t="s">
        <v>56</v>
      </c>
      <c r="D10" s="30">
        <v>10</v>
      </c>
      <c r="E10" s="43">
        <f>SUM(E29*0.1)</f>
        <v>1945.478370835338</v>
      </c>
      <c r="G10" s="49" t="s">
        <v>57</v>
      </c>
      <c r="H10" s="49"/>
      <c r="I10" s="52" t="s">
        <v>25</v>
      </c>
    </row>
    <row r="11" spans="2:9" x14ac:dyDescent="0.4">
      <c r="B11" s="43" t="s">
        <v>58</v>
      </c>
      <c r="C11" s="38" t="s">
        <v>59</v>
      </c>
      <c r="D11" s="30">
        <v>5</v>
      </c>
      <c r="E11" s="43">
        <f>SUM(E29*0.05)</f>
        <v>972.73918541766898</v>
      </c>
      <c r="G11" s="49" t="s">
        <v>60</v>
      </c>
      <c r="H11" s="49" t="s">
        <v>61</v>
      </c>
      <c r="I11" s="53">
        <f>SMRCCU!E26</f>
        <v>3328.7318799809123</v>
      </c>
    </row>
    <row r="12" spans="2:9" x14ac:dyDescent="0.4">
      <c r="B12" s="43"/>
      <c r="C12" s="38"/>
      <c r="D12" s="30"/>
      <c r="E12" s="43"/>
      <c r="G12" s="38" t="s">
        <v>62</v>
      </c>
      <c r="H12" s="54" t="s">
        <v>45</v>
      </c>
      <c r="I12" s="55">
        <f>SUM(I6*0.04)</f>
        <v>7.7819134833413512</v>
      </c>
    </row>
    <row r="13" spans="2:9" x14ac:dyDescent="0.4">
      <c r="B13" s="37" t="s">
        <v>63</v>
      </c>
      <c r="C13" s="38"/>
      <c r="D13" s="30"/>
      <c r="E13" s="43"/>
      <c r="G13" s="38" t="s">
        <v>64</v>
      </c>
      <c r="H13" s="49" t="s">
        <v>65</v>
      </c>
      <c r="I13" s="45">
        <f>SUM(I25*0.15)</f>
        <v>1073.413676983397</v>
      </c>
    </row>
    <row r="14" spans="2:9" x14ac:dyDescent="0.4">
      <c r="B14" s="43" t="s">
        <v>66</v>
      </c>
      <c r="C14" s="38" t="s">
        <v>67</v>
      </c>
      <c r="D14" s="30">
        <v>8</v>
      </c>
      <c r="E14" s="43">
        <f>SUM(E29*0.08)</f>
        <v>1556.3826966682702</v>
      </c>
      <c r="G14" s="38" t="s">
        <v>68</v>
      </c>
      <c r="H14" s="49" t="s">
        <v>69</v>
      </c>
      <c r="I14" s="45">
        <f>SUM(I13*0.3)</f>
        <v>322.02410309501909</v>
      </c>
    </row>
    <row r="15" spans="2:9" x14ac:dyDescent="0.4">
      <c r="B15" s="43" t="s">
        <v>70</v>
      </c>
      <c r="C15" s="38" t="s">
        <v>71</v>
      </c>
      <c r="D15" s="30">
        <v>2</v>
      </c>
      <c r="E15" s="43">
        <f>SUM(E29*0.02)</f>
        <v>389.09567416706756</v>
      </c>
      <c r="G15" s="38" t="s">
        <v>72</v>
      </c>
      <c r="H15" s="49" t="s">
        <v>73</v>
      </c>
      <c r="I15" s="45">
        <f>SUM(I12*0.15)</f>
        <v>1.1672870225012026</v>
      </c>
    </row>
    <row r="16" spans="2:9" x14ac:dyDescent="0.4">
      <c r="B16" s="43" t="s">
        <v>74</v>
      </c>
      <c r="C16" s="38" t="s">
        <v>75</v>
      </c>
      <c r="D16" s="30">
        <v>8</v>
      </c>
      <c r="E16" s="43">
        <f>SUM(E29*0.08)</f>
        <v>1556.3826966682702</v>
      </c>
      <c r="G16" s="38" t="s">
        <v>76</v>
      </c>
      <c r="H16" s="49" t="s">
        <v>77</v>
      </c>
      <c r="I16" s="45">
        <f>SUM(I13*0.15)</f>
        <v>161.01205154750954</v>
      </c>
    </row>
    <row r="17" spans="2:9" x14ac:dyDescent="0.4">
      <c r="B17" s="43" t="s">
        <v>78</v>
      </c>
      <c r="C17" s="38" t="s">
        <v>79</v>
      </c>
      <c r="D17" s="30">
        <v>2</v>
      </c>
      <c r="E17" s="43">
        <f>SUM(E29*0.02)</f>
        <v>389.09567416706756</v>
      </c>
      <c r="G17" s="38"/>
      <c r="H17" s="49"/>
      <c r="I17" s="45"/>
    </row>
    <row r="18" spans="2:9" x14ac:dyDescent="0.4">
      <c r="B18" s="43"/>
      <c r="C18" s="38"/>
      <c r="D18" s="30"/>
      <c r="E18" s="43"/>
      <c r="G18" s="48" t="s">
        <v>80</v>
      </c>
      <c r="H18" s="49" t="s">
        <v>81</v>
      </c>
      <c r="I18" s="45">
        <f>SUM(0.6*I29)</f>
        <v>841.93181613705451</v>
      </c>
    </row>
    <row r="19" spans="2:9" x14ac:dyDescent="0.4">
      <c r="B19" s="37" t="s">
        <v>82</v>
      </c>
      <c r="C19" s="38"/>
      <c r="D19" s="30"/>
      <c r="E19" s="43">
        <f>SUM(E7:E17)</f>
        <v>15563.826966682702</v>
      </c>
      <c r="G19" s="38"/>
      <c r="H19" s="49"/>
      <c r="I19" s="45"/>
    </row>
    <row r="20" spans="2:9" x14ac:dyDescent="0.4">
      <c r="B20" s="43"/>
      <c r="C20" s="38"/>
      <c r="D20" s="30"/>
      <c r="E20" s="43"/>
      <c r="G20" s="48" t="s">
        <v>83</v>
      </c>
      <c r="H20" s="49"/>
      <c r="I20" s="45"/>
    </row>
    <row r="21" spans="2:9" x14ac:dyDescent="0.4">
      <c r="B21" s="37" t="s">
        <v>84</v>
      </c>
      <c r="C21" s="38"/>
      <c r="D21" s="30"/>
      <c r="E21" s="43"/>
      <c r="G21" s="38" t="s">
        <v>85</v>
      </c>
      <c r="H21" s="49" t="s">
        <v>86</v>
      </c>
      <c r="I21" s="45">
        <f>SUM(I13*0.175)</f>
        <v>187.84739347209447</v>
      </c>
    </row>
    <row r="22" spans="2:9" x14ac:dyDescent="0.4">
      <c r="B22" s="43" t="s">
        <v>87</v>
      </c>
      <c r="C22" s="38" t="s">
        <v>88</v>
      </c>
      <c r="D22" s="30">
        <v>5</v>
      </c>
      <c r="E22" s="43">
        <f>SUM(E29*0.05)</f>
        <v>972.73918541766898</v>
      </c>
      <c r="G22" s="56" t="s">
        <v>89</v>
      </c>
      <c r="H22" s="49" t="s">
        <v>90</v>
      </c>
      <c r="I22" s="45">
        <f>SUM(I25*0.11)</f>
        <v>787.17002978782455</v>
      </c>
    </row>
    <row r="23" spans="2:9" x14ac:dyDescent="0.4">
      <c r="B23" s="43" t="s">
        <v>91</v>
      </c>
      <c r="C23" s="38" t="s">
        <v>92</v>
      </c>
      <c r="D23" s="30">
        <v>5</v>
      </c>
      <c r="E23" s="43">
        <f>SUM(E29*0.05)</f>
        <v>972.73918541766898</v>
      </c>
      <c r="G23" s="38" t="s">
        <v>93</v>
      </c>
      <c r="H23" s="56" t="s">
        <v>94</v>
      </c>
      <c r="I23" s="45">
        <f>SUM(I25*0.035)</f>
        <v>250.46319129612601</v>
      </c>
    </row>
    <row r="24" spans="2:9" x14ac:dyDescent="0.4">
      <c r="B24" s="43" t="s">
        <v>95</v>
      </c>
      <c r="C24" s="38" t="s">
        <v>71</v>
      </c>
      <c r="D24" s="30">
        <v>5</v>
      </c>
      <c r="E24" s="43">
        <f>SUM(E29*0.05)</f>
        <v>972.73918541766898</v>
      </c>
      <c r="G24" s="38"/>
      <c r="H24" s="56"/>
      <c r="I24" s="45"/>
    </row>
    <row r="25" spans="2:9" ht="18" customHeight="1" thickBot="1" x14ac:dyDescent="0.45">
      <c r="B25" s="43" t="s">
        <v>96</v>
      </c>
      <c r="C25" s="38" t="s">
        <v>97</v>
      </c>
      <c r="D25" s="30">
        <v>5</v>
      </c>
      <c r="E25" s="43">
        <f>SUM(E29*0.05)</f>
        <v>972.73918541766898</v>
      </c>
      <c r="G25" s="57" t="s">
        <v>98</v>
      </c>
      <c r="H25" s="57"/>
      <c r="I25" s="58">
        <f>SUM(I27/0.49425)</f>
        <v>7156.0911798893139</v>
      </c>
    </row>
    <row r="26" spans="2:9" x14ac:dyDescent="0.4">
      <c r="B26" s="43"/>
      <c r="C26" s="38"/>
      <c r="D26" s="30"/>
      <c r="E26" s="43"/>
      <c r="G26" s="30"/>
      <c r="H26" s="30"/>
      <c r="I26" s="59"/>
    </row>
    <row r="27" spans="2:9" x14ac:dyDescent="0.4">
      <c r="B27" s="37" t="s">
        <v>99</v>
      </c>
      <c r="C27" s="38"/>
      <c r="D27" s="30"/>
      <c r="E27" s="43">
        <f>SUM(E22:E25)</f>
        <v>3890.9567416706759</v>
      </c>
      <c r="G27" s="30"/>
      <c r="H27" s="30"/>
      <c r="I27" s="59">
        <f>SUM(I6:I12,I15,0.6*I12)</f>
        <v>3536.8980656602935</v>
      </c>
    </row>
    <row r="28" spans="2:9" x14ac:dyDescent="0.4">
      <c r="B28" s="43"/>
      <c r="C28" s="38"/>
      <c r="D28" s="30"/>
      <c r="E28" s="43"/>
      <c r="G28" s="28"/>
      <c r="H28" s="28"/>
      <c r="I28" s="59"/>
    </row>
    <row r="29" spans="2:9" x14ac:dyDescent="0.4">
      <c r="B29" s="43" t="s">
        <v>100</v>
      </c>
      <c r="C29" s="38">
        <v>100</v>
      </c>
      <c r="D29" s="30">
        <v>100</v>
      </c>
      <c r="E29" s="43">
        <f>SUM(E7*100/D7)</f>
        <v>19454.783708353378</v>
      </c>
      <c r="G29" s="28"/>
      <c r="H29" s="28" t="s">
        <v>101</v>
      </c>
      <c r="I29" s="59">
        <f>(I12+I13+I14)</f>
        <v>1403.2196935617576</v>
      </c>
    </row>
    <row r="30" spans="2:9" x14ac:dyDescent="0.4">
      <c r="B30" s="43" t="s">
        <v>102</v>
      </c>
      <c r="C30" s="38">
        <v>20</v>
      </c>
      <c r="D30" s="46">
        <v>20</v>
      </c>
      <c r="E30" s="43">
        <f>SUM(E29*0.2)</f>
        <v>3890.9567416706759</v>
      </c>
      <c r="I30" s="61">
        <f>SUM(I6:I23)</f>
        <v>7156.091179889313</v>
      </c>
    </row>
    <row r="31" spans="2:9" x14ac:dyDescent="0.4">
      <c r="B31" s="43" t="s">
        <v>103</v>
      </c>
      <c r="C31" s="38">
        <v>20</v>
      </c>
      <c r="D31" s="46">
        <v>20</v>
      </c>
      <c r="E31" s="43">
        <f>SUM(E29*0.2)</f>
        <v>3890.9567416706759</v>
      </c>
    </row>
    <row r="32" spans="2:9" x14ac:dyDescent="0.4">
      <c r="B32" s="43"/>
      <c r="C32" s="38"/>
      <c r="D32" s="30"/>
      <c r="E32" s="43"/>
    </row>
    <row r="33" spans="2:5" x14ac:dyDescent="0.4">
      <c r="B33" s="37" t="s">
        <v>104</v>
      </c>
      <c r="C33" s="48" t="s">
        <v>105</v>
      </c>
      <c r="D33" s="29"/>
      <c r="E33" s="37">
        <f>SUM(E29:E31)</f>
        <v>27236.69719169473</v>
      </c>
    </row>
    <row r="34" spans="2:5" ht="18" customHeight="1" thickBot="1" x14ac:dyDescent="0.45">
      <c r="B34" s="62" t="s">
        <v>106</v>
      </c>
      <c r="C34" s="57" t="s">
        <v>107</v>
      </c>
      <c r="D34" s="63"/>
      <c r="E34" s="62">
        <f>SUM(E33/((1-(1/((1.05)^25)))/0.07))</f>
        <v>2705.5148322520749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6"/>
  <sheetViews>
    <sheetView workbookViewId="0">
      <selection activeCell="H23" sqref="H23"/>
    </sheetView>
  </sheetViews>
  <sheetFormatPr defaultRowHeight="17.399999999999999" x14ac:dyDescent="0.4"/>
  <cols>
    <col min="3" max="3" width="14.8984375" style="60" customWidth="1"/>
    <col min="4" max="4" width="15.296875" style="60" customWidth="1"/>
    <col min="5" max="5" width="16.69921875" style="60" customWidth="1"/>
    <col min="14" max="14" width="25.3984375" style="60" customWidth="1"/>
  </cols>
  <sheetData>
    <row r="1" spans="2:15" ht="18" customHeight="1" thickBot="1" x14ac:dyDescent="0.45"/>
    <row r="2" spans="2:15" ht="18" customHeight="1" thickBot="1" x14ac:dyDescent="0.45">
      <c r="B2" s="1" t="s">
        <v>108</v>
      </c>
      <c r="C2" s="2" t="s">
        <v>109</v>
      </c>
      <c r="D2" s="2" t="s">
        <v>110</v>
      </c>
      <c r="E2" s="3" t="s">
        <v>111</v>
      </c>
      <c r="F2" s="9" t="s">
        <v>112</v>
      </c>
    </row>
    <row r="3" spans="2:15" ht="18" customHeight="1" thickBot="1" x14ac:dyDescent="0.45">
      <c r="B3" s="64" t="s">
        <v>113</v>
      </c>
      <c r="C3" s="16">
        <v>8.3260270100000007</v>
      </c>
      <c r="D3" s="16">
        <f>24/1000</f>
        <v>2.4E-2</v>
      </c>
      <c r="E3" s="65">
        <f>C3*D3*SMRCCU!D31</f>
        <v>1698.5095100400001</v>
      </c>
      <c r="F3" s="15" t="s">
        <v>114</v>
      </c>
    </row>
    <row r="4" spans="2:15" x14ac:dyDescent="0.4">
      <c r="F4" s="66" t="s">
        <v>115</v>
      </c>
      <c r="N4" t="s">
        <v>116</v>
      </c>
    </row>
    <row r="5" spans="2:15" x14ac:dyDescent="0.4">
      <c r="N5" t="s">
        <v>117</v>
      </c>
      <c r="O5">
        <v>2.2000000000000002</v>
      </c>
    </row>
    <row r="6" spans="2:15" x14ac:dyDescent="0.4">
      <c r="N6" t="s">
        <v>118</v>
      </c>
      <c r="O6">
        <v>2.4380000000000002</v>
      </c>
    </row>
    <row r="7" spans="2:15" x14ac:dyDescent="0.4">
      <c r="N7" t="s">
        <v>119</v>
      </c>
      <c r="O7">
        <v>1.26</v>
      </c>
    </row>
    <row r="8" spans="2:15" x14ac:dyDescent="0.4">
      <c r="N8" t="s">
        <v>120</v>
      </c>
      <c r="O8">
        <v>0.84099999999999997</v>
      </c>
    </row>
    <row r="9" spans="2:15" x14ac:dyDescent="0.4">
      <c r="N9" t="s">
        <v>121</v>
      </c>
      <c r="O9">
        <v>1.4916666670000001</v>
      </c>
    </row>
    <row r="10" spans="2:15" x14ac:dyDescent="0.4">
      <c r="N10" t="s">
        <v>122</v>
      </c>
      <c r="O10">
        <v>0.37</v>
      </c>
    </row>
    <row r="11" spans="2:15" x14ac:dyDescent="0.4">
      <c r="N11" t="s">
        <v>123</v>
      </c>
      <c r="O11" s="67">
        <v>0.7</v>
      </c>
    </row>
    <row r="12" spans="2:15" x14ac:dyDescent="0.4">
      <c r="N12" t="s">
        <v>124</v>
      </c>
      <c r="O12" s="67">
        <v>0.5</v>
      </c>
    </row>
    <row r="13" spans="2:15" x14ac:dyDescent="0.4">
      <c r="N13" t="s">
        <v>125</v>
      </c>
      <c r="O13" s="67">
        <v>15000</v>
      </c>
    </row>
    <row r="14" spans="2:15" x14ac:dyDescent="0.4">
      <c r="N14" t="s">
        <v>126</v>
      </c>
      <c r="O14">
        <v>0.17</v>
      </c>
    </row>
    <row r="15" spans="2:15" x14ac:dyDescent="0.4">
      <c r="N15" t="s">
        <v>127</v>
      </c>
      <c r="O15" s="68">
        <v>2.7599999999999998E-7</v>
      </c>
    </row>
    <row r="16" spans="2:15" x14ac:dyDescent="0.4">
      <c r="N16" t="s">
        <v>128</v>
      </c>
      <c r="O16" s="68">
        <v>2.7599999999999998E-7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SMRCCU</vt:lpstr>
      <vt:lpstr>SMRCCU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김유림</dc:creator>
  <cp:lastModifiedBy>안나현</cp:lastModifiedBy>
  <dcterms:created xsi:type="dcterms:W3CDTF">2023-09-21T04:44:28Z</dcterms:created>
  <dcterms:modified xsi:type="dcterms:W3CDTF">2024-01-10T11:26:02Z</dcterms:modified>
</cp:coreProperties>
</file>