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492" windowWidth="23256" windowHeight="13176" activeTab="3"/>
  </bookViews>
  <sheets>
    <sheet name="Автоматизированный расчет" sheetId="3" r:id="rId1"/>
    <sheet name="Соответствие" sheetId="4" r:id="rId2"/>
    <sheet name="SummaryReport" sheetId="5" r:id="rId3"/>
    <sheet name="Шаблоны соотвествие профилю" sheetId="2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I53" i="2"/>
  <c r="G53"/>
  <c r="I35" l="1"/>
  <c r="H35"/>
  <c r="G35"/>
  <c r="G24"/>
  <c r="G25"/>
  <c r="G26"/>
  <c r="G27"/>
  <c r="G28"/>
  <c r="G29"/>
  <c r="G30"/>
  <c r="G31"/>
  <c r="G32"/>
  <c r="G33"/>
  <c r="G34"/>
  <c r="G23"/>
  <c r="I25" l="1"/>
  <c r="H53"/>
  <c r="I48"/>
  <c r="I49"/>
  <c r="I50"/>
  <c r="I51"/>
  <c r="I52"/>
  <c r="H8"/>
  <c r="I8" s="1"/>
  <c r="H9"/>
  <c r="I9" s="1"/>
  <c r="H10"/>
  <c r="I10" s="1"/>
  <c r="H11"/>
  <c r="I11" s="1"/>
  <c r="H12"/>
  <c r="I12" s="1"/>
  <c r="H13"/>
  <c r="I13" s="1"/>
  <c r="H14"/>
  <c r="I14" s="1"/>
  <c r="H15"/>
  <c r="I15" s="1"/>
  <c r="H16"/>
  <c r="I16" s="1"/>
  <c r="H17"/>
  <c r="I17" s="1"/>
  <c r="H7"/>
  <c r="I7" s="1"/>
  <c r="H6"/>
  <c r="I6" s="1"/>
  <c r="B47" i="3"/>
  <c r="A3" i="4"/>
  <c r="E36" i="3" s="1"/>
  <c r="G36" s="1"/>
  <c r="A4" i="4"/>
  <c r="E37" i="3" s="1"/>
  <c r="A5" i="4"/>
  <c r="E38" i="3" s="1"/>
  <c r="G38" s="1"/>
  <c r="A6" i="4"/>
  <c r="E39" i="3" s="1"/>
  <c r="G39" s="1"/>
  <c r="A7" i="4"/>
  <c r="E40" i="3" s="1"/>
  <c r="G40" s="1"/>
  <c r="A8" i="4"/>
  <c r="E41" i="3" s="1"/>
  <c r="G41" s="1"/>
  <c r="A9" i="4"/>
  <c r="E42" i="3" s="1"/>
  <c r="G42" s="1"/>
  <c r="A10" i="4"/>
  <c r="E43" i="3" s="1"/>
  <c r="G43" s="1"/>
  <c r="A11" i="4"/>
  <c r="E44" i="3" s="1"/>
  <c r="G44" s="1"/>
  <c r="A12" i="4"/>
  <c r="E45" i="3" s="1"/>
  <c r="G45" s="1"/>
  <c r="A13" i="4"/>
  <c r="E46" i="3" s="1"/>
  <c r="G46" s="1"/>
  <c r="A14" i="4"/>
  <c r="A2"/>
  <c r="E35" i="3" s="1"/>
  <c r="G35" s="1"/>
  <c r="E8"/>
  <c r="F8" s="1"/>
  <c r="D8"/>
  <c r="P6"/>
  <c r="P7"/>
  <c r="D21"/>
  <c r="E21"/>
  <c r="F21" s="1"/>
  <c r="S2"/>
  <c r="E18"/>
  <c r="F18" s="1"/>
  <c r="D18"/>
  <c r="D9"/>
  <c r="E9"/>
  <c r="F9" s="1"/>
  <c r="E25"/>
  <c r="F25" s="1"/>
  <c r="D24"/>
  <c r="D25"/>
  <c r="C37"/>
  <c r="C35"/>
  <c r="I32" i="2" l="1"/>
  <c r="G37" i="3"/>
  <c r="I28" i="2"/>
  <c r="I33"/>
  <c r="I24"/>
  <c r="I34"/>
  <c r="I30"/>
  <c r="I26"/>
  <c r="I29"/>
  <c r="I23"/>
  <c r="I31"/>
  <c r="I27"/>
  <c r="F37" i="3"/>
  <c r="F35"/>
  <c r="H8"/>
  <c r="H21"/>
  <c r="H18"/>
  <c r="H9"/>
  <c r="E24"/>
  <c r="F24" s="1"/>
  <c r="H24" s="1"/>
  <c r="H25"/>
  <c r="D37"/>
  <c r="W2"/>
  <c r="V7" s="1"/>
  <c r="B53"/>
  <c r="B51"/>
  <c r="D23"/>
  <c r="D19"/>
  <c r="D4"/>
  <c r="H37" l="1"/>
  <c r="V6"/>
  <c r="D2"/>
  <c r="D52"/>
  <c r="D53"/>
  <c r="D54"/>
  <c r="D55"/>
  <c r="D51"/>
  <c r="H53"/>
  <c r="B55"/>
  <c r="B52"/>
  <c r="B54"/>
  <c r="D20"/>
  <c r="D22"/>
  <c r="C38"/>
  <c r="C42"/>
  <c r="C41"/>
  <c r="C44"/>
  <c r="C39"/>
  <c r="C46"/>
  <c r="C40"/>
  <c r="C45"/>
  <c r="C36"/>
  <c r="C43"/>
  <c r="F44" l="1"/>
  <c r="H44" s="1"/>
  <c r="F42"/>
  <c r="F43"/>
  <c r="F46"/>
  <c r="F45"/>
  <c r="H45" s="1"/>
  <c r="F40"/>
  <c r="F39"/>
  <c r="F36"/>
  <c r="F38"/>
  <c r="F41"/>
  <c r="C47"/>
  <c r="D47" s="1"/>
  <c r="S7"/>
  <c r="U7" s="1"/>
  <c r="E19"/>
  <c r="F19" s="1"/>
  <c r="H19" s="1"/>
  <c r="F51"/>
  <c r="G51" s="1"/>
  <c r="H51" s="1"/>
  <c r="I49" s="1"/>
  <c r="E22"/>
  <c r="F22" s="1"/>
  <c r="H22" s="1"/>
  <c r="E20"/>
  <c r="F20" s="1"/>
  <c r="H20" s="1"/>
  <c r="F55"/>
  <c r="G55" s="1"/>
  <c r="H55" s="1"/>
  <c r="I53" s="1"/>
  <c r="F53"/>
  <c r="F54"/>
  <c r="H54"/>
  <c r="I52" s="1"/>
  <c r="F52"/>
  <c r="G52" s="1"/>
  <c r="H52" s="1"/>
  <c r="I50" s="1"/>
  <c r="I51"/>
  <c r="D10"/>
  <c r="D28"/>
  <c r="E28"/>
  <c r="F28" s="1"/>
  <c r="D14"/>
  <c r="D44" l="1"/>
  <c r="D35"/>
  <c r="D45"/>
  <c r="D46"/>
  <c r="H28"/>
  <c r="D15"/>
  <c r="D17"/>
  <c r="D16"/>
  <c r="D29"/>
  <c r="D30"/>
  <c r="H43" l="1"/>
  <c r="V3"/>
  <c r="P3"/>
  <c r="E12" l="1"/>
  <c r="E10"/>
  <c r="F10" s="1"/>
  <c r="H10" s="1"/>
  <c r="P2"/>
  <c r="P4"/>
  <c r="P5"/>
  <c r="D3"/>
  <c r="V2"/>
  <c r="S6"/>
  <c r="S3"/>
  <c r="U3" s="1"/>
  <c r="D12" s="1"/>
  <c r="E4" l="1"/>
  <c r="F4" s="1"/>
  <c r="H4" s="1"/>
  <c r="E2"/>
  <c r="E3"/>
  <c r="F3" s="1"/>
  <c r="H3" s="1"/>
  <c r="U2"/>
  <c r="E23"/>
  <c r="F23" s="1"/>
  <c r="H23" s="1"/>
  <c r="S5"/>
  <c r="U5" s="1"/>
  <c r="D26" s="1"/>
  <c r="E14"/>
  <c r="F14" s="1"/>
  <c r="H14" s="1"/>
  <c r="S4"/>
  <c r="U4" s="1"/>
  <c r="H35"/>
  <c r="D36"/>
  <c r="U6"/>
  <c r="D6"/>
  <c r="H38"/>
  <c r="D5"/>
  <c r="D11"/>
  <c r="D27"/>
  <c r="D13"/>
  <c r="D7"/>
  <c r="E30"/>
  <c r="F30" s="1"/>
  <c r="E27"/>
  <c r="F27" s="1"/>
  <c r="E17"/>
  <c r="F17" s="1"/>
  <c r="E13"/>
  <c r="F13" s="1"/>
  <c r="E7"/>
  <c r="F7" s="1"/>
  <c r="E29"/>
  <c r="E26"/>
  <c r="F26" s="1"/>
  <c r="E16"/>
  <c r="E6"/>
  <c r="F6" s="1"/>
  <c r="E15"/>
  <c r="F15" s="1"/>
  <c r="E11"/>
  <c r="F11" s="1"/>
  <c r="E5"/>
  <c r="F5" s="1"/>
  <c r="D39"/>
  <c r="V4"/>
  <c r="V5"/>
  <c r="I46" i="2"/>
  <c r="I45"/>
  <c r="I42"/>
  <c r="I41"/>
  <c r="F2" i="3" l="1"/>
  <c r="H2" s="1"/>
  <c r="F29"/>
  <c r="H29" s="1"/>
  <c r="F12"/>
  <c r="H12" s="1"/>
  <c r="F16"/>
  <c r="H16" s="1"/>
  <c r="H46"/>
  <c r="D42"/>
  <c r="H41"/>
  <c r="H42"/>
  <c r="D43"/>
  <c r="H36"/>
  <c r="D38"/>
  <c r="H39"/>
  <c r="D40"/>
  <c r="D41"/>
  <c r="H40"/>
  <c r="H26"/>
  <c r="H5"/>
  <c r="H6"/>
  <c r="H30"/>
  <c r="H17"/>
  <c r="H13"/>
  <c r="H11"/>
  <c r="H7"/>
  <c r="H15"/>
  <c r="H27"/>
  <c r="I43" i="2"/>
  <c r="I47"/>
  <c r="I44"/>
</calcChain>
</file>

<file path=xl/sharedStrings.xml><?xml version="1.0" encoding="utf-8"?>
<sst xmlns="http://schemas.openxmlformats.org/spreadsheetml/2006/main" count="345" uniqueCount="102">
  <si>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</si>
  <si>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</si>
  <si>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</si>
  <si>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</si>
  <si>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</si>
  <si>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</si>
  <si>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</si>
  <si>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</si>
  <si>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</si>
  <si>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</si>
  <si>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</si>
  <si>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</si>
  <si>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</si>
  <si>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</si>
  <si>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</si>
  <si>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</si>
  <si>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</si>
  <si>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</si>
  <si>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</si>
  <si>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Просмотр квитанции</t>
  </si>
  <si>
    <t>login</t>
  </si>
  <si>
    <t>logout</t>
  </si>
  <si>
    <t>Transaction Name</t>
  </si>
  <si>
    <t>Pass</t>
  </si>
  <si>
    <t>Fail</t>
  </si>
  <si>
    <t>Stop</t>
  </si>
  <si>
    <t>Подтверждение максимума</t>
  </si>
  <si>
    <t>Профиль для 5 пользаков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</si>
  <si>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</si>
  <si>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</si>
  <si>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</si>
  <si>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</si>
  <si>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</si>
  <si>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</si>
  <si>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</si>
  <si>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</si>
  <si>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</si>
  <si>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</si>
  <si>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</si>
  <si>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</si>
  <si>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</si>
  <si>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</si>
  <si>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</si>
  <si>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</si>
  <si>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</si>
  <si>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</si>
  <si>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</si>
  <si>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</si>
  <si>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</si>
  <si>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</si>
  <si>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</si>
  <si>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</si>
  <si>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</si>
  <si>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</si>
  <si>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</si>
  <si>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</si>
  <si>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</si>
  <si>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Поиск билета без покупки</t>
  </si>
  <si>
    <t>Логин</t>
  </si>
  <si>
    <t>Логин и логоут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</si>
  <si>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</si>
  <si>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</si>
  <si>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</si>
  <si>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</si>
  <si>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</si>
  <si>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</si>
  <si>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</si>
  <si>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</si>
  <si>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</si>
  <si>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</si>
  <si>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</si>
  <si>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Удаление брони</t>
  </si>
  <si>
    <t>Переход на страницу регистрации</t>
  </si>
  <si>
    <t>searchTicket</t>
  </si>
  <si>
    <t>departureTime</t>
  </si>
  <si>
    <t>paymentDetails</t>
  </si>
  <si>
    <t>clickItinerary</t>
  </si>
  <si>
    <t>deleteTicket</t>
  </si>
  <si>
    <t>Переход на следуюущий экран после регистарции</t>
  </si>
  <si>
    <t>Имя в статистике</t>
  </si>
  <si>
    <t>Имя в скрипте</t>
  </si>
  <si>
    <t>clickToFlights</t>
  </si>
  <si>
    <t>clickToRegProfile</t>
  </si>
  <si>
    <t>homePage</t>
  </si>
  <si>
    <t>regProfile</t>
  </si>
  <si>
    <t>saveProfile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</si>
  <si>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</si>
  <si>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</si>
  <si>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</si>
  <si>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</si>
  <si>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</si>
  <si>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</si>
  <si>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</si>
  <si>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</si>
  <si>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Поиск максимума 5 ступень</t>
  </si>
  <si>
    <t>1 718</t>
  </si>
  <si>
    <t>1 888</t>
  </si>
  <si>
    <t>1 664</t>
  </si>
  <si>
    <t>3 107</t>
  </si>
  <si>
    <t>2 551</t>
  </si>
  <si>
    <t>1 834</t>
  </si>
  <si>
    <t>1 055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</si>
</sst>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7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5" applyNumberFormat="0" applyAlignment="0" applyProtection="0"/>
    <xf numFmtId="0" fontId="20" fillId="7" borderId="6" applyNumberFormat="0" applyAlignment="0" applyProtection="0"/>
    <xf numFmtId="0" fontId="21" fillId="7" borderId="5" applyNumberFormat="0" applyAlignment="0" applyProtection="0"/>
    <xf numFmtId="0" fontId="22" fillId="0" borderId="7" applyNumberFormat="0" applyFill="0" applyAlignment="0" applyProtection="0"/>
    <xf numFmtId="0" fontId="23" fillId="8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9" applyNumberFormat="0" applyFont="0" applyAlignment="0" applyProtection="0"/>
    <xf numFmtId="9" fontId="27" fillId="0" borderId="0" applyFont="0" applyFill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33" borderId="0" applyNumberFormat="0" applyBorder="0" applyAlignment="0" applyProtection="0"/>
  </cellStyleXfs>
  <cellXfs count="68">
    <xf numFmtId="0" fontId="0" fillId="0" borderId="0" xfId="0"/>
    <xf numFmtId="0" fontId="12" fillId="5" borderId="1" xfId="0" applyFont="1" applyFill="1" applyBorder="1" applyAlignment="1">
      <alignment horizontal="left" vertical="top"/>
    </xf>
    <xf numFmtId="0" fontId="3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1" xfId="0" applyFill="1" applyBorder="1"/>
    <xf numFmtId="164" fontId="0" fillId="0" borderId="0" xfId="0" applyNumberFormat="1"/>
    <xf numFmtId="0" fontId="28" fillId="0" borderId="0" xfId="0" applyFont="1"/>
    <xf numFmtId="1" fontId="28" fillId="0" borderId="0" xfId="0" applyNumberFormat="1" applyFont="1"/>
    <xf numFmtId="0" fontId="0" fillId="36" borderId="1" xfId="0" applyFill="1" applyBorder="1"/>
    <xf numFmtId="0" fontId="0" fillId="37" borderId="1" xfId="0" applyFill="1" applyBorder="1"/>
    <xf numFmtId="9" fontId="0" fillId="0" borderId="1" xfId="44" applyFont="1" applyBorder="1"/>
    <xf numFmtId="9" fontId="0" fillId="38" borderId="1" xfId="44" applyFont="1" applyFill="1" applyBorder="1"/>
    <xf numFmtId="1" fontId="5" fillId="0" borderId="11" xfId="0" applyNumberFormat="1" applyFont="1" applyBorder="1" applyAlignment="1">
      <alignment horizontal="center" vertical="center" wrapText="1"/>
    </xf>
    <xf numFmtId="1" fontId="0" fillId="0" borderId="12" xfId="0" applyNumberFormat="1" applyBorder="1"/>
    <xf numFmtId="9" fontId="0" fillId="0" borderId="13" xfId="44" applyFont="1" applyBorder="1"/>
    <xf numFmtId="0" fontId="7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37" borderId="14" xfId="0" applyFill="1" applyBorder="1"/>
    <xf numFmtId="0" fontId="0" fillId="35" borderId="14" xfId="0" applyFill="1" applyBorder="1"/>
    <xf numFmtId="9" fontId="0" fillId="0" borderId="0" xfId="44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41" borderId="1" xfId="0" applyNumberFormat="1" applyFill="1" applyBorder="1"/>
    <xf numFmtId="165" fontId="0" fillId="41" borderId="1" xfId="0" quotePrefix="1" applyNumberFormat="1" applyFill="1" applyBorder="1"/>
    <xf numFmtId="0" fontId="0" fillId="0" borderId="0" xfId="0" applyFont="1"/>
    <xf numFmtId="9" fontId="0" fillId="0" borderId="0" xfId="0" applyNumberFormat="1" applyFont="1"/>
    <xf numFmtId="0" fontId="7" fillId="0" borderId="11" xfId="0" applyFont="1" applyBorder="1" applyAlignment="1">
      <alignment vertical="center" wrapText="1"/>
    </xf>
    <xf numFmtId="0" fontId="7" fillId="39" borderId="17" xfId="0" applyFont="1" applyFill="1" applyBorder="1" applyAlignment="1">
      <alignment vertical="center" wrapText="1"/>
    </xf>
    <xf numFmtId="0" fontId="7" fillId="39" borderId="18" xfId="0" applyFont="1" applyFill="1" applyBorder="1" applyAlignment="1">
      <alignment vertical="center" wrapText="1"/>
    </xf>
    <xf numFmtId="0" fontId="5" fillId="39" borderId="18" xfId="0" applyFont="1" applyFill="1" applyBorder="1" applyAlignment="1">
      <alignment horizontal="center" vertical="center" wrapText="1"/>
    </xf>
    <xf numFmtId="0" fontId="5" fillId="39" borderId="17" xfId="0" applyFont="1" applyFill="1" applyBorder="1" applyAlignment="1">
      <alignment horizontal="left" vertical="center" wrapText="1"/>
    </xf>
    <xf numFmtId="0" fontId="6" fillId="39" borderId="19" xfId="0" applyFont="1" applyFill="1" applyBorder="1" applyAlignment="1">
      <alignment horizontal="left" vertical="center" wrapText="1"/>
    </xf>
    <xf numFmtId="0" fontId="5" fillId="39" borderId="20" xfId="0" applyFont="1" applyFill="1" applyBorder="1" applyAlignment="1">
      <alignment horizontal="center" vertical="center" wrapText="1"/>
    </xf>
    <xf numFmtId="0" fontId="11" fillId="35" borderId="1" xfId="0" applyFont="1" applyFill="1" applyBorder="1" applyAlignment="1">
      <alignment vertical="center"/>
    </xf>
    <xf numFmtId="0" fontId="0" fillId="40" borderId="1" xfId="0" applyFill="1" applyBorder="1" applyAlignment="1">
      <alignment vertical="center"/>
    </xf>
    <xf numFmtId="0" fontId="11" fillId="35" borderId="21" xfId="0" applyFont="1" applyFill="1" applyBorder="1"/>
    <xf numFmtId="0" fontId="0" fillId="40" borderId="22" xfId="0" applyFill="1" applyBorder="1"/>
    <xf numFmtId="0" fontId="0" fillId="40" borderId="23" xfId="0" applyFill="1" applyBorder="1"/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29" fillId="42" borderId="17" xfId="0" applyFont="1" applyFill="1" applyBorder="1" applyAlignment="1">
      <alignment horizontal="left" vertical="center" wrapText="1"/>
    </xf>
    <xf numFmtId="0" fontId="2" fillId="0" borderId="0" xfId="42" applyFont="1"/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11" fillId="0" borderId="24" xfId="0" applyFont="1" applyBorder="1"/>
    <xf numFmtId="0" fontId="11" fillId="0" borderId="25" xfId="0" applyFont="1" applyBorder="1"/>
    <xf numFmtId="0" fontId="0" fillId="0" borderId="13" xfId="0" applyBorder="1" applyAlignment="1">
      <alignment shrinkToFit="1"/>
    </xf>
    <xf numFmtId="0" fontId="0" fillId="0" borderId="1" xfId="0" applyBorder="1" applyAlignment="1">
      <alignment shrinkToFit="1"/>
    </xf>
    <xf numFmtId="0" fontId="0" fillId="35" borderId="1" xfId="0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0" fontId="0" fillId="0" borderId="1" xfId="0" applyBorder="1"/>
    <xf numFmtId="1" fontId="0" fillId="0" borderId="1" xfId="0" applyNumberFormat="1" applyBorder="1"/>
    <xf numFmtId="9" fontId="0" fillId="0" borderId="1" xfId="0" applyNumberFormat="1" applyBorder="1"/>
    <xf numFmtId="0" fontId="13" fillId="0" borderId="0" xfId="0" applyFont="1" applyBorder="1" applyAlignment="1">
      <alignment horizontal="left" vertical="top"/>
    </xf>
    <xf numFmtId="0" fontId="11" fillId="0" borderId="0" xfId="4" applyFont="1" applyBorder="1" applyAlignment="1">
      <alignment horizontal="left" vertical="top"/>
    </xf>
    <xf numFmtId="1" fontId="30" fillId="0" borderId="1" xfId="0" applyNumberFormat="1" applyFont="1" applyBorder="1" applyAlignment="1">
      <alignment horizontal="right" vertical="top"/>
    </xf>
    <xf numFmtId="9" fontId="30" fillId="0" borderId="1" xfId="0" applyNumberFormat="1" applyFont="1" applyBorder="1" applyAlignment="1">
      <alignment horizontal="right" vertical="top"/>
    </xf>
    <xf numFmtId="9" fontId="12" fillId="0" borderId="1" xfId="0" applyNumberFormat="1" applyFont="1" applyBorder="1" applyAlignment="1">
      <alignment horizontal="right" vertical="top"/>
    </xf>
    <xf numFmtId="9" fontId="14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  <xf numFmtId="1" fontId="12" fillId="0" borderId="1" xfId="0" applyNumberFormat="1" applyFont="1" applyBorder="1" applyAlignment="1">
      <alignment horizontal="right" vertical="top"/>
    </xf>
    <xf numFmtId="0" fontId="0" fillId="41" borderId="15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67">
    <cellStyle name="20% - Акцент1" xfId="19" builtinId="30" customBuiltin="1"/>
    <cellStyle name="20% - Акцент1 2" xfId="49"/>
    <cellStyle name="20% - Акцент2" xfId="23" builtinId="34" customBuiltin="1"/>
    <cellStyle name="20% - Акцент2 2" xfId="52"/>
    <cellStyle name="20% - Акцент3" xfId="27" builtinId="38" customBuiltin="1"/>
    <cellStyle name="20% - Акцент3 2" xfId="55"/>
    <cellStyle name="20% - Акцент4" xfId="31" builtinId="42" customBuiltin="1"/>
    <cellStyle name="20% - Акцент4 2" xfId="58"/>
    <cellStyle name="20% - Акцент5" xfId="35" builtinId="46" customBuiltin="1"/>
    <cellStyle name="20% - Акцент5 2" xfId="61"/>
    <cellStyle name="20% - Акцент6" xfId="39" builtinId="50" customBuiltin="1"/>
    <cellStyle name="20% - Акцент6 2" xfId="64"/>
    <cellStyle name="40% - Акцент1" xfId="20" builtinId="31" customBuiltin="1"/>
    <cellStyle name="40% - Акцент1 2" xfId="50"/>
    <cellStyle name="40% - Акцент2" xfId="24" builtinId="35" customBuiltin="1"/>
    <cellStyle name="40% - Акцент2 2" xfId="53"/>
    <cellStyle name="40% - Акцент3" xfId="28" builtinId="39" customBuiltin="1"/>
    <cellStyle name="40% - Акцент3 2" xfId="56"/>
    <cellStyle name="40% - Акцент4" xfId="32" builtinId="43" customBuiltin="1"/>
    <cellStyle name="40% - Акцент4 2" xfId="59"/>
    <cellStyle name="40% - Акцент5" xfId="36" builtinId="47" customBuiltin="1"/>
    <cellStyle name="40% - Акцент5 2" xfId="62"/>
    <cellStyle name="40% - Акцент6" xfId="40" builtinId="51" customBuiltin="1"/>
    <cellStyle name="40% - Акцент6 2" xfId="65"/>
    <cellStyle name="60% - Акцент1" xfId="21" builtinId="32" customBuiltin="1"/>
    <cellStyle name="60% - Акцент1 2" xfId="51"/>
    <cellStyle name="60% - Акцент2" xfId="25" builtinId="36" customBuiltin="1"/>
    <cellStyle name="60% - Акцент2 2" xfId="54"/>
    <cellStyle name="60% - Акцент3" xfId="29" builtinId="40" customBuiltin="1"/>
    <cellStyle name="60% - Акцент3 2" xfId="57"/>
    <cellStyle name="60% - Акцент4" xfId="33" builtinId="44" customBuiltin="1"/>
    <cellStyle name="60% - Акцент4 2" xfId="60"/>
    <cellStyle name="60% - Акцент5" xfId="37" builtinId="48" customBuiltin="1"/>
    <cellStyle name="60% - Акцент5 2" xfId="63"/>
    <cellStyle name="60% - Акцент6" xfId="41" builtinId="52" customBuiltin="1"/>
    <cellStyle name="60% - Акцент6 2" xfId="66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азвание 2" xfId="46"/>
    <cellStyle name="Нейтральный" xfId="3" builtinId="28" customBuiltin="1"/>
    <cellStyle name="Нейтральный 2" xfId="47"/>
    <cellStyle name="Обычный" xfId="0" builtinId="0"/>
    <cellStyle name="Обычный 2" xfId="4"/>
    <cellStyle name="Обычный 3" xfId="42"/>
    <cellStyle name="Обычный 4" xfId="45"/>
    <cellStyle name="Плохой" xfId="2" builtinId="27" customBuiltin="1"/>
    <cellStyle name="Пояснение" xfId="16" builtinId="53" customBuiltin="1"/>
    <cellStyle name="Примечание 2" xfId="43"/>
    <cellStyle name="Примечание 3" xfId="48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Гульнара" refreshedDate="44760.777677546299" createdVersion="6" refreshedVersion="3" minRefreshableVersion="3" recordCount="29">
  <cacheSource type="worksheet">
    <worksheetSource ref="A1:H30" sheet="Автоматизированный расчет"/>
  </cacheSource>
  <cacheFields count="8">
    <cacheField name="Script name" numFmtId="0">
      <sharedItems/>
    </cacheField>
    <cacheField name="transaction rq" numFmtId="0">
      <sharedItems count="15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 "/>
        <s v="Переход на страницу регистрации"/>
        <s v="Заполнение полей регистарции"/>
        <s v="Переход на следуюущий экран после регистарции"/>
        <s v="Переход на следуюущий эран после регистарции" u="1"/>
        <s v="Переход на страницу покупки" u="1"/>
        <s v="Перход на страницу регистрации" u="1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38" maxValue="99"/>
    </cacheField>
    <cacheField name="одним пользователем в минуту" numFmtId="2">
      <sharedItems containsSemiMixedTypes="0" containsString="0" containsNumber="1" minValue="0.60606060606060608" maxValue="1.578947368421052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2.631578947368421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Покупка билета"/>
    <x v="0"/>
    <n v="1"/>
    <n v="3"/>
    <n v="60"/>
    <n v="1"/>
    <n v="20"/>
    <n v="60"/>
  </r>
  <r>
    <s v="Покупка билета"/>
    <x v="1"/>
    <n v="1"/>
    <n v="3"/>
    <n v="60"/>
    <n v="1"/>
    <n v="20"/>
    <n v="60"/>
  </r>
  <r>
    <s v="Покупка билета"/>
    <x v="2"/>
    <n v="1"/>
    <n v="3"/>
    <n v="60"/>
    <n v="1"/>
    <n v="20"/>
    <n v="60"/>
  </r>
  <r>
    <s v="Покупка билета"/>
    <x v="3"/>
    <n v="1"/>
    <n v="3"/>
    <n v="60"/>
    <n v="1"/>
    <n v="20"/>
    <n v="60"/>
  </r>
  <r>
    <s v="Покупка билета"/>
    <x v="4"/>
    <n v="1"/>
    <n v="3"/>
    <n v="60"/>
    <n v="1"/>
    <n v="20"/>
    <n v="60"/>
  </r>
  <r>
    <s v="Покупка билета"/>
    <x v="5"/>
    <n v="1"/>
    <n v="3"/>
    <n v="60"/>
    <n v="1"/>
    <n v="20"/>
    <n v="60"/>
  </r>
  <r>
    <s v="Покупка билета"/>
    <x v="6"/>
    <n v="1"/>
    <n v="3"/>
    <n v="60"/>
    <n v="1"/>
    <n v="20"/>
    <n v="60"/>
  </r>
  <r>
    <s v="Покупка билета"/>
    <x v="7"/>
    <n v="1"/>
    <n v="3"/>
    <n v="60"/>
    <n v="1"/>
    <n v="20"/>
    <n v="60"/>
  </r>
  <r>
    <s v="Удаление бронирования "/>
    <x v="0"/>
    <n v="1"/>
    <n v="2"/>
    <n v="99"/>
    <n v="0.60606060606060608"/>
    <n v="20"/>
    <n v="24.242424242424242"/>
  </r>
  <r>
    <s v="Удаление бронирования "/>
    <x v="1"/>
    <n v="1"/>
    <n v="2"/>
    <n v="99"/>
    <n v="0.60606060606060608"/>
    <n v="20"/>
    <n v="24.242424242424242"/>
  </r>
  <r>
    <s v="Удаление бронирования "/>
    <x v="6"/>
    <n v="1"/>
    <n v="2"/>
    <n v="99"/>
    <n v="0.60606060606060608"/>
    <n v="20"/>
    <n v="24.242424242424242"/>
  </r>
  <r>
    <s v="Удаление бронирования "/>
    <x v="8"/>
    <n v="1"/>
    <n v="2"/>
    <n v="99"/>
    <n v="0.60606060606060608"/>
    <n v="20"/>
    <n v="24.242424242424242"/>
  </r>
  <r>
    <s v="Регистрация новых пользователей"/>
    <x v="0"/>
    <n v="1"/>
    <n v="1"/>
    <n v="38"/>
    <n v="1.5789473684210527"/>
    <n v="20"/>
    <n v="31.578947368421055"/>
  </r>
  <r>
    <s v="Регистрация новых пользователей"/>
    <x v="9"/>
    <n v="1"/>
    <n v="1"/>
    <n v="38"/>
    <n v="1.5789473684210527"/>
    <n v="20"/>
    <n v="31.578947368421055"/>
  </r>
  <r>
    <s v="Регистрация новых пользователей"/>
    <x v="10"/>
    <n v="1"/>
    <n v="1"/>
    <n v="38"/>
    <n v="1.5789473684210527"/>
    <n v="20"/>
    <n v="31.578947368421055"/>
  </r>
  <r>
    <s v="Регистрация новых пользователей"/>
    <x v="11"/>
    <n v="1"/>
    <n v="1"/>
    <n v="38"/>
    <n v="1.5789473684210527"/>
    <n v="20"/>
    <n v="31.578947368421055"/>
  </r>
  <r>
    <s v="Регистрация новых пользователей"/>
    <x v="7"/>
    <n v="1"/>
    <n v="1"/>
    <n v="38"/>
    <n v="1.5789473684210527"/>
    <n v="20"/>
    <n v="31.578947368421055"/>
  </r>
  <r>
    <s v="Логин"/>
    <x v="0"/>
    <n v="1"/>
    <n v="1"/>
    <n v="95"/>
    <n v="0.63157894736842102"/>
    <n v="20"/>
    <n v="12.631578947368421"/>
  </r>
  <r>
    <s v="Логин"/>
    <x v="1"/>
    <n v="1"/>
    <n v="1"/>
    <n v="95"/>
    <n v="0.63157894736842102"/>
    <n v="20"/>
    <n v="12.631578947368421"/>
  </r>
  <r>
    <s v="Логин"/>
    <x v="2"/>
    <n v="1"/>
    <n v="1"/>
    <n v="95"/>
    <n v="0.63157894736842102"/>
    <n v="20"/>
    <n v="12.631578947368421"/>
  </r>
  <r>
    <s v="Логин"/>
    <x v="7"/>
    <n v="1"/>
    <n v="1"/>
    <n v="95"/>
    <n v="0.63157894736842102"/>
    <n v="20"/>
    <n v="12.631578947368421"/>
  </r>
  <r>
    <s v="Поиск билета без покупки"/>
    <x v="0"/>
    <n v="1"/>
    <n v="2"/>
    <n v="69"/>
    <n v="0.86956521739130432"/>
    <n v="20"/>
    <n v="34.782608695652172"/>
  </r>
  <r>
    <s v="Поиск билета без покупки"/>
    <x v="1"/>
    <n v="1"/>
    <n v="2"/>
    <n v="69"/>
    <n v="0.86956521739130432"/>
    <n v="20"/>
    <n v="34.782608695652172"/>
  </r>
  <r>
    <s v="Поиск билета без покупки"/>
    <x v="2"/>
    <n v="1"/>
    <n v="2"/>
    <n v="69"/>
    <n v="0.86956521739130432"/>
    <n v="20"/>
    <n v="34.782608695652172"/>
  </r>
  <r>
    <s v="Поиск билета без покупки"/>
    <x v="3"/>
    <n v="1"/>
    <n v="2"/>
    <n v="69"/>
    <n v="0.86956521739130432"/>
    <n v="20"/>
    <n v="34.782608695652172"/>
  </r>
  <r>
    <s v="Поиск билета без покупки"/>
    <x v="4"/>
    <n v="1"/>
    <n v="2"/>
    <n v="69"/>
    <n v="0.86956521739130432"/>
    <n v="20"/>
    <n v="34.782608695652172"/>
  </r>
  <r>
    <s v="Ознакомление с путевым листом"/>
    <x v="0"/>
    <n v="1"/>
    <n v="1"/>
    <n v="90"/>
    <n v="0.66666666666666663"/>
    <n v="20"/>
    <n v="13.333333333333332"/>
  </r>
  <r>
    <s v="Ознакомление с путевым листом"/>
    <x v="1"/>
    <n v="1"/>
    <n v="1"/>
    <n v="90"/>
    <n v="0.66666666666666663"/>
    <n v="20"/>
    <n v="13.333333333333332"/>
  </r>
  <r>
    <s v="Ознакомление с путевым листом"/>
    <x v="6"/>
    <n v="1"/>
    <n v="1"/>
    <n v="90"/>
    <n v="0.66666666666666663"/>
    <n v="20"/>
    <n v="13.333333333333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6">
        <item x="1"/>
        <item x="4"/>
        <item x="7"/>
        <item x="3"/>
        <item x="5"/>
        <item x="8"/>
        <item x="6"/>
        <item x="0"/>
        <item m="1" x="14"/>
        <item x="10"/>
        <item m="1" x="12"/>
        <item m="1" x="13"/>
        <item x="2"/>
        <item x="9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2"/>
    </i>
    <i>
      <x v="13"/>
    </i>
    <i>
      <x v="14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5"/>
  <sheetViews>
    <sheetView topLeftCell="A34" zoomScale="80" zoomScaleNormal="80" workbookViewId="0">
      <selection activeCell="F35" sqref="F35"/>
    </sheetView>
  </sheetViews>
  <sheetFormatPr defaultColWidth="11.44140625" defaultRowHeight="14.4"/>
  <cols>
    <col min="1" max="1" width="22.6640625" customWidth="1"/>
    <col min="2" max="2" width="31.44140625" bestFit="1" customWidth="1"/>
    <col min="3" max="3" width="18.109375" customWidth="1"/>
    <col min="4" max="4" width="17.88671875" customWidth="1"/>
    <col min="5" max="5" width="16.33203125" bestFit="1" customWidth="1"/>
    <col min="7" max="7" width="18.6640625" bestFit="1" customWidth="1"/>
    <col min="8" max="8" width="17" customWidth="1"/>
    <col min="9" max="9" width="47.109375" customWidth="1"/>
    <col min="10" max="10" width="20.77734375" bestFit="1" customWidth="1"/>
    <col min="11" max="11" width="18.6640625" customWidth="1"/>
    <col min="12" max="12" width="27.44140625" bestFit="1" customWidth="1"/>
    <col min="13" max="13" width="35.88671875" bestFit="1" customWidth="1"/>
    <col min="19" max="19" width="16.77734375" customWidth="1"/>
  </cols>
  <sheetData>
    <row r="1" spans="1:24" ht="15" thickBot="1">
      <c r="A1" s="37" t="s">
        <v>28</v>
      </c>
      <c r="B1" s="35" t="s">
        <v>29</v>
      </c>
      <c r="C1" s="35" t="s">
        <v>30</v>
      </c>
      <c r="D1" s="35" t="s">
        <v>34</v>
      </c>
      <c r="E1" s="35" t="s">
        <v>44</v>
      </c>
      <c r="F1" s="35" t="s">
        <v>45</v>
      </c>
      <c r="G1" s="35" t="s">
        <v>46</v>
      </c>
      <c r="H1" s="35" t="s">
        <v>7</v>
      </c>
      <c r="I1" s="4" t="s">
        <v>31</v>
      </c>
      <c r="J1" t="s">
        <v>43</v>
      </c>
      <c r="M1" t="s">
        <v>33</v>
      </c>
      <c r="N1" t="s">
        <v>35</v>
      </c>
      <c r="O1" t="s">
        <v>36</v>
      </c>
      <c r="P1" t="s">
        <v>47</v>
      </c>
      <c r="Q1" t="s">
        <v>37</v>
      </c>
      <c r="R1" t="s">
        <v>34</v>
      </c>
      <c r="S1" t="s">
        <v>38</v>
      </c>
      <c r="T1" s="8" t="s">
        <v>39</v>
      </c>
      <c r="U1" s="8" t="s">
        <v>40</v>
      </c>
      <c r="V1" s="26" t="s">
        <v>41</v>
      </c>
      <c r="X1" t="s">
        <v>42</v>
      </c>
    </row>
    <row r="2" spans="1:24">
      <c r="A2" s="38" t="s">
        <v>8</v>
      </c>
      <c r="B2" s="36" t="s">
        <v>55</v>
      </c>
      <c r="C2" s="40">
        <v>1</v>
      </c>
      <c r="D2" s="40">
        <f t="shared" ref="D2:D13" si="0">VLOOKUP(A2,$M$1:$W$8,6,FALSE)</f>
        <v>3</v>
      </c>
      <c r="E2" s="40">
        <f>VLOOKUP(A2,$M$1:$W$8,5,FALSE)</f>
        <v>60</v>
      </c>
      <c r="F2" s="41">
        <f>60/E2*C2</f>
        <v>1</v>
      </c>
      <c r="G2" s="40">
        <v>20</v>
      </c>
      <c r="H2" s="42">
        <f>D2*F2*G2</f>
        <v>60</v>
      </c>
      <c r="I2" s="5" t="s">
        <v>0</v>
      </c>
      <c r="J2" s="3">
        <v>144.98994521877819</v>
      </c>
      <c r="K2" s="3"/>
      <c r="M2" t="s">
        <v>8</v>
      </c>
      <c r="N2" s="11">
        <v>1.7</v>
      </c>
      <c r="O2" s="11">
        <v>35</v>
      </c>
      <c r="P2" s="18">
        <f>N2+O2</f>
        <v>36.700000000000003</v>
      </c>
      <c r="Q2" s="6">
        <v>60</v>
      </c>
      <c r="R2" s="6">
        <v>3</v>
      </c>
      <c r="S2" s="7">
        <f>60/(Q2)</f>
        <v>1</v>
      </c>
      <c r="T2" s="8">
        <v>20</v>
      </c>
      <c r="U2" s="9">
        <f>ROUND(R2*S2*T2,0)</f>
        <v>60</v>
      </c>
      <c r="V2" s="27">
        <f>R2/W$2</f>
        <v>0.3</v>
      </c>
      <c r="W2">
        <f>SUM(R2:R7)</f>
        <v>10</v>
      </c>
    </row>
    <row r="3" spans="1:24">
      <c r="A3" s="39" t="s">
        <v>8</v>
      </c>
      <c r="B3" s="36" t="s">
        <v>0</v>
      </c>
      <c r="C3" s="40">
        <v>1</v>
      </c>
      <c r="D3" s="40">
        <f t="shared" si="0"/>
        <v>3</v>
      </c>
      <c r="E3" s="40">
        <f>VLOOKUP(A3,$M$1:$W$8,5,FALSE)</f>
        <v>60</v>
      </c>
      <c r="F3" s="41">
        <f>60/E3*C3</f>
        <v>1</v>
      </c>
      <c r="G3" s="40">
        <v>20</v>
      </c>
      <c r="H3" s="42">
        <f>D3*F3*G3</f>
        <v>60</v>
      </c>
      <c r="I3" s="5" t="s">
        <v>12</v>
      </c>
      <c r="J3" s="3">
        <v>94.782608695652172</v>
      </c>
      <c r="K3" s="3"/>
      <c r="M3" t="s">
        <v>9</v>
      </c>
      <c r="N3" s="11">
        <v>1.5</v>
      </c>
      <c r="O3" s="11">
        <v>15</v>
      </c>
      <c r="P3" s="18">
        <f t="shared" ref="P3:P7" si="1">N3+O3</f>
        <v>16.5</v>
      </c>
      <c r="Q3" s="6">
        <v>99</v>
      </c>
      <c r="R3" s="6">
        <v>2</v>
      </c>
      <c r="S3" s="7">
        <f t="shared" ref="S3:S5" si="2">60/(Q3)</f>
        <v>0.60606060606060608</v>
      </c>
      <c r="T3" s="8">
        <v>20</v>
      </c>
      <c r="U3" s="9">
        <f t="shared" ref="U3:U5" si="3">ROUND(R3*S3*T3,0)</f>
        <v>24</v>
      </c>
      <c r="V3" s="27">
        <f>R3/W$2</f>
        <v>0.2</v>
      </c>
    </row>
    <row r="4" spans="1:24">
      <c r="A4" s="39" t="s">
        <v>8</v>
      </c>
      <c r="B4" s="36" t="s">
        <v>68</v>
      </c>
      <c r="C4" s="40">
        <v>1</v>
      </c>
      <c r="D4" s="40">
        <f t="shared" ref="D4" si="4">VLOOKUP(A4,$M$1:$W$8,6,FALSE)</f>
        <v>3</v>
      </c>
      <c r="E4" s="40">
        <f>VLOOKUP(A4,$M$1:$W$8,5,FALSE)</f>
        <v>60</v>
      </c>
      <c r="F4" s="41">
        <f>60/E4*C4</f>
        <v>1</v>
      </c>
      <c r="G4" s="40">
        <v>20</v>
      </c>
      <c r="H4" s="42">
        <f>D4*F4*G4</f>
        <v>60</v>
      </c>
      <c r="I4" s="5" t="s">
        <v>6</v>
      </c>
      <c r="J4" s="3">
        <v>104.21052631578948</v>
      </c>
      <c r="K4" s="3"/>
      <c r="M4" t="s">
        <v>54</v>
      </c>
      <c r="N4" s="11">
        <v>1.3</v>
      </c>
      <c r="O4" s="11">
        <v>20</v>
      </c>
      <c r="P4" s="18">
        <f t="shared" si="1"/>
        <v>21.3</v>
      </c>
      <c r="Q4" s="6">
        <v>38</v>
      </c>
      <c r="R4" s="6">
        <v>1</v>
      </c>
      <c r="S4" s="7">
        <f t="shared" si="2"/>
        <v>1.5789473684210527</v>
      </c>
      <c r="T4" s="8">
        <v>20</v>
      </c>
      <c r="U4" s="9">
        <f t="shared" si="3"/>
        <v>32</v>
      </c>
      <c r="V4" s="27">
        <f t="shared" ref="V4:V5" si="5">R4/W$2</f>
        <v>0.1</v>
      </c>
    </row>
    <row r="5" spans="1:24">
      <c r="A5" s="39" t="s">
        <v>8</v>
      </c>
      <c r="B5" s="36" t="s">
        <v>11</v>
      </c>
      <c r="C5" s="40">
        <v>1</v>
      </c>
      <c r="D5" s="40">
        <f t="shared" si="0"/>
        <v>3</v>
      </c>
      <c r="E5" s="40">
        <f t="shared" ref="E5:E13" si="6">VLOOKUP(A5,$M$1:$W$8,5,FALSE)</f>
        <v>60</v>
      </c>
      <c r="F5" s="41">
        <f t="shared" ref="F5:F30" si="7">60/E5*C5</f>
        <v>1</v>
      </c>
      <c r="G5" s="40">
        <v>20</v>
      </c>
      <c r="H5" s="42">
        <f t="shared" ref="H5:H30" si="8">D5*F5*G5</f>
        <v>60</v>
      </c>
      <c r="I5" s="5" t="s">
        <v>11</v>
      </c>
      <c r="J5" s="3">
        <v>94.782608695652172</v>
      </c>
      <c r="K5" s="3"/>
      <c r="M5" t="s">
        <v>57</v>
      </c>
      <c r="N5" s="11">
        <v>1.7</v>
      </c>
      <c r="O5" s="11">
        <v>20</v>
      </c>
      <c r="P5" s="18">
        <f t="shared" si="1"/>
        <v>21.7</v>
      </c>
      <c r="Q5" s="6">
        <v>69</v>
      </c>
      <c r="R5" s="6">
        <v>2</v>
      </c>
      <c r="S5" s="7">
        <f t="shared" si="2"/>
        <v>0.86956521739130432</v>
      </c>
      <c r="T5" s="8">
        <v>20</v>
      </c>
      <c r="U5" s="9">
        <f t="shared" si="3"/>
        <v>35</v>
      </c>
      <c r="V5" s="27">
        <f t="shared" si="5"/>
        <v>0.2</v>
      </c>
    </row>
    <row r="6" spans="1:24">
      <c r="A6" s="39" t="s">
        <v>8</v>
      </c>
      <c r="B6" s="36" t="s">
        <v>12</v>
      </c>
      <c r="C6" s="40">
        <v>1</v>
      </c>
      <c r="D6" s="40">
        <f t="shared" si="0"/>
        <v>3</v>
      </c>
      <c r="E6" s="40">
        <f t="shared" si="6"/>
        <v>60</v>
      </c>
      <c r="F6" s="41">
        <f t="shared" si="7"/>
        <v>1</v>
      </c>
      <c r="G6" s="40">
        <v>20</v>
      </c>
      <c r="H6" s="42">
        <f t="shared" si="8"/>
        <v>60</v>
      </c>
      <c r="I6" s="5" t="s">
        <v>3</v>
      </c>
      <c r="J6" s="3">
        <v>60</v>
      </c>
      <c r="K6" s="3"/>
      <c r="M6" t="s">
        <v>10</v>
      </c>
      <c r="N6" s="11">
        <v>1.3</v>
      </c>
      <c r="O6" s="11">
        <v>15</v>
      </c>
      <c r="P6" s="18">
        <f t="shared" si="1"/>
        <v>16.3</v>
      </c>
      <c r="Q6" s="6">
        <v>90</v>
      </c>
      <c r="R6" s="6">
        <v>1</v>
      </c>
      <c r="S6" s="7">
        <f>60/(Q6)</f>
        <v>0.66666666666666663</v>
      </c>
      <c r="T6" s="8">
        <v>20</v>
      </c>
      <c r="U6" s="9">
        <f>ROUND(R6*S6*T6,0)</f>
        <v>13</v>
      </c>
      <c r="V6" s="27">
        <f>R6/W$2</f>
        <v>0.1</v>
      </c>
    </row>
    <row r="7" spans="1:24">
      <c r="A7" s="39" t="s">
        <v>8</v>
      </c>
      <c r="B7" s="36" t="s">
        <v>3</v>
      </c>
      <c r="C7" s="40">
        <v>1</v>
      </c>
      <c r="D7" s="40">
        <f t="shared" si="0"/>
        <v>3</v>
      </c>
      <c r="E7" s="40">
        <f t="shared" si="6"/>
        <v>60</v>
      </c>
      <c r="F7" s="41">
        <f t="shared" si="7"/>
        <v>1</v>
      </c>
      <c r="G7" s="40">
        <v>20</v>
      </c>
      <c r="H7" s="42">
        <f t="shared" si="8"/>
        <v>60</v>
      </c>
      <c r="I7" s="5" t="s">
        <v>13</v>
      </c>
      <c r="J7" s="3">
        <v>24.242424242424242</v>
      </c>
      <c r="K7" s="3"/>
      <c r="M7" t="s">
        <v>58</v>
      </c>
      <c r="N7" s="11">
        <v>1.4</v>
      </c>
      <c r="O7" s="19">
        <v>15</v>
      </c>
      <c r="P7" s="18">
        <f t="shared" si="1"/>
        <v>16.399999999999999</v>
      </c>
      <c r="Q7" s="6">
        <v>95</v>
      </c>
      <c r="R7" s="20">
        <v>1</v>
      </c>
      <c r="S7" s="7">
        <f>60/(Q7)</f>
        <v>0.63157894736842102</v>
      </c>
      <c r="T7" s="8">
        <v>20</v>
      </c>
      <c r="U7" s="9">
        <f>ROUND(R7*S7*T7,0)</f>
        <v>13</v>
      </c>
      <c r="V7" s="27">
        <f>R7/W$2</f>
        <v>0.1</v>
      </c>
    </row>
    <row r="8" spans="1:24">
      <c r="A8" s="39" t="s">
        <v>8</v>
      </c>
      <c r="B8" s="36" t="s">
        <v>4</v>
      </c>
      <c r="C8" s="40">
        <v>1</v>
      </c>
      <c r="D8" s="40">
        <f t="shared" ref="D8" si="9">VLOOKUP(A8,$M$1:$W$8,6,FALSE)</f>
        <v>3</v>
      </c>
      <c r="E8" s="40">
        <f t="shared" ref="E8" si="10">VLOOKUP(A8,$M$1:$W$8,5,FALSE)</f>
        <v>60</v>
      </c>
      <c r="F8" s="41">
        <f>60/E8*C8</f>
        <v>1</v>
      </c>
      <c r="G8" s="40">
        <v>20</v>
      </c>
      <c r="H8" s="42">
        <f t="shared" ref="H8" si="11">D8*F8*G8</f>
        <v>60</v>
      </c>
      <c r="I8" s="5" t="s">
        <v>4</v>
      </c>
      <c r="J8" s="3">
        <v>97.575757575757578</v>
      </c>
      <c r="K8" s="3"/>
    </row>
    <row r="9" spans="1:24">
      <c r="A9" s="39" t="s">
        <v>8</v>
      </c>
      <c r="B9" s="36" t="s">
        <v>6</v>
      </c>
      <c r="C9" s="40">
        <v>1</v>
      </c>
      <c r="D9" s="40">
        <f>VLOOKUP(A9,$M$1:$W$8,6,FALSE)</f>
        <v>3</v>
      </c>
      <c r="E9" s="40">
        <f>VLOOKUP(A9,$M$1:$W$8,5,FALSE)</f>
        <v>60</v>
      </c>
      <c r="F9" s="41">
        <f t="shared" ref="F9" si="12">60/E9*C9</f>
        <v>1</v>
      </c>
      <c r="G9" s="40">
        <v>20</v>
      </c>
      <c r="H9" s="42">
        <f>D9*F9*G9</f>
        <v>60</v>
      </c>
      <c r="I9" s="5" t="s">
        <v>55</v>
      </c>
      <c r="J9" s="3">
        <v>176.56889258719926</v>
      </c>
      <c r="K9" s="3"/>
    </row>
    <row r="10" spans="1:24">
      <c r="A10" s="39" t="s">
        <v>9</v>
      </c>
      <c r="B10" s="36" t="s">
        <v>55</v>
      </c>
      <c r="C10" s="40">
        <v>1</v>
      </c>
      <c r="D10" s="40">
        <f t="shared" ref="D10" si="13">VLOOKUP(A10,$M$1:$W$8,6,FALSE)</f>
        <v>2</v>
      </c>
      <c r="E10" s="42">
        <f t="shared" ref="E10" si="14">VLOOKUP(A10,$M$1:$W$8,5,FALSE)</f>
        <v>99</v>
      </c>
      <c r="F10" s="41">
        <f t="shared" si="7"/>
        <v>0.60606060606060608</v>
      </c>
      <c r="G10" s="40">
        <v>20</v>
      </c>
      <c r="H10" s="42">
        <f t="shared" ref="H10" si="15">D10*F10*G10</f>
        <v>24.242424242424242</v>
      </c>
      <c r="I10" s="5" t="s">
        <v>56</v>
      </c>
      <c r="J10" s="3">
        <v>31.578947368421055</v>
      </c>
    </row>
    <row r="11" spans="1:24">
      <c r="A11" s="39" t="s">
        <v>9</v>
      </c>
      <c r="B11" s="36" t="s">
        <v>0</v>
      </c>
      <c r="C11" s="40">
        <v>1</v>
      </c>
      <c r="D11" s="40">
        <f t="shared" si="0"/>
        <v>2</v>
      </c>
      <c r="E11" s="42">
        <f t="shared" si="6"/>
        <v>99</v>
      </c>
      <c r="F11" s="41">
        <f t="shared" si="7"/>
        <v>0.60606060606060608</v>
      </c>
      <c r="G11" s="40">
        <v>20</v>
      </c>
      <c r="H11" s="42">
        <f t="shared" si="8"/>
        <v>24.242424242424242</v>
      </c>
      <c r="I11" s="5" t="s">
        <v>68</v>
      </c>
      <c r="J11" s="3">
        <v>107.4141876430206</v>
      </c>
    </row>
    <row r="12" spans="1:24">
      <c r="A12" s="39" t="s">
        <v>9</v>
      </c>
      <c r="B12" s="36" t="s">
        <v>4</v>
      </c>
      <c r="C12" s="40">
        <v>1</v>
      </c>
      <c r="D12" s="40">
        <f t="shared" si="0"/>
        <v>2</v>
      </c>
      <c r="E12" s="42">
        <f>VLOOKUP(A12,$M$1:$W$8,5,FALSE)</f>
        <v>99</v>
      </c>
      <c r="F12" s="41">
        <f t="shared" si="7"/>
        <v>0.60606060606060608</v>
      </c>
      <c r="G12" s="40">
        <v>20</v>
      </c>
      <c r="H12" s="42">
        <f t="shared" si="8"/>
        <v>24.242424242424242</v>
      </c>
      <c r="I12" s="5" t="s">
        <v>72</v>
      </c>
      <c r="J12" s="3">
        <v>31.578947368421055</v>
      </c>
    </row>
    <row r="13" spans="1:24">
      <c r="A13" s="39" t="s">
        <v>9</v>
      </c>
      <c r="B13" s="36" t="s">
        <v>13</v>
      </c>
      <c r="C13" s="40">
        <v>1</v>
      </c>
      <c r="D13" s="40">
        <f t="shared" si="0"/>
        <v>2</v>
      </c>
      <c r="E13" s="42">
        <f t="shared" si="6"/>
        <v>99</v>
      </c>
      <c r="F13" s="41">
        <f t="shared" si="7"/>
        <v>0.60606060606060608</v>
      </c>
      <c r="G13" s="40">
        <v>20</v>
      </c>
      <c r="H13" s="42">
        <f t="shared" si="8"/>
        <v>24.242424242424242</v>
      </c>
      <c r="I13" s="5" t="s">
        <v>78</v>
      </c>
      <c r="J13" s="3">
        <v>31.578947368421055</v>
      </c>
    </row>
    <row r="14" spans="1:24">
      <c r="A14" s="39" t="s">
        <v>54</v>
      </c>
      <c r="B14" s="36" t="s">
        <v>55</v>
      </c>
      <c r="C14" s="40">
        <v>1</v>
      </c>
      <c r="D14" s="40">
        <f t="shared" ref="D14:D30" si="16">VLOOKUP(A14,$M$1:$W$8,6,FALSE)</f>
        <v>1</v>
      </c>
      <c r="E14" s="42">
        <f t="shared" ref="E14:E30" si="17">VLOOKUP(A14,$M$1:$W$8,5,FALSE)</f>
        <v>38</v>
      </c>
      <c r="F14" s="41">
        <f t="shared" si="7"/>
        <v>1.5789473684210527</v>
      </c>
      <c r="G14" s="40">
        <v>20</v>
      </c>
      <c r="H14" s="42">
        <f t="shared" ref="H14" si="18">D14*F14*G14</f>
        <v>31.578947368421055</v>
      </c>
      <c r="I14" s="5" t="s">
        <v>32</v>
      </c>
      <c r="J14" s="3">
        <v>999.30379307953683</v>
      </c>
    </row>
    <row r="15" spans="1:24">
      <c r="A15" s="39" t="s">
        <v>54</v>
      </c>
      <c r="B15" s="36" t="s">
        <v>72</v>
      </c>
      <c r="C15" s="40">
        <v>1</v>
      </c>
      <c r="D15" s="40">
        <f t="shared" si="16"/>
        <v>1</v>
      </c>
      <c r="E15" s="42">
        <f t="shared" si="17"/>
        <v>38</v>
      </c>
      <c r="F15" s="41">
        <f t="shared" si="7"/>
        <v>1.5789473684210527</v>
      </c>
      <c r="G15" s="40">
        <v>20</v>
      </c>
      <c r="H15" s="42">
        <f t="shared" si="8"/>
        <v>31.578947368421055</v>
      </c>
    </row>
    <row r="16" spans="1:24">
      <c r="A16" s="39" t="s">
        <v>54</v>
      </c>
      <c r="B16" s="36" t="s">
        <v>56</v>
      </c>
      <c r="C16" s="40">
        <v>1</v>
      </c>
      <c r="D16" s="40">
        <f t="shared" si="16"/>
        <v>1</v>
      </c>
      <c r="E16" s="42">
        <f t="shared" si="17"/>
        <v>38</v>
      </c>
      <c r="F16" s="41">
        <f t="shared" si="7"/>
        <v>1.5789473684210527</v>
      </c>
      <c r="G16" s="40">
        <v>20</v>
      </c>
      <c r="H16" s="42">
        <f t="shared" si="8"/>
        <v>31.578947368421055</v>
      </c>
    </row>
    <row r="17" spans="1:8">
      <c r="A17" s="39" t="s">
        <v>54</v>
      </c>
      <c r="B17" s="36" t="s">
        <v>78</v>
      </c>
      <c r="C17" s="40">
        <v>1</v>
      </c>
      <c r="D17" s="40">
        <f t="shared" si="16"/>
        <v>1</v>
      </c>
      <c r="E17" s="42">
        <f t="shared" si="17"/>
        <v>38</v>
      </c>
      <c r="F17" s="41">
        <f t="shared" si="7"/>
        <v>1.5789473684210527</v>
      </c>
      <c r="G17" s="40">
        <v>20</v>
      </c>
      <c r="H17" s="42">
        <f t="shared" si="8"/>
        <v>31.578947368421055</v>
      </c>
    </row>
    <row r="18" spans="1:8">
      <c r="A18" s="39" t="s">
        <v>54</v>
      </c>
      <c r="B18" s="36" t="s">
        <v>6</v>
      </c>
      <c r="C18" s="40">
        <v>1</v>
      </c>
      <c r="D18" s="40">
        <f t="shared" ref="D18" si="19">VLOOKUP(A18,$M$1:$W$8,6,FALSE)</f>
        <v>1</v>
      </c>
      <c r="E18" s="42">
        <f t="shared" ref="E18" si="20">VLOOKUP(A18,$M$1:$W$8,5,FALSE)</f>
        <v>38</v>
      </c>
      <c r="F18" s="41">
        <f t="shared" ref="F18" si="21">60/E18*C18</f>
        <v>1.5789473684210527</v>
      </c>
      <c r="G18" s="40">
        <v>20</v>
      </c>
      <c r="H18" s="42">
        <f t="shared" ref="H18" si="22">D18*F18*G18</f>
        <v>31.578947368421055</v>
      </c>
    </row>
    <row r="19" spans="1:8">
      <c r="A19" s="39" t="s">
        <v>58</v>
      </c>
      <c r="B19" s="36" t="s">
        <v>55</v>
      </c>
      <c r="C19" s="40">
        <v>1</v>
      </c>
      <c r="D19" s="40">
        <f t="shared" ref="D19" si="23">VLOOKUP(A19,$M$1:$W$8,6,FALSE)</f>
        <v>1</v>
      </c>
      <c r="E19" s="42">
        <f t="shared" ref="E19" si="24">VLOOKUP(A19,$M$1:$W$8,5,FALSE)</f>
        <v>95</v>
      </c>
      <c r="F19" s="41">
        <f t="shared" ref="F19" si="25">60/E19*C19</f>
        <v>0.63157894736842102</v>
      </c>
      <c r="G19" s="40">
        <v>20</v>
      </c>
      <c r="H19" s="42">
        <f t="shared" ref="H19" si="26">D19*F19*G19</f>
        <v>12.631578947368421</v>
      </c>
    </row>
    <row r="20" spans="1:8">
      <c r="A20" s="39" t="s">
        <v>58</v>
      </c>
      <c r="B20" s="36" t="s">
        <v>0</v>
      </c>
      <c r="C20" s="40">
        <v>1</v>
      </c>
      <c r="D20" s="40">
        <f t="shared" ref="D20:D22" si="27">VLOOKUP(A20,$M$1:$W$8,6,FALSE)</f>
        <v>1</v>
      </c>
      <c r="E20" s="40">
        <f t="shared" ref="E20:E22" si="28">VLOOKUP(A20,$M$1:$W$8,5,FALSE)</f>
        <v>95</v>
      </c>
      <c r="F20" s="41">
        <f t="shared" ref="F20:F22" si="29">60/E20*C20</f>
        <v>0.63157894736842102</v>
      </c>
      <c r="G20" s="40">
        <v>20</v>
      </c>
      <c r="H20" s="42">
        <f t="shared" ref="H20:H22" si="30">D20*F20*G20</f>
        <v>12.631578947368421</v>
      </c>
    </row>
    <row r="21" spans="1:8">
      <c r="A21" s="39" t="s">
        <v>58</v>
      </c>
      <c r="B21" s="36" t="s">
        <v>68</v>
      </c>
      <c r="C21" s="40">
        <v>1</v>
      </c>
      <c r="D21" s="40">
        <f t="shared" ref="D21" si="31">VLOOKUP(A21,$M$1:$W$8,6,FALSE)</f>
        <v>1</v>
      </c>
      <c r="E21" s="40">
        <f t="shared" ref="E21" si="32">VLOOKUP(A21,$M$1:$W$8,5,FALSE)</f>
        <v>95</v>
      </c>
      <c r="F21" s="41">
        <f t="shared" ref="F21" si="33">60/E21*C21</f>
        <v>0.63157894736842102</v>
      </c>
      <c r="G21" s="40">
        <v>20</v>
      </c>
      <c r="H21" s="42">
        <f t="shared" ref="H21" si="34">D21*F21*G21</f>
        <v>12.631578947368421</v>
      </c>
    </row>
    <row r="22" spans="1:8">
      <c r="A22" s="39" t="s">
        <v>58</v>
      </c>
      <c r="B22" s="36" t="s">
        <v>6</v>
      </c>
      <c r="C22" s="40">
        <v>1</v>
      </c>
      <c r="D22" s="40">
        <f t="shared" si="27"/>
        <v>1</v>
      </c>
      <c r="E22" s="40">
        <f t="shared" si="28"/>
        <v>95</v>
      </c>
      <c r="F22" s="41">
        <f t="shared" si="29"/>
        <v>0.63157894736842102</v>
      </c>
      <c r="G22" s="40">
        <v>20</v>
      </c>
      <c r="H22" s="42">
        <f t="shared" si="30"/>
        <v>12.631578947368421</v>
      </c>
    </row>
    <row r="23" spans="1:8">
      <c r="A23" s="39" t="s">
        <v>57</v>
      </c>
      <c r="B23" s="36" t="s">
        <v>55</v>
      </c>
      <c r="C23" s="40">
        <v>1</v>
      </c>
      <c r="D23" s="40">
        <f t="shared" ref="D23:D24" si="35">VLOOKUP(A23,$M$1:$W$8,6,FALSE)</f>
        <v>2</v>
      </c>
      <c r="E23" s="40">
        <f t="shared" ref="E23:E24" si="36">VLOOKUP(A23,$M$1:$W$8,5,FALSE)</f>
        <v>69</v>
      </c>
      <c r="F23" s="41">
        <f t="shared" ref="F23:F24" si="37">60/E23*C23</f>
        <v>0.86956521739130432</v>
      </c>
      <c r="G23" s="40">
        <v>20</v>
      </c>
      <c r="H23" s="42">
        <f t="shared" ref="H23:H24" si="38">D23*F23*G23</f>
        <v>34.782608695652172</v>
      </c>
    </row>
    <row r="24" spans="1:8">
      <c r="A24" s="39" t="s">
        <v>57</v>
      </c>
      <c r="B24" s="36" t="s">
        <v>0</v>
      </c>
      <c r="C24" s="40">
        <v>1</v>
      </c>
      <c r="D24" s="40">
        <f t="shared" si="35"/>
        <v>2</v>
      </c>
      <c r="E24" s="40">
        <f t="shared" si="36"/>
        <v>69</v>
      </c>
      <c r="F24" s="41">
        <f t="shared" si="37"/>
        <v>0.86956521739130432</v>
      </c>
      <c r="G24" s="40">
        <v>20</v>
      </c>
      <c r="H24" s="42">
        <f t="shared" si="38"/>
        <v>34.782608695652172</v>
      </c>
    </row>
    <row r="25" spans="1:8">
      <c r="A25" s="39" t="s">
        <v>57</v>
      </c>
      <c r="B25" s="36" t="s">
        <v>68</v>
      </c>
      <c r="C25" s="40">
        <v>1</v>
      </c>
      <c r="D25" s="40">
        <f t="shared" ref="D25" si="39">VLOOKUP(A25,$M$1:$W$8,6,FALSE)</f>
        <v>2</v>
      </c>
      <c r="E25" s="40">
        <f t="shared" ref="E25" si="40">VLOOKUP(A25,$M$1:$W$8,5,FALSE)</f>
        <v>69</v>
      </c>
      <c r="F25" s="41">
        <f t="shared" ref="F25" si="41">60/E25*C25</f>
        <v>0.86956521739130432</v>
      </c>
      <c r="G25" s="40">
        <v>20</v>
      </c>
      <c r="H25" s="42">
        <f t="shared" ref="H25" si="42">D25*F25*G25</f>
        <v>34.782608695652172</v>
      </c>
    </row>
    <row r="26" spans="1:8">
      <c r="A26" s="39" t="s">
        <v>57</v>
      </c>
      <c r="B26" s="36" t="s">
        <v>11</v>
      </c>
      <c r="C26" s="40">
        <v>1</v>
      </c>
      <c r="D26" s="40">
        <f t="shared" si="16"/>
        <v>2</v>
      </c>
      <c r="E26" s="40">
        <f t="shared" si="17"/>
        <v>69</v>
      </c>
      <c r="F26" s="41">
        <f t="shared" si="7"/>
        <v>0.86956521739130432</v>
      </c>
      <c r="G26" s="40">
        <v>20</v>
      </c>
      <c r="H26" s="42">
        <f t="shared" si="8"/>
        <v>34.782608695652172</v>
      </c>
    </row>
    <row r="27" spans="1:8">
      <c r="A27" s="39" t="s">
        <v>57</v>
      </c>
      <c r="B27" s="36" t="s">
        <v>12</v>
      </c>
      <c r="C27" s="40">
        <v>1</v>
      </c>
      <c r="D27" s="40">
        <f t="shared" si="16"/>
        <v>2</v>
      </c>
      <c r="E27" s="40">
        <f t="shared" si="17"/>
        <v>69</v>
      </c>
      <c r="F27" s="41">
        <f t="shared" si="7"/>
        <v>0.86956521739130432</v>
      </c>
      <c r="G27" s="40">
        <v>20</v>
      </c>
      <c r="H27" s="42">
        <f t="shared" si="8"/>
        <v>34.782608695652172</v>
      </c>
    </row>
    <row r="28" spans="1:8">
      <c r="A28" s="39" t="s">
        <v>10</v>
      </c>
      <c r="B28" s="36" t="s">
        <v>55</v>
      </c>
      <c r="C28" s="40">
        <v>1</v>
      </c>
      <c r="D28" s="40">
        <f t="shared" si="16"/>
        <v>1</v>
      </c>
      <c r="E28" s="40">
        <f t="shared" si="17"/>
        <v>90</v>
      </c>
      <c r="F28" s="41">
        <f t="shared" si="7"/>
        <v>0.66666666666666663</v>
      </c>
      <c r="G28" s="40">
        <v>20</v>
      </c>
      <c r="H28" s="42">
        <f t="shared" ref="H28" si="43">D28*F28*G28</f>
        <v>13.333333333333332</v>
      </c>
    </row>
    <row r="29" spans="1:8">
      <c r="A29" s="39" t="s">
        <v>10</v>
      </c>
      <c r="B29" s="36" t="s">
        <v>0</v>
      </c>
      <c r="C29" s="40">
        <v>1</v>
      </c>
      <c r="D29" s="40">
        <f t="shared" si="16"/>
        <v>1</v>
      </c>
      <c r="E29" s="40">
        <f t="shared" si="17"/>
        <v>90</v>
      </c>
      <c r="F29" s="41">
        <f t="shared" si="7"/>
        <v>0.66666666666666663</v>
      </c>
      <c r="G29" s="40">
        <v>20</v>
      </c>
      <c r="H29" s="42">
        <f t="shared" si="8"/>
        <v>13.333333333333332</v>
      </c>
    </row>
    <row r="30" spans="1:8">
      <c r="A30" s="39" t="s">
        <v>10</v>
      </c>
      <c r="B30" s="36" t="s">
        <v>4</v>
      </c>
      <c r="C30" s="40">
        <v>1</v>
      </c>
      <c r="D30" s="40">
        <f t="shared" si="16"/>
        <v>1</v>
      </c>
      <c r="E30" s="40">
        <f t="shared" si="17"/>
        <v>90</v>
      </c>
      <c r="F30" s="41">
        <f t="shared" si="7"/>
        <v>0.66666666666666663</v>
      </c>
      <c r="G30" s="40">
        <v>20</v>
      </c>
      <c r="H30" s="42">
        <f t="shared" si="8"/>
        <v>13.333333333333332</v>
      </c>
    </row>
    <row r="32" spans="1:8" ht="15" thickBot="1"/>
    <row r="33" spans="1:9">
      <c r="A33" s="65" t="s">
        <v>70</v>
      </c>
      <c r="B33" s="66"/>
    </row>
    <row r="34" spans="1:9" ht="108">
      <c r="A34" s="29" t="s">
        <v>69</v>
      </c>
      <c r="B34" s="30" t="s">
        <v>51</v>
      </c>
      <c r="C34" s="28" t="s">
        <v>49</v>
      </c>
      <c r="D34" s="17" t="s">
        <v>50</v>
      </c>
      <c r="E34" s="52" t="s">
        <v>93</v>
      </c>
      <c r="F34" s="17" t="s">
        <v>48</v>
      </c>
      <c r="G34" s="17" t="s">
        <v>52</v>
      </c>
      <c r="H34" s="17" t="s">
        <v>53</v>
      </c>
    </row>
    <row r="35" spans="1:9" ht="36">
      <c r="A35" s="29" t="s">
        <v>55</v>
      </c>
      <c r="B35" s="31">
        <v>520</v>
      </c>
      <c r="C35" s="15">
        <f>GETPIVOTDATA("Итого",$I$1,"transaction rq",A35)*3</f>
        <v>529.7066777615978</v>
      </c>
      <c r="D35" s="16">
        <f t="shared" ref="D35:D37" si="44">1-B35/C35</f>
        <v>1.8324627891450618E-2</v>
      </c>
      <c r="E35" s="51" t="str">
        <f>VLOOKUP(A35,Соответствие!A2:B13,2,FALSE)</f>
        <v>homePage</v>
      </c>
      <c r="F35" s="10">
        <f>C35/3</f>
        <v>176.56889258719926</v>
      </c>
      <c r="G35" s="10">
        <f>VLOOKUP(E35,SummaryReport!A:J,8,FALSE)</f>
        <v>181</v>
      </c>
      <c r="H35" s="13">
        <f t="shared" ref="H35:H46" si="45">1-F35/G35</f>
        <v>2.4481256424313536E-2</v>
      </c>
    </row>
    <row r="36" spans="1:9" ht="18">
      <c r="A36" s="32" t="s">
        <v>0</v>
      </c>
      <c r="B36" s="31">
        <v>422</v>
      </c>
      <c r="C36" s="15">
        <f t="shared" ref="C36:C46" si="46">GETPIVOTDATA("Итого",$I$1,"transaction rq",A36)*3</f>
        <v>434.96983565633457</v>
      </c>
      <c r="D36" s="16">
        <f t="shared" si="44"/>
        <v>2.981778181644279E-2</v>
      </c>
      <c r="E36" s="51" t="str">
        <f>VLOOKUP(A36,Соответствие!A3:B14,2,FALSE)</f>
        <v>login</v>
      </c>
      <c r="F36" s="10">
        <f t="shared" ref="F36:F46" si="47">C36/3</f>
        <v>144.98994521877819</v>
      </c>
      <c r="G36" s="10">
        <f>VLOOKUP(E36,SummaryReport!A:J,8,FALSE)</f>
        <v>149</v>
      </c>
      <c r="H36" s="13">
        <f t="shared" si="45"/>
        <v>2.6913119337059088E-2</v>
      </c>
    </row>
    <row r="37" spans="1:9" ht="54">
      <c r="A37" s="43" t="s">
        <v>68</v>
      </c>
      <c r="B37" s="31">
        <v>305</v>
      </c>
      <c r="C37" s="15">
        <f>GETPIVOTDATA("Итого",$I$1,"transaction rq",A37)*3</f>
        <v>322.24256292906182</v>
      </c>
      <c r="D37" s="16">
        <f t="shared" si="44"/>
        <v>5.3508024428348344E-2</v>
      </c>
      <c r="E37" s="51" t="str">
        <f>VLOOKUP(A37,Соответствие!A4:B15,2,FALSE)</f>
        <v>clickToFlights</v>
      </c>
      <c r="F37" s="10">
        <f t="shared" si="47"/>
        <v>107.41418764302061</v>
      </c>
      <c r="G37" s="10">
        <f>VLOOKUP(E37,SummaryReport!A:J,8,FALSE)</f>
        <v>111</v>
      </c>
      <c r="H37" s="13">
        <f t="shared" si="45"/>
        <v>3.2304615828643191E-2</v>
      </c>
    </row>
    <row r="38" spans="1:9" ht="36">
      <c r="A38" s="32" t="s">
        <v>11</v>
      </c>
      <c r="B38" s="31">
        <v>282</v>
      </c>
      <c r="C38" s="15">
        <f t="shared" si="46"/>
        <v>284.3478260869565</v>
      </c>
      <c r="D38" s="12">
        <f t="shared" ref="D38:D47" si="48">1-B38/C38</f>
        <v>8.2568807339449268E-3</v>
      </c>
      <c r="E38" s="51" t="str">
        <f>VLOOKUP(A38,Соответствие!A5:B16,2,FALSE)</f>
        <v>searchTicket</v>
      </c>
      <c r="F38" s="10">
        <f t="shared" si="47"/>
        <v>94.782608695652172</v>
      </c>
      <c r="G38" s="10">
        <f>VLOOKUP(E38,SummaryReport!A:J,8,FALSE)</f>
        <v>98</v>
      </c>
      <c r="H38" s="13">
        <f t="shared" si="45"/>
        <v>3.2830523513753374E-2</v>
      </c>
    </row>
    <row r="39" spans="1:9" ht="36">
      <c r="A39" s="32" t="s">
        <v>12</v>
      </c>
      <c r="B39" s="31">
        <v>270</v>
      </c>
      <c r="C39" s="15">
        <f t="shared" si="46"/>
        <v>284.3478260869565</v>
      </c>
      <c r="D39" s="12">
        <f t="shared" si="48"/>
        <v>5.0458715596330195E-2</v>
      </c>
      <c r="E39" s="51" t="str">
        <f>VLOOKUP(A39,Соответствие!A6:B17,2,FALSE)</f>
        <v>departureTime</v>
      </c>
      <c r="F39" s="10">
        <f t="shared" si="47"/>
        <v>94.782608695652172</v>
      </c>
      <c r="G39" s="10">
        <f>VLOOKUP(E39,SummaryReport!A:J,8,FALSE)</f>
        <v>98</v>
      </c>
      <c r="H39" s="13">
        <f t="shared" si="45"/>
        <v>3.2830523513753374E-2</v>
      </c>
    </row>
    <row r="40" spans="1:9" ht="18">
      <c r="A40" s="32" t="s">
        <v>3</v>
      </c>
      <c r="B40" s="31">
        <v>175</v>
      </c>
      <c r="C40" s="15">
        <f t="shared" si="46"/>
        <v>180</v>
      </c>
      <c r="D40" s="12">
        <f t="shared" si="48"/>
        <v>2.777777777777779E-2</v>
      </c>
      <c r="E40" s="51" t="str">
        <f>VLOOKUP(A40,Соответствие!A7:B18,2,FALSE)</f>
        <v>paymentDetails</v>
      </c>
      <c r="F40" s="10">
        <f t="shared" si="47"/>
        <v>60</v>
      </c>
      <c r="G40" s="10">
        <f>VLOOKUP(E40,SummaryReport!A:J,8,FALSE)</f>
        <v>62</v>
      </c>
      <c r="H40" s="13">
        <f t="shared" si="45"/>
        <v>3.2258064516129004E-2</v>
      </c>
    </row>
    <row r="41" spans="1:9" ht="36">
      <c r="A41" s="32" t="s">
        <v>4</v>
      </c>
      <c r="B41" s="31">
        <v>280</v>
      </c>
      <c r="C41" s="15">
        <f t="shared" si="46"/>
        <v>292.72727272727275</v>
      </c>
      <c r="D41" s="12">
        <f t="shared" si="48"/>
        <v>4.3478260869565299E-2</v>
      </c>
      <c r="E41" s="51" t="str">
        <f>VLOOKUP(A41,Соответствие!A8:B19,2,FALSE)</f>
        <v>clickItinerary</v>
      </c>
      <c r="F41" s="10">
        <f t="shared" si="47"/>
        <v>97.575757575757578</v>
      </c>
      <c r="G41" s="10">
        <f>VLOOKUP(E41,SummaryReport!A:J,8,FALSE)</f>
        <v>100</v>
      </c>
      <c r="H41" s="13">
        <f t="shared" si="45"/>
        <v>2.4242424242424176E-2</v>
      </c>
    </row>
    <row r="42" spans="1:9" ht="36">
      <c r="A42" s="32" t="s">
        <v>13</v>
      </c>
      <c r="B42" s="31">
        <v>73</v>
      </c>
      <c r="C42" s="15">
        <f t="shared" si="46"/>
        <v>72.72727272727272</v>
      </c>
      <c r="D42" s="12">
        <f t="shared" si="48"/>
        <v>-3.7500000000001421E-3</v>
      </c>
      <c r="E42" s="51" t="str">
        <f>VLOOKUP(A42,Соответствие!A9:B20,2,FALSE)</f>
        <v>deleteTicket</v>
      </c>
      <c r="F42" s="10">
        <f t="shared" si="47"/>
        <v>24.242424242424239</v>
      </c>
      <c r="G42" s="10">
        <f>VLOOKUP(E42,SummaryReport!A:J,8,FALSE)</f>
        <v>24</v>
      </c>
      <c r="H42" s="13">
        <f t="shared" si="45"/>
        <v>-1.0101010101009944E-2</v>
      </c>
    </row>
    <row r="43" spans="1:9" ht="18">
      <c r="A43" s="32" t="s">
        <v>6</v>
      </c>
      <c r="B43" s="31">
        <v>326</v>
      </c>
      <c r="C43" s="15">
        <f t="shared" si="46"/>
        <v>312.63157894736844</v>
      </c>
      <c r="D43" s="12">
        <f t="shared" si="48"/>
        <v>-4.2760942760942777E-2</v>
      </c>
      <c r="E43" s="51" t="str">
        <f>VLOOKUP(A43,Соответствие!A10:B21,2,FALSE)</f>
        <v>logout</v>
      </c>
      <c r="F43" s="10">
        <f t="shared" si="47"/>
        <v>104.21052631578948</v>
      </c>
      <c r="G43" s="10">
        <f>VLOOKUP(E43,SummaryReport!A:J,8,FALSE)</f>
        <v>107</v>
      </c>
      <c r="H43" s="13">
        <f t="shared" si="45"/>
        <v>2.6069847515986178E-2</v>
      </c>
    </row>
    <row r="44" spans="1:9" ht="54">
      <c r="A44" s="32" t="s">
        <v>72</v>
      </c>
      <c r="B44" s="31">
        <v>97</v>
      </c>
      <c r="C44" s="15">
        <f t="shared" si="46"/>
        <v>94.736842105263165</v>
      </c>
      <c r="D44" s="12">
        <f t="shared" si="48"/>
        <v>-2.3888888888888848E-2</v>
      </c>
      <c r="E44" s="51" t="str">
        <f>VLOOKUP(A44,Соответствие!A11:B22,2,FALSE)</f>
        <v>clickToRegProfile</v>
      </c>
      <c r="F44" s="10">
        <f t="shared" si="47"/>
        <v>31.578947368421055</v>
      </c>
      <c r="G44" s="10">
        <f>VLOOKUP(E44,SummaryReport!A:J,8,FALSE)</f>
        <v>32</v>
      </c>
      <c r="H44" s="13">
        <f t="shared" si="45"/>
        <v>1.3157894736842035E-2</v>
      </c>
    </row>
    <row r="45" spans="1:9" ht="36">
      <c r="A45" s="32" t="s">
        <v>56</v>
      </c>
      <c r="B45" s="31">
        <v>97</v>
      </c>
      <c r="C45" s="15">
        <f t="shared" si="46"/>
        <v>94.736842105263165</v>
      </c>
      <c r="D45" s="12">
        <f t="shared" si="48"/>
        <v>-2.3888888888888848E-2</v>
      </c>
      <c r="E45" s="51" t="str">
        <f>VLOOKUP(A45,Соответствие!A12:B23,2,FALSE)</f>
        <v>regProfile</v>
      </c>
      <c r="F45" s="10">
        <f t="shared" si="47"/>
        <v>31.578947368421055</v>
      </c>
      <c r="G45" s="10">
        <f>VLOOKUP(E45,SummaryReport!A:J,8,FALSE)</f>
        <v>32</v>
      </c>
      <c r="H45" s="13">
        <f t="shared" si="45"/>
        <v>1.3157894736842035E-2</v>
      </c>
    </row>
    <row r="46" spans="1:9" ht="54">
      <c r="A46" s="32" t="s">
        <v>78</v>
      </c>
      <c r="B46" s="31">
        <v>97</v>
      </c>
      <c r="C46" s="15">
        <f t="shared" si="46"/>
        <v>94.736842105263165</v>
      </c>
      <c r="D46" s="12">
        <f t="shared" si="48"/>
        <v>-2.3888888888888848E-2</v>
      </c>
      <c r="E46" s="51" t="str">
        <f>VLOOKUP(A46,Соответствие!A13:B24,2,FALSE)</f>
        <v>saveProfile</v>
      </c>
      <c r="F46" s="10">
        <f t="shared" si="47"/>
        <v>31.578947368421055</v>
      </c>
      <c r="G46" s="10">
        <f>VLOOKUP(E46,SummaryReport!A:J,8,FALSE)</f>
        <v>32</v>
      </c>
      <c r="H46" s="13">
        <f t="shared" si="45"/>
        <v>1.3157894736842035E-2</v>
      </c>
    </row>
    <row r="47" spans="1:9" ht="18.600000000000001" thickBot="1">
      <c r="A47" s="33" t="s">
        <v>7</v>
      </c>
      <c r="B47" s="34">
        <f>SUM(B35:B46)</f>
        <v>2944</v>
      </c>
      <c r="C47" s="14">
        <f>SUM(C35:C46)</f>
        <v>2997.9113792386111</v>
      </c>
      <c r="D47" s="12">
        <f t="shared" si="48"/>
        <v>1.7982979621066431E-2</v>
      </c>
      <c r="E47" s="51"/>
      <c r="F47" s="10"/>
      <c r="G47" s="10"/>
      <c r="H47" s="13"/>
      <c r="I47" s="23"/>
    </row>
    <row r="49" spans="1:9">
      <c r="C49" s="23" t="s">
        <v>67</v>
      </c>
      <c r="D49" s="23"/>
      <c r="E49" s="23"/>
      <c r="F49" s="23"/>
      <c r="G49" s="23"/>
      <c r="H49" s="23"/>
      <c r="I49" s="21">
        <f>1-B51/H51</f>
        <v>0.22499999999999987</v>
      </c>
    </row>
    <row r="50" spans="1:9">
      <c r="C50" t="s">
        <v>66</v>
      </c>
      <c r="D50" t="s">
        <v>62</v>
      </c>
      <c r="E50" t="s">
        <v>64</v>
      </c>
      <c r="F50" t="s">
        <v>63</v>
      </c>
      <c r="G50" t="s">
        <v>65</v>
      </c>
      <c r="I50" s="21">
        <f>1-B52/H52</f>
        <v>0.16666666666666663</v>
      </c>
    </row>
    <row r="51" spans="1:9">
      <c r="A51" t="s">
        <v>8</v>
      </c>
      <c r="B51" s="24">
        <f>124/3</f>
        <v>41.333333333333336</v>
      </c>
      <c r="C51" s="24">
        <v>45</v>
      </c>
      <c r="D51" s="24">
        <f>60/C51</f>
        <v>1.3333333333333333</v>
      </c>
      <c r="E51" s="24">
        <v>20</v>
      </c>
      <c r="F51" s="22">
        <f>B51/(D51*E51)</f>
        <v>1.5500000000000003</v>
      </c>
      <c r="G51">
        <f>ROUND(F51,0)</f>
        <v>2</v>
      </c>
      <c r="H51">
        <f>G51*D51*E51</f>
        <v>53.333333333333329</v>
      </c>
      <c r="I51" s="21">
        <f>1-B53/H53</f>
        <v>0.75</v>
      </c>
    </row>
    <row r="52" spans="1:9">
      <c r="A52" t="s">
        <v>59</v>
      </c>
      <c r="B52" s="24">
        <f>150/3</f>
        <v>50</v>
      </c>
      <c r="C52" s="24">
        <v>20</v>
      </c>
      <c r="D52" s="24">
        <f t="shared" ref="D52:D55" si="49">60/C52</f>
        <v>3</v>
      </c>
      <c r="E52" s="24">
        <v>20</v>
      </c>
      <c r="F52" s="22">
        <f>B52/(D52*E52)</f>
        <v>0.83333333333333337</v>
      </c>
      <c r="G52">
        <f t="shared" ref="G52:G55" si="50">ROUND(F52,0)</f>
        <v>1</v>
      </c>
      <c r="H52">
        <f t="shared" ref="H52:H55" si="51">G52*D52*E52</f>
        <v>60</v>
      </c>
      <c r="I52" s="21">
        <f>1-B54/H54</f>
        <v>0.88888888888888884</v>
      </c>
    </row>
    <row r="53" spans="1:9">
      <c r="A53" t="s">
        <v>71</v>
      </c>
      <c r="B53" s="25">
        <f>30/3</f>
        <v>10</v>
      </c>
      <c r="C53" s="25">
        <v>30</v>
      </c>
      <c r="D53" s="24">
        <f t="shared" si="49"/>
        <v>2</v>
      </c>
      <c r="E53" s="24">
        <v>20</v>
      </c>
      <c r="F53" s="22">
        <f>B53/(D53*E53)</f>
        <v>0.25</v>
      </c>
      <c r="G53">
        <v>1</v>
      </c>
      <c r="H53">
        <f t="shared" si="51"/>
        <v>40</v>
      </c>
      <c r="I53" s="21">
        <f>1-B55/H55</f>
        <v>0</v>
      </c>
    </row>
    <row r="54" spans="1:9">
      <c r="A54" t="s">
        <v>60</v>
      </c>
      <c r="B54" s="24">
        <f>20/3</f>
        <v>6.666666666666667</v>
      </c>
      <c r="C54" s="24">
        <v>20</v>
      </c>
      <c r="D54" s="24">
        <f t="shared" si="49"/>
        <v>3</v>
      </c>
      <c r="E54" s="24">
        <v>20</v>
      </c>
      <c r="F54" s="22">
        <f>B54/(D54*E54)</f>
        <v>0.11111111111111112</v>
      </c>
      <c r="G54">
        <v>1</v>
      </c>
      <c r="H54">
        <f t="shared" si="51"/>
        <v>60</v>
      </c>
    </row>
    <row r="55" spans="1:9">
      <c r="A55" t="s">
        <v>61</v>
      </c>
      <c r="B55" s="24">
        <f>120/3</f>
        <v>40</v>
      </c>
      <c r="C55" s="24">
        <v>30</v>
      </c>
      <c r="D55" s="24">
        <f t="shared" si="49"/>
        <v>2</v>
      </c>
      <c r="E55" s="24">
        <v>20</v>
      </c>
      <c r="F55" s="22">
        <f>B55/(D55*E55)</f>
        <v>1</v>
      </c>
      <c r="G55">
        <f t="shared" si="50"/>
        <v>1</v>
      </c>
      <c r="H55">
        <f t="shared" si="51"/>
        <v>40</v>
      </c>
    </row>
  </sheetData>
  <mergeCells count="1"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2" sqref="A12"/>
    </sheetView>
  </sheetViews>
  <sheetFormatPr defaultRowHeight="14.4"/>
  <cols>
    <col min="1" max="1" width="25" bestFit="1" customWidth="1"/>
    <col min="2" max="2" width="13.33203125" bestFit="1" customWidth="1"/>
    <col min="5" max="5" width="15.109375" bestFit="1" customWidth="1"/>
  </cols>
  <sheetData>
    <row r="1" spans="1:2" ht="15" thickBot="1">
      <c r="A1" s="47" t="s">
        <v>79</v>
      </c>
      <c r="B1" s="48" t="s">
        <v>80</v>
      </c>
    </row>
    <row r="2" spans="1:2">
      <c r="A2" s="46" t="str">
        <f>'Автоматизированный расчет'!A35</f>
        <v>Главная Welcome страница</v>
      </c>
      <c r="B2" s="49" t="s">
        <v>83</v>
      </c>
    </row>
    <row r="3" spans="1:2">
      <c r="A3" s="45" t="str">
        <f>'Автоматизированный расчет'!A36</f>
        <v>Вход в систему</v>
      </c>
      <c r="B3" s="50" t="s">
        <v>20</v>
      </c>
    </row>
    <row r="4" spans="1:2" ht="28.8">
      <c r="A4" s="45" t="str">
        <f>'Автоматизированный расчет'!A37</f>
        <v>Переход на страницу поиска билетов</v>
      </c>
      <c r="B4" s="50" t="s">
        <v>81</v>
      </c>
    </row>
    <row r="5" spans="1:2" ht="28.8">
      <c r="A5" s="45" t="str">
        <f>'Автоматизированный расчет'!A38</f>
        <v xml:space="preserve">Заполнение полей для поиска билета </v>
      </c>
      <c r="B5" s="50" t="s">
        <v>73</v>
      </c>
    </row>
    <row r="6" spans="1:2" ht="28.8">
      <c r="A6" s="45" t="str">
        <f>'Автоматизированный расчет'!A39</f>
        <v xml:space="preserve">Выбор рейса из найденных </v>
      </c>
      <c r="B6" s="50" t="s">
        <v>74</v>
      </c>
    </row>
    <row r="7" spans="1:2">
      <c r="A7" s="45" t="str">
        <f>'Автоматизированный расчет'!A40</f>
        <v>Оплата билета</v>
      </c>
      <c r="B7" s="50" t="s">
        <v>75</v>
      </c>
    </row>
    <row r="8" spans="1:2">
      <c r="A8" s="45" t="str">
        <f>'Автоматизированный расчет'!A41</f>
        <v>Просмотр квитанций</v>
      </c>
      <c r="B8" s="50" t="s">
        <v>76</v>
      </c>
    </row>
    <row r="9" spans="1:2">
      <c r="A9" s="45" t="str">
        <f>'Автоматизированный расчет'!A42</f>
        <v xml:space="preserve">Отмена бронирования </v>
      </c>
      <c r="B9" s="50" t="s">
        <v>77</v>
      </c>
    </row>
    <row r="10" spans="1:2">
      <c r="A10" s="45" t="str">
        <f>'Автоматизированный расчет'!A43</f>
        <v>Выход из системы</v>
      </c>
      <c r="B10" s="50" t="s">
        <v>21</v>
      </c>
    </row>
    <row r="11" spans="1:2" ht="28.8">
      <c r="A11" s="45" t="str">
        <f>'Автоматизированный расчет'!A44</f>
        <v>Переход на страницу регистрации</v>
      </c>
      <c r="B11" s="50" t="s">
        <v>82</v>
      </c>
    </row>
    <row r="12" spans="1:2" ht="28.8">
      <c r="A12" s="45" t="str">
        <f>'Автоматизированный расчет'!A45</f>
        <v>Заполнение полей регистарции</v>
      </c>
      <c r="B12" s="50" t="s">
        <v>84</v>
      </c>
    </row>
    <row r="13" spans="1:2" ht="28.8">
      <c r="A13" s="45" t="str">
        <f>'Автоматизированный расчет'!A46</f>
        <v>Переход на следуюущий экран после регистарции</v>
      </c>
      <c r="B13" s="50" t="s">
        <v>85</v>
      </c>
    </row>
    <row r="14" spans="1:2">
      <c r="A14" s="45" t="str">
        <f>'Автоматизированный расчет'!A47</f>
        <v>Итого</v>
      </c>
      <c r="B14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topLeftCell="A19" workbookViewId="0">
      <selection activeCell="H35" sqref="H35:H46"/>
    </sheetView>
  </sheetViews>
  <sheetFormatPr defaultRowHeight="14.4"/>
  <cols>
    <col min="1" max="1" width="20.5546875" customWidth="1"/>
  </cols>
  <sheetData>
    <row r="1" spans="1:10">
      <c r="A1" t="s">
        <v>22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23</v>
      </c>
      <c r="I1" t="s">
        <v>24</v>
      </c>
      <c r="J1" t="s">
        <v>25</v>
      </c>
    </row>
    <row r="3" spans="1:10">
      <c r="A3" t="s">
        <v>76</v>
      </c>
      <c r="B3" t="s">
        <v>92</v>
      </c>
      <c r="C3">
        <v>0.20300000000000001</v>
      </c>
      <c r="D3">
        <v>0.59599999999999997</v>
      </c>
      <c r="E3">
        <v>1.268</v>
      </c>
      <c r="F3">
        <v>0.25800000000000001</v>
      </c>
      <c r="G3">
        <v>1.0029999999999999</v>
      </c>
      <c r="H3">
        <v>100</v>
      </c>
      <c r="I3">
        <v>0</v>
      </c>
      <c r="J3">
        <v>0</v>
      </c>
    </row>
    <row r="4" spans="1:10">
      <c r="A4" t="s">
        <v>81</v>
      </c>
      <c r="B4" t="s">
        <v>92</v>
      </c>
      <c r="C4">
        <v>0.14799999999999999</v>
      </c>
      <c r="D4">
        <v>0.16300000000000001</v>
      </c>
      <c r="E4">
        <v>0.20399999999999999</v>
      </c>
      <c r="F4">
        <v>1.2E-2</v>
      </c>
      <c r="G4">
        <v>0.182</v>
      </c>
      <c r="H4">
        <v>111</v>
      </c>
      <c r="I4">
        <v>0</v>
      </c>
      <c r="J4">
        <v>0</v>
      </c>
    </row>
    <row r="5" spans="1:10">
      <c r="A5" t="s">
        <v>82</v>
      </c>
      <c r="B5" t="s">
        <v>92</v>
      </c>
      <c r="C5">
        <v>0.128</v>
      </c>
      <c r="D5">
        <v>0.14799999999999999</v>
      </c>
      <c r="E5">
        <v>0.16400000000000001</v>
      </c>
      <c r="F5">
        <v>8.9999999999999993E-3</v>
      </c>
      <c r="G5">
        <v>0.159</v>
      </c>
      <c r="H5">
        <v>32</v>
      </c>
      <c r="I5">
        <v>0</v>
      </c>
      <c r="J5">
        <v>0</v>
      </c>
    </row>
    <row r="6" spans="1:10">
      <c r="A6" t="s">
        <v>77</v>
      </c>
      <c r="B6" t="s">
        <v>92</v>
      </c>
      <c r="C6">
        <v>7.9000000000000001E-2</v>
      </c>
      <c r="D6">
        <v>8.7999999999999995E-2</v>
      </c>
      <c r="E6">
        <v>0.11</v>
      </c>
      <c r="F6">
        <v>8.9999999999999993E-3</v>
      </c>
      <c r="G6">
        <v>0.104</v>
      </c>
      <c r="H6">
        <v>24</v>
      </c>
      <c r="I6">
        <v>0</v>
      </c>
      <c r="J6">
        <v>0</v>
      </c>
    </row>
    <row r="7" spans="1:10">
      <c r="A7" t="s">
        <v>74</v>
      </c>
      <c r="B7" t="s">
        <v>92</v>
      </c>
      <c r="C7">
        <v>0.127</v>
      </c>
      <c r="D7">
        <v>0.152</v>
      </c>
      <c r="E7">
        <v>0.183</v>
      </c>
      <c r="F7">
        <v>1.0999999999999999E-2</v>
      </c>
      <c r="G7">
        <v>0.16400000000000001</v>
      </c>
      <c r="H7">
        <v>98</v>
      </c>
      <c r="I7">
        <v>0</v>
      </c>
      <c r="J7">
        <v>0</v>
      </c>
    </row>
    <row r="8" spans="1:10">
      <c r="A8" t="s">
        <v>83</v>
      </c>
      <c r="B8" t="s">
        <v>92</v>
      </c>
      <c r="C8">
        <v>0.13100000000000001</v>
      </c>
      <c r="D8">
        <v>0.155</v>
      </c>
      <c r="E8">
        <v>0.222</v>
      </c>
      <c r="F8">
        <v>1.2E-2</v>
      </c>
      <c r="G8">
        <v>0.16700000000000001</v>
      </c>
      <c r="H8">
        <v>181</v>
      </c>
      <c r="I8">
        <v>0</v>
      </c>
      <c r="J8">
        <v>0</v>
      </c>
    </row>
    <row r="9" spans="1:10">
      <c r="A9" t="s">
        <v>20</v>
      </c>
      <c r="B9" t="s">
        <v>92</v>
      </c>
      <c r="C9">
        <v>0.184</v>
      </c>
      <c r="D9">
        <v>0.218</v>
      </c>
      <c r="E9">
        <v>0.29099999999999998</v>
      </c>
      <c r="F9">
        <v>1.4E-2</v>
      </c>
      <c r="G9">
        <v>0.23200000000000001</v>
      </c>
      <c r="H9">
        <v>149</v>
      </c>
      <c r="I9">
        <v>0</v>
      </c>
      <c r="J9">
        <v>0</v>
      </c>
    </row>
    <row r="10" spans="1:10">
      <c r="A10" t="s">
        <v>21</v>
      </c>
      <c r="B10" t="s">
        <v>92</v>
      </c>
      <c r="C10">
        <v>0.122</v>
      </c>
      <c r="D10">
        <v>0.13300000000000001</v>
      </c>
      <c r="E10">
        <v>0.192</v>
      </c>
      <c r="F10">
        <v>1.2999999999999999E-2</v>
      </c>
      <c r="G10">
        <v>0.14899999999999999</v>
      </c>
      <c r="H10">
        <v>107</v>
      </c>
      <c r="I10">
        <v>0</v>
      </c>
      <c r="J10">
        <v>0</v>
      </c>
    </row>
    <row r="11" spans="1:10">
      <c r="A11" t="s">
        <v>75</v>
      </c>
      <c r="B11" t="s">
        <v>92</v>
      </c>
      <c r="C11">
        <v>0.127</v>
      </c>
      <c r="D11">
        <v>0.153</v>
      </c>
      <c r="E11">
        <v>0.20399999999999999</v>
      </c>
      <c r="F11">
        <v>1.4999999999999999E-2</v>
      </c>
      <c r="G11">
        <v>0.16900000000000001</v>
      </c>
      <c r="H11">
        <v>62</v>
      </c>
      <c r="I11">
        <v>0</v>
      </c>
      <c r="J11">
        <v>0</v>
      </c>
    </row>
    <row r="12" spans="1:10">
      <c r="A12" t="s">
        <v>84</v>
      </c>
      <c r="B12" t="s">
        <v>92</v>
      </c>
      <c r="C12">
        <v>0.104</v>
      </c>
      <c r="D12">
        <v>0.129</v>
      </c>
      <c r="E12">
        <v>0.154</v>
      </c>
      <c r="F12">
        <v>1.4E-2</v>
      </c>
      <c r="G12">
        <v>0.14799999999999999</v>
      </c>
      <c r="H12">
        <v>32</v>
      </c>
      <c r="I12">
        <v>0</v>
      </c>
      <c r="J12">
        <v>0</v>
      </c>
    </row>
    <row r="13" spans="1:10">
      <c r="A13" t="s">
        <v>85</v>
      </c>
      <c r="B13" t="s">
        <v>92</v>
      </c>
      <c r="C13">
        <v>0.17899999999999999</v>
      </c>
      <c r="D13">
        <v>0.222</v>
      </c>
      <c r="E13">
        <v>0.27500000000000002</v>
      </c>
      <c r="F13">
        <v>1.9E-2</v>
      </c>
      <c r="G13">
        <v>0.246</v>
      </c>
      <c r="H13">
        <v>32</v>
      </c>
      <c r="I13">
        <v>0</v>
      </c>
      <c r="J13">
        <v>0</v>
      </c>
    </row>
    <row r="14" spans="1:10">
      <c r="A14" t="s">
        <v>73</v>
      </c>
      <c r="B14" t="s">
        <v>92</v>
      </c>
      <c r="C14">
        <v>7.4999999999999997E-2</v>
      </c>
      <c r="D14">
        <v>8.2000000000000003E-2</v>
      </c>
      <c r="E14">
        <v>0.115</v>
      </c>
      <c r="F14">
        <v>8.0000000000000002E-3</v>
      </c>
      <c r="G14">
        <v>9.0999999999999998E-2</v>
      </c>
      <c r="H14">
        <v>98</v>
      </c>
      <c r="I14">
        <v>0</v>
      </c>
      <c r="J14">
        <v>0</v>
      </c>
    </row>
    <row r="17" spans="1:10">
      <c r="A17" t="s">
        <v>22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23</v>
      </c>
      <c r="I17" t="s">
        <v>24</v>
      </c>
      <c r="J17" t="s">
        <v>25</v>
      </c>
    </row>
    <row r="19" spans="1:10">
      <c r="A19" t="s">
        <v>76</v>
      </c>
      <c r="B19" t="s">
        <v>92</v>
      </c>
      <c r="C19">
        <v>0.20100000000000001</v>
      </c>
      <c r="D19">
        <v>0.95899999999999996</v>
      </c>
      <c r="E19">
        <v>4.7949999999999999</v>
      </c>
      <c r="F19">
        <v>0.55900000000000005</v>
      </c>
      <c r="G19">
        <v>1.6359999999999999</v>
      </c>
      <c r="H19" s="63" t="s">
        <v>95</v>
      </c>
      <c r="I19">
        <v>0</v>
      </c>
      <c r="J19">
        <v>0</v>
      </c>
    </row>
    <row r="20" spans="1:10">
      <c r="A20" t="s">
        <v>81</v>
      </c>
      <c r="B20" t="s">
        <v>92</v>
      </c>
      <c r="C20">
        <v>0.15</v>
      </c>
      <c r="D20">
        <v>0.21299999999999999</v>
      </c>
      <c r="E20">
        <v>0.89400000000000002</v>
      </c>
      <c r="F20">
        <v>0.06</v>
      </c>
      <c r="G20">
        <v>0.28599999999999998</v>
      </c>
      <c r="H20" s="63" t="s">
        <v>96</v>
      </c>
      <c r="I20">
        <v>0</v>
      </c>
      <c r="J20">
        <v>0</v>
      </c>
    </row>
    <row r="21" spans="1:10">
      <c r="A21" t="s">
        <v>82</v>
      </c>
      <c r="B21" t="s">
        <v>92</v>
      </c>
      <c r="C21">
        <v>0.111</v>
      </c>
      <c r="D21">
        <v>0.16</v>
      </c>
      <c r="E21">
        <v>0.44900000000000001</v>
      </c>
      <c r="F21">
        <v>2.9000000000000001E-2</v>
      </c>
      <c r="G21">
        <v>0.188</v>
      </c>
      <c r="H21" s="63">
        <v>555</v>
      </c>
      <c r="I21">
        <v>0</v>
      </c>
      <c r="J21">
        <v>0</v>
      </c>
    </row>
    <row r="22" spans="1:10">
      <c r="A22" t="s">
        <v>77</v>
      </c>
      <c r="B22" t="s">
        <v>92</v>
      </c>
      <c r="C22">
        <v>7.9000000000000001E-2</v>
      </c>
      <c r="D22">
        <v>0.104</v>
      </c>
      <c r="E22">
        <v>0.317</v>
      </c>
      <c r="F22">
        <v>2.8000000000000001E-2</v>
      </c>
      <c r="G22">
        <v>0.13800000000000001</v>
      </c>
      <c r="H22" s="63">
        <v>428</v>
      </c>
      <c r="I22">
        <v>0</v>
      </c>
      <c r="J22">
        <v>0</v>
      </c>
    </row>
    <row r="23" spans="1:10">
      <c r="A23" t="s">
        <v>74</v>
      </c>
      <c r="B23" t="s">
        <v>92</v>
      </c>
      <c r="C23">
        <v>7.8E-2</v>
      </c>
      <c r="D23">
        <v>0.16500000000000001</v>
      </c>
      <c r="E23">
        <v>0.48399999999999999</v>
      </c>
      <c r="F23">
        <v>2.9000000000000001E-2</v>
      </c>
      <c r="G23">
        <v>0.19700000000000001</v>
      </c>
      <c r="H23" s="63" t="s">
        <v>97</v>
      </c>
      <c r="I23">
        <v>0</v>
      </c>
      <c r="J23">
        <v>0</v>
      </c>
    </row>
    <row r="24" spans="1:10">
      <c r="A24" t="s">
        <v>83</v>
      </c>
      <c r="B24" t="s">
        <v>92</v>
      </c>
      <c r="C24">
        <v>0.125</v>
      </c>
      <c r="D24">
        <v>0.188</v>
      </c>
      <c r="E24">
        <v>1.3109999999999999</v>
      </c>
      <c r="F24">
        <v>6.6000000000000003E-2</v>
      </c>
      <c r="G24">
        <v>0.24199999999999999</v>
      </c>
      <c r="H24" s="63" t="s">
        <v>98</v>
      </c>
      <c r="I24">
        <v>0</v>
      </c>
      <c r="J24">
        <v>0</v>
      </c>
    </row>
    <row r="25" spans="1:10">
      <c r="A25" t="s">
        <v>20</v>
      </c>
      <c r="B25" t="s">
        <v>92</v>
      </c>
      <c r="C25">
        <v>0.186</v>
      </c>
      <c r="D25">
        <v>0.26300000000000001</v>
      </c>
      <c r="E25">
        <v>2.2770000000000001</v>
      </c>
      <c r="F25">
        <v>8.2000000000000003E-2</v>
      </c>
      <c r="G25">
        <v>0.32700000000000001</v>
      </c>
      <c r="H25" s="63" t="s">
        <v>99</v>
      </c>
      <c r="I25">
        <v>1</v>
      </c>
      <c r="J25">
        <v>0</v>
      </c>
    </row>
    <row r="26" spans="1:10">
      <c r="A26" t="s">
        <v>21</v>
      </c>
      <c r="B26" t="s">
        <v>92</v>
      </c>
      <c r="C26">
        <v>0.122</v>
      </c>
      <c r="D26">
        <v>0.16</v>
      </c>
      <c r="E26">
        <v>0.86599999999999999</v>
      </c>
      <c r="F26">
        <v>4.2000000000000003E-2</v>
      </c>
      <c r="G26">
        <v>0.20599999999999999</v>
      </c>
      <c r="H26" s="63" t="s">
        <v>100</v>
      </c>
      <c r="I26">
        <v>0</v>
      </c>
      <c r="J26">
        <v>0</v>
      </c>
    </row>
    <row r="27" spans="1:10">
      <c r="A27" t="s">
        <v>75</v>
      </c>
      <c r="B27" t="s">
        <v>92</v>
      </c>
      <c r="C27">
        <v>0.104</v>
      </c>
      <c r="D27">
        <v>0.17199999999999999</v>
      </c>
      <c r="E27">
        <v>0.71799999999999997</v>
      </c>
      <c r="F27">
        <v>0.04</v>
      </c>
      <c r="G27">
        <v>0.21299999999999999</v>
      </c>
      <c r="H27" s="63" t="s">
        <v>101</v>
      </c>
      <c r="I27">
        <v>0</v>
      </c>
      <c r="J27">
        <v>0</v>
      </c>
    </row>
    <row r="28" spans="1:10">
      <c r="A28" t="s">
        <v>84</v>
      </c>
      <c r="B28" t="s">
        <v>92</v>
      </c>
      <c r="C28">
        <v>0.09</v>
      </c>
      <c r="D28">
        <v>0.13900000000000001</v>
      </c>
      <c r="E28">
        <v>0.35499999999999998</v>
      </c>
      <c r="F28">
        <v>2.7E-2</v>
      </c>
      <c r="G28">
        <v>0.16600000000000001</v>
      </c>
      <c r="H28" s="63">
        <v>555</v>
      </c>
      <c r="I28">
        <v>0</v>
      </c>
      <c r="J28">
        <v>0</v>
      </c>
    </row>
    <row r="29" spans="1:10">
      <c r="A29" t="s">
        <v>85</v>
      </c>
      <c r="B29" t="s">
        <v>92</v>
      </c>
      <c r="C29">
        <v>0.184</v>
      </c>
      <c r="D29">
        <v>0.249</v>
      </c>
      <c r="E29">
        <v>1.1659999999999999</v>
      </c>
      <c r="F29">
        <v>5.8999999999999997E-2</v>
      </c>
      <c r="G29">
        <v>0.29299999999999998</v>
      </c>
      <c r="H29" s="63">
        <v>555</v>
      </c>
      <c r="I29">
        <v>0</v>
      </c>
      <c r="J29">
        <v>0</v>
      </c>
    </row>
    <row r="30" spans="1:10">
      <c r="A30" t="s">
        <v>73</v>
      </c>
      <c r="B30" t="s">
        <v>92</v>
      </c>
      <c r="C30">
        <v>7.3999999999999996E-2</v>
      </c>
      <c r="D30">
        <v>0.104</v>
      </c>
      <c r="E30">
        <v>0.41199999999999998</v>
      </c>
      <c r="F30">
        <v>2.8000000000000001E-2</v>
      </c>
      <c r="G30">
        <v>0.14099999999999999</v>
      </c>
      <c r="H30" s="63" t="s">
        <v>97</v>
      </c>
      <c r="I30">
        <v>0</v>
      </c>
      <c r="J30">
        <v>0</v>
      </c>
    </row>
    <row r="33" spans="1:10">
      <c r="A33" t="s">
        <v>22</v>
      </c>
      <c r="B33" t="s">
        <v>86</v>
      </c>
      <c r="C33" t="s">
        <v>87</v>
      </c>
      <c r="D33" t="s">
        <v>88</v>
      </c>
      <c r="E33" t="s">
        <v>89</v>
      </c>
      <c r="F33" t="s">
        <v>90</v>
      </c>
      <c r="G33" t="s">
        <v>91</v>
      </c>
      <c r="H33" t="s">
        <v>23</v>
      </c>
      <c r="I33" t="s">
        <v>24</v>
      </c>
      <c r="J33" t="s">
        <v>25</v>
      </c>
    </row>
    <row r="35" spans="1:10">
      <c r="A35" t="s">
        <v>76</v>
      </c>
      <c r="B35" t="s">
        <v>92</v>
      </c>
      <c r="C35">
        <v>0.55900000000000005</v>
      </c>
      <c r="D35">
        <v>1.91</v>
      </c>
      <c r="E35">
        <v>4.5199999999999996</v>
      </c>
      <c r="F35">
        <v>0.90400000000000003</v>
      </c>
      <c r="G35">
        <v>3.2869999999999999</v>
      </c>
      <c r="H35">
        <v>292</v>
      </c>
      <c r="I35">
        <v>0</v>
      </c>
      <c r="J35">
        <v>0</v>
      </c>
    </row>
    <row r="36" spans="1:10">
      <c r="A36" t="s">
        <v>81</v>
      </c>
      <c r="B36" t="s">
        <v>92</v>
      </c>
      <c r="C36">
        <v>0.34699999999999998</v>
      </c>
      <c r="D36">
        <v>0.38400000000000001</v>
      </c>
      <c r="E36">
        <v>0.68300000000000005</v>
      </c>
      <c r="F36">
        <v>3.4000000000000002E-2</v>
      </c>
      <c r="G36">
        <v>0.41799999999999998</v>
      </c>
      <c r="H36">
        <v>322</v>
      </c>
      <c r="I36">
        <v>0</v>
      </c>
      <c r="J36">
        <v>0</v>
      </c>
    </row>
    <row r="37" spans="1:10">
      <c r="A37" t="s">
        <v>82</v>
      </c>
      <c r="B37" t="s">
        <v>92</v>
      </c>
      <c r="C37">
        <v>0.23599999999999999</v>
      </c>
      <c r="D37">
        <v>0.26</v>
      </c>
      <c r="E37">
        <v>0.39100000000000001</v>
      </c>
      <c r="F37">
        <v>0.02</v>
      </c>
      <c r="G37">
        <v>0.27900000000000003</v>
      </c>
      <c r="H37">
        <v>94</v>
      </c>
      <c r="I37">
        <v>0</v>
      </c>
      <c r="J37">
        <v>0</v>
      </c>
    </row>
    <row r="38" spans="1:10">
      <c r="A38" t="s">
        <v>77</v>
      </c>
      <c r="B38" t="s">
        <v>92</v>
      </c>
      <c r="C38">
        <v>0.21</v>
      </c>
      <c r="D38">
        <v>0.23</v>
      </c>
      <c r="E38">
        <v>0.28999999999999998</v>
      </c>
      <c r="F38">
        <v>1.6E-2</v>
      </c>
      <c r="G38">
        <v>0.254</v>
      </c>
      <c r="H38">
        <v>72</v>
      </c>
      <c r="I38">
        <v>0</v>
      </c>
      <c r="J38">
        <v>0</v>
      </c>
    </row>
    <row r="39" spans="1:10">
      <c r="A39" t="s">
        <v>74</v>
      </c>
      <c r="B39" t="s">
        <v>92</v>
      </c>
      <c r="C39">
        <v>0.23699999999999999</v>
      </c>
      <c r="D39">
        <v>0.25800000000000001</v>
      </c>
      <c r="E39">
        <v>0.31</v>
      </c>
      <c r="F39">
        <v>1.4999999999999999E-2</v>
      </c>
      <c r="G39">
        <v>0.28100000000000003</v>
      </c>
      <c r="H39">
        <v>284</v>
      </c>
      <c r="I39">
        <v>0</v>
      </c>
      <c r="J39">
        <v>0</v>
      </c>
    </row>
    <row r="40" spans="1:10">
      <c r="A40" t="s">
        <v>83</v>
      </c>
      <c r="B40" t="s">
        <v>92</v>
      </c>
      <c r="C40">
        <v>0.29199999999999998</v>
      </c>
      <c r="D40">
        <v>0.34200000000000003</v>
      </c>
      <c r="E40">
        <v>0.52800000000000002</v>
      </c>
      <c r="F40">
        <v>3.1E-2</v>
      </c>
      <c r="G40">
        <v>0.376</v>
      </c>
      <c r="H40">
        <v>528</v>
      </c>
      <c r="I40">
        <v>0</v>
      </c>
      <c r="J40">
        <v>0</v>
      </c>
    </row>
    <row r="41" spans="1:10">
      <c r="A41" t="s">
        <v>20</v>
      </c>
      <c r="B41" t="s">
        <v>92</v>
      </c>
      <c r="C41">
        <v>0.37</v>
      </c>
      <c r="D41">
        <v>0.41499999999999998</v>
      </c>
      <c r="E41">
        <v>0.57299999999999995</v>
      </c>
      <c r="F41">
        <v>0.03</v>
      </c>
      <c r="G41">
        <v>0.45300000000000001</v>
      </c>
      <c r="H41">
        <v>434</v>
      </c>
      <c r="I41">
        <v>0</v>
      </c>
      <c r="J41">
        <v>0</v>
      </c>
    </row>
    <row r="42" spans="1:10">
      <c r="A42" t="s">
        <v>21</v>
      </c>
      <c r="B42" t="s">
        <v>92</v>
      </c>
      <c r="C42">
        <v>0.29899999999999999</v>
      </c>
      <c r="D42">
        <v>0.32</v>
      </c>
      <c r="E42">
        <v>0.45800000000000002</v>
      </c>
      <c r="F42">
        <v>2.1999999999999999E-2</v>
      </c>
      <c r="G42">
        <v>0.34499999999999997</v>
      </c>
      <c r="H42">
        <v>312</v>
      </c>
      <c r="I42">
        <v>0</v>
      </c>
      <c r="J42">
        <v>0</v>
      </c>
    </row>
    <row r="43" spans="1:10">
      <c r="A43" t="s">
        <v>75</v>
      </c>
      <c r="B43" t="s">
        <v>92</v>
      </c>
      <c r="C43">
        <v>0.23899999999999999</v>
      </c>
      <c r="D43">
        <v>0.26</v>
      </c>
      <c r="E43">
        <v>0.34100000000000003</v>
      </c>
      <c r="F43">
        <v>1.7999999999999999E-2</v>
      </c>
      <c r="G43">
        <v>0.28199999999999997</v>
      </c>
      <c r="H43">
        <v>180</v>
      </c>
      <c r="I43">
        <v>0</v>
      </c>
      <c r="J43">
        <v>0</v>
      </c>
    </row>
    <row r="44" spans="1:10">
      <c r="A44" t="s">
        <v>84</v>
      </c>
      <c r="B44" t="s">
        <v>92</v>
      </c>
      <c r="C44">
        <v>0.17399999999999999</v>
      </c>
      <c r="D44">
        <v>0.19600000000000001</v>
      </c>
      <c r="E44">
        <v>0.248</v>
      </c>
      <c r="F44">
        <v>1.2999999999999999E-2</v>
      </c>
      <c r="G44">
        <v>0.21099999999999999</v>
      </c>
      <c r="H44">
        <v>94</v>
      </c>
      <c r="I44">
        <v>0</v>
      </c>
      <c r="J44">
        <v>0</v>
      </c>
    </row>
    <row r="45" spans="1:10">
      <c r="A45" t="s">
        <v>85</v>
      </c>
      <c r="B45" t="s">
        <v>92</v>
      </c>
      <c r="C45">
        <v>0.35299999999999998</v>
      </c>
      <c r="D45">
        <v>0.40400000000000003</v>
      </c>
      <c r="E45">
        <v>0.59199999999999997</v>
      </c>
      <c r="F45">
        <v>3.7999999999999999E-2</v>
      </c>
      <c r="G45">
        <v>0.45300000000000001</v>
      </c>
      <c r="H45">
        <v>94</v>
      </c>
      <c r="I45">
        <v>0</v>
      </c>
      <c r="J45">
        <v>0</v>
      </c>
    </row>
    <row r="46" spans="1:10">
      <c r="A46" t="s">
        <v>73</v>
      </c>
      <c r="B46" t="s">
        <v>92</v>
      </c>
      <c r="C46">
        <v>0.186</v>
      </c>
      <c r="D46">
        <v>0.20100000000000001</v>
      </c>
      <c r="E46">
        <v>0.26300000000000001</v>
      </c>
      <c r="F46">
        <v>1.2999999999999999E-2</v>
      </c>
      <c r="G46">
        <v>0.221</v>
      </c>
      <c r="H46">
        <v>284</v>
      </c>
      <c r="I46">
        <v>0</v>
      </c>
      <c r="J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S53"/>
  <sheetViews>
    <sheetView tabSelected="1" topLeftCell="A22" workbookViewId="0">
      <selection activeCell="M37" sqref="M37"/>
    </sheetView>
  </sheetViews>
  <sheetFormatPr defaultColWidth="8.88671875" defaultRowHeight="14.4"/>
  <cols>
    <col min="2" max="2" width="4.44140625" customWidth="1"/>
    <col min="3" max="4" width="9.109375" hidden="1" customWidth="1"/>
    <col min="5" max="5" width="20.44140625" customWidth="1"/>
    <col min="6" max="6" width="18.8867187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customWidth="1"/>
    <col min="14" max="14" width="4.109375" customWidth="1"/>
    <col min="15" max="15" width="5" customWidth="1"/>
    <col min="16" max="16" width="14.109375" customWidth="1"/>
    <col min="17" max="17" width="19.44140625" customWidth="1"/>
    <col min="18" max="18" width="8.88671875" customWidth="1"/>
  </cols>
  <sheetData>
    <row r="3" spans="5:9">
      <c r="E3" s="67" t="s">
        <v>27</v>
      </c>
      <c r="F3" s="67"/>
      <c r="G3" s="67"/>
      <c r="H3" s="67"/>
      <c r="I3" s="67"/>
    </row>
    <row r="5" spans="5:9">
      <c r="E5" s="53" t="s">
        <v>14</v>
      </c>
      <c r="F5" s="53" t="s">
        <v>15</v>
      </c>
      <c r="G5" s="53" t="s">
        <v>16</v>
      </c>
      <c r="H5" s="53" t="s">
        <v>17</v>
      </c>
      <c r="I5" s="53" t="s">
        <v>18</v>
      </c>
    </row>
    <row r="6" spans="5:9">
      <c r="E6" s="54" t="s">
        <v>55</v>
      </c>
      <c r="F6" s="54" t="s">
        <v>83</v>
      </c>
      <c r="G6" s="54">
        <v>520</v>
      </c>
      <c r="H6" s="55">
        <f>176.568892587199*3</f>
        <v>529.70667776159701</v>
      </c>
      <c r="I6" s="56">
        <f t="shared" ref="I6:I17" si="0">1-G6/H6</f>
        <v>1.8324627891449063E-2</v>
      </c>
    </row>
    <row r="7" spans="5:9">
      <c r="E7" s="54" t="s">
        <v>0</v>
      </c>
      <c r="F7" s="54" t="s">
        <v>20</v>
      </c>
      <c r="G7" s="54">
        <v>422</v>
      </c>
      <c r="H7" s="55">
        <f>144.98995*3</f>
        <v>434.96984999999995</v>
      </c>
      <c r="I7" s="56">
        <f t="shared" si="0"/>
        <v>2.9817813809393856E-2</v>
      </c>
    </row>
    <row r="8" spans="5:9">
      <c r="E8" s="54" t="s">
        <v>68</v>
      </c>
      <c r="F8" s="54" t="s">
        <v>81</v>
      </c>
      <c r="G8" s="54">
        <v>305</v>
      </c>
      <c r="H8" s="55">
        <f>107.4*3</f>
        <v>322.20000000000005</v>
      </c>
      <c r="I8" s="56">
        <f t="shared" si="0"/>
        <v>5.338299193047813E-2</v>
      </c>
    </row>
    <row r="9" spans="5:9">
      <c r="E9" s="54" t="s">
        <v>1</v>
      </c>
      <c r="F9" s="54" t="s">
        <v>73</v>
      </c>
      <c r="G9" s="54">
        <v>282</v>
      </c>
      <c r="H9" s="55">
        <f>94.7826086956522*3</f>
        <v>284.34782608695662</v>
      </c>
      <c r="I9" s="56">
        <f t="shared" si="0"/>
        <v>8.2568807339452599E-3</v>
      </c>
    </row>
    <row r="10" spans="5:9">
      <c r="E10" s="54" t="s">
        <v>2</v>
      </c>
      <c r="F10" s="54" t="s">
        <v>74</v>
      </c>
      <c r="G10" s="54">
        <v>270</v>
      </c>
      <c r="H10" s="55">
        <f>94.7826086956522*3</f>
        <v>284.34782608695662</v>
      </c>
      <c r="I10" s="56">
        <f t="shared" si="0"/>
        <v>5.0458715596330639E-2</v>
      </c>
    </row>
    <row r="11" spans="5:9">
      <c r="E11" s="54" t="s">
        <v>3</v>
      </c>
      <c r="F11" s="54" t="s">
        <v>75</v>
      </c>
      <c r="G11" s="54">
        <v>175</v>
      </c>
      <c r="H11" s="55">
        <f>60*3</f>
        <v>180</v>
      </c>
      <c r="I11" s="56">
        <f t="shared" si="0"/>
        <v>2.777777777777779E-2</v>
      </c>
    </row>
    <row r="12" spans="5:9">
      <c r="E12" s="54" t="s">
        <v>19</v>
      </c>
      <c r="F12" s="54" t="s">
        <v>76</v>
      </c>
      <c r="G12" s="54">
        <v>280</v>
      </c>
      <c r="H12" s="55">
        <f>97.5757575757575*3</f>
        <v>292.72727272727252</v>
      </c>
      <c r="I12" s="56">
        <f t="shared" si="0"/>
        <v>4.3478260869564522E-2</v>
      </c>
    </row>
    <row r="13" spans="5:9">
      <c r="E13" s="54" t="s">
        <v>5</v>
      </c>
      <c r="F13" s="54" t="s">
        <v>77</v>
      </c>
      <c r="G13" s="54">
        <v>73</v>
      </c>
      <c r="H13" s="55">
        <f>24.2424242424242*3</f>
        <v>72.727272727272606</v>
      </c>
      <c r="I13" s="56">
        <f t="shared" si="0"/>
        <v>-3.7500000000016964E-3</v>
      </c>
    </row>
    <row r="14" spans="5:9">
      <c r="E14" s="54" t="s">
        <v>6</v>
      </c>
      <c r="F14" s="54" t="s">
        <v>21</v>
      </c>
      <c r="G14" s="54">
        <v>326</v>
      </c>
      <c r="H14" s="55">
        <f>104.21052631579*3</f>
        <v>312.63157894737003</v>
      </c>
      <c r="I14" s="56">
        <f t="shared" si="0"/>
        <v>-4.2760942760937448E-2</v>
      </c>
    </row>
    <row r="15" spans="5:9">
      <c r="E15" s="54" t="s">
        <v>72</v>
      </c>
      <c r="F15" s="54" t="s">
        <v>82</v>
      </c>
      <c r="G15" s="54">
        <v>97</v>
      </c>
      <c r="H15" s="55">
        <f>31.5789473684211*3</f>
        <v>94.736842105263307</v>
      </c>
      <c r="I15" s="56">
        <f t="shared" si="0"/>
        <v>-2.3888888888887294E-2</v>
      </c>
    </row>
    <row r="16" spans="5:9">
      <c r="E16" s="54" t="s">
        <v>56</v>
      </c>
      <c r="F16" s="54" t="s">
        <v>84</v>
      </c>
      <c r="G16" s="54">
        <v>97</v>
      </c>
      <c r="H16" s="55">
        <f>31.5789473684211*3</f>
        <v>94.736842105263307</v>
      </c>
      <c r="I16" s="56">
        <f t="shared" si="0"/>
        <v>-2.3888888888887294E-2</v>
      </c>
    </row>
    <row r="17" spans="5:19">
      <c r="E17" s="54" t="s">
        <v>78</v>
      </c>
      <c r="F17" s="54" t="s">
        <v>85</v>
      </c>
      <c r="G17" s="54">
        <v>97</v>
      </c>
      <c r="H17" s="55">
        <f>31.5789473684211*3</f>
        <v>94.736842105263307</v>
      </c>
      <c r="I17" s="56">
        <f t="shared" si="0"/>
        <v>-2.3888888888887294E-2</v>
      </c>
    </row>
    <row r="19" spans="5:19">
      <c r="L19" s="5"/>
      <c r="M19" s="3"/>
    </row>
    <row r="20" spans="5:19">
      <c r="E20" s="67" t="s">
        <v>94</v>
      </c>
      <c r="F20" s="67"/>
      <c r="G20" s="67"/>
      <c r="H20" s="67"/>
      <c r="I20" s="67"/>
      <c r="L20" s="5"/>
      <c r="M20" s="3"/>
    </row>
    <row r="21" spans="5:19">
      <c r="L21" s="5"/>
      <c r="M21" s="3"/>
    </row>
    <row r="22" spans="5:19"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S22" s="63"/>
    </row>
    <row r="23" spans="5:19">
      <c r="E23" s="54" t="s">
        <v>55</v>
      </c>
      <c r="F23" s="54" t="s">
        <v>83</v>
      </c>
      <c r="G23" s="55">
        <f>G6*5</f>
        <v>2600</v>
      </c>
      <c r="H23" s="59">
        <v>3107</v>
      </c>
      <c r="I23" s="60">
        <f>1-G23/H23</f>
        <v>0.16317991631799167</v>
      </c>
      <c r="S23" s="63"/>
    </row>
    <row r="24" spans="5:19">
      <c r="E24" s="54" t="s">
        <v>0</v>
      </c>
      <c r="F24" s="54" t="s">
        <v>20</v>
      </c>
      <c r="G24" s="55">
        <f t="shared" ref="G24:G34" si="1">G7*5</f>
        <v>2110</v>
      </c>
      <c r="H24" s="59">
        <v>2551</v>
      </c>
      <c r="I24" s="60">
        <f t="shared" ref="I24:I35" si="2">1-G24/H24</f>
        <v>0.17287338298706389</v>
      </c>
      <c r="S24" s="63"/>
    </row>
    <row r="25" spans="5:19">
      <c r="E25" s="54" t="s">
        <v>68</v>
      </c>
      <c r="F25" s="54" t="s">
        <v>81</v>
      </c>
      <c r="G25" s="55">
        <f t="shared" si="1"/>
        <v>1525</v>
      </c>
      <c r="H25" s="59">
        <v>1888</v>
      </c>
      <c r="I25" s="60">
        <f t="shared" si="2"/>
        <v>0.19226694915254239</v>
      </c>
      <c r="S25" s="63"/>
    </row>
    <row r="26" spans="5:19">
      <c r="E26" s="54" t="s">
        <v>1</v>
      </c>
      <c r="F26" s="54" t="s">
        <v>73</v>
      </c>
      <c r="G26" s="55">
        <f t="shared" si="1"/>
        <v>1410</v>
      </c>
      <c r="H26" s="59">
        <v>1664</v>
      </c>
      <c r="I26" s="60">
        <f t="shared" si="2"/>
        <v>0.15264423076923073</v>
      </c>
      <c r="S26" s="63"/>
    </row>
    <row r="27" spans="5:19">
      <c r="E27" s="54" t="s">
        <v>2</v>
      </c>
      <c r="F27" s="54" t="s">
        <v>74</v>
      </c>
      <c r="G27" s="55">
        <f t="shared" si="1"/>
        <v>1350</v>
      </c>
      <c r="H27" s="59">
        <v>1664</v>
      </c>
      <c r="I27" s="60">
        <f t="shared" si="2"/>
        <v>0.18870192307692313</v>
      </c>
      <c r="S27" s="63"/>
    </row>
    <row r="28" spans="5:19">
      <c r="E28" s="54" t="s">
        <v>3</v>
      </c>
      <c r="F28" s="54" t="s">
        <v>75</v>
      </c>
      <c r="G28" s="55">
        <f t="shared" si="1"/>
        <v>875</v>
      </c>
      <c r="H28" s="59">
        <v>1055</v>
      </c>
      <c r="I28" s="60">
        <f t="shared" si="2"/>
        <v>0.17061611374407581</v>
      </c>
      <c r="S28" s="63"/>
    </row>
    <row r="29" spans="5:19">
      <c r="E29" s="54" t="s">
        <v>19</v>
      </c>
      <c r="F29" s="54" t="s">
        <v>76</v>
      </c>
      <c r="G29" s="55">
        <f t="shared" si="1"/>
        <v>1400</v>
      </c>
      <c r="H29" s="59">
        <v>1718</v>
      </c>
      <c r="I29" s="60">
        <f t="shared" si="2"/>
        <v>0.18509895227008144</v>
      </c>
      <c r="S29" s="63"/>
    </row>
    <row r="30" spans="5:19">
      <c r="E30" s="54" t="s">
        <v>5</v>
      </c>
      <c r="F30" s="54" t="s">
        <v>77</v>
      </c>
      <c r="G30" s="55">
        <f t="shared" si="1"/>
        <v>365</v>
      </c>
      <c r="H30" s="59">
        <v>428</v>
      </c>
      <c r="I30" s="60">
        <f t="shared" si="2"/>
        <v>0.14719626168224298</v>
      </c>
      <c r="S30" s="63"/>
    </row>
    <row r="31" spans="5:19">
      <c r="E31" s="54" t="s">
        <v>6</v>
      </c>
      <c r="F31" s="54" t="s">
        <v>21</v>
      </c>
      <c r="G31" s="55">
        <f t="shared" si="1"/>
        <v>1630</v>
      </c>
      <c r="H31" s="59">
        <v>1834</v>
      </c>
      <c r="I31" s="60">
        <f t="shared" si="2"/>
        <v>0.11123227917121048</v>
      </c>
      <c r="S31" s="63"/>
    </row>
    <row r="32" spans="5:19">
      <c r="E32" s="54" t="s">
        <v>72</v>
      </c>
      <c r="F32" s="54" t="s">
        <v>82</v>
      </c>
      <c r="G32" s="55">
        <f t="shared" si="1"/>
        <v>485</v>
      </c>
      <c r="H32" s="59">
        <v>555</v>
      </c>
      <c r="I32" s="60">
        <f t="shared" si="2"/>
        <v>0.12612612612612617</v>
      </c>
      <c r="S32" s="63"/>
    </row>
    <row r="33" spans="5:19">
      <c r="E33" s="54" t="s">
        <v>56</v>
      </c>
      <c r="F33" s="54" t="s">
        <v>84</v>
      </c>
      <c r="G33" s="55">
        <f t="shared" si="1"/>
        <v>485</v>
      </c>
      <c r="H33" s="59">
        <v>555</v>
      </c>
      <c r="I33" s="60">
        <f t="shared" si="2"/>
        <v>0.12612612612612617</v>
      </c>
      <c r="S33" s="63"/>
    </row>
    <row r="34" spans="5:19">
      <c r="E34" s="54" t="s">
        <v>78</v>
      </c>
      <c r="F34" s="54" t="s">
        <v>85</v>
      </c>
      <c r="G34" s="55">
        <f t="shared" si="1"/>
        <v>485</v>
      </c>
      <c r="H34" s="59">
        <v>555</v>
      </c>
      <c r="I34" s="60">
        <f t="shared" si="2"/>
        <v>0.12612612612612617</v>
      </c>
    </row>
    <row r="35" spans="5:19" ht="15.6">
      <c r="E35" s="57"/>
      <c r="F35" s="58"/>
      <c r="G35" s="64">
        <f>SUM(G23:G34)</f>
        <v>14720</v>
      </c>
      <c r="H35" s="64">
        <f>SUM(H23:H34)</f>
        <v>17574</v>
      </c>
      <c r="I35" s="60">
        <f t="shared" si="2"/>
        <v>0.16239899852054174</v>
      </c>
    </row>
    <row r="38" spans="5:19">
      <c r="E38" s="67" t="s">
        <v>26</v>
      </c>
      <c r="F38" s="67"/>
      <c r="G38" s="67"/>
      <c r="H38" s="67"/>
      <c r="I38" s="67"/>
      <c r="L38" s="2"/>
      <c r="M38" s="2"/>
      <c r="N38" s="2"/>
      <c r="O38" s="2"/>
    </row>
    <row r="39" spans="5:19">
      <c r="L39" s="44"/>
      <c r="M39" s="2"/>
      <c r="N39" s="2"/>
      <c r="O39" s="2"/>
    </row>
    <row r="40" spans="5:19"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</row>
    <row r="41" spans="5:19">
      <c r="E41" s="54" t="s">
        <v>55</v>
      </c>
      <c r="F41" s="54" t="s">
        <v>83</v>
      </c>
      <c r="G41" s="54">
        <v>520</v>
      </c>
      <c r="H41" s="59">
        <v>528</v>
      </c>
      <c r="I41" s="61">
        <f>1-G41/H41</f>
        <v>1.5151515151515138E-2</v>
      </c>
    </row>
    <row r="42" spans="5:19">
      <c r="E42" s="54" t="s">
        <v>0</v>
      </c>
      <c r="F42" s="54" t="s">
        <v>20</v>
      </c>
      <c r="G42" s="54">
        <v>422</v>
      </c>
      <c r="H42" s="59">
        <v>434</v>
      </c>
      <c r="I42" s="61">
        <f t="shared" ref="I42:I53" si="3">1-G42/H42</f>
        <v>2.7649769585253448E-2</v>
      </c>
    </row>
    <row r="43" spans="5:19">
      <c r="E43" s="54" t="s">
        <v>68</v>
      </c>
      <c r="F43" s="54" t="s">
        <v>81</v>
      </c>
      <c r="G43" s="54">
        <v>305</v>
      </c>
      <c r="H43" s="59">
        <v>322</v>
      </c>
      <c r="I43" s="61">
        <f t="shared" si="3"/>
        <v>5.2795031055900665E-2</v>
      </c>
    </row>
    <row r="44" spans="5:19">
      <c r="E44" s="54" t="s">
        <v>1</v>
      </c>
      <c r="F44" s="54" t="s">
        <v>73</v>
      </c>
      <c r="G44" s="54">
        <v>282</v>
      </c>
      <c r="H44" s="59">
        <v>284</v>
      </c>
      <c r="I44" s="62">
        <f t="shared" si="3"/>
        <v>7.0422535211267512E-3</v>
      </c>
    </row>
    <row r="45" spans="5:19">
      <c r="E45" s="54" t="s">
        <v>2</v>
      </c>
      <c r="F45" s="54" t="s">
        <v>74</v>
      </c>
      <c r="G45" s="54">
        <v>270</v>
      </c>
      <c r="H45" s="59">
        <v>284</v>
      </c>
      <c r="I45" s="61">
        <f t="shared" si="3"/>
        <v>4.9295774647887369E-2</v>
      </c>
    </row>
    <row r="46" spans="5:19">
      <c r="E46" s="54" t="s">
        <v>3</v>
      </c>
      <c r="F46" s="54" t="s">
        <v>75</v>
      </c>
      <c r="G46" s="54">
        <v>175</v>
      </c>
      <c r="H46" s="59">
        <v>180</v>
      </c>
      <c r="I46" s="61">
        <f t="shared" si="3"/>
        <v>2.777777777777779E-2</v>
      </c>
    </row>
    <row r="47" spans="5:19">
      <c r="E47" s="54" t="s">
        <v>19</v>
      </c>
      <c r="F47" s="54" t="s">
        <v>76</v>
      </c>
      <c r="G47" s="54">
        <v>280</v>
      </c>
      <c r="H47" s="59">
        <v>292</v>
      </c>
      <c r="I47" s="61">
        <f t="shared" si="3"/>
        <v>4.1095890410958957E-2</v>
      </c>
    </row>
    <row r="48" spans="5:19">
      <c r="E48" s="54" t="s">
        <v>5</v>
      </c>
      <c r="F48" s="54" t="s">
        <v>77</v>
      </c>
      <c r="G48" s="54">
        <v>73</v>
      </c>
      <c r="H48" s="59">
        <v>72</v>
      </c>
      <c r="I48" s="61">
        <f t="shared" si="3"/>
        <v>-1.388888888888884E-2</v>
      </c>
    </row>
    <row r="49" spans="5:9">
      <c r="E49" s="54" t="s">
        <v>6</v>
      </c>
      <c r="F49" s="54" t="s">
        <v>21</v>
      </c>
      <c r="G49" s="54">
        <v>326</v>
      </c>
      <c r="H49" s="59">
        <v>312</v>
      </c>
      <c r="I49" s="61">
        <f t="shared" si="3"/>
        <v>-4.4871794871794934E-2</v>
      </c>
    </row>
    <row r="50" spans="5:9">
      <c r="E50" s="54" t="s">
        <v>72</v>
      </c>
      <c r="F50" s="54" t="s">
        <v>82</v>
      </c>
      <c r="G50" s="54">
        <v>97</v>
      </c>
      <c r="H50" s="59">
        <v>94</v>
      </c>
      <c r="I50" s="61">
        <f t="shared" si="3"/>
        <v>-3.1914893617021267E-2</v>
      </c>
    </row>
    <row r="51" spans="5:9">
      <c r="E51" s="54" t="s">
        <v>56</v>
      </c>
      <c r="F51" s="54" t="s">
        <v>84</v>
      </c>
      <c r="G51" s="54">
        <v>97</v>
      </c>
      <c r="H51" s="59">
        <v>94</v>
      </c>
      <c r="I51" s="61">
        <f t="shared" si="3"/>
        <v>-3.1914893617021267E-2</v>
      </c>
    </row>
    <row r="52" spans="5:9">
      <c r="E52" s="54" t="s">
        <v>78</v>
      </c>
      <c r="F52" s="54" t="s">
        <v>85</v>
      </c>
      <c r="G52" s="54">
        <v>97</v>
      </c>
      <c r="H52" s="59">
        <v>94</v>
      </c>
      <c r="I52" s="61">
        <f t="shared" si="3"/>
        <v>-3.1914893617021267E-2</v>
      </c>
    </row>
    <row r="53" spans="5:9">
      <c r="G53" s="55">
        <f>SUM(G41:G52)</f>
        <v>2944</v>
      </c>
      <c r="H53" s="55">
        <f>SUM(H41:H52)</f>
        <v>2990</v>
      </c>
      <c r="I53" s="61">
        <f t="shared" si="3"/>
        <v>1.538461538461533E-2</v>
      </c>
    </row>
  </sheetData>
  <mergeCells count="3">
    <mergeCell ref="E20:I20"/>
    <mergeCell ref="E38:I38"/>
    <mergeCell ref="E3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Шаблоны соотвествие профилю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Гульнара</cp:lastModifiedBy>
  <dcterms:created xsi:type="dcterms:W3CDTF">2015-06-05T18:19:34Z</dcterms:created>
  <dcterms:modified xsi:type="dcterms:W3CDTF">2022-07-18T18:43:42Z</dcterms:modified>
</cp:coreProperties>
</file>