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nance\project\FinClub\"/>
    </mc:Choice>
  </mc:AlternateContent>
  <xr:revisionPtr revIDLastSave="0" documentId="13_ncr:1_{3500906F-7C6A-45F6-8A20-C6EB41E0A87D}" xr6:coauthVersionLast="47" xr6:coauthVersionMax="47" xr10:uidLastSave="{00000000-0000-0000-0000-000000000000}"/>
  <bookViews>
    <workbookView xWindow="-108" yWindow="-108" windowWidth="23256" windowHeight="12456" tabRatio="673" activeTab="2" xr2:uid="{97075693-3A39-419D-8726-BE5ACFEC4320}"/>
  </bookViews>
  <sheets>
    <sheet name="DCF&gt;" sheetId="3" r:id="rId1"/>
    <sheet name="WACC" sheetId="1" r:id="rId2"/>
    <sheet name="DCF" sheetId="17" r:id="rId3"/>
    <sheet name="Data&gt;" sheetId="2" r:id="rId4"/>
    <sheet name="Beta-Regression" sheetId="4" r:id="rId5"/>
    <sheet name="M&amp;M Beta" sheetId="5" r:id="rId6"/>
    <sheet name="BajajA-Beta" sheetId="6" r:id="rId7"/>
    <sheet name="EicherM Beta" sheetId="7" r:id="rId8"/>
    <sheet name="Maruti Beta" sheetId="8" r:id="rId9"/>
    <sheet name="Beta Comps" sheetId="9" r:id="rId10"/>
    <sheet name="Ratio Analysis " sheetId="18" r:id="rId11"/>
    <sheet name="Rm" sheetId="10" r:id="rId12"/>
    <sheet name="Intrinsic Growth" sheetId="16" r:id="rId13"/>
    <sheet name="Data Room&gt;" sheetId="14" r:id="rId14"/>
    <sheet name="Data Sheet" sheetId="12" r:id="rId15"/>
    <sheet name="Raw FS" sheetId="15" r:id="rId16"/>
    <sheet name="Historical FS" sheetId="11" r:id="rId17"/>
    <sheet name="Cash Flow" sheetId="19" r:id="rId18"/>
  </sheets>
  <externalReferences>
    <externalReference r:id="rId19"/>
  </externalReferences>
  <definedNames>
    <definedName name="_xlnm._FilterDatabase" localSheetId="6" hidden="1">'BajajA-Beta'!$B$6:$D$6</definedName>
    <definedName name="_xlnm._FilterDatabase" localSheetId="4" hidden="1">'Beta-Regression'!$B$6:$D$6</definedName>
    <definedName name="UPDATE" localSheetId="10">'[1]Data Sheet'!$E$1</definedName>
    <definedName name="UPDATE">'Data Sheet'!$E$1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0" i="11" l="1"/>
  <c r="E70" i="11"/>
  <c r="F70" i="11"/>
  <c r="G70" i="11"/>
  <c r="H70" i="11"/>
  <c r="I70" i="11"/>
  <c r="J70" i="11"/>
  <c r="K70" i="11"/>
  <c r="L70" i="11"/>
  <c r="D71" i="11"/>
  <c r="E71" i="11"/>
  <c r="F71" i="11"/>
  <c r="G71" i="11"/>
  <c r="H71" i="11"/>
  <c r="I71" i="11"/>
  <c r="J71" i="11"/>
  <c r="K71" i="11"/>
  <c r="L71" i="11"/>
  <c r="D72" i="11"/>
  <c r="E72" i="11"/>
  <c r="F72" i="11"/>
  <c r="G72" i="11"/>
  <c r="H72" i="11"/>
  <c r="I72" i="11"/>
  <c r="J72" i="11"/>
  <c r="K72" i="11"/>
  <c r="L72" i="11"/>
  <c r="D73" i="11"/>
  <c r="E73" i="11"/>
  <c r="F73" i="11"/>
  <c r="G73" i="11"/>
  <c r="H73" i="11"/>
  <c r="I73" i="11"/>
  <c r="J73" i="11"/>
  <c r="K73" i="11"/>
  <c r="L73" i="11"/>
  <c r="D74" i="11"/>
  <c r="E74" i="11"/>
  <c r="F74" i="11"/>
  <c r="G74" i="11"/>
  <c r="H74" i="11"/>
  <c r="I74" i="11"/>
  <c r="J74" i="11"/>
  <c r="K74" i="11"/>
  <c r="L74" i="11"/>
  <c r="D75" i="11"/>
  <c r="E75" i="11"/>
  <c r="F75" i="11"/>
  <c r="G75" i="11"/>
  <c r="H75" i="11"/>
  <c r="I75" i="11"/>
  <c r="J75" i="11"/>
  <c r="K75" i="11"/>
  <c r="L75" i="11"/>
  <c r="D76" i="11"/>
  <c r="E76" i="11"/>
  <c r="F76" i="11"/>
  <c r="G76" i="11"/>
  <c r="H76" i="11"/>
  <c r="I76" i="11"/>
  <c r="J76" i="11"/>
  <c r="K76" i="11"/>
  <c r="L76" i="11"/>
  <c r="D77" i="11"/>
  <c r="E77" i="11"/>
  <c r="F77" i="11"/>
  <c r="G77" i="11"/>
  <c r="H77" i="11"/>
  <c r="I77" i="11"/>
  <c r="J77" i="11"/>
  <c r="K77" i="11"/>
  <c r="L77" i="11"/>
  <c r="C71" i="11"/>
  <c r="C72" i="11"/>
  <c r="C73" i="11"/>
  <c r="C74" i="11"/>
  <c r="C75" i="11"/>
  <c r="C76" i="11"/>
  <c r="C77" i="11"/>
  <c r="B2" i="18"/>
  <c r="D3" i="18"/>
  <c r="E3" i="18"/>
  <c r="F3" i="18"/>
  <c r="G3" i="18"/>
  <c r="H3" i="18"/>
  <c r="I3" i="18"/>
  <c r="J3" i="18"/>
  <c r="K3" i="18"/>
  <c r="L3" i="18"/>
  <c r="C3" i="18"/>
  <c r="G12" i="17"/>
  <c r="H12" i="17"/>
  <c r="I12" i="17"/>
  <c r="J12" i="17"/>
  <c r="F8" i="17"/>
  <c r="G8" i="17"/>
  <c r="H8" i="17"/>
  <c r="I8" i="17"/>
  <c r="J8" i="17"/>
  <c r="G4" i="17"/>
  <c r="H4" i="17" s="1"/>
  <c r="F6" i="17"/>
  <c r="G6" i="17"/>
  <c r="D95" i="11"/>
  <c r="E95" i="11"/>
  <c r="F95" i="11"/>
  <c r="G95" i="11"/>
  <c r="H95" i="11"/>
  <c r="I95" i="11"/>
  <c r="J95" i="11"/>
  <c r="K95" i="11"/>
  <c r="L95" i="11"/>
  <c r="D96" i="11"/>
  <c r="E96" i="11"/>
  <c r="F96" i="11"/>
  <c r="G96" i="11"/>
  <c r="H96" i="11"/>
  <c r="I96" i="11"/>
  <c r="J96" i="11"/>
  <c r="K96" i="11"/>
  <c r="L96" i="11"/>
  <c r="D97" i="11"/>
  <c r="E97" i="11"/>
  <c r="F97" i="11"/>
  <c r="G97" i="11"/>
  <c r="H97" i="11"/>
  <c r="I97" i="11"/>
  <c r="J97" i="11"/>
  <c r="K97" i="11"/>
  <c r="L97" i="11"/>
  <c r="D98" i="11"/>
  <c r="E98" i="11"/>
  <c r="F98" i="11"/>
  <c r="G98" i="11"/>
  <c r="H98" i="11"/>
  <c r="I98" i="11"/>
  <c r="J98" i="11"/>
  <c r="K98" i="11"/>
  <c r="L98" i="11"/>
  <c r="D99" i="11"/>
  <c r="E99" i="11"/>
  <c r="F99" i="11"/>
  <c r="G99" i="11"/>
  <c r="H99" i="11"/>
  <c r="I99" i="11"/>
  <c r="J99" i="11"/>
  <c r="K99" i="11"/>
  <c r="L99" i="11"/>
  <c r="D100" i="11"/>
  <c r="E100" i="11"/>
  <c r="F100" i="11"/>
  <c r="G100" i="11"/>
  <c r="H100" i="11"/>
  <c r="I100" i="11"/>
  <c r="J100" i="11"/>
  <c r="K100" i="11"/>
  <c r="L100" i="11"/>
  <c r="D101" i="11"/>
  <c r="E101" i="11"/>
  <c r="F101" i="11"/>
  <c r="G101" i="11"/>
  <c r="H101" i="11"/>
  <c r="I101" i="11"/>
  <c r="J101" i="11"/>
  <c r="K101" i="11"/>
  <c r="L101" i="11"/>
  <c r="D102" i="11"/>
  <c r="E102" i="11"/>
  <c r="F102" i="11"/>
  <c r="G102" i="11"/>
  <c r="H102" i="11"/>
  <c r="I102" i="11"/>
  <c r="J102" i="11"/>
  <c r="K102" i="11"/>
  <c r="L102" i="11"/>
  <c r="C96" i="11"/>
  <c r="C97" i="11"/>
  <c r="C98" i="11"/>
  <c r="C99" i="11"/>
  <c r="C100" i="11"/>
  <c r="C101" i="11"/>
  <c r="C102" i="11"/>
  <c r="C95" i="11"/>
  <c r="D81" i="11"/>
  <c r="E81" i="11"/>
  <c r="F81" i="11"/>
  <c r="G81" i="11"/>
  <c r="H81" i="11"/>
  <c r="I81" i="11"/>
  <c r="J81" i="11"/>
  <c r="K81" i="11"/>
  <c r="L81" i="11"/>
  <c r="D82" i="11"/>
  <c r="E82" i="11"/>
  <c r="F82" i="11"/>
  <c r="G82" i="11"/>
  <c r="H82" i="11"/>
  <c r="I82" i="11"/>
  <c r="J82" i="11"/>
  <c r="K82" i="11"/>
  <c r="L82" i="11"/>
  <c r="D83" i="11"/>
  <c r="E83" i="11"/>
  <c r="F83" i="11"/>
  <c r="G83" i="11"/>
  <c r="H83" i="11"/>
  <c r="I83" i="11"/>
  <c r="J83" i="11"/>
  <c r="K83" i="11"/>
  <c r="L83" i="11"/>
  <c r="D84" i="11"/>
  <c r="E84" i="11"/>
  <c r="F84" i="11"/>
  <c r="G84" i="11"/>
  <c r="H84" i="11"/>
  <c r="I84" i="11"/>
  <c r="J84" i="11"/>
  <c r="K84" i="11"/>
  <c r="L84" i="11"/>
  <c r="D85" i="11"/>
  <c r="E85" i="11"/>
  <c r="F85" i="11"/>
  <c r="G85" i="11"/>
  <c r="H85" i="11"/>
  <c r="I85" i="11"/>
  <c r="J85" i="11"/>
  <c r="K85" i="11"/>
  <c r="L85" i="11"/>
  <c r="D86" i="11"/>
  <c r="E86" i="11"/>
  <c r="F86" i="11"/>
  <c r="G86" i="11"/>
  <c r="H86" i="11"/>
  <c r="I86" i="11"/>
  <c r="J86" i="11"/>
  <c r="K86" i="11"/>
  <c r="L86" i="11"/>
  <c r="D87" i="11"/>
  <c r="E87" i="11"/>
  <c r="F87" i="11"/>
  <c r="G87" i="11"/>
  <c r="H87" i="11"/>
  <c r="I87" i="11"/>
  <c r="J87" i="11"/>
  <c r="K87" i="11"/>
  <c r="L87" i="11"/>
  <c r="D88" i="11"/>
  <c r="E88" i="11"/>
  <c r="F88" i="11"/>
  <c r="G88" i="11"/>
  <c r="H88" i="11"/>
  <c r="I88" i="11"/>
  <c r="J88" i="11"/>
  <c r="K88" i="11"/>
  <c r="L88" i="11"/>
  <c r="D89" i="11"/>
  <c r="E89" i="11"/>
  <c r="F89" i="11"/>
  <c r="G89" i="11"/>
  <c r="H89" i="11"/>
  <c r="I89" i="11"/>
  <c r="J89" i="11"/>
  <c r="K89" i="11"/>
  <c r="L89" i="11"/>
  <c r="D90" i="11"/>
  <c r="E90" i="11"/>
  <c r="F90" i="11"/>
  <c r="G90" i="11"/>
  <c r="H90" i="11"/>
  <c r="I90" i="11"/>
  <c r="J90" i="11"/>
  <c r="K90" i="11"/>
  <c r="L90" i="11"/>
  <c r="D91" i="11"/>
  <c r="E91" i="11"/>
  <c r="F91" i="11"/>
  <c r="G91" i="11"/>
  <c r="H91" i="11"/>
  <c r="I91" i="11"/>
  <c r="J91" i="11"/>
  <c r="K91" i="11"/>
  <c r="L91" i="11"/>
  <c r="C82" i="11"/>
  <c r="C83" i="11"/>
  <c r="C84" i="11"/>
  <c r="C85" i="11"/>
  <c r="C86" i="11"/>
  <c r="C87" i="11"/>
  <c r="C88" i="11"/>
  <c r="C89" i="11"/>
  <c r="C90" i="11"/>
  <c r="C91" i="11"/>
  <c r="C81" i="11"/>
  <c r="C70" i="11"/>
  <c r="I4" i="17" l="1"/>
  <c r="H6" i="17"/>
  <c r="I6" i="17" l="1"/>
  <c r="J4" i="17"/>
  <c r="J6" i="17" s="1"/>
  <c r="D34" i="17"/>
  <c r="D33" i="17"/>
  <c r="D22" i="17"/>
  <c r="G9" i="17"/>
  <c r="H9" i="17" s="1"/>
  <c r="I9" i="17" s="1"/>
  <c r="J9" i="17" s="1"/>
  <c r="F5" i="17"/>
  <c r="G5" i="17" s="1"/>
  <c r="H5" i="17" s="1"/>
  <c r="I5" i="17" s="1"/>
  <c r="J5" i="17" s="1"/>
  <c r="G55" i="16"/>
  <c r="H41" i="16"/>
  <c r="I41" i="16"/>
  <c r="J41" i="16"/>
  <c r="K41" i="16"/>
  <c r="G41" i="16"/>
  <c r="H30" i="16"/>
  <c r="I30" i="16"/>
  <c r="J30" i="16"/>
  <c r="K30" i="16"/>
  <c r="G30" i="16"/>
  <c r="B30" i="16"/>
  <c r="G21" i="16"/>
  <c r="H21" i="16"/>
  <c r="I21" i="16"/>
  <c r="J21" i="16"/>
  <c r="K21" i="16"/>
  <c r="G22" i="16"/>
  <c r="H22" i="16"/>
  <c r="I22" i="16"/>
  <c r="J22" i="16"/>
  <c r="K22" i="16"/>
  <c r="G23" i="16"/>
  <c r="H23" i="16"/>
  <c r="I23" i="16"/>
  <c r="J23" i="16"/>
  <c r="K23" i="16"/>
  <c r="G24" i="16"/>
  <c r="H24" i="16"/>
  <c r="I24" i="16"/>
  <c r="J24" i="16"/>
  <c r="K24" i="16"/>
  <c r="G25" i="16"/>
  <c r="H25" i="16"/>
  <c r="I25" i="16"/>
  <c r="J25" i="16"/>
  <c r="K25" i="16"/>
  <c r="G26" i="16"/>
  <c r="H26" i="16"/>
  <c r="I26" i="16"/>
  <c r="J26" i="16"/>
  <c r="K26" i="16"/>
  <c r="G27" i="16"/>
  <c r="H27" i="16"/>
  <c r="I27" i="16"/>
  <c r="J27" i="16"/>
  <c r="K27" i="16"/>
  <c r="G28" i="16"/>
  <c r="H28" i="16"/>
  <c r="I28" i="16"/>
  <c r="J28" i="16"/>
  <c r="K28" i="16"/>
  <c r="H20" i="16"/>
  <c r="I20" i="16"/>
  <c r="J20" i="16"/>
  <c r="K20" i="16"/>
  <c r="G20" i="16"/>
  <c r="B27" i="16"/>
  <c r="B28" i="16"/>
  <c r="B21" i="16"/>
  <c r="B22" i="16"/>
  <c r="B23" i="16"/>
  <c r="B24" i="16"/>
  <c r="B25" i="16"/>
  <c r="B26" i="16"/>
  <c r="B20" i="16"/>
  <c r="I2" i="16"/>
  <c r="I39" i="16" s="1"/>
  <c r="I55" i="16" s="1"/>
  <c r="G13" i="16"/>
  <c r="H13" i="16"/>
  <c r="I13" i="16"/>
  <c r="J13" i="16"/>
  <c r="K13" i="16"/>
  <c r="G14" i="16"/>
  <c r="H14" i="16"/>
  <c r="I14" i="16"/>
  <c r="J14" i="16"/>
  <c r="K14" i="16"/>
  <c r="H12" i="16"/>
  <c r="I12" i="16"/>
  <c r="J12" i="16"/>
  <c r="K12" i="16"/>
  <c r="G12" i="16"/>
  <c r="B13" i="16"/>
  <c r="B14" i="16"/>
  <c r="B12" i="16"/>
  <c r="H7" i="16"/>
  <c r="I7" i="16"/>
  <c r="J7" i="16"/>
  <c r="K7" i="16"/>
  <c r="H8" i="16"/>
  <c r="I8" i="16"/>
  <c r="J8" i="16"/>
  <c r="K8" i="16"/>
  <c r="G8" i="16"/>
  <c r="H6" i="16"/>
  <c r="I6" i="16"/>
  <c r="J6" i="16"/>
  <c r="K6" i="16"/>
  <c r="G6" i="16"/>
  <c r="G7" i="16"/>
  <c r="H5" i="16"/>
  <c r="I5" i="16"/>
  <c r="J5" i="16"/>
  <c r="K5" i="16"/>
  <c r="G5" i="16"/>
  <c r="B8" i="16"/>
  <c r="B7" i="16"/>
  <c r="B5" i="16"/>
  <c r="B6" i="16"/>
  <c r="G2" i="16"/>
  <c r="G39" i="16" s="1"/>
  <c r="H2" i="16"/>
  <c r="H39" i="16" s="1"/>
  <c r="H55" i="16" s="1"/>
  <c r="J2" i="16"/>
  <c r="J39" i="16" s="1"/>
  <c r="J55" i="16" s="1"/>
  <c r="K2" i="16"/>
  <c r="K39" i="16" s="1"/>
  <c r="K55" i="16" s="1"/>
  <c r="D30" i="15"/>
  <c r="E30" i="15"/>
  <c r="F30" i="15"/>
  <c r="G30" i="15"/>
  <c r="H30" i="15"/>
  <c r="I30" i="15"/>
  <c r="J30" i="15"/>
  <c r="K30" i="15"/>
  <c r="L30" i="15"/>
  <c r="M30" i="15"/>
  <c r="N30" i="15"/>
  <c r="C30" i="15"/>
  <c r="E1" i="12"/>
  <c r="B6" i="12"/>
  <c r="D36" i="17" s="1"/>
  <c r="L61" i="11"/>
  <c r="K61" i="11"/>
  <c r="J61" i="11"/>
  <c r="I61" i="11"/>
  <c r="H61" i="11"/>
  <c r="G61" i="11"/>
  <c r="F61" i="11"/>
  <c r="E61" i="11"/>
  <c r="D61" i="11"/>
  <c r="C61" i="11"/>
  <c r="L60" i="11"/>
  <c r="K60" i="11"/>
  <c r="J60" i="11"/>
  <c r="I60" i="11"/>
  <c r="H60" i="11"/>
  <c r="G60" i="11"/>
  <c r="F60" i="11"/>
  <c r="E60" i="11"/>
  <c r="D60" i="11"/>
  <c r="C60" i="11"/>
  <c r="L59" i="11"/>
  <c r="K59" i="11"/>
  <c r="J59" i="11"/>
  <c r="I59" i="11"/>
  <c r="I62" i="11" s="1"/>
  <c r="H59" i="11"/>
  <c r="G59" i="11"/>
  <c r="F59" i="11"/>
  <c r="E59" i="11"/>
  <c r="D59" i="11"/>
  <c r="C59" i="11"/>
  <c r="L56" i="11"/>
  <c r="K56" i="11"/>
  <c r="J56" i="11"/>
  <c r="I56" i="11"/>
  <c r="H56" i="11"/>
  <c r="G56" i="11"/>
  <c r="F56" i="11"/>
  <c r="E56" i="11"/>
  <c r="D56" i="11"/>
  <c r="C56" i="11"/>
  <c r="L55" i="11"/>
  <c r="K55" i="11"/>
  <c r="J55" i="11"/>
  <c r="I55" i="11"/>
  <c r="H55" i="11"/>
  <c r="G55" i="11"/>
  <c r="F55" i="11"/>
  <c r="E55" i="11"/>
  <c r="D55" i="11"/>
  <c r="C55" i="11"/>
  <c r="L54" i="11"/>
  <c r="K54" i="11"/>
  <c r="J54" i="11"/>
  <c r="I54" i="11"/>
  <c r="H54" i="11"/>
  <c r="G54" i="11"/>
  <c r="F54" i="11"/>
  <c r="E54" i="11"/>
  <c r="D54" i="11"/>
  <c r="C54" i="11"/>
  <c r="L53" i="11"/>
  <c r="K53" i="11"/>
  <c r="J53" i="11"/>
  <c r="I53" i="11"/>
  <c r="H53" i="11"/>
  <c r="G53" i="11"/>
  <c r="F53" i="11"/>
  <c r="E53" i="11"/>
  <c r="D53" i="11"/>
  <c r="C53" i="11"/>
  <c r="L51" i="11"/>
  <c r="K51" i="11"/>
  <c r="J51" i="11"/>
  <c r="I51" i="11"/>
  <c r="H51" i="11"/>
  <c r="G51" i="11"/>
  <c r="F51" i="11"/>
  <c r="E51" i="11"/>
  <c r="D51" i="11"/>
  <c r="C51" i="11"/>
  <c r="L50" i="11"/>
  <c r="K50" i="11"/>
  <c r="J50" i="11"/>
  <c r="I50" i="11"/>
  <c r="H50" i="11"/>
  <c r="G50" i="11"/>
  <c r="F50" i="11"/>
  <c r="E50" i="11"/>
  <c r="D50" i="11"/>
  <c r="C50" i="11"/>
  <c r="L49" i="11"/>
  <c r="K49" i="11"/>
  <c r="J49" i="11"/>
  <c r="I49" i="11"/>
  <c r="H49" i="11"/>
  <c r="G49" i="11"/>
  <c r="F49" i="11"/>
  <c r="E49" i="11"/>
  <c r="D49" i="11"/>
  <c r="C49" i="11"/>
  <c r="L48" i="11"/>
  <c r="K48" i="11"/>
  <c r="J48" i="11"/>
  <c r="I48" i="11"/>
  <c r="H48" i="11"/>
  <c r="G48" i="11"/>
  <c r="F48" i="11"/>
  <c r="E48" i="11"/>
  <c r="D48" i="11"/>
  <c r="C48" i="11"/>
  <c r="L47" i="11"/>
  <c r="K47" i="11"/>
  <c r="J47" i="11"/>
  <c r="I47" i="11"/>
  <c r="H47" i="11"/>
  <c r="G47" i="11"/>
  <c r="F47" i="11"/>
  <c r="E47" i="11"/>
  <c r="D47" i="11"/>
  <c r="C47" i="11"/>
  <c r="M36" i="11"/>
  <c r="M41" i="11" s="1"/>
  <c r="L36" i="11"/>
  <c r="L41" i="11" s="1"/>
  <c r="K36" i="11"/>
  <c r="K41" i="11" s="1"/>
  <c r="J36" i="11"/>
  <c r="J41" i="11" s="1"/>
  <c r="I36" i="11"/>
  <c r="I41" i="11" s="1"/>
  <c r="H36" i="11"/>
  <c r="H41" i="11" s="1"/>
  <c r="G36" i="11"/>
  <c r="G41" i="11" s="1"/>
  <c r="F36" i="11"/>
  <c r="F41" i="11" s="1"/>
  <c r="E36" i="11"/>
  <c r="E41" i="11" s="1"/>
  <c r="D36" i="11"/>
  <c r="D41" i="11" s="1"/>
  <c r="C36" i="11"/>
  <c r="C41" i="11" s="1"/>
  <c r="M30" i="11"/>
  <c r="L30" i="11"/>
  <c r="K30" i="11"/>
  <c r="J30" i="11"/>
  <c r="I30" i="11"/>
  <c r="H30" i="11"/>
  <c r="G30" i="11"/>
  <c r="F30" i="11"/>
  <c r="E30" i="11"/>
  <c r="D30" i="11"/>
  <c r="C30" i="11"/>
  <c r="M27" i="11"/>
  <c r="M24" i="11"/>
  <c r="L24" i="11"/>
  <c r="K24" i="11"/>
  <c r="J24" i="11"/>
  <c r="I24" i="11"/>
  <c r="H24" i="11"/>
  <c r="G24" i="11"/>
  <c r="F24" i="11"/>
  <c r="E24" i="11"/>
  <c r="E25" i="11" s="1"/>
  <c r="E18" i="18" s="1"/>
  <c r="D24" i="11"/>
  <c r="C24" i="11"/>
  <c r="M21" i="11"/>
  <c r="L21" i="11"/>
  <c r="K21" i="11"/>
  <c r="J21" i="11"/>
  <c r="I21" i="11"/>
  <c r="H21" i="11"/>
  <c r="G21" i="11"/>
  <c r="F21" i="11"/>
  <c r="E21" i="11"/>
  <c r="D21" i="11"/>
  <c r="C21" i="11"/>
  <c r="M15" i="11"/>
  <c r="L15" i="11"/>
  <c r="K15" i="11"/>
  <c r="J15" i="11"/>
  <c r="I15" i="11"/>
  <c r="H15" i="11"/>
  <c r="G15" i="11"/>
  <c r="G16" i="11" s="1"/>
  <c r="G17" i="18" s="1"/>
  <c r="F15" i="11"/>
  <c r="E15" i="11"/>
  <c r="E16" i="11" s="1"/>
  <c r="E17" i="18" s="1"/>
  <c r="D15" i="11"/>
  <c r="C15" i="11"/>
  <c r="M9" i="11"/>
  <c r="L9" i="11"/>
  <c r="K9" i="11"/>
  <c r="J9" i="11"/>
  <c r="I9" i="11"/>
  <c r="H9" i="11"/>
  <c r="H10" i="11" s="1"/>
  <c r="G9" i="11"/>
  <c r="F9" i="11"/>
  <c r="F10" i="11" s="1"/>
  <c r="E9" i="11"/>
  <c r="D9" i="11"/>
  <c r="C9" i="11"/>
  <c r="C10" i="11" s="1"/>
  <c r="M6" i="11"/>
  <c r="L6" i="11"/>
  <c r="K6" i="11"/>
  <c r="J6" i="11"/>
  <c r="I6" i="11"/>
  <c r="H6" i="11"/>
  <c r="G6" i="11"/>
  <c r="F6" i="11"/>
  <c r="E6" i="11"/>
  <c r="D6" i="11"/>
  <c r="C6" i="11"/>
  <c r="L3" i="11"/>
  <c r="K3" i="11"/>
  <c r="J3" i="11"/>
  <c r="I3" i="11"/>
  <c r="H3" i="11"/>
  <c r="G3" i="11"/>
  <c r="F3" i="11"/>
  <c r="E3" i="11"/>
  <c r="D3" i="11"/>
  <c r="C3" i="11"/>
  <c r="B2" i="11"/>
  <c r="E7" i="11" l="1"/>
  <c r="E5" i="18" s="1"/>
  <c r="E30" i="18"/>
  <c r="E27" i="18"/>
  <c r="E33" i="18" s="1"/>
  <c r="E28" i="18"/>
  <c r="E34" i="18" s="1"/>
  <c r="E31" i="18"/>
  <c r="E29" i="18"/>
  <c r="E35" i="18" s="1"/>
  <c r="E36" i="18" s="1"/>
  <c r="F16" i="11"/>
  <c r="F17" i="18" s="1"/>
  <c r="F30" i="18"/>
  <c r="F27" i="18"/>
  <c r="F33" i="18" s="1"/>
  <c r="F36" i="18" s="1"/>
  <c r="F29" i="18"/>
  <c r="F35" i="18" s="1"/>
  <c r="F28" i="18"/>
  <c r="F34" i="18" s="1"/>
  <c r="F31" i="18"/>
  <c r="E10" i="11"/>
  <c r="F22" i="11"/>
  <c r="D12" i="11"/>
  <c r="D31" i="18"/>
  <c r="D30" i="18"/>
  <c r="D29" i="18"/>
  <c r="D35" i="18" s="1"/>
  <c r="D27" i="18"/>
  <c r="D33" i="18" s="1"/>
  <c r="D28" i="18"/>
  <c r="D34" i="18" s="1"/>
  <c r="D36" i="18" s="1"/>
  <c r="F62" i="11"/>
  <c r="G10" i="11"/>
  <c r="I27" i="18"/>
  <c r="I33" i="18" s="1"/>
  <c r="I31" i="18"/>
  <c r="I29" i="18"/>
  <c r="I35" i="18" s="1"/>
  <c r="I30" i="18"/>
  <c r="I28" i="18"/>
  <c r="I34" i="18" s="1"/>
  <c r="J22" i="11"/>
  <c r="J27" i="18"/>
  <c r="J33" i="18" s="1"/>
  <c r="J31" i="18"/>
  <c r="J30" i="18"/>
  <c r="J28" i="18"/>
  <c r="J34" i="18" s="1"/>
  <c r="J29" i="18"/>
  <c r="J35" i="18" s="1"/>
  <c r="K12" i="11"/>
  <c r="K28" i="18"/>
  <c r="K34" i="18" s="1"/>
  <c r="K29" i="18"/>
  <c r="K35" i="18" s="1"/>
  <c r="K27" i="18"/>
  <c r="K33" i="18" s="1"/>
  <c r="K31" i="18"/>
  <c r="K30" i="18"/>
  <c r="L57" i="11"/>
  <c r="H62" i="11"/>
  <c r="E2" i="17"/>
  <c r="F2" i="17" s="1"/>
  <c r="G2" i="17" s="1"/>
  <c r="H2" i="17" s="1"/>
  <c r="I2" i="17" s="1"/>
  <c r="J2" i="17" s="1"/>
  <c r="L25" i="11"/>
  <c r="L18" i="18" s="1"/>
  <c r="L28" i="18"/>
  <c r="L34" i="18" s="1"/>
  <c r="L27" i="18"/>
  <c r="L33" i="18" s="1"/>
  <c r="L36" i="18" s="1"/>
  <c r="L31" i="18"/>
  <c r="L29" i="18"/>
  <c r="L35" i="18" s="1"/>
  <c r="L30" i="18"/>
  <c r="M25" i="11"/>
  <c r="M22" i="11"/>
  <c r="M28" i="11"/>
  <c r="J62" i="11"/>
  <c r="M10" i="11"/>
  <c r="J16" i="11"/>
  <c r="J17" i="18" s="1"/>
  <c r="C25" i="11"/>
  <c r="C18" i="18" s="1"/>
  <c r="C57" i="11"/>
  <c r="K62" i="11"/>
  <c r="G29" i="18"/>
  <c r="G35" i="18" s="1"/>
  <c r="G30" i="18"/>
  <c r="G28" i="18"/>
  <c r="G34" i="18" s="1"/>
  <c r="G27" i="18"/>
  <c r="G33" i="18" s="1"/>
  <c r="G31" i="18"/>
  <c r="H22" i="11"/>
  <c r="H27" i="18"/>
  <c r="H33" i="18" s="1"/>
  <c r="H31" i="18"/>
  <c r="H30" i="18"/>
  <c r="H29" i="18"/>
  <c r="H35" i="18" s="1"/>
  <c r="H28" i="18"/>
  <c r="H34" i="18" s="1"/>
  <c r="D7" i="11"/>
  <c r="D5" i="18" s="1"/>
  <c r="C31" i="18"/>
  <c r="C28" i="18"/>
  <c r="C34" i="18" s="1"/>
  <c r="C27" i="18"/>
  <c r="C33" i="18" s="1"/>
  <c r="C36" i="18" s="1"/>
  <c r="C30" i="18"/>
  <c r="C29" i="18"/>
  <c r="C35" i="18" s="1"/>
  <c r="G7" i="11"/>
  <c r="G5" i="18" s="1"/>
  <c r="C16" i="11"/>
  <c r="C17" i="18" s="1"/>
  <c r="D25" i="11"/>
  <c r="D18" i="18" s="1"/>
  <c r="D57" i="11"/>
  <c r="J15" i="16"/>
  <c r="G15" i="16"/>
  <c r="K15" i="16"/>
  <c r="I15" i="16"/>
  <c r="H15" i="16"/>
  <c r="G29" i="16"/>
  <c r="G31" i="16" s="1"/>
  <c r="H29" i="16"/>
  <c r="H31" i="16" s="1"/>
  <c r="I9" i="16"/>
  <c r="I29" i="16"/>
  <c r="I31" i="16" s="1"/>
  <c r="H9" i="16"/>
  <c r="K29" i="16"/>
  <c r="K31" i="16" s="1"/>
  <c r="J29" i="16"/>
  <c r="J31" i="16" s="1"/>
  <c r="L103" i="11"/>
  <c r="C103" i="11"/>
  <c r="F92" i="11"/>
  <c r="G92" i="11"/>
  <c r="G78" i="11"/>
  <c r="F78" i="11"/>
  <c r="C78" i="11"/>
  <c r="G9" i="16"/>
  <c r="K9" i="16"/>
  <c r="J9" i="16"/>
  <c r="H64" i="11"/>
  <c r="H66" i="11" s="1"/>
  <c r="M7" i="11"/>
  <c r="J10" i="11"/>
  <c r="E57" i="11"/>
  <c r="K57" i="11"/>
  <c r="L62" i="11"/>
  <c r="L64" i="11" s="1"/>
  <c r="L66" i="11" s="1"/>
  <c r="D78" i="11"/>
  <c r="H92" i="11"/>
  <c r="D103" i="11"/>
  <c r="K10" i="11"/>
  <c r="F57" i="11"/>
  <c r="H57" i="11"/>
  <c r="E78" i="11"/>
  <c r="I92" i="11"/>
  <c r="E103" i="11"/>
  <c r="C12" i="11"/>
  <c r="L10" i="11"/>
  <c r="H16" i="11"/>
  <c r="H17" i="18" s="1"/>
  <c r="G22" i="11"/>
  <c r="H25" i="11"/>
  <c r="H18" i="18" s="1"/>
  <c r="G57" i="11"/>
  <c r="G64" i="11" s="1"/>
  <c r="G66" i="11" s="1"/>
  <c r="J92" i="11"/>
  <c r="F103" i="11"/>
  <c r="I16" i="11"/>
  <c r="I17" i="18" s="1"/>
  <c r="I25" i="11"/>
  <c r="I18" i="18" s="1"/>
  <c r="C62" i="11"/>
  <c r="C64" i="11" s="1"/>
  <c r="C66" i="11" s="1"/>
  <c r="G62" i="11"/>
  <c r="K92" i="11"/>
  <c r="E92" i="11"/>
  <c r="G103" i="11"/>
  <c r="E12" i="11"/>
  <c r="L7" i="11"/>
  <c r="L5" i="18" s="1"/>
  <c r="I22" i="11"/>
  <c r="I57" i="11"/>
  <c r="I64" i="11" s="1"/>
  <c r="I66" i="11" s="1"/>
  <c r="D62" i="11"/>
  <c r="H78" i="11"/>
  <c r="L92" i="11"/>
  <c r="H103" i="11"/>
  <c r="K25" i="11"/>
  <c r="K18" i="18" s="1"/>
  <c r="J57" i="11"/>
  <c r="E62" i="11"/>
  <c r="E64" i="11" s="1"/>
  <c r="E66" i="11" s="1"/>
  <c r="I78" i="11"/>
  <c r="I103" i="11"/>
  <c r="G25" i="11"/>
  <c r="G18" i="18" s="1"/>
  <c r="D10" i="11"/>
  <c r="G12" i="11"/>
  <c r="G18" i="11" s="1"/>
  <c r="L16" i="11"/>
  <c r="L17" i="18" s="1"/>
  <c r="K22" i="11"/>
  <c r="J78" i="11"/>
  <c r="J103" i="11"/>
  <c r="H12" i="11"/>
  <c r="L22" i="11"/>
  <c r="K78" i="11"/>
  <c r="C92" i="11"/>
  <c r="K103" i="11"/>
  <c r="I7" i="11"/>
  <c r="I5" i="18" s="1"/>
  <c r="L78" i="11"/>
  <c r="D92" i="11"/>
  <c r="K16" i="11"/>
  <c r="K17" i="18" s="1"/>
  <c r="M31" i="11"/>
  <c r="K13" i="11"/>
  <c r="K11" i="18" s="1"/>
  <c r="K18" i="11"/>
  <c r="C13" i="11"/>
  <c r="C11" i="18" s="1"/>
  <c r="C18" i="11"/>
  <c r="D13" i="11"/>
  <c r="D11" i="18" s="1"/>
  <c r="D18" i="11"/>
  <c r="E13" i="11"/>
  <c r="E11" i="18" s="1"/>
  <c r="E18" i="11"/>
  <c r="D64" i="11"/>
  <c r="D66" i="11" s="1"/>
  <c r="F64" i="11"/>
  <c r="F66" i="11" s="1"/>
  <c r="G19" i="11"/>
  <c r="G12" i="18" s="1"/>
  <c r="G27" i="11"/>
  <c r="F12" i="11"/>
  <c r="F7" i="11"/>
  <c r="F5" i="18" s="1"/>
  <c r="I12" i="11"/>
  <c r="D22" i="11"/>
  <c r="F25" i="11"/>
  <c r="F18" i="18" s="1"/>
  <c r="I10" i="11"/>
  <c r="J12" i="11"/>
  <c r="M16" i="11"/>
  <c r="E22" i="11"/>
  <c r="H7" i="11"/>
  <c r="H5" i="18" s="1"/>
  <c r="M33" i="11"/>
  <c r="L12" i="11"/>
  <c r="J7" i="11"/>
  <c r="J5" i="18" s="1"/>
  <c r="M12" i="11"/>
  <c r="D16" i="11"/>
  <c r="D17" i="18" s="1"/>
  <c r="J25" i="11"/>
  <c r="J18" i="18" s="1"/>
  <c r="K7" i="11"/>
  <c r="K5" i="18" s="1"/>
  <c r="C22" i="11"/>
  <c r="K21" i="18" l="1"/>
  <c r="K13" i="18"/>
  <c r="K19" i="18" s="1"/>
  <c r="K25" i="18"/>
  <c r="J34" i="16"/>
  <c r="J44" i="16" s="1"/>
  <c r="J46" i="16" s="1"/>
  <c r="H36" i="18"/>
  <c r="N5" i="18"/>
  <c r="O5" i="18"/>
  <c r="E25" i="18"/>
  <c r="E6" i="18"/>
  <c r="E21" i="18"/>
  <c r="E13" i="18"/>
  <c r="E19" i="18" s="1"/>
  <c r="J36" i="18"/>
  <c r="G25" i="18"/>
  <c r="G6" i="18"/>
  <c r="G21" i="18"/>
  <c r="G13" i="18"/>
  <c r="G19" i="18" s="1"/>
  <c r="D25" i="18"/>
  <c r="D21" i="18"/>
  <c r="D13" i="18"/>
  <c r="D19" i="18" s="1"/>
  <c r="D6" i="18"/>
  <c r="J64" i="11"/>
  <c r="J66" i="11" s="1"/>
  <c r="K64" i="11"/>
  <c r="K66" i="11" s="1"/>
  <c r="C13" i="18"/>
  <c r="C19" i="18" s="1"/>
  <c r="C25" i="18"/>
  <c r="C21" i="18"/>
  <c r="G36" i="18"/>
  <c r="K36" i="18"/>
  <c r="I36" i="18"/>
  <c r="D39" i="18"/>
  <c r="D40" i="18"/>
  <c r="D38" i="18"/>
  <c r="F39" i="18"/>
  <c r="F40" i="18"/>
  <c r="F38" i="18"/>
  <c r="G40" i="18"/>
  <c r="G39" i="18"/>
  <c r="G38" i="18"/>
  <c r="J40" i="18"/>
  <c r="J38" i="18"/>
  <c r="E39" i="18"/>
  <c r="E40" i="18"/>
  <c r="E38" i="18"/>
  <c r="K40" i="18"/>
  <c r="K38" i="18"/>
  <c r="H38" i="18"/>
  <c r="H39" i="18"/>
  <c r="H40" i="18"/>
  <c r="L39" i="18"/>
  <c r="L40" i="18"/>
  <c r="L38" i="18"/>
  <c r="C38" i="18"/>
  <c r="C40" i="18"/>
  <c r="C39" i="18"/>
  <c r="I40" i="18"/>
  <c r="I39" i="18"/>
  <c r="I38" i="18"/>
  <c r="C105" i="11"/>
  <c r="D105" i="11"/>
  <c r="G105" i="11"/>
  <c r="K105" i="11"/>
  <c r="L105" i="11"/>
  <c r="J17" i="16"/>
  <c r="G17" i="16"/>
  <c r="G33" i="16"/>
  <c r="H17" i="16"/>
  <c r="K17" i="16"/>
  <c r="I17" i="16"/>
  <c r="H105" i="11"/>
  <c r="E105" i="11"/>
  <c r="F105" i="11"/>
  <c r="J105" i="11"/>
  <c r="I105" i="11"/>
  <c r="H18" i="11"/>
  <c r="H13" i="11"/>
  <c r="H11" i="18" s="1"/>
  <c r="G13" i="11"/>
  <c r="G11" i="18" s="1"/>
  <c r="E19" i="11"/>
  <c r="E12" i="18" s="1"/>
  <c r="E27" i="11"/>
  <c r="E7" i="18" s="1"/>
  <c r="G33" i="11"/>
  <c r="G28" i="11"/>
  <c r="G14" i="18" s="1"/>
  <c r="I18" i="11"/>
  <c r="I13" i="11"/>
  <c r="I11" i="18" s="1"/>
  <c r="G31" i="11"/>
  <c r="M13" i="11"/>
  <c r="M18" i="11"/>
  <c r="M19" i="11" s="1"/>
  <c r="D19" i="11"/>
  <c r="D12" i="18" s="1"/>
  <c r="D27" i="11"/>
  <c r="C27" i="11"/>
  <c r="C19" i="11"/>
  <c r="C12" i="18" s="1"/>
  <c r="L18" i="11"/>
  <c r="L13" i="11"/>
  <c r="L11" i="18" s="1"/>
  <c r="F13" i="11"/>
  <c r="F11" i="18" s="1"/>
  <c r="F18" i="11"/>
  <c r="K27" i="11"/>
  <c r="K19" i="11"/>
  <c r="K12" i="18" s="1"/>
  <c r="J13" i="11"/>
  <c r="J11" i="18" s="1"/>
  <c r="J18" i="11"/>
  <c r="M34" i="11"/>
  <c r="M38" i="11"/>
  <c r="D7" i="18" l="1"/>
  <c r="J6" i="18"/>
  <c r="J25" i="18"/>
  <c r="J13" i="18"/>
  <c r="J19" i="18" s="1"/>
  <c r="J21" i="18"/>
  <c r="I34" i="16"/>
  <c r="I44" i="16" s="1"/>
  <c r="I46" i="16" s="1"/>
  <c r="K6" i="18"/>
  <c r="L21" i="18"/>
  <c r="L13" i="18"/>
  <c r="L19" i="18" s="1"/>
  <c r="L25" i="18"/>
  <c r="L6" i="18"/>
  <c r="K34" i="16"/>
  <c r="K39" i="18"/>
  <c r="H13" i="18"/>
  <c r="H19" i="18" s="1"/>
  <c r="H25" i="18"/>
  <c r="H6" i="18"/>
  <c r="H21" i="18"/>
  <c r="G34" i="16"/>
  <c r="G44" i="16" s="1"/>
  <c r="G46" i="16" s="1"/>
  <c r="J39" i="18"/>
  <c r="K7" i="18"/>
  <c r="G23" i="18"/>
  <c r="F21" i="18"/>
  <c r="F13" i="18"/>
  <c r="F19" i="18" s="1"/>
  <c r="F25" i="18"/>
  <c r="F6" i="18"/>
  <c r="N6" i="18" s="1"/>
  <c r="I25" i="18"/>
  <c r="I6" i="18"/>
  <c r="I21" i="18"/>
  <c r="I13" i="18"/>
  <c r="I19" i="18" s="1"/>
  <c r="H34" i="16"/>
  <c r="H44" i="16" s="1"/>
  <c r="H46" i="16" s="1"/>
  <c r="J42" i="16"/>
  <c r="J48" i="16" s="1"/>
  <c r="J50" i="16" s="1"/>
  <c r="J57" i="16" s="1"/>
  <c r="I33" i="16"/>
  <c r="I42" i="16"/>
  <c r="I48" i="16" s="1"/>
  <c r="K33" i="16"/>
  <c r="K36" i="16" s="1"/>
  <c r="K58" i="16" s="1"/>
  <c r="K42" i="16"/>
  <c r="K48" i="16" s="1"/>
  <c r="H33" i="16"/>
  <c r="H42" i="16"/>
  <c r="H48" i="16" s="1"/>
  <c r="J33" i="16"/>
  <c r="J36" i="16" s="1"/>
  <c r="J58" i="16" s="1"/>
  <c r="J60" i="16" s="1"/>
  <c r="H27" i="11"/>
  <c r="H7" i="18" s="1"/>
  <c r="H19" i="11"/>
  <c r="H12" i="18" s="1"/>
  <c r="D28" i="11"/>
  <c r="D14" i="18" s="1"/>
  <c r="D31" i="11"/>
  <c r="D33" i="11"/>
  <c r="J19" i="11"/>
  <c r="J12" i="18" s="1"/>
  <c r="J27" i="11"/>
  <c r="J7" i="18" s="1"/>
  <c r="E33" i="11"/>
  <c r="E28" i="11"/>
  <c r="E14" i="18" s="1"/>
  <c r="E31" i="11"/>
  <c r="K28" i="11"/>
  <c r="K14" i="18" s="1"/>
  <c r="K31" i="11"/>
  <c r="K33" i="11"/>
  <c r="F19" i="11"/>
  <c r="F12" i="18" s="1"/>
  <c r="F27" i="11"/>
  <c r="I19" i="11"/>
  <c r="I12" i="18" s="1"/>
  <c r="I27" i="11"/>
  <c r="G34" i="11"/>
  <c r="G15" i="18" s="1"/>
  <c r="G38" i="11"/>
  <c r="L27" i="11"/>
  <c r="L7" i="18" s="1"/>
  <c r="L19" i="11"/>
  <c r="L12" i="18" s="1"/>
  <c r="C28" i="11"/>
  <c r="C14" i="18" s="1"/>
  <c r="C33" i="11"/>
  <c r="C23" i="18" s="1"/>
  <c r="C31" i="11"/>
  <c r="K23" i="18" l="1"/>
  <c r="H36" i="16"/>
  <c r="H58" i="16" s="1"/>
  <c r="E23" i="18"/>
  <c r="E8" i="18"/>
  <c r="I50" i="16"/>
  <c r="I57" i="16" s="1"/>
  <c r="G36" i="16"/>
  <c r="H50" i="16"/>
  <c r="H57" i="16" s="1"/>
  <c r="K50" i="16"/>
  <c r="K57" i="16" s="1"/>
  <c r="K60" i="16" s="1"/>
  <c r="F7" i="18"/>
  <c r="G7" i="18"/>
  <c r="I36" i="16"/>
  <c r="I58" i="16" s="1"/>
  <c r="I60" i="16" s="1"/>
  <c r="D23" i="18"/>
  <c r="D8" i="18"/>
  <c r="O6" i="18"/>
  <c r="I7" i="18"/>
  <c r="K44" i="16"/>
  <c r="K46" i="16" s="1"/>
  <c r="E4" i="17"/>
  <c r="K53" i="16"/>
  <c r="E7" i="17" s="1"/>
  <c r="F7" i="17" s="1"/>
  <c r="G7" i="17" s="1"/>
  <c r="H7" i="17" s="1"/>
  <c r="I7" i="17" s="1"/>
  <c r="K52" i="16"/>
  <c r="H28" i="11"/>
  <c r="H14" i="18" s="1"/>
  <c r="H31" i="11"/>
  <c r="H33" i="11"/>
  <c r="C34" i="11"/>
  <c r="C15" i="18" s="1"/>
  <c r="C38" i="11"/>
  <c r="I33" i="11"/>
  <c r="I28" i="11"/>
  <c r="I14" i="18" s="1"/>
  <c r="I31" i="11"/>
  <c r="L28" i="11"/>
  <c r="L14" i="18" s="1"/>
  <c r="L33" i="11"/>
  <c r="L31" i="11"/>
  <c r="J33" i="11"/>
  <c r="J28" i="11"/>
  <c r="J14" i="18" s="1"/>
  <c r="J31" i="11"/>
  <c r="D34" i="11"/>
  <c r="D15" i="18" s="1"/>
  <c r="D38" i="11"/>
  <c r="E34" i="11"/>
  <c r="E15" i="18" s="1"/>
  <c r="E38" i="11"/>
  <c r="F33" i="11"/>
  <c r="F28" i="11"/>
  <c r="F14" i="18" s="1"/>
  <c r="F31" i="11"/>
  <c r="K34" i="11"/>
  <c r="K15" i="18" s="1"/>
  <c r="K38" i="11"/>
  <c r="J8" i="18" l="1"/>
  <c r="J23" i="18"/>
  <c r="F23" i="18"/>
  <c r="F8" i="18"/>
  <c r="G8" i="18"/>
  <c r="I8" i="18"/>
  <c r="I23" i="18"/>
  <c r="L23" i="18"/>
  <c r="L8" i="18"/>
  <c r="E6" i="17"/>
  <c r="E8" i="17" s="1"/>
  <c r="H60" i="16"/>
  <c r="H8" i="18"/>
  <c r="H23" i="18"/>
  <c r="K8" i="18"/>
  <c r="H38" i="11"/>
  <c r="H34" i="11"/>
  <c r="H15" i="18" s="1"/>
  <c r="F34" i="11"/>
  <c r="F15" i="18" s="1"/>
  <c r="F38" i="11"/>
  <c r="J38" i="11"/>
  <c r="K39" i="11" s="1"/>
  <c r="J34" i="11"/>
  <c r="J15" i="18" s="1"/>
  <c r="L34" i="11"/>
  <c r="L15" i="18" s="1"/>
  <c r="L38" i="11"/>
  <c r="E39" i="11"/>
  <c r="I38" i="11"/>
  <c r="I34" i="11"/>
  <c r="I15" i="18" s="1"/>
  <c r="D39" i="11"/>
  <c r="E22" i="1"/>
  <c r="G6" i="10"/>
  <c r="G8" i="10" s="1"/>
  <c r="K23" i="1" s="1"/>
  <c r="F11" i="1"/>
  <c r="C32" i="1" s="1"/>
  <c r="F12" i="1"/>
  <c r="F13" i="1"/>
  <c r="F14" i="1"/>
  <c r="F10" i="1"/>
  <c r="E11" i="1"/>
  <c r="H11" i="1" s="1"/>
  <c r="E12" i="1"/>
  <c r="H12" i="1" s="1"/>
  <c r="E13" i="1"/>
  <c r="E14" i="1"/>
  <c r="E10" i="1"/>
  <c r="N7" i="6"/>
  <c r="K63" i="16" l="1"/>
  <c r="D14" i="17" s="1"/>
  <c r="F4" i="17" s="1"/>
  <c r="K62" i="16"/>
  <c r="H10" i="1"/>
  <c r="H14" i="1"/>
  <c r="H39" i="11"/>
  <c r="I39" i="11"/>
  <c r="L39" i="11"/>
  <c r="M39" i="11"/>
  <c r="J39" i="11"/>
  <c r="F39" i="11"/>
  <c r="G39" i="11"/>
  <c r="H13" i="1"/>
  <c r="C31" i="1"/>
  <c r="N6" i="8" l="1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G13" i="8"/>
  <c r="D13" i="8"/>
  <c r="G12" i="8"/>
  <c r="D12" i="8"/>
  <c r="G11" i="8"/>
  <c r="D11" i="8"/>
  <c r="G10" i="8"/>
  <c r="D10" i="8"/>
  <c r="G9" i="8"/>
  <c r="D9" i="8"/>
  <c r="G8" i="8"/>
  <c r="D8" i="8"/>
  <c r="J6" i="8"/>
  <c r="N6" i="7"/>
  <c r="J6" i="7" s="1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G12" i="7"/>
  <c r="D12" i="7"/>
  <c r="G11" i="7"/>
  <c r="D11" i="7"/>
  <c r="G10" i="7"/>
  <c r="D10" i="7"/>
  <c r="G9" i="7"/>
  <c r="D9" i="7"/>
  <c r="G8" i="7"/>
  <c r="D8" i="7"/>
  <c r="J6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86" i="6"/>
  <c r="G112" i="5"/>
  <c r="D112" i="5"/>
  <c r="G111" i="5"/>
  <c r="D111" i="5"/>
  <c r="G110" i="5"/>
  <c r="D110" i="5"/>
  <c r="G109" i="5"/>
  <c r="D109" i="5"/>
  <c r="G108" i="5"/>
  <c r="D108" i="5"/>
  <c r="G107" i="5"/>
  <c r="D107" i="5"/>
  <c r="G106" i="5"/>
  <c r="D106" i="5"/>
  <c r="G105" i="5"/>
  <c r="D105" i="5"/>
  <c r="G104" i="5"/>
  <c r="D104" i="5"/>
  <c r="G103" i="5"/>
  <c r="D103" i="5"/>
  <c r="G102" i="5"/>
  <c r="D102" i="5"/>
  <c r="G101" i="5"/>
  <c r="D101" i="5"/>
  <c r="G100" i="5"/>
  <c r="D100" i="5"/>
  <c r="G99" i="5"/>
  <c r="D99" i="5"/>
  <c r="G98" i="5"/>
  <c r="D98" i="5"/>
  <c r="G97" i="5"/>
  <c r="D97" i="5"/>
  <c r="G96" i="5"/>
  <c r="D96" i="5"/>
  <c r="G95" i="5"/>
  <c r="D95" i="5"/>
  <c r="G94" i="5"/>
  <c r="D94" i="5"/>
  <c r="G93" i="5"/>
  <c r="D93" i="5"/>
  <c r="G92" i="5"/>
  <c r="D92" i="5"/>
  <c r="G91" i="5"/>
  <c r="D91" i="5"/>
  <c r="G90" i="5"/>
  <c r="D90" i="5"/>
  <c r="G89" i="5"/>
  <c r="D89" i="5"/>
  <c r="G88" i="5"/>
  <c r="D88" i="5"/>
  <c r="G87" i="5"/>
  <c r="D87" i="5"/>
  <c r="G86" i="5"/>
  <c r="D86" i="5"/>
  <c r="G85" i="5"/>
  <c r="D85" i="5"/>
  <c r="G84" i="5"/>
  <c r="D84" i="5"/>
  <c r="G83" i="5"/>
  <c r="D83" i="5"/>
  <c r="G82" i="5"/>
  <c r="D82" i="5"/>
  <c r="G81" i="5"/>
  <c r="D81" i="5"/>
  <c r="G80" i="5"/>
  <c r="D80" i="5"/>
  <c r="G79" i="5"/>
  <c r="D79" i="5"/>
  <c r="G78" i="5"/>
  <c r="D78" i="5"/>
  <c r="G77" i="5"/>
  <c r="D77" i="5"/>
  <c r="G76" i="5"/>
  <c r="D76" i="5"/>
  <c r="G75" i="5"/>
  <c r="D75" i="5"/>
  <c r="G74" i="5"/>
  <c r="D74" i="5"/>
  <c r="G73" i="5"/>
  <c r="D73" i="5"/>
  <c r="G72" i="5"/>
  <c r="D72" i="5"/>
  <c r="G71" i="5"/>
  <c r="D71" i="5"/>
  <c r="G70" i="5"/>
  <c r="D70" i="5"/>
  <c r="G69" i="5"/>
  <c r="D69" i="5"/>
  <c r="G68" i="5"/>
  <c r="D68" i="5"/>
  <c r="G67" i="5"/>
  <c r="D67" i="5"/>
  <c r="G66" i="5"/>
  <c r="D66" i="5"/>
  <c r="G65" i="5"/>
  <c r="D65" i="5"/>
  <c r="G64" i="5"/>
  <c r="D64" i="5"/>
  <c r="G63" i="5"/>
  <c r="D63" i="5"/>
  <c r="G62" i="5"/>
  <c r="D62" i="5"/>
  <c r="G61" i="5"/>
  <c r="D61" i="5"/>
  <c r="G60" i="5"/>
  <c r="D60" i="5"/>
  <c r="G59" i="5"/>
  <c r="D59" i="5"/>
  <c r="G58" i="5"/>
  <c r="D58" i="5"/>
  <c r="G57" i="5"/>
  <c r="D57" i="5"/>
  <c r="G56" i="5"/>
  <c r="D56" i="5"/>
  <c r="G55" i="5"/>
  <c r="D55" i="5"/>
  <c r="G54" i="5"/>
  <c r="D54" i="5"/>
  <c r="G53" i="5"/>
  <c r="D53" i="5"/>
  <c r="G52" i="5"/>
  <c r="D52" i="5"/>
  <c r="G51" i="5"/>
  <c r="D51" i="5"/>
  <c r="G50" i="5"/>
  <c r="D50" i="5"/>
  <c r="G49" i="5"/>
  <c r="D49" i="5"/>
  <c r="G48" i="5"/>
  <c r="D48" i="5"/>
  <c r="G47" i="5"/>
  <c r="D47" i="5"/>
  <c r="G46" i="5"/>
  <c r="D46" i="5"/>
  <c r="G45" i="5"/>
  <c r="D45" i="5"/>
  <c r="G44" i="5"/>
  <c r="D44" i="5"/>
  <c r="G43" i="5"/>
  <c r="D43" i="5"/>
  <c r="G42" i="5"/>
  <c r="D42" i="5"/>
  <c r="G41" i="5"/>
  <c r="D41" i="5"/>
  <c r="G40" i="5"/>
  <c r="D40" i="5"/>
  <c r="G39" i="5"/>
  <c r="D39" i="5"/>
  <c r="G38" i="5"/>
  <c r="D38" i="5"/>
  <c r="G37" i="5"/>
  <c r="D37" i="5"/>
  <c r="G36" i="5"/>
  <c r="D36" i="5"/>
  <c r="G35" i="5"/>
  <c r="D35" i="5"/>
  <c r="G34" i="5"/>
  <c r="D34" i="5"/>
  <c r="G33" i="5"/>
  <c r="D33" i="5"/>
  <c r="G32" i="5"/>
  <c r="D32" i="5"/>
  <c r="G31" i="5"/>
  <c r="D31" i="5"/>
  <c r="G30" i="5"/>
  <c r="D30" i="5"/>
  <c r="G29" i="5"/>
  <c r="D29" i="5"/>
  <c r="G28" i="5"/>
  <c r="D28" i="5"/>
  <c r="G27" i="5"/>
  <c r="D27" i="5"/>
  <c r="G26" i="5"/>
  <c r="D26" i="5"/>
  <c r="G25" i="5"/>
  <c r="D25" i="5"/>
  <c r="G24" i="5"/>
  <c r="D24" i="5"/>
  <c r="G23" i="5"/>
  <c r="D23" i="5"/>
  <c r="G22" i="5"/>
  <c r="D22" i="5"/>
  <c r="G21" i="5"/>
  <c r="D21" i="5"/>
  <c r="G20" i="5"/>
  <c r="D20" i="5"/>
  <c r="G19" i="5"/>
  <c r="D19" i="5"/>
  <c r="G18" i="5"/>
  <c r="D18" i="5"/>
  <c r="G17" i="5"/>
  <c r="D17" i="5"/>
  <c r="G16" i="5"/>
  <c r="D16" i="5"/>
  <c r="G15" i="5"/>
  <c r="D15" i="5"/>
  <c r="G14" i="5"/>
  <c r="D14" i="5"/>
  <c r="G13" i="5"/>
  <c r="D13" i="5"/>
  <c r="G12" i="5"/>
  <c r="D12" i="5"/>
  <c r="G11" i="5"/>
  <c r="D11" i="5"/>
  <c r="G10" i="5"/>
  <c r="D10" i="5"/>
  <c r="G9" i="5"/>
  <c r="D9" i="5"/>
  <c r="G8" i="5"/>
  <c r="D8" i="5"/>
  <c r="N6" i="5"/>
  <c r="J6" i="5" s="1"/>
  <c r="J12" i="5" l="1"/>
  <c r="J12" i="1"/>
  <c r="K12" i="1" s="1"/>
  <c r="J12" i="6"/>
  <c r="J13" i="1"/>
  <c r="K13" i="1" s="1"/>
  <c r="J12" i="8"/>
  <c r="J10" i="1"/>
  <c r="J12" i="7"/>
  <c r="J14" i="1"/>
  <c r="K14" i="1" s="1"/>
  <c r="M10" i="4"/>
  <c r="J6" i="4" s="1"/>
  <c r="J11" i="1" l="1"/>
  <c r="K11" i="1" s="1"/>
  <c r="J12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8" i="4"/>
  <c r="M7" i="4" l="1"/>
  <c r="M8" i="4"/>
  <c r="K32" i="1"/>
  <c r="C33" i="1"/>
  <c r="D33" i="1" s="1"/>
  <c r="E33" i="1" s="1"/>
  <c r="E24" i="1"/>
  <c r="K40" i="1" s="1"/>
  <c r="J17" i="1"/>
  <c r="J16" i="1"/>
  <c r="G17" i="1"/>
  <c r="G16" i="1"/>
  <c r="I11" i="1"/>
  <c r="I12" i="1"/>
  <c r="I13" i="1"/>
  <c r="I14" i="1"/>
  <c r="I10" i="1"/>
  <c r="K10" i="1"/>
  <c r="D20" i="17" l="1"/>
  <c r="D31" i="1"/>
  <c r="D32" i="1"/>
  <c r="D35" i="1" s="1"/>
  <c r="I17" i="1"/>
  <c r="I16" i="1"/>
  <c r="E31" i="1" s="1"/>
  <c r="K17" i="1"/>
  <c r="K30" i="1" s="1"/>
  <c r="K16" i="1"/>
  <c r="H16" i="1"/>
  <c r="H17" i="1"/>
  <c r="E32" i="1" l="1"/>
  <c r="K38" i="1" s="1"/>
  <c r="K41" i="1"/>
  <c r="E35" i="1" l="1"/>
  <c r="K31" i="1" s="1"/>
  <c r="K33" i="1" s="1"/>
  <c r="K24" i="1" s="1"/>
  <c r="K25" i="1" s="1"/>
  <c r="K37" i="1" s="1"/>
  <c r="K43" i="1" s="1"/>
  <c r="D16" i="17" s="1"/>
  <c r="C42" i="11"/>
  <c r="C44" i="11" s="1"/>
  <c r="C22" i="18" s="1"/>
  <c r="C24" i="18" s="1"/>
  <c r="H9" i="18"/>
  <c r="I9" i="18"/>
  <c r="D21" i="17" l="1"/>
  <c r="D24" i="17" s="1"/>
  <c r="J10" i="17"/>
  <c r="F10" i="17"/>
  <c r="F12" i="17" s="1"/>
  <c r="G10" i="17"/>
  <c r="H10" i="17"/>
  <c r="I10" i="17"/>
  <c r="J9" i="18"/>
  <c r="F42" i="11"/>
  <c r="F44" i="11" s="1"/>
  <c r="F22" i="18" s="1"/>
  <c r="F24" i="18" s="1"/>
  <c r="F9" i="18"/>
  <c r="K9" i="18"/>
  <c r="L42" i="11"/>
  <c r="L44" i="11" s="1"/>
  <c r="L22" i="18" s="1"/>
  <c r="L24" i="18" s="1"/>
  <c r="L9" i="18"/>
  <c r="E42" i="11"/>
  <c r="E44" i="11" s="1"/>
  <c r="E22" i="18" s="1"/>
  <c r="E24" i="18" s="1"/>
  <c r="E9" i="18"/>
  <c r="G9" i="18"/>
  <c r="D42" i="11"/>
  <c r="D44" i="11" s="1"/>
  <c r="D22" i="18" s="1"/>
  <c r="D24" i="18" s="1"/>
  <c r="D9" i="18"/>
  <c r="M44" i="11"/>
  <c r="M42" i="11"/>
  <c r="N40" i="18"/>
  <c r="N39" i="18"/>
  <c r="G44" i="11"/>
  <c r="G22" i="18" s="1"/>
  <c r="G24" i="18" s="1"/>
  <c r="G42" i="11"/>
  <c r="N27" i="18"/>
  <c r="O27" i="18"/>
  <c r="J44" i="11"/>
  <c r="J22" i="18" s="1"/>
  <c r="J24" i="18" s="1"/>
  <c r="J42" i="11"/>
  <c r="N29" i="18"/>
  <c r="N35" i="18"/>
  <c r="O29" i="18"/>
  <c r="H42" i="11"/>
  <c r="H44" i="11"/>
  <c r="H22" i="18" s="1"/>
  <c r="H24" i="18" s="1"/>
  <c r="O38" i="18"/>
  <c r="N28" i="18"/>
  <c r="O28" i="18"/>
  <c r="N38" i="18"/>
  <c r="O35" i="18"/>
  <c r="N30" i="18"/>
  <c r="O30" i="18"/>
  <c r="K42" i="11"/>
  <c r="K44" i="11"/>
  <c r="K22" i="18" s="1"/>
  <c r="K24" i="18" s="1"/>
  <c r="N31" i="18"/>
  <c r="O31" i="18"/>
  <c r="I44" i="11"/>
  <c r="I22" i="18" s="1"/>
  <c r="I24" i="18" s="1"/>
  <c r="I42" i="11"/>
  <c r="O40" i="18"/>
  <c r="D29" i="17" l="1"/>
  <c r="O9" i="18"/>
  <c r="D30" i="17"/>
  <c r="N34" i="18"/>
  <c r="O34" i="18"/>
  <c r="N17" i="18"/>
  <c r="O18" i="18"/>
  <c r="N9" i="18"/>
  <c r="N18" i="18"/>
  <c r="O17" i="18"/>
  <c r="O39" i="18"/>
  <c r="N33" i="18"/>
  <c r="O33" i="18"/>
  <c r="N11" i="18"/>
  <c r="D31" i="17" l="1"/>
  <c r="D35" i="17" s="1"/>
  <c r="D38" i="17" s="1"/>
  <c r="D41" i="17" s="1"/>
  <c r="N21" i="18"/>
  <c r="N13" i="18"/>
  <c r="O11" i="18"/>
  <c r="N25" i="18"/>
  <c r="O25" i="18"/>
  <c r="O13" i="18"/>
  <c r="O7" i="18"/>
  <c r="O36" i="18"/>
  <c r="N36" i="18"/>
  <c r="O21" i="18"/>
  <c r="O19" i="18" l="1"/>
  <c r="O12" i="18"/>
  <c r="N12" i="18"/>
  <c r="N19" i="18"/>
  <c r="N7" i="18"/>
  <c r="N14" i="18" l="1"/>
  <c r="O14" i="18"/>
  <c r="O23" i="18"/>
  <c r="N15" i="18"/>
  <c r="N8" i="18"/>
  <c r="O8" i="18"/>
  <c r="N23" i="18"/>
  <c r="O15" i="18" l="1"/>
  <c r="O24" i="18" l="1"/>
  <c r="O22" i="18"/>
  <c r="N22" i="18"/>
  <c r="N24" i="18"/>
</calcChain>
</file>

<file path=xl/sharedStrings.xml><?xml version="1.0" encoding="utf-8"?>
<sst xmlns="http://schemas.openxmlformats.org/spreadsheetml/2006/main" count="629" uniqueCount="333">
  <si>
    <t>Weighted Average Cost of Capital</t>
  </si>
  <si>
    <t>All figures are in INR unless stated otherwise.</t>
  </si>
  <si>
    <t>Peer Comps</t>
  </si>
  <si>
    <t>Name of the Comp</t>
  </si>
  <si>
    <t>Country</t>
  </si>
  <si>
    <t>Total Debt</t>
  </si>
  <si>
    <t>Total Equity</t>
  </si>
  <si>
    <t>Tax Rate</t>
  </si>
  <si>
    <r>
      <t xml:space="preserve">Tax Rate </t>
    </r>
    <r>
      <rPr>
        <vertAlign val="superscript"/>
        <sz val="11"/>
        <color theme="1"/>
        <rFont val="Calibri"/>
        <family val="2"/>
      </rPr>
      <t>1</t>
    </r>
  </si>
  <si>
    <t>Debt/</t>
  </si>
  <si>
    <t>Equity</t>
  </si>
  <si>
    <t>Capital</t>
  </si>
  <si>
    <t>Levered</t>
  </si>
  <si>
    <t>Unlevered</t>
  </si>
  <si>
    <r>
      <t xml:space="preserve">Beta </t>
    </r>
    <r>
      <rPr>
        <vertAlign val="superscript"/>
        <sz val="11"/>
        <color theme="1"/>
        <rFont val="Calibri"/>
        <family val="2"/>
      </rPr>
      <t>3</t>
    </r>
  </si>
  <si>
    <r>
      <t xml:space="preserve">Beta </t>
    </r>
    <r>
      <rPr>
        <vertAlign val="superscript"/>
        <sz val="11"/>
        <color theme="1"/>
        <rFont val="Calibri"/>
        <family val="2"/>
      </rPr>
      <t>2</t>
    </r>
  </si>
  <si>
    <t>India</t>
  </si>
  <si>
    <t>Average</t>
  </si>
  <si>
    <t>Median</t>
  </si>
  <si>
    <t>Cost of Debt</t>
  </si>
  <si>
    <t>Pre-Tax Cost of Debt</t>
  </si>
  <si>
    <t>Post Tax Cost of Debt</t>
  </si>
  <si>
    <t>Cost of Equity</t>
  </si>
  <si>
    <t>Risk Free Rate</t>
  </si>
  <si>
    <t>Equity Risk Premium</t>
  </si>
  <si>
    <r>
      <t xml:space="preserve">Levered Beta </t>
    </r>
    <r>
      <rPr>
        <vertAlign val="superscript"/>
        <sz val="11"/>
        <color theme="1"/>
        <rFont val="Calibri"/>
        <family val="2"/>
      </rPr>
      <t>4</t>
    </r>
  </si>
  <si>
    <t>Capital Structure</t>
  </si>
  <si>
    <t xml:space="preserve">Current </t>
  </si>
  <si>
    <t>Target</t>
  </si>
  <si>
    <t>Market Capitalization</t>
  </si>
  <si>
    <t>Total Capital</t>
  </si>
  <si>
    <t>Levered Beta</t>
  </si>
  <si>
    <t>Comps Median Unlevered Beta</t>
  </si>
  <si>
    <t>Target Debt/ Equity</t>
  </si>
  <si>
    <t>Debt/Equity</t>
  </si>
  <si>
    <t>Notes:</t>
  </si>
  <si>
    <t>1. Tax Rate considered as Marginal Tax Rate for the Country.</t>
  </si>
  <si>
    <t>2.Levered Beta is based on 5 year monthly data.</t>
  </si>
  <si>
    <t>3. Unlevered Beta = Levered Beta/(1+(Tax Rate)*Debt/Equity)</t>
  </si>
  <si>
    <t>4. Levered Beta = Unlevered Beta*(1+(Tax Rate)*Debt/Equity)</t>
  </si>
  <si>
    <t>Date</t>
  </si>
  <si>
    <t>Closing Price</t>
  </si>
  <si>
    <t>Tata Motors Weekly Returns</t>
  </si>
  <si>
    <t>Return</t>
  </si>
  <si>
    <t>NIFTY Returns</t>
  </si>
  <si>
    <t>Beta 1</t>
  </si>
  <si>
    <t>Beta 2</t>
  </si>
  <si>
    <t>Beta 3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</si>
  <si>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</si>
  <si>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</si>
  <si>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</si>
  <si>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</si>
  <si>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</si>
  <si>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</si>
  <si>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</si>
  <si>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</si>
  <si>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</si>
  <si>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</si>
  <si>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</si>
  <si>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</si>
  <si>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</si>
  <si>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</si>
  <si>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</si>
  <si>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</si>
  <si>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</si>
  <si>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</si>
  <si>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</si>
  <si>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</si>
  <si>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</si>
  <si>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</si>
  <si>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</si>
  <si>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</si>
  <si>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</si>
  <si>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Beta Drifting</t>
  </si>
  <si>
    <t>Levered Raw Beta</t>
  </si>
  <si>
    <t>Raw Beta Weight</t>
  </si>
  <si>
    <t>Market Beta weight</t>
  </si>
  <si>
    <t>Market Beta</t>
  </si>
  <si>
    <t xml:space="preserve">Adjusted Beta </t>
  </si>
  <si>
    <t>Regression Beta - 2 Years Weekly</t>
  </si>
  <si>
    <t>M&amp;M Weekly Returns</t>
  </si>
  <si>
    <t>Beta</t>
  </si>
  <si>
    <t xml:space="preserve">Beta </t>
  </si>
  <si>
    <t>Maruti Weekly Returns</t>
  </si>
  <si>
    <t>S.No.</t>
  </si>
  <si>
    <t>Name</t>
  </si>
  <si>
    <t>CMP Rs.</t>
  </si>
  <si>
    <t xml:space="preserve">Mar Cap Rs.Cr. </t>
  </si>
  <si>
    <t>Debt Rs.Cr.</t>
  </si>
  <si>
    <t>Debt / Eq</t>
  </si>
  <si>
    <t>Maruti Suzuki</t>
  </si>
  <si>
    <t>Tata Motors</t>
  </si>
  <si>
    <t>M &amp; M</t>
  </si>
  <si>
    <t>Bajaj Auto</t>
  </si>
  <si>
    <t>Eicher Motors</t>
  </si>
  <si>
    <t>Eicher Motors Weekly Returns</t>
  </si>
  <si>
    <t>Bajaj Auto Weekly Returns</t>
  </si>
  <si>
    <t>Year</t>
  </si>
  <si>
    <t>Annual</t>
  </si>
  <si>
    <t>Return on Markets</t>
  </si>
  <si>
    <t>Average Return</t>
  </si>
  <si>
    <t>Dividend Yield</t>
  </si>
  <si>
    <t>Total Market Return</t>
  </si>
  <si>
    <t>Equity Weight</t>
  </si>
  <si>
    <t>Debt Weight</t>
  </si>
  <si>
    <t>WACC</t>
  </si>
  <si>
    <t>Years</t>
  </si>
  <si>
    <t>LTM</t>
  </si>
  <si>
    <t>#</t>
  </si>
  <si>
    <t>Income Statement</t>
  </si>
  <si>
    <t>Sales</t>
  </si>
  <si>
    <t>Sales Growth</t>
  </si>
  <si>
    <t>-</t>
  </si>
  <si>
    <t>COGS</t>
  </si>
  <si>
    <t>COGS % Sales</t>
  </si>
  <si>
    <t>Gross Profit</t>
  </si>
  <si>
    <t>Gross Margin</t>
  </si>
  <si>
    <t>Selling and General Expenses</t>
  </si>
  <si>
    <t>S&amp;G Exp % Sales</t>
  </si>
  <si>
    <t>EBITDA</t>
  </si>
  <si>
    <t>EBITDA Margins</t>
  </si>
  <si>
    <t>Interest</t>
  </si>
  <si>
    <t>Interest % Sales</t>
  </si>
  <si>
    <t>Depreciation</t>
  </si>
  <si>
    <t>Depreciation % Sales</t>
  </si>
  <si>
    <t>Earnings Before Tax</t>
  </si>
  <si>
    <t>EBT % Sales</t>
  </si>
  <si>
    <t>Tax</t>
  </si>
  <si>
    <t>Effective Tax Rate</t>
  </si>
  <si>
    <t>Net Profit</t>
  </si>
  <si>
    <t>Net Margins</t>
  </si>
  <si>
    <t>No of Equity Shares</t>
  </si>
  <si>
    <t>Earnings per share</t>
  </si>
  <si>
    <t>EPS Growth %</t>
  </si>
  <si>
    <t>Dividend per Share</t>
  </si>
  <si>
    <t>Dividend Payout Ratio</t>
  </si>
  <si>
    <t>Retain Earnings</t>
  </si>
  <si>
    <t>Balance Sheet</t>
  </si>
  <si>
    <t>Equity Share Capital</t>
  </si>
  <si>
    <t>Reserves</t>
  </si>
  <si>
    <t>Borrowings</t>
  </si>
  <si>
    <t>Other Liabilities</t>
  </si>
  <si>
    <t>Total Liabalities</t>
  </si>
  <si>
    <t>Fixed Assets Net Block</t>
  </si>
  <si>
    <t>Capital Work in Progress</t>
  </si>
  <si>
    <t>Investments</t>
  </si>
  <si>
    <t>Other Assets</t>
  </si>
  <si>
    <t>Total Non Current Assets</t>
  </si>
  <si>
    <t>Receivables</t>
  </si>
  <si>
    <t>Inventory</t>
  </si>
  <si>
    <t>Cash &amp; Bank</t>
  </si>
  <si>
    <t>Total Current Assets</t>
  </si>
  <si>
    <t>Total Assets</t>
  </si>
  <si>
    <t>Check</t>
  </si>
  <si>
    <t>Cash Flow Statements</t>
  </si>
  <si>
    <t>Operating activities</t>
  </si>
  <si>
    <t>Profit from operations</t>
  </si>
  <si>
    <t>Payables</t>
  </si>
  <si>
    <t>Loans Advances</t>
  </si>
  <si>
    <t>Other WC items</t>
  </si>
  <si>
    <t>Working capital changes</t>
  </si>
  <si>
    <t>Direct taxes</t>
  </si>
  <si>
    <t>Cash from Operating Activities</t>
  </si>
  <si>
    <t>Investing Activites</t>
  </si>
  <si>
    <t>Fixed assets purchased</t>
  </si>
  <si>
    <t>Fixed assets sold</t>
  </si>
  <si>
    <t>Investments purchased</t>
  </si>
  <si>
    <t>Investments sold</t>
  </si>
  <si>
    <t>Interest received</t>
  </si>
  <si>
    <t>Dividends received</t>
  </si>
  <si>
    <t>Investment in group cos</t>
  </si>
  <si>
    <t>Redemp n Canc of Shares</t>
  </si>
  <si>
    <t>Acquisition of companies</t>
  </si>
  <si>
    <t>Inter corporate deposits</t>
  </si>
  <si>
    <t>Other investing items</t>
  </si>
  <si>
    <t>Cash from Investing Activities</t>
  </si>
  <si>
    <t>Financing Activity</t>
  </si>
  <si>
    <t>Proceeds from shares</t>
  </si>
  <si>
    <t>Redemption of debentures</t>
  </si>
  <si>
    <t>Proceeds from borrowings</t>
  </si>
  <si>
    <t>Repayment of borrowings</t>
  </si>
  <si>
    <t>Interest paid fin</t>
  </si>
  <si>
    <t>Dividends paid</t>
  </si>
  <si>
    <t>Financial liabilities</t>
  </si>
  <si>
    <t>Other financing items</t>
  </si>
  <si>
    <t>Cash from Financing Activities</t>
  </si>
  <si>
    <t>Net Cash Flow</t>
  </si>
  <si>
    <t>Adjusted Equity Shares in Cr</t>
  </si>
  <si>
    <t>DERIVED:</t>
  </si>
  <si>
    <t>PRICE:</t>
  </si>
  <si>
    <t>Cash from Financing Activity</t>
  </si>
  <si>
    <t>Cash from Investing Activity</t>
  </si>
  <si>
    <t>Cash from Operating Activity</t>
  </si>
  <si>
    <t>Report Date</t>
  </si>
  <si>
    <t>CASH FLOW:</t>
  </si>
  <si>
    <t>Face value</t>
  </si>
  <si>
    <t>New Bonus Shares</t>
  </si>
  <si>
    <t>No. of Equity Shares</t>
  </si>
  <si>
    <t>Net Block</t>
  </si>
  <si>
    <t>BALANCE SHEET</t>
  </si>
  <si>
    <t>Operating Profit</t>
  </si>
  <si>
    <t>Net profit</t>
  </si>
  <si>
    <t>Profit before tax</t>
  </si>
  <si>
    <t>Other Income</t>
  </si>
  <si>
    <t>Expenses</t>
  </si>
  <si>
    <t>Quarters</t>
  </si>
  <si>
    <t>Dividend Amount</t>
  </si>
  <si>
    <t>Other Expenses</t>
  </si>
  <si>
    <t>Selling and admin</t>
  </si>
  <si>
    <t>Employee Cost</t>
  </si>
  <si>
    <t>Other Mfr. Exp</t>
  </si>
  <si>
    <t>Power and Fuel</t>
  </si>
  <si>
    <t>Change in Inventory</t>
  </si>
  <si>
    <t>Raw Material Cost</t>
  </si>
  <si>
    <t>PROFIT &amp; LOSS</t>
  </si>
  <si>
    <t>Current Price</t>
  </si>
  <si>
    <t>Face Value</t>
  </si>
  <si>
    <t>Number of shares</t>
  </si>
  <si>
    <t>META</t>
  </si>
  <si>
    <t>CURRENT VERSION</t>
  </si>
  <si>
    <t>PLEASE DO NOT MAKE ANY CHANGES TO THIS SHEET</t>
  </si>
  <si>
    <t>LATEST VERSION</t>
  </si>
  <si>
    <t>TATA MOTORS LTD</t>
  </si>
  <si>
    <t>COMPANY NAME</t>
  </si>
  <si>
    <t>Equity Capital</t>
  </si>
  <si>
    <t>Borrowings -</t>
  </si>
  <si>
    <t>Long term Borrowings</t>
  </si>
  <si>
    <t>Short term Borrowings</t>
  </si>
  <si>
    <t>Lease Liabilities</t>
  </si>
  <si>
    <t>Other Borrowings</t>
  </si>
  <si>
    <t>Other Liabilities -</t>
  </si>
  <si>
    <t>Non controlling int</t>
  </si>
  <si>
    <t>Trade Payables</t>
  </si>
  <si>
    <t>Advance from Customers</t>
  </si>
  <si>
    <t>Other liability items</t>
  </si>
  <si>
    <t>Total Liabilities</t>
  </si>
  <si>
    <t>Fixed Assets -</t>
  </si>
  <si>
    <t>Land</t>
  </si>
  <si>
    <t>Building</t>
  </si>
  <si>
    <t>Plant Machinery</t>
  </si>
  <si>
    <t>Equipments</t>
  </si>
  <si>
    <t>Computers</t>
  </si>
  <si>
    <t>Furniture n fittings</t>
  </si>
  <si>
    <t>Vehicles</t>
  </si>
  <si>
    <t>Intangible Assets</t>
  </si>
  <si>
    <t>Other fixed assets</t>
  </si>
  <si>
    <t>Gross Block</t>
  </si>
  <si>
    <t>Accumulated Depreciation</t>
  </si>
  <si>
    <t>CWIP</t>
  </si>
  <si>
    <t>Other Assets -</t>
  </si>
  <si>
    <t>Inventories</t>
  </si>
  <si>
    <t>Trade receivables -</t>
  </si>
  <si>
    <t>Cash Equivalents</t>
  </si>
  <si>
    <t>Short term loans</t>
  </si>
  <si>
    <t>Other asset items</t>
  </si>
  <si>
    <t>Particulars</t>
  </si>
  <si>
    <t>Calculation of ROIC</t>
  </si>
  <si>
    <t>Current Assets</t>
  </si>
  <si>
    <t>Current Liabilities</t>
  </si>
  <si>
    <t>Net Working Capital</t>
  </si>
  <si>
    <t>Total Current Liabilities</t>
  </si>
  <si>
    <t>Non Current Assets</t>
  </si>
  <si>
    <t>Net Non Current Assets</t>
  </si>
  <si>
    <t>Invested Capital</t>
  </si>
  <si>
    <t>EBIT</t>
  </si>
  <si>
    <t>ROIC</t>
  </si>
  <si>
    <t>Calculation of Reinvestment Rate</t>
  </si>
  <si>
    <t>Net Capex</t>
  </si>
  <si>
    <t>Cash from Operating Activity -</t>
  </si>
  <si>
    <t>Cash from Investing Activity -</t>
  </si>
  <si>
    <t>Cash from Financing Activity -</t>
  </si>
  <si>
    <t>Change in Working Capital</t>
  </si>
  <si>
    <t>Marginal Tax Rate</t>
  </si>
  <si>
    <t xml:space="preserve">Reinvestment </t>
  </si>
  <si>
    <t>EBIT(1-T)</t>
  </si>
  <si>
    <t>Reinvestment Rate</t>
  </si>
  <si>
    <t>4 Year Average</t>
  </si>
  <si>
    <t>4 Year Median</t>
  </si>
  <si>
    <t>Calculation of Growth Rate</t>
  </si>
  <si>
    <t>Intrinsic Growth</t>
  </si>
  <si>
    <t>Calculation of PV of FCFF</t>
  </si>
  <si>
    <t>Free  Cash Flow to Firm (FCFF)</t>
  </si>
  <si>
    <t>Mid Year Convention</t>
  </si>
  <si>
    <t>Discounting Factor</t>
  </si>
  <si>
    <t>Expected Growth</t>
  </si>
  <si>
    <t>Terminal growth</t>
  </si>
  <si>
    <t>Calculation of Terminal Value</t>
  </si>
  <si>
    <t>FCFF(n+1)</t>
  </si>
  <si>
    <t>Terminal Growth Rate</t>
  </si>
  <si>
    <t>Terminal Value</t>
  </si>
  <si>
    <t>PV of FCFF</t>
  </si>
  <si>
    <t>PV of Terminal Value</t>
  </si>
  <si>
    <t>Value of Operating Assets</t>
  </si>
  <si>
    <t>Add: Cash</t>
  </si>
  <si>
    <t>Less:Debt</t>
  </si>
  <si>
    <t>Calculation of Equity Value per Share</t>
  </si>
  <si>
    <t>Value of Equity</t>
  </si>
  <si>
    <t>No of Shares</t>
  </si>
  <si>
    <t>Equity Value per Share</t>
  </si>
  <si>
    <t>Share Price</t>
  </si>
  <si>
    <t>Discount/Permium</t>
  </si>
  <si>
    <t>CFO/Total Debt</t>
  </si>
  <si>
    <t>CFO/Total Assets</t>
  </si>
  <si>
    <t>CFO/Sales</t>
  </si>
  <si>
    <t xml:space="preserve">Cash Conversion Cycle </t>
  </si>
  <si>
    <t xml:space="preserve">Inventory Days </t>
  </si>
  <si>
    <t xml:space="preserve">Payable Days </t>
  </si>
  <si>
    <t xml:space="preserve">Debtor Days </t>
  </si>
  <si>
    <t>Capital Tuenover Ratio</t>
  </si>
  <si>
    <t>Fixed Asset Turnover</t>
  </si>
  <si>
    <t>Inventory Turnover</t>
  </si>
  <si>
    <t>Creditor turnover Ratio</t>
  </si>
  <si>
    <t>Debtor Turnover Ratio</t>
  </si>
  <si>
    <t>Interest Coverage Ratio</t>
  </si>
  <si>
    <t>Self Sustained Growth Rate</t>
  </si>
  <si>
    <t>Return on Equity%</t>
  </si>
  <si>
    <t>Retaines Earnings%</t>
  </si>
  <si>
    <t>Return on Capital Employed</t>
  </si>
  <si>
    <t>OperatingIncome%Sales</t>
  </si>
  <si>
    <t>Depreciation%Sales</t>
  </si>
  <si>
    <t>SalesExpenses%Sales</t>
  </si>
  <si>
    <t>Net Profit Margin</t>
  </si>
  <si>
    <t>EBT Margin</t>
  </si>
  <si>
    <t>EBIT Margin</t>
  </si>
  <si>
    <t>EBITDA Margin</t>
  </si>
  <si>
    <t>Dividend Growth</t>
  </si>
  <si>
    <t>Net Profit Growth</t>
  </si>
  <si>
    <t>EBIT Growth</t>
  </si>
  <si>
    <t>EBIDTA Growth</t>
  </si>
  <si>
    <t>Mean</t>
  </si>
  <si>
    <t>Trend</t>
  </si>
  <si>
    <t xml:space="preserve"> </t>
  </si>
  <si>
    <t>Less: Reinvestment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</si>
</sst>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 * #,##0.00_ ;_ * \-#,##0.00_ ;_ * &quot;-&quot;??_ ;_ @_ "/>
    <numFmt numFmtId="164" formatCode="0.0"/>
    <numFmt numFmtId="165" formatCode="0.0%"/>
    <numFmt numFmtId="166" formatCode="#,##0.0"/>
    <numFmt numFmtId="167" formatCode="[$-409]mmm/yy;@"/>
    <numFmt numFmtId="168" formatCode="&quot;₹&quot;\ #,##0.0;&quot;₹&quot;\ \(#,##0.0\)"/>
    <numFmt numFmtId="169" formatCode="_(* #,##0.00_);_(* \(#,##0.00\);_(* &quot;-&quot;??_);_(@_)"/>
    <numFmt numFmtId="170" formatCode="[$-409]mmm\-yy;@"/>
    <numFmt numFmtId="171" formatCode="#,##0.0;\(#,##0.0\);\-"/>
    <numFmt numFmtId="172" formatCode="mmm/yy&quot;A&quot;"/>
    <numFmt numFmtId="173" formatCode="mmm/yy&quot;F&quot;"/>
    <numFmt numFmtId="174" formatCode="0.000"/>
    <numFmt numFmtId="175" formatCode="0&quot; days&quot;"/>
    <numFmt numFmtId="176" formatCode="0.00&quot;x&quot;"/>
  </numFmts>
  <fonts count="22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i/>
      <sz val="10"/>
      <color theme="1"/>
      <name val="Calibri"/>
      <family val="2"/>
    </font>
    <font>
      <vertAlign val="superscript"/>
      <sz val="11"/>
      <color theme="1"/>
      <name val="Calibri"/>
      <family val="2"/>
    </font>
    <font>
      <sz val="11"/>
      <color rgb="FF3333FF"/>
      <name val="calibri"/>
      <family val="2"/>
    </font>
    <font>
      <i/>
      <sz val="9"/>
      <color theme="1"/>
      <name val="Calibri"/>
      <family val="2"/>
    </font>
    <font>
      <b/>
      <sz val="11"/>
      <color theme="0"/>
      <name val="Calibri"/>
      <family val="2"/>
    </font>
    <font>
      <i/>
      <sz val="11"/>
      <color theme="1"/>
      <name val="Calibri"/>
      <family val="2"/>
    </font>
    <font>
      <sz val="11"/>
      <color rgb="FF181818"/>
      <name val="Calibri"/>
      <family val="2"/>
      <scheme val="minor"/>
    </font>
    <font>
      <sz val="11"/>
      <color theme="0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3333FF"/>
      <name val="Calibri"/>
      <family val="2"/>
    </font>
    <font>
      <sz val="11"/>
      <name val="calibri"/>
      <family val="2"/>
    </font>
    <font>
      <b/>
      <sz val="14"/>
      <color theme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275D8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thin">
        <color theme="4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hair">
        <color theme="8" tint="-0.499984740745262"/>
      </top>
      <bottom style="hair">
        <color theme="8" tint="-0.499984740745262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rgb="FF002060"/>
      </top>
      <bottom/>
      <diagonal/>
    </border>
    <border>
      <left/>
      <right/>
      <top style="thin">
        <color rgb="FF002060"/>
      </top>
      <bottom style="thin">
        <color rgb="FF002060"/>
      </bottom>
      <diagonal/>
    </border>
    <border>
      <left/>
      <right/>
      <top style="hair">
        <color rgb="FF002060"/>
      </top>
      <bottom style="hair">
        <color rgb="FF002060"/>
      </bottom>
      <diagonal/>
    </border>
    <border>
      <left/>
      <right/>
      <top style="hair">
        <color rgb="FF002060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/>
      <bottom style="hair">
        <color rgb="FF002060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7" fillId="4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9" fontId="13" fillId="0" borderId="0" applyFont="0" applyFill="0" applyBorder="0" applyAlignment="0" applyProtection="0"/>
  </cellStyleXfs>
  <cellXfs count="154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9" fontId="0" fillId="0" borderId="2" xfId="1" applyFont="1" applyBorder="1"/>
    <xf numFmtId="0" fontId="0" fillId="0" borderId="2" xfId="0" applyBorder="1"/>
    <xf numFmtId="0" fontId="5" fillId="0" borderId="0" xfId="0" applyFont="1"/>
    <xf numFmtId="164" fontId="5" fillId="0" borderId="0" xfId="0" applyNumberFormat="1" applyFont="1"/>
    <xf numFmtId="10" fontId="5" fillId="0" borderId="0" xfId="0" applyNumberFormat="1" applyFont="1" applyAlignment="1">
      <alignment vertical="top"/>
    </xf>
    <xf numFmtId="10" fontId="0" fillId="0" borderId="0" xfId="1" applyNumberFormat="1" applyFont="1"/>
    <xf numFmtId="2" fontId="5" fillId="0" borderId="0" xfId="0" applyNumberFormat="1" applyFont="1"/>
    <xf numFmtId="2" fontId="0" fillId="0" borderId="0" xfId="0" applyNumberFormat="1"/>
    <xf numFmtId="2" fontId="0" fillId="2" borderId="0" xfId="0" applyNumberFormat="1" applyFill="1"/>
    <xf numFmtId="10" fontId="5" fillId="0" borderId="0" xfId="1" applyNumberFormat="1" applyFont="1"/>
    <xf numFmtId="10" fontId="0" fillId="0" borderId="1" xfId="0" applyNumberFormat="1" applyBorder="1"/>
    <xf numFmtId="10" fontId="0" fillId="0" borderId="2" xfId="0" applyNumberFormat="1" applyBorder="1"/>
    <xf numFmtId="2" fontId="0" fillId="0" borderId="1" xfId="0" applyNumberFormat="1" applyBorder="1"/>
    <xf numFmtId="2" fontId="0" fillId="0" borderId="2" xfId="0" applyNumberFormat="1" applyBorder="1"/>
    <xf numFmtId="10" fontId="0" fillId="0" borderId="0" xfId="0" applyNumberFormat="1"/>
    <xf numFmtId="9" fontId="0" fillId="0" borderId="0" xfId="0" applyNumberFormat="1"/>
    <xf numFmtId="0" fontId="0" fillId="0" borderId="3" xfId="0" applyBorder="1"/>
    <xf numFmtId="10" fontId="0" fillId="0" borderId="3" xfId="0" applyNumberFormat="1" applyBorder="1"/>
    <xf numFmtId="0" fontId="2" fillId="0" borderId="2" xfId="0" applyFont="1" applyBorder="1"/>
    <xf numFmtId="0" fontId="2" fillId="0" borderId="2" xfId="0" applyFont="1" applyBorder="1" applyAlignment="1">
      <alignment horizontal="right"/>
    </xf>
    <xf numFmtId="10" fontId="5" fillId="0" borderId="0" xfId="0" applyNumberFormat="1" applyFont="1"/>
    <xf numFmtId="165" fontId="0" fillId="0" borderId="0" xfId="0" applyNumberFormat="1"/>
    <xf numFmtId="10" fontId="0" fillId="0" borderId="3" xfId="1" applyNumberFormat="1" applyFont="1" applyBorder="1"/>
    <xf numFmtId="166" fontId="5" fillId="0" borderId="0" xfId="0" applyNumberFormat="1" applyFont="1"/>
    <xf numFmtId="166" fontId="0" fillId="0" borderId="3" xfId="0" applyNumberFormat="1" applyBorder="1"/>
    <xf numFmtId="0" fontId="6" fillId="0" borderId="0" xfId="0" applyFont="1"/>
    <xf numFmtId="0" fontId="6" fillId="0" borderId="0" xfId="0" applyFont="1" applyAlignment="1">
      <alignment vertical="top"/>
    </xf>
    <xf numFmtId="14" fontId="0" fillId="0" borderId="0" xfId="0" applyNumberFormat="1" applyAlignment="1">
      <alignment horizontal="left"/>
    </xf>
    <xf numFmtId="166" fontId="0" fillId="0" borderId="0" xfId="0" applyNumberFormat="1"/>
    <xf numFmtId="0" fontId="2" fillId="0" borderId="4" xfId="0" applyFont="1" applyBorder="1"/>
    <xf numFmtId="0" fontId="2" fillId="0" borderId="4" xfId="0" applyFont="1" applyBorder="1" applyAlignment="1">
      <alignment horizontal="right"/>
    </xf>
    <xf numFmtId="2" fontId="0" fillId="0" borderId="0" xfId="1" applyNumberFormat="1" applyFont="1"/>
    <xf numFmtId="0" fontId="0" fillId="0" borderId="5" xfId="0" applyBorder="1"/>
    <xf numFmtId="0" fontId="8" fillId="0" borderId="6" xfId="0" applyFont="1" applyBorder="1" applyAlignment="1">
      <alignment horizontal="center"/>
    </xf>
    <xf numFmtId="0" fontId="8" fillId="0" borderId="6" xfId="0" applyFont="1" applyBorder="1" applyAlignment="1">
      <alignment horizontal="centerContinuous"/>
    </xf>
    <xf numFmtId="0" fontId="0" fillId="2" borderId="0" xfId="0" applyFill="1"/>
    <xf numFmtId="9" fontId="0" fillId="0" borderId="0" xfId="1" applyFont="1"/>
    <xf numFmtId="14" fontId="0" fillId="0" borderId="0" xfId="0" applyNumberFormat="1"/>
    <xf numFmtId="0" fontId="0" fillId="0" borderId="0" xfId="0" applyAlignment="1">
      <alignment horizontal="left"/>
    </xf>
    <xf numFmtId="10" fontId="0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10" fontId="9" fillId="0" borderId="0" xfId="0" applyNumberFormat="1" applyFont="1"/>
    <xf numFmtId="0" fontId="2" fillId="2" borderId="0" xfId="0" applyFont="1" applyFill="1"/>
    <xf numFmtId="10" fontId="2" fillId="2" borderId="0" xfId="0" applyNumberFormat="1" applyFont="1" applyFill="1"/>
    <xf numFmtId="0" fontId="2" fillId="3" borderId="0" xfId="0" applyFont="1" applyFill="1"/>
    <xf numFmtId="10" fontId="2" fillId="3" borderId="0" xfId="0" applyNumberFormat="1" applyFont="1" applyFill="1"/>
    <xf numFmtId="2" fontId="0" fillId="3" borderId="3" xfId="0" applyNumberFormat="1" applyFill="1" applyBorder="1"/>
    <xf numFmtId="10" fontId="0" fillId="3" borderId="3" xfId="1" applyNumberFormat="1" applyFont="1" applyFill="1" applyBorder="1"/>
    <xf numFmtId="165" fontId="0" fillId="3" borderId="0" xfId="0" applyNumberFormat="1" applyFill="1"/>
    <xf numFmtId="10" fontId="0" fillId="3" borderId="3" xfId="0" applyNumberFormat="1" applyFill="1" applyBorder="1"/>
    <xf numFmtId="10" fontId="0" fillId="3" borderId="0" xfId="1" applyNumberFormat="1" applyFont="1" applyFill="1"/>
    <xf numFmtId="2" fontId="0" fillId="3" borderId="0" xfId="0" applyNumberFormat="1" applyFill="1"/>
    <xf numFmtId="0" fontId="11" fillId="5" borderId="0" xfId="0" applyFont="1" applyFill="1"/>
    <xf numFmtId="167" fontId="11" fillId="5" borderId="0" xfId="0" applyNumberFormat="1" applyFont="1" applyFill="1"/>
    <xf numFmtId="0" fontId="11" fillId="5" borderId="0" xfId="0" applyFont="1" applyFill="1" applyAlignment="1">
      <alignment horizontal="right"/>
    </xf>
    <xf numFmtId="0" fontId="0" fillId="6" borderId="0" xfId="0" applyFill="1"/>
    <xf numFmtId="0" fontId="11" fillId="6" borderId="0" xfId="0" applyFont="1" applyFill="1"/>
    <xf numFmtId="167" fontId="11" fillId="6" borderId="0" xfId="0" applyNumberFormat="1" applyFont="1" applyFill="1"/>
    <xf numFmtId="0" fontId="0" fillId="7" borderId="0" xfId="0" applyFill="1"/>
    <xf numFmtId="168" fontId="0" fillId="0" borderId="0" xfId="0" applyNumberFormat="1"/>
    <xf numFmtId="0" fontId="12" fillId="0" borderId="0" xfId="0" applyFont="1"/>
    <xf numFmtId="10" fontId="12" fillId="0" borderId="0" xfId="1" applyNumberFormat="1" applyFont="1"/>
    <xf numFmtId="0" fontId="14" fillId="0" borderId="7" xfId="0" applyFont="1" applyBorder="1"/>
    <xf numFmtId="168" fontId="14" fillId="0" borderId="7" xfId="0" applyNumberFormat="1" applyFont="1" applyBorder="1"/>
    <xf numFmtId="0" fontId="14" fillId="0" borderId="0" xfId="0" applyFont="1"/>
    <xf numFmtId="4" fontId="0" fillId="0" borderId="0" xfId="0" applyNumberFormat="1"/>
    <xf numFmtId="168" fontId="14" fillId="0" borderId="0" xfId="0" applyNumberFormat="1" applyFont="1"/>
    <xf numFmtId="0" fontId="15" fillId="0" borderId="0" xfId="0" applyFont="1"/>
    <xf numFmtId="43" fontId="0" fillId="0" borderId="0" xfId="2" applyFont="1" applyBorder="1"/>
    <xf numFmtId="169" fontId="0" fillId="0" borderId="0" xfId="2" applyNumberFormat="1" applyFont="1" applyBorder="1"/>
    <xf numFmtId="43" fontId="14" fillId="0" borderId="0" xfId="2" applyFont="1" applyBorder="1"/>
    <xf numFmtId="0" fontId="13" fillId="0" borderId="0" xfId="3"/>
    <xf numFmtId="43" fontId="13" fillId="0" borderId="0" xfId="2" applyFont="1" applyBorder="1"/>
    <xf numFmtId="170" fontId="16" fillId="0" borderId="0" xfId="2" applyNumberFormat="1" applyFont="1" applyFill="1" applyBorder="1"/>
    <xf numFmtId="170" fontId="11" fillId="8" borderId="0" xfId="3" applyNumberFormat="1" applyFont="1" applyFill="1" applyAlignment="1">
      <alignment horizontal="center"/>
    </xf>
    <xf numFmtId="170" fontId="11" fillId="8" borderId="0" xfId="2" applyNumberFormat="1" applyFont="1" applyFill="1" applyBorder="1"/>
    <xf numFmtId="3" fontId="0" fillId="0" borderId="0" xfId="0" applyNumberFormat="1"/>
    <xf numFmtId="0" fontId="7" fillId="5" borderId="0" xfId="0" applyFont="1" applyFill="1"/>
    <xf numFmtId="17" fontId="7" fillId="5" borderId="0" xfId="0" applyNumberFormat="1" applyFont="1" applyFill="1"/>
    <xf numFmtId="2" fontId="7" fillId="0" borderId="0" xfId="0" applyNumberFormat="1" applyFont="1"/>
    <xf numFmtId="0" fontId="2" fillId="0" borderId="8" xfId="0" applyFont="1" applyBorder="1"/>
    <xf numFmtId="171" fontId="0" fillId="0" borderId="9" xfId="0" applyNumberFormat="1" applyBorder="1"/>
    <xf numFmtId="171" fontId="0" fillId="0" borderId="0" xfId="0" applyNumberFormat="1"/>
    <xf numFmtId="171" fontId="2" fillId="0" borderId="8" xfId="0" applyNumberFormat="1" applyFont="1" applyBorder="1"/>
    <xf numFmtId="171" fontId="2" fillId="0" borderId="0" xfId="0" applyNumberFormat="1" applyFont="1"/>
    <xf numFmtId="0" fontId="2" fillId="0" borderId="10" xfId="0" applyFont="1" applyBorder="1"/>
    <xf numFmtId="171" fontId="0" fillId="0" borderId="10" xfId="0" applyNumberFormat="1" applyBorder="1"/>
    <xf numFmtId="171" fontId="0" fillId="0" borderId="12" xfId="0" applyNumberFormat="1" applyBorder="1"/>
    <xf numFmtId="171" fontId="0" fillId="0" borderId="13" xfId="0" applyNumberFormat="1" applyBorder="1"/>
    <xf numFmtId="0" fontId="2" fillId="0" borderId="11" xfId="0" applyFont="1" applyBorder="1"/>
    <xf numFmtId="171" fontId="2" fillId="0" borderId="11" xfId="0" applyNumberFormat="1" applyFont="1" applyBorder="1"/>
    <xf numFmtId="0" fontId="10" fillId="5" borderId="0" xfId="0" applyFont="1" applyFill="1"/>
    <xf numFmtId="0" fontId="0" fillId="0" borderId="12" xfId="0" applyBorder="1"/>
    <xf numFmtId="0" fontId="2" fillId="0" borderId="14" xfId="0" applyFont="1" applyBorder="1"/>
    <xf numFmtId="10" fontId="2" fillId="0" borderId="14" xfId="1" applyNumberFormat="1" applyFont="1" applyBorder="1"/>
    <xf numFmtId="17" fontId="0" fillId="0" borderId="0" xfId="0" applyNumberFormat="1"/>
    <xf numFmtId="3" fontId="2" fillId="0" borderId="14" xfId="0" applyNumberFormat="1" applyFont="1" applyBorder="1"/>
    <xf numFmtId="3" fontId="0" fillId="0" borderId="9" xfId="0" applyNumberFormat="1" applyBorder="1"/>
    <xf numFmtId="0" fontId="0" fillId="0" borderId="9" xfId="0" applyBorder="1"/>
    <xf numFmtId="171" fontId="2" fillId="0" borderId="10" xfId="0" applyNumberFormat="1" applyFont="1" applyBorder="1"/>
    <xf numFmtId="171" fontId="2" fillId="0" borderId="14" xfId="0" applyNumberFormat="1" applyFont="1" applyBorder="1"/>
    <xf numFmtId="10" fontId="19" fillId="0" borderId="12" xfId="0" applyNumberFormat="1" applyFont="1" applyBorder="1"/>
    <xf numFmtId="10" fontId="0" fillId="0" borderId="12" xfId="0" applyNumberFormat="1" applyBorder="1"/>
    <xf numFmtId="0" fontId="2" fillId="0" borderId="15" xfId="0" applyFont="1" applyBorder="1"/>
    <xf numFmtId="0" fontId="0" fillId="0" borderId="15" xfId="0" applyBorder="1"/>
    <xf numFmtId="10" fontId="2" fillId="0" borderId="15" xfId="0" applyNumberFormat="1" applyFont="1" applyBorder="1"/>
    <xf numFmtId="0" fontId="0" fillId="3" borderId="0" xfId="0" applyFill="1"/>
    <xf numFmtId="10" fontId="0" fillId="3" borderId="0" xfId="0" applyNumberFormat="1" applyFill="1"/>
    <xf numFmtId="10" fontId="5" fillId="0" borderId="12" xfId="0" applyNumberFormat="1" applyFont="1" applyBorder="1"/>
    <xf numFmtId="10" fontId="20" fillId="0" borderId="12" xfId="0" applyNumberFormat="1" applyFont="1" applyBorder="1"/>
    <xf numFmtId="0" fontId="5" fillId="0" borderId="12" xfId="0" applyFont="1" applyBorder="1"/>
    <xf numFmtId="0" fontId="0" fillId="2" borderId="12" xfId="0" applyFill="1" applyBorder="1"/>
    <xf numFmtId="10" fontId="5" fillId="2" borderId="12" xfId="0" applyNumberFormat="1" applyFont="1" applyFill="1" applyBorder="1"/>
    <xf numFmtId="10" fontId="20" fillId="2" borderId="12" xfId="0" applyNumberFormat="1" applyFont="1" applyFill="1" applyBorder="1"/>
    <xf numFmtId="174" fontId="0" fillId="0" borderId="12" xfId="0" applyNumberFormat="1" applyBorder="1"/>
    <xf numFmtId="0" fontId="2" fillId="2" borderId="15" xfId="0" applyFont="1" applyFill="1" applyBorder="1"/>
    <xf numFmtId="2" fontId="2" fillId="0" borderId="15" xfId="0" applyNumberFormat="1" applyFont="1" applyBorder="1"/>
    <xf numFmtId="2" fontId="2" fillId="0" borderId="0" xfId="0" applyNumberFormat="1" applyFont="1"/>
    <xf numFmtId="43" fontId="0" fillId="0" borderId="0" xfId="0" applyNumberFormat="1"/>
    <xf numFmtId="43" fontId="2" fillId="0" borderId="15" xfId="0" applyNumberFormat="1" applyFont="1" applyBorder="1"/>
    <xf numFmtId="10" fontId="0" fillId="0" borderId="16" xfId="6" applyNumberFormat="1" applyFont="1" applyBorder="1"/>
    <xf numFmtId="10" fontId="0" fillId="0" borderId="0" xfId="6" applyNumberFormat="1" applyFont="1" applyBorder="1"/>
    <xf numFmtId="10" fontId="0" fillId="0" borderId="13" xfId="6" applyNumberFormat="1" applyFont="1" applyBorder="1"/>
    <xf numFmtId="10" fontId="0" fillId="0" borderId="0" xfId="6" applyNumberFormat="1" applyFont="1"/>
    <xf numFmtId="0" fontId="21" fillId="5" borderId="0" xfId="0" applyFont="1" applyFill="1"/>
    <xf numFmtId="172" fontId="7" fillId="5" borderId="0" xfId="0" applyNumberFormat="1" applyFont="1" applyFill="1"/>
    <xf numFmtId="173" fontId="7" fillId="5" borderId="0" xfId="0" applyNumberFormat="1" applyFont="1" applyFill="1"/>
    <xf numFmtId="167" fontId="11" fillId="5" borderId="0" xfId="0" applyNumberFormat="1" applyFont="1" applyFill="1" applyAlignment="1">
      <alignment horizontal="center"/>
    </xf>
    <xf numFmtId="167" fontId="11" fillId="5" borderId="0" xfId="0" applyNumberFormat="1" applyFont="1" applyFill="1" applyAlignment="1">
      <alignment horizontal="right"/>
    </xf>
    <xf numFmtId="0" fontId="0" fillId="0" borderId="13" xfId="0" applyBorder="1"/>
    <xf numFmtId="0" fontId="0" fillId="0" borderId="16" xfId="0" applyBorder="1"/>
    <xf numFmtId="10" fontId="0" fillId="0" borderId="16" xfId="0" applyNumberFormat="1" applyBorder="1"/>
    <xf numFmtId="176" fontId="0" fillId="0" borderId="16" xfId="0" applyNumberFormat="1" applyBorder="1"/>
    <xf numFmtId="176" fontId="0" fillId="0" borderId="13" xfId="0" applyNumberFormat="1" applyBorder="1"/>
    <xf numFmtId="176" fontId="0" fillId="0" borderId="0" xfId="0" applyNumberFormat="1"/>
    <xf numFmtId="175" fontId="0" fillId="0" borderId="13" xfId="0" applyNumberFormat="1" applyBorder="1"/>
    <xf numFmtId="175" fontId="0" fillId="0" borderId="0" xfId="0" applyNumberFormat="1"/>
    <xf numFmtId="175" fontId="0" fillId="0" borderId="16" xfId="0" applyNumberFormat="1" applyBorder="1"/>
    <xf numFmtId="168" fontId="0" fillId="0" borderId="12" xfId="0" applyNumberFormat="1" applyBorder="1"/>
    <xf numFmtId="0" fontId="14" fillId="0" borderId="11" xfId="0" applyFont="1" applyBorder="1"/>
    <xf numFmtId="168" fontId="14" fillId="0" borderId="11" xfId="0" applyNumberFormat="1" applyFont="1" applyBorder="1"/>
    <xf numFmtId="0" fontId="14" fillId="0" borderId="15" xfId="0" applyFont="1" applyBorder="1"/>
    <xf numFmtId="168" fontId="14" fillId="0" borderId="15" xfId="0" applyNumberFormat="1" applyFont="1" applyBorder="1"/>
    <xf numFmtId="2" fontId="0" fillId="2" borderId="12" xfId="0" applyNumberFormat="1" applyFill="1" applyBorder="1"/>
    <xf numFmtId="2" fontId="0" fillId="0" borderId="12" xfId="0" applyNumberFormat="1" applyBorder="1"/>
    <xf numFmtId="0" fontId="7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43" fontId="18" fillId="0" borderId="0" xfId="5" applyNumberFormat="1" applyBorder="1" applyAlignment="1" applyProtection="1">
      <alignment horizontal="center"/>
    </xf>
    <xf numFmtId="43" fontId="11" fillId="4" borderId="0" xfId="4" applyNumberFormat="1" applyFont="1" applyBorder="1" applyAlignment="1">
      <alignment horizontal="center"/>
    </xf>
  </cellXfs>
  <cellStyles count="7">
    <cellStyle name="Accent6 2" xfId="4" xr:uid="{BC43AEA2-4220-47AA-B451-CE65A277AA0A}"/>
    <cellStyle name="Comma 2" xfId="2" xr:uid="{89131A36-9666-4762-8145-AA24C62268C2}"/>
    <cellStyle name="Hyperlink" xfId="5" builtinId="8"/>
    <cellStyle name="Normal" xfId="0" builtinId="0"/>
    <cellStyle name="Normal 2" xfId="3" xr:uid="{A3244519-C1B4-4F0C-89FC-738EA9D44635}"/>
    <cellStyle name="Percent" xfId="1" builtinId="5"/>
    <cellStyle name="Percent 2" xfId="6" xr:uid="{82484F28-5467-4634-ABA2-7F23E8549260}"/>
  </cellStyles>
  <dxfs count="1">
    <dxf>
      <font>
        <b/>
        <i val="0"/>
        <color theme="0"/>
      </font>
      <fill>
        <patternFill>
          <bgColor theme="5"/>
        </patternFill>
      </fill>
    </dxf>
  </dxfs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nance\project\DCF%20Modelling.xlsx" TargetMode="External"/><Relationship Id="rId1" Type="http://schemas.openxmlformats.org/officeDocument/2006/relationships/externalLinkPath" Target="/finance/project/DCF%20Modell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CF&gt;"/>
      <sheetName val="WACC"/>
      <sheetName val="DCF"/>
      <sheetName val="Data&gt;"/>
      <sheetName val="Beta-Regression"/>
      <sheetName val="M&amp;M Beta"/>
      <sheetName val="BajajA-Beta"/>
      <sheetName val="EicherM Beta"/>
      <sheetName val="Maruti Beta"/>
      <sheetName val="Beta Comps"/>
      <sheetName val="Ratio Analysis "/>
      <sheetName val="Rm"/>
      <sheetName val="Intrinsic Growth"/>
      <sheetName val="Data Room&gt;"/>
      <sheetName val="Data Sheet"/>
      <sheetName val="Raw FS"/>
      <sheetName val="Historical F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1">
          <cell r="B1" t="str">
            <v>TATA MOTORS LTD</v>
          </cell>
          <cell r="E1" t="str">
            <v/>
          </cell>
        </row>
      </sheetData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screener.in/excel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021E7-8579-4269-83C3-7B2EC205CC95}">
  <sheetPr>
    <tabColor rgb="FF002060"/>
  </sheetPr>
  <dimension ref="A1"/>
  <sheetViews>
    <sheetView topLeftCell="A4" workbookViewId="0">
      <selection activeCell="A2" sqref="A2"/>
    </sheetView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7A07E-54CD-45E1-8D2B-FEB20EF3276A}">
  <dimension ref="B2:G8"/>
  <sheetViews>
    <sheetView showGridLines="0" workbookViewId="0">
      <selection activeCell="G10" sqref="G10"/>
    </sheetView>
  </sheetViews>
  <sheetFormatPr defaultRowHeight="14.4" x14ac:dyDescent="0.3"/>
  <cols>
    <col min="1" max="1" width="1.88671875" customWidth="1"/>
    <col min="2" max="2" width="5.44140625" bestFit="1" customWidth="1"/>
    <col min="3" max="3" width="15.33203125" bestFit="1" customWidth="1"/>
    <col min="4" max="4" width="9" bestFit="1" customWidth="1"/>
    <col min="5" max="5" width="13.6640625" bestFit="1" customWidth="1"/>
    <col min="6" max="6" width="10.109375" bestFit="1" customWidth="1"/>
    <col min="7" max="7" width="8.5546875" bestFit="1" customWidth="1"/>
  </cols>
  <sheetData>
    <row r="2" spans="2:7" x14ac:dyDescent="0.3">
      <c r="B2" s="44" t="s">
        <v>84</v>
      </c>
      <c r="C2" s="1" t="s">
        <v>85</v>
      </c>
      <c r="D2" s="1" t="s">
        <v>86</v>
      </c>
      <c r="E2" s="1" t="s">
        <v>87</v>
      </c>
      <c r="F2" s="1" t="s">
        <v>88</v>
      </c>
      <c r="G2" s="1" t="s">
        <v>89</v>
      </c>
    </row>
    <row r="3" spans="2:7" x14ac:dyDescent="0.3">
      <c r="B3" s="44"/>
      <c r="C3" s="1"/>
      <c r="D3" s="1"/>
      <c r="E3" s="1"/>
      <c r="F3" s="1"/>
      <c r="G3" s="1"/>
    </row>
    <row r="4" spans="2:7" x14ac:dyDescent="0.3">
      <c r="B4" s="42">
        <v>1</v>
      </c>
      <c r="C4" t="s">
        <v>90</v>
      </c>
      <c r="D4">
        <v>12577.95</v>
      </c>
      <c r="E4">
        <v>395453.99</v>
      </c>
      <c r="F4">
        <v>118.6</v>
      </c>
      <c r="G4">
        <v>0</v>
      </c>
    </row>
    <row r="5" spans="2:7" x14ac:dyDescent="0.3">
      <c r="B5" s="42">
        <v>2</v>
      </c>
      <c r="C5" t="s">
        <v>91</v>
      </c>
      <c r="D5">
        <v>945</v>
      </c>
      <c r="E5">
        <v>346169.55</v>
      </c>
      <c r="F5">
        <v>107262.5</v>
      </c>
      <c r="G5">
        <v>1.26</v>
      </c>
    </row>
    <row r="6" spans="2:7" x14ac:dyDescent="0.3">
      <c r="B6" s="42">
        <v>3</v>
      </c>
      <c r="C6" t="s">
        <v>92</v>
      </c>
      <c r="D6">
        <v>2736</v>
      </c>
      <c r="E6">
        <v>340229.51</v>
      </c>
      <c r="F6">
        <v>106625.52</v>
      </c>
      <c r="G6">
        <v>1.61</v>
      </c>
    </row>
    <row r="7" spans="2:7" x14ac:dyDescent="0.3">
      <c r="B7" s="42">
        <v>4</v>
      </c>
      <c r="C7" t="s">
        <v>93</v>
      </c>
      <c r="D7">
        <v>9629.35</v>
      </c>
      <c r="E7">
        <v>268831.95</v>
      </c>
      <c r="F7">
        <v>1911.74</v>
      </c>
      <c r="G7">
        <v>7.0000000000000007E-2</v>
      </c>
    </row>
    <row r="8" spans="2:7" x14ac:dyDescent="0.3">
      <c r="B8" s="42">
        <v>5</v>
      </c>
      <c r="C8" t="s">
        <v>94</v>
      </c>
      <c r="D8">
        <v>4630</v>
      </c>
      <c r="E8">
        <v>126772.01</v>
      </c>
      <c r="F8">
        <v>419.44</v>
      </c>
      <c r="G8">
        <v>0.02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B24E-42BA-45E2-AEF7-8875EF8A271C}">
  <dimension ref="A1:O40"/>
  <sheetViews>
    <sheetView showGridLines="0" workbookViewId="0">
      <pane ySplit="3" topLeftCell="A4" activePane="bottomLeft" state="frozen"/>
      <selection pane="bottomLeft" activeCell="M29" sqref="M29"/>
    </sheetView>
  </sheetViews>
  <sheetFormatPr defaultRowHeight="14.4" x14ac:dyDescent="0.3"/>
  <cols>
    <col min="1" max="1" width="1.88671875" style="76" customWidth="1"/>
    <col min="2" max="2" width="33.33203125" style="76" customWidth="1"/>
    <col min="3" max="8" width="8.88671875" style="76"/>
    <col min="9" max="10" width="9.6640625" style="76" bestFit="1" customWidth="1"/>
    <col min="11" max="12" width="8.88671875" style="76"/>
    <col min="13" max="13" width="15.44140625" style="76" customWidth="1"/>
    <col min="14" max="15" width="8.77734375" style="76" bestFit="1" customWidth="1"/>
    <col min="16" max="16384" width="8.88671875" style="76"/>
  </cols>
  <sheetData>
    <row r="1" spans="1:15" x14ac:dyDescent="0.3">
      <c r="A1"/>
      <c r="B1"/>
      <c r="C1"/>
      <c r="D1"/>
      <c r="E1"/>
      <c r="F1"/>
      <c r="G1"/>
      <c r="H1"/>
      <c r="I1"/>
      <c r="J1"/>
      <c r="K1"/>
      <c r="L1"/>
      <c r="M1"/>
      <c r="N1"/>
      <c r="O1"/>
    </row>
    <row r="2" spans="1:15" x14ac:dyDescent="0.3">
      <c r="A2"/>
      <c r="B2" s="151" t="str">
        <f>"Ratio Analysis- " &amp;'Data Sheet'!B1</f>
        <v>Ratio Analysis- TATA MOTORS LTD</v>
      </c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</row>
    <row r="3" spans="1:15" x14ac:dyDescent="0.3">
      <c r="A3"/>
      <c r="B3" s="57" t="s">
        <v>106</v>
      </c>
      <c r="C3" s="58">
        <f>'Data Sheet'!B16</f>
        <v>42094</v>
      </c>
      <c r="D3" s="58">
        <f>'Data Sheet'!C16</f>
        <v>42460</v>
      </c>
      <c r="E3" s="58">
        <f>'Data Sheet'!D16</f>
        <v>42825</v>
      </c>
      <c r="F3" s="58">
        <f>'Data Sheet'!E16</f>
        <v>43190</v>
      </c>
      <c r="G3" s="58">
        <f>'Data Sheet'!F16</f>
        <v>43555</v>
      </c>
      <c r="H3" s="58">
        <f>'Data Sheet'!G16</f>
        <v>43921</v>
      </c>
      <c r="I3" s="58">
        <f>'Data Sheet'!H16</f>
        <v>44286</v>
      </c>
      <c r="J3" s="58">
        <f>'Data Sheet'!I16</f>
        <v>44651</v>
      </c>
      <c r="K3" s="58">
        <f>'Data Sheet'!J16</f>
        <v>45016</v>
      </c>
      <c r="L3" s="58">
        <f>'Data Sheet'!K16</f>
        <v>45382</v>
      </c>
      <c r="M3" s="132" t="s">
        <v>330</v>
      </c>
      <c r="N3" s="133" t="s">
        <v>329</v>
      </c>
      <c r="O3" s="133" t="s">
        <v>18</v>
      </c>
    </row>
    <row r="4" spans="1:15" x14ac:dyDescent="0.3">
      <c r="A4"/>
      <c r="B4"/>
      <c r="C4"/>
      <c r="D4"/>
      <c r="E4"/>
      <c r="F4"/>
      <c r="G4"/>
      <c r="H4"/>
      <c r="I4"/>
      <c r="J4"/>
      <c r="K4"/>
      <c r="L4"/>
      <c r="M4"/>
      <c r="N4" s="128"/>
      <c r="O4"/>
    </row>
    <row r="5" spans="1:15" x14ac:dyDescent="0.3">
      <c r="A5"/>
      <c r="B5" s="134" t="s">
        <v>111</v>
      </c>
      <c r="C5" s="134"/>
      <c r="D5" s="127">
        <f>IFERROR('Historical FS'!D7,0)</f>
        <v>3.75690010654397E-2</v>
      </c>
      <c r="E5" s="127">
        <f>IFERROR('Historical FS'!E7,0)</f>
        <v>-1.2280329732469508E-2</v>
      </c>
      <c r="F5" s="127">
        <f>IFERROR('Historical FS'!F7,0)</f>
        <v>8.104774581985974E-2</v>
      </c>
      <c r="G5" s="127">
        <f>IFERROR('Historical FS'!G7,0)</f>
        <v>3.5629919045237157E-2</v>
      </c>
      <c r="H5" s="127">
        <f>IFERROR('Historical FS'!H7,0)</f>
        <v>-0.135360159555724</v>
      </c>
      <c r="I5" s="127">
        <f>IFERROR('Historical FS'!I7,0)</f>
        <v>-4.3181168490336042E-2</v>
      </c>
      <c r="J5" s="127">
        <f>IFERROR('Historical FS'!J7,0)</f>
        <v>0.11472967306158344</v>
      </c>
      <c r="K5" s="127">
        <f>IFERROR('Historical FS'!K7,0)</f>
        <v>0.24245815155859707</v>
      </c>
      <c r="L5" s="127">
        <f>IFERROR('Historical FS'!L7,0)</f>
        <v>0.26580803363974326</v>
      </c>
      <c r="M5" s="134"/>
      <c r="N5" s="127">
        <f>IFERROR(AVERAGE(D5:L5),0)</f>
        <v>6.5157874045770087E-2</v>
      </c>
      <c r="O5" s="127">
        <f>IFERROR(MEDIAN(C5:L5),0)</f>
        <v>3.75690010654397E-2</v>
      </c>
    </row>
    <row r="6" spans="1:15" x14ac:dyDescent="0.3">
      <c r="A6"/>
      <c r="B6" t="s">
        <v>328</v>
      </c>
      <c r="C6"/>
      <c r="D6" s="126">
        <f>IFERROR('Historical FS'!D18/'Historical FS'!C18-1,0)</f>
        <v>-2.1494113584437979E-2</v>
      </c>
      <c r="E6" s="126">
        <f>IFERROR('Historical FS'!E18/'Historical FS'!D18-1,0)</f>
        <v>-0.22936587208052905</v>
      </c>
      <c r="F6" s="126">
        <f>IFERROR('Historical FS'!F18/'Historical FS'!E18-1,0)</f>
        <v>6.3165689322506102E-2</v>
      </c>
      <c r="G6" s="126">
        <f>IFERROR('Historical FS'!G18/'Historical FS'!F18-1,0)</f>
        <v>-0.21595203460649259</v>
      </c>
      <c r="H6" s="126">
        <f>IFERROR('Historical FS'!H18/'Historical FS'!G18-1,0)</f>
        <v>-0.27072537547138131</v>
      </c>
      <c r="I6" s="126">
        <f>IFERROR('Historical FS'!I18/'Historical FS'!H18-1,0)</f>
        <v>0.79503554497758966</v>
      </c>
      <c r="J6" s="126">
        <f>IFERROR('Historical FS'!J18/'Historical FS'!I18-1,0)</f>
        <v>-0.234374182150762</v>
      </c>
      <c r="K6" s="126">
        <f>IFERROR('Historical FS'!K18/'Historical FS'!J18-1,0)</f>
        <v>0.28704223973294352</v>
      </c>
      <c r="L6" s="126">
        <f>IFERROR('Historical FS'!L18/'Historical FS'!K18-1,0)</f>
        <v>0.87134505497269066</v>
      </c>
      <c r="M6"/>
      <c r="N6" s="126">
        <f>IFERROR(AVERAGE(D6:L6),0)</f>
        <v>0.11607521679023633</v>
      </c>
      <c r="O6" s="126">
        <f t="shared" ref="O6:O40" si="0">IFERROR(MEDIAN(C6:L6),0)</f>
        <v>-2.1494113584437979E-2</v>
      </c>
    </row>
    <row r="7" spans="1:15" x14ac:dyDescent="0.3">
      <c r="A7"/>
      <c r="B7" t="s">
        <v>327</v>
      </c>
      <c r="C7"/>
      <c r="D7" s="126">
        <f>IFERROR('Historical FS'!D27/'Historical FS'!C27-1,0)</f>
        <v>-0.19978245260625749</v>
      </c>
      <c r="E7" s="126">
        <f>IFERROR('Historical FS'!E27/'Historical FS'!D27-1,0)</f>
        <v>-0.55668251823863213</v>
      </c>
      <c r="F7" s="126">
        <f>IFERROR('Historical FS'!F27/'Historical FS'!E27-1,0)</f>
        <v>-0.29861436616351744</v>
      </c>
      <c r="G7" s="126">
        <f>IFERROR('Historical FS'!G27/'Historical FS'!F27-1,0)</f>
        <v>-1.897095149646705</v>
      </c>
      <c r="H7" s="126">
        <f>IFERROR('Historical FS'!H27/'Historical FS'!G27-1,0)</f>
        <v>1.2800251873039095</v>
      </c>
      <c r="I7" s="126">
        <f>IFERROR('Historical FS'!I27/'Historical FS'!H27-1,0)</f>
        <v>-1.0602479570180365</v>
      </c>
      <c r="J7" s="126">
        <f>IFERROR('Historical FS'!J27/'Historical FS'!I27-1,0)</f>
        <v>-15.64914925025267</v>
      </c>
      <c r="K7" s="126">
        <f>IFERROR('Historical FS'!K27/'Historical FS'!J27-1,0)</f>
        <v>-0.65313668793078505</v>
      </c>
      <c r="L7" s="126">
        <f>IFERROR('Historical FS'!L27/'Historical FS'!K27-1,0)</f>
        <v>-7.8141215397976174</v>
      </c>
      <c r="M7"/>
      <c r="N7" s="126">
        <f>IFERROR(AVERAGE(D7:L7),0)</f>
        <v>-2.9832005260389236</v>
      </c>
      <c r="O7" s="126">
        <f t="shared" si="0"/>
        <v>-0.65313668793078505</v>
      </c>
    </row>
    <row r="8" spans="1:15" x14ac:dyDescent="0.3">
      <c r="A8"/>
      <c r="B8" t="s">
        <v>326</v>
      </c>
      <c r="C8"/>
      <c r="D8" s="126">
        <f>IFERROR('Historical FS'!D33/'Historical FS'!C33-1,0)</f>
        <v>3.1824673563310757E-2</v>
      </c>
      <c r="E8" s="126">
        <f>IFERROR('Historical FS'!E33/'Historical FS'!D33-1,0)</f>
        <v>-0.69539895165986787</v>
      </c>
      <c r="F8" s="126">
        <f>IFERROR('Historical FS'!F33/'Historical FS'!E33-1,0)</f>
        <v>-0.79011124197155724</v>
      </c>
      <c r="G8" s="126">
        <f>IFERROR('Historical FS'!G33/'Historical FS'!F33-1,0)</f>
        <v>-3.5528470983790919</v>
      </c>
      <c r="H8" s="126">
        <f>IFERROR('Historical FS'!H33/'Historical FS'!G33-1,0)</f>
        <v>3.9286702707513577</v>
      </c>
      <c r="I8" s="126">
        <f>IFERROR('Historical FS'!I33/'Historical FS'!H33-1,0)</f>
        <v>-0.82862505348950144</v>
      </c>
      <c r="J8" s="126">
        <f>IFERROR('Historical FS'!J33/'Historical FS'!I33-1,0)</f>
        <v>6.1952157445306248</v>
      </c>
      <c r="K8" s="126">
        <f>IFERROR('Historical FS'!K33/'Historical FS'!J33-1,0)</f>
        <v>-0.7090436533357708</v>
      </c>
      <c r="L8" s="126">
        <f>IFERROR('Historical FS'!L33/'Historical FS'!K33-1,0)</f>
        <v>-7.5761027654059561</v>
      </c>
      <c r="M8"/>
      <c r="N8" s="126">
        <f>IFERROR(AVERAGE(D8:L8),0)</f>
        <v>-0.44404645282182797</v>
      </c>
      <c r="O8" s="126">
        <f t="shared" si="0"/>
        <v>-0.7090436533357708</v>
      </c>
    </row>
    <row r="9" spans="1:15" x14ac:dyDescent="0.3">
      <c r="A9"/>
      <c r="B9" s="135" t="s">
        <v>325</v>
      </c>
      <c r="C9" s="135"/>
      <c r="D9" s="125">
        <f>IFERROR('Historical FS'!D41/'Historical FS'!C41-1,0)</f>
        <v>0</v>
      </c>
      <c r="E9" s="125">
        <f>IFERROR('Historical FS'!E41/'Historical FS'!D41-1,0)</f>
        <v>-1</v>
      </c>
      <c r="F9" s="125">
        <f>IFERROR('Historical FS'!F41/'Historical FS'!E41-1,0)</f>
        <v>0</v>
      </c>
      <c r="G9" s="125">
        <f>IFERROR('Historical FS'!G41/'Historical FS'!F41-1,0)</f>
        <v>0</v>
      </c>
      <c r="H9" s="125">
        <f>IFERROR('Historical FS'!H41/'Historical FS'!G41-1,0)</f>
        <v>0</v>
      </c>
      <c r="I9" s="125">
        <f>IFERROR('Historical FS'!I41/'Historical FS'!H41-1,0)</f>
        <v>0</v>
      </c>
      <c r="J9" s="125">
        <f>IFERROR('Historical FS'!J41/'Historical FS'!I41-1,0)</f>
        <v>0</v>
      </c>
      <c r="K9" s="125">
        <f>IFERROR('Historical FS'!K41/'Historical FS'!J41-1,0)</f>
        <v>0</v>
      </c>
      <c r="L9" s="125">
        <f>IFERROR('Historical FS'!L41/'Historical FS'!K41-1,0)</f>
        <v>0.49985611428699661</v>
      </c>
      <c r="M9" s="135"/>
      <c r="N9" s="125">
        <f>IFERROR(AVERAGE(D9:L9),0)</f>
        <v>-5.5571542857000375E-2</v>
      </c>
      <c r="O9" s="125">
        <f>IFERROR(MEDIAN(C9:L9),0)</f>
        <v>0</v>
      </c>
    </row>
    <row r="10" spans="1:15" x14ac:dyDescent="0.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</row>
    <row r="11" spans="1:15" x14ac:dyDescent="0.3">
      <c r="A11"/>
      <c r="B11" s="134" t="s">
        <v>116</v>
      </c>
      <c r="C11" s="127">
        <f>IFERROR('Historical FS'!C13,0)</f>
        <v>0.22914703499762759</v>
      </c>
      <c r="D11" s="127">
        <f>IFERROR('Historical FS'!D13,0)</f>
        <v>0.24734524196690946</v>
      </c>
      <c r="E11" s="127">
        <f>IFERROR('Historical FS'!E13,0)</f>
        <v>0.23819078253229964</v>
      </c>
      <c r="F11" s="127">
        <f>IFERROR('Historical FS'!F13,0)</f>
        <v>0.21649990080619999</v>
      </c>
      <c r="G11" s="127">
        <f>IFERROR('Historical FS'!G13,0)</f>
        <v>0.19571167496416494</v>
      </c>
      <c r="H11" s="127">
        <f>IFERROR('Historical FS'!H13,0)</f>
        <v>0.19417127271491774</v>
      </c>
      <c r="I11" s="127">
        <f>IFERROR('Historical FS'!I13,0)</f>
        <v>0.2180538622208833</v>
      </c>
      <c r="J11" s="127">
        <f>IFERROR('Historical FS'!J13,0)</f>
        <v>0.19807108271747378</v>
      </c>
      <c r="K11" s="127">
        <f>IFERROR('Historical FS'!K13,0)</f>
        <v>0.20685017994636876</v>
      </c>
      <c r="L11" s="127">
        <f>IFERROR('Historical FS'!L13,0)</f>
        <v>0.28014992061362093</v>
      </c>
      <c r="M11" s="134"/>
      <c r="N11" s="127">
        <f>IFERROR(AVERAGE(C11:L11),0)</f>
        <v>0.22241909534804663</v>
      </c>
      <c r="O11" s="127">
        <f t="shared" si="0"/>
        <v>0.21727688151354163</v>
      </c>
    </row>
    <row r="12" spans="1:15" x14ac:dyDescent="0.3">
      <c r="A12"/>
      <c r="B12" t="s">
        <v>324</v>
      </c>
      <c r="C12" s="126">
        <f>IFERROR('Historical FS'!C19,0)</f>
        <v>0.14910625508580397</v>
      </c>
      <c r="D12" s="126">
        <f>IFERROR('Historical FS'!D19,0)</f>
        <v>0.14061845347443788</v>
      </c>
      <c r="E12" s="126">
        <f>IFERROR('Historical FS'!E19,0)</f>
        <v>0.10971268723777329</v>
      </c>
      <c r="F12" s="126">
        <f>IFERROR('Historical FS'!F19,0)</f>
        <v>0.10789788444182975</v>
      </c>
      <c r="G12" s="126">
        <f>IFERROR('Historical FS'!G19,0)</f>
        <v>8.1686628795807431E-2</v>
      </c>
      <c r="H12" s="126">
        <f>IFERROR('Historical FS'!H19,0)</f>
        <v>6.8898034485042198E-2</v>
      </c>
      <c r="I12" s="126">
        <f>IFERROR('Historical FS'!I19,0)</f>
        <v>0.12925583904385496</v>
      </c>
      <c r="J12" s="126">
        <f>IFERROR('Historical FS'!J19,0)</f>
        <v>8.877632835227646E-2</v>
      </c>
      <c r="K12" s="126">
        <f>IFERROR('Historical FS'!K19,0)</f>
        <v>9.1961958102532049E-2</v>
      </c>
      <c r="L12" s="126">
        <f>IFERROR('Historical FS'!L19,0)</f>
        <v>0.13595470321509881</v>
      </c>
      <c r="M12"/>
      <c r="N12" s="126">
        <f t="shared" ref="N12:N40" si="1">IFERROR(AVERAGE(C12:L12),0)</f>
        <v>0.11038687722344567</v>
      </c>
      <c r="O12" s="126">
        <f t="shared" si="0"/>
        <v>0.10880528583980152</v>
      </c>
    </row>
    <row r="13" spans="1:15" x14ac:dyDescent="0.3">
      <c r="A13"/>
      <c r="B13" t="s">
        <v>323</v>
      </c>
      <c r="C13" s="126">
        <f>IFERROR(('Historical FS'!C18-'Historical FS'!C24)/'Historical FS'!C6,0)</f>
        <v>9.8229670900837146E-2</v>
      </c>
      <c r="D13" s="126">
        <f>IFERROR(('Historical FS'!D18-'Historical FS'!D24)/'Historical FS'!D6,0)</f>
        <v>7.941702777851016E-2</v>
      </c>
      <c r="E13" s="126">
        <f>IFERROR(('Historical FS'!E18-'Historical FS'!E24)/'Historical FS'!E6,0)</f>
        <v>4.3322300645279484E-2</v>
      </c>
      <c r="F13" s="126">
        <f>IFERROR(('Historical FS'!F18-'Historical FS'!F24)/'Historical FS'!F6,0)</f>
        <v>3.3970412259310953E-2</v>
      </c>
      <c r="G13" s="126">
        <f>IFERROR(('Historical FS'!G18-'Historical FS'!G24)/'Historical FS'!G6,0)</f>
        <v>3.5560233478087663E-3</v>
      </c>
      <c r="H13" s="126">
        <f>IFERROR(('Historical FS'!H18-'Historical FS'!H24)/'Historical FS'!H6,0)</f>
        <v>-1.3170363258273456E-2</v>
      </c>
      <c r="I13" s="126">
        <f>IFERROR(('Historical FS'!I18-'Historical FS'!I24)/'Historical FS'!I6,0)</f>
        <v>3.4991608110258483E-2</v>
      </c>
      <c r="J13" s="126">
        <f>IFERROR(('Historical FS'!J18-'Historical FS'!J24)/'Historical FS'!J6,0)</f>
        <v>-4.1514992694289269E-4</v>
      </c>
      <c r="K13" s="126">
        <f>IFERROR(('Historical FS'!K18-'Historical FS'!K24)/'Historical FS'!K6,0)</f>
        <v>2.0104346955433228E-2</v>
      </c>
      <c r="L13" s="126">
        <f>IFERROR(('Historical FS'!L18-'Historical FS'!L24)/'Historical FS'!L6,0)</f>
        <v>7.3683863437114416E-2</v>
      </c>
      <c r="M13"/>
      <c r="N13" s="126">
        <f t="shared" si="1"/>
        <v>3.7368974024933624E-2</v>
      </c>
      <c r="O13" s="126">
        <f t="shared" si="0"/>
        <v>3.4481010184784722E-2</v>
      </c>
    </row>
    <row r="14" spans="1:15" x14ac:dyDescent="0.3">
      <c r="A14"/>
      <c r="B14" t="s">
        <v>322</v>
      </c>
      <c r="C14" s="126">
        <f>IFERROR('Historical FS'!C28,0)</f>
        <v>7.9756085085905037E-2</v>
      </c>
      <c r="D14" s="126">
        <f>IFERROR('Historical FS'!D28,0)</f>
        <v>6.1511300676516931E-2</v>
      </c>
      <c r="E14" s="126">
        <f>IFERROR('Historical FS'!E28,0)</f>
        <v>2.7608071132565179E-2</v>
      </c>
      <c r="F14" s="126">
        <f>IFERROR('Historical FS'!F28,0)</f>
        <v>1.7912163958707913E-2</v>
      </c>
      <c r="G14" s="126">
        <f>IFERROR('Historical FS'!G28,0)</f>
        <v>-1.5516078776333117E-2</v>
      </c>
      <c r="H14" s="126">
        <f>IFERROR('Historical FS'!H28,0)</f>
        <v>-4.0915360088026265E-2</v>
      </c>
      <c r="I14" s="126">
        <f>IFERROR('Historical FS'!I28,0)</f>
        <v>2.5763151547420113E-3</v>
      </c>
      <c r="J14" s="126">
        <f>IFERROR('Historical FS'!J28,0)</f>
        <v>-3.3856482095653805E-2</v>
      </c>
      <c r="K14" s="126">
        <f>IFERROR('Historical FS'!K28,0)</f>
        <v>-9.4518849588445895E-3</v>
      </c>
      <c r="L14" s="126">
        <f>IFERROR('Historical FS'!L28,0)</f>
        <v>5.0881564327377671E-2</v>
      </c>
      <c r="M14"/>
      <c r="N14" s="126">
        <f t="shared" si="1"/>
        <v>1.4050569441695698E-2</v>
      </c>
      <c r="O14" s="126">
        <f t="shared" si="0"/>
        <v>1.0244239556724962E-2</v>
      </c>
    </row>
    <row r="15" spans="1:15" x14ac:dyDescent="0.3">
      <c r="A15"/>
      <c r="B15" s="135" t="s">
        <v>321</v>
      </c>
      <c r="C15" s="125">
        <f>IFERROR('Historical FS'!C34,0)</f>
        <v>5.0713146858982282E-2</v>
      </c>
      <c r="D15" s="125">
        <f>IFERROR('Historical FS'!D34,0)</f>
        <v>5.0432381990407359E-2</v>
      </c>
      <c r="E15" s="125">
        <f>IFERROR('Historical FS'!E34,0)</f>
        <v>1.5552749314395296E-2</v>
      </c>
      <c r="F15" s="125">
        <f>IFERROR('Historical FS'!F34,0)</f>
        <v>3.01961430487095E-3</v>
      </c>
      <c r="G15" s="125">
        <f>IFERROR('Historical FS'!G34,0)</f>
        <v>-7.4434056747998256E-3</v>
      </c>
      <c r="H15" s="125">
        <f>IFERROR('Historical FS'!H34,0)</f>
        <v>-4.2429333632923408E-2</v>
      </c>
      <c r="I15" s="125">
        <f>IFERROR('Historical FS'!I34,0)</f>
        <v>-7.5994791724005731E-3</v>
      </c>
      <c r="J15" s="125">
        <f>IFERROR('Historical FS'!J34,0)</f>
        <v>-4.9052154538339235E-2</v>
      </c>
      <c r="K15" s="125">
        <f>IFERROR('Historical FS'!K34,0)</f>
        <v>-1.1486934720964945E-2</v>
      </c>
      <c r="L15" s="125">
        <f>IFERROR('Historical FS'!L34,0)</f>
        <v>5.9676713353894073E-2</v>
      </c>
      <c r="M15" s="135"/>
      <c r="N15" s="125">
        <f t="shared" si="1"/>
        <v>6.1383298083121972E-3</v>
      </c>
      <c r="O15" s="125">
        <f t="shared" si="0"/>
        <v>-2.2118956849644378E-3</v>
      </c>
    </row>
    <row r="16" spans="1:15" x14ac:dyDescent="0.3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</row>
    <row r="17" spans="1:15" x14ac:dyDescent="0.3">
      <c r="A17"/>
      <c r="B17" s="134" t="s">
        <v>320</v>
      </c>
      <c r="C17" s="127">
        <f>IFERROR('Historical FS'!C16,0)</f>
        <v>8.0040779911823637E-2</v>
      </c>
      <c r="D17" s="127">
        <f>IFERROR('Historical FS'!D16,0)</f>
        <v>0.10672678849247161</v>
      </c>
      <c r="E17" s="127">
        <f>IFERROR('Historical FS'!E16,0)</f>
        <v>0.12847809529452636</v>
      </c>
      <c r="F17" s="127">
        <f>IFERROR('Historical FS'!F16,0)</f>
        <v>0.10860201636437025</v>
      </c>
      <c r="G17" s="127">
        <f>IFERROR('Historical FS'!G16,0)</f>
        <v>0.11402504616835751</v>
      </c>
      <c r="H17" s="127">
        <f>IFERROR('Historical FS'!H16,0)</f>
        <v>0.12527323822987554</v>
      </c>
      <c r="I17" s="127">
        <f>IFERROR('Historical FS'!I16,0)</f>
        <v>8.8798023177028354E-2</v>
      </c>
      <c r="J17" s="127">
        <f>IFERROR('Historical FS'!J16,0)</f>
        <v>0.10929475436519734</v>
      </c>
      <c r="K17" s="127">
        <f>IFERROR('Historical FS'!K16,0)</f>
        <v>0.11488822184383672</v>
      </c>
      <c r="L17" s="127">
        <f>IFERROR('Historical FS'!L16,0)</f>
        <v>0.14419521739852212</v>
      </c>
      <c r="M17" s="134"/>
      <c r="N17" s="127">
        <f t="shared" si="1"/>
        <v>0.11203221812460093</v>
      </c>
      <c r="O17" s="127">
        <f t="shared" si="0"/>
        <v>0.11165990026677743</v>
      </c>
    </row>
    <row r="18" spans="1:15" x14ac:dyDescent="0.3">
      <c r="A18"/>
      <c r="B18" t="s">
        <v>319</v>
      </c>
      <c r="C18" s="126">
        <f>IFERROR('Historical FS'!C25,0)</f>
        <v>5.0876584184966822E-2</v>
      </c>
      <c r="D18" s="126">
        <f>IFERROR('Historical FS'!D25,0)</f>
        <v>6.1201425695927715E-2</v>
      </c>
      <c r="E18" s="126">
        <f>IFERROR('Historical FS'!E25,0)</f>
        <v>6.63903865924938E-2</v>
      </c>
      <c r="F18" s="126">
        <f>IFERROR('Historical FS'!F25,0)</f>
        <v>7.3927472182518786E-2</v>
      </c>
      <c r="G18" s="126">
        <f>IFERROR('Historical FS'!G25,0)</f>
        <v>7.8130605447998658E-2</v>
      </c>
      <c r="H18" s="126">
        <f>IFERROR('Historical FS'!H25,0)</f>
        <v>8.206839774331566E-2</v>
      </c>
      <c r="I18" s="126">
        <f>IFERROR('Historical FS'!I25,0)</f>
        <v>9.4264230933596482E-2</v>
      </c>
      <c r="J18" s="126">
        <f>IFERROR('Historical FS'!J25,0)</f>
        <v>8.9191478279219347E-2</v>
      </c>
      <c r="K18" s="126">
        <f>IFERROR('Historical FS'!K25,0)</f>
        <v>7.1857611147098821E-2</v>
      </c>
      <c r="L18" s="126">
        <f>IFERROR('Historical FS'!L25,0)</f>
        <v>6.2270839777984394E-2</v>
      </c>
      <c r="M18"/>
      <c r="N18" s="126">
        <f t="shared" si="1"/>
        <v>7.3017903198512063E-2</v>
      </c>
      <c r="O18" s="126">
        <f t="shared" si="0"/>
        <v>7.2892541664808796E-2</v>
      </c>
    </row>
    <row r="19" spans="1:15" x14ac:dyDescent="0.3">
      <c r="A19"/>
      <c r="B19" s="135" t="s">
        <v>318</v>
      </c>
      <c r="C19" s="136">
        <f>C13</f>
        <v>9.8229670900837146E-2</v>
      </c>
      <c r="D19" s="136">
        <f t="shared" ref="D19:L19" si="2">D13</f>
        <v>7.941702777851016E-2</v>
      </c>
      <c r="E19" s="136">
        <f t="shared" si="2"/>
        <v>4.3322300645279484E-2</v>
      </c>
      <c r="F19" s="136">
        <f t="shared" si="2"/>
        <v>3.3970412259310953E-2</v>
      </c>
      <c r="G19" s="136">
        <f t="shared" si="2"/>
        <v>3.5560233478087663E-3</v>
      </c>
      <c r="H19" s="136">
        <f t="shared" si="2"/>
        <v>-1.3170363258273456E-2</v>
      </c>
      <c r="I19" s="136">
        <f t="shared" si="2"/>
        <v>3.4991608110258483E-2</v>
      </c>
      <c r="J19" s="136">
        <f t="shared" si="2"/>
        <v>-4.1514992694289269E-4</v>
      </c>
      <c r="K19" s="136">
        <f t="shared" si="2"/>
        <v>2.0104346955433228E-2</v>
      </c>
      <c r="L19" s="136">
        <f t="shared" si="2"/>
        <v>7.3683863437114416E-2</v>
      </c>
      <c r="M19" s="135"/>
      <c r="N19" s="125">
        <f t="shared" si="1"/>
        <v>3.7368974024933624E-2</v>
      </c>
      <c r="O19" s="125">
        <f t="shared" si="0"/>
        <v>3.4481010184784722E-2</v>
      </c>
    </row>
    <row r="20" spans="1:15" x14ac:dyDescent="0.3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</row>
    <row r="21" spans="1:15" x14ac:dyDescent="0.3">
      <c r="A21"/>
      <c r="B21" s="134" t="s">
        <v>317</v>
      </c>
      <c r="C21" s="127">
        <f>IFERROR(('Historical FS'!C18-'Historical FS'!C24)/SUM('Historical FS'!C47:C49),0)</f>
        <v>0.19904181268509033</v>
      </c>
      <c r="D21" s="127">
        <f>IFERROR(('Historical FS'!D18-'Historical FS'!D24)/SUM('Historical FS'!D47:D49),0)</f>
        <v>0.1462081011853561</v>
      </c>
      <c r="E21" s="127">
        <f>IFERROR(('Historical FS'!E18-'Historical FS'!E24)/SUM('Historical FS'!E47:E49),0)</f>
        <v>8.5490986154773282E-2</v>
      </c>
      <c r="F21" s="127">
        <f>IFERROR(('Historical FS'!F18-'Historical FS'!F24)/SUM('Historical FS'!F47:F49),0)</f>
        <v>5.3716113570365424E-2</v>
      </c>
      <c r="G21" s="127">
        <f>IFERROR(('Historical FS'!G18-'Historical FS'!G24)/SUM('Historical FS'!G47:G49),0)</f>
        <v>6.4542733637543747E-3</v>
      </c>
      <c r="H21" s="127">
        <f>IFERROR(('Historical FS'!H18-'Historical FS'!H24)/SUM('Historical FS'!H47:H49),0)</f>
        <v>-1.8387082646096023E-2</v>
      </c>
      <c r="I21" s="127">
        <f>IFERROR(('Historical FS'!I18-'Historical FS'!I24)/SUM('Historical FS'!I47:I49),0)</f>
        <v>4.4284324706251613E-2</v>
      </c>
      <c r="J21" s="127">
        <f>IFERROR(('Historical FS'!J18-'Historical FS'!J24)/SUM('Historical FS'!J47:J49),0)</f>
        <v>-6.0520306054739361E-4</v>
      </c>
      <c r="K21" s="127">
        <f>IFERROR(('Historical FS'!K18-'Historical FS'!K24)/SUM('Historical FS'!K47:K49),0)</f>
        <v>3.8762956416083731E-2</v>
      </c>
      <c r="L21" s="127">
        <f>IFERROR(('Historical FS'!L18-'Historical FS'!L24)/SUM('Historical FS'!L47:L49),0)</f>
        <v>0.16790572738589765</v>
      </c>
      <c r="M21" s="134"/>
      <c r="N21" s="127">
        <f t="shared" si="1"/>
        <v>7.2287200976092911E-2</v>
      </c>
      <c r="O21" s="127">
        <f t="shared" si="0"/>
        <v>4.9000219138308515E-2</v>
      </c>
    </row>
    <row r="22" spans="1:15" x14ac:dyDescent="0.3">
      <c r="A22"/>
      <c r="B22" t="s">
        <v>316</v>
      </c>
      <c r="C22" s="126">
        <f>IFERROR('Historical FS'!C44,0)</f>
        <v>1</v>
      </c>
      <c r="D22" s="126">
        <f>IFERROR('Historical FS'!D44,0)</f>
        <v>0.99506765991253665</v>
      </c>
      <c r="E22" s="126">
        <f>IFERROR('Historical FS'!E44,0)</f>
        <v>1</v>
      </c>
      <c r="F22" s="126">
        <f>IFERROR('Historical FS'!F44,0)</f>
        <v>1</v>
      </c>
      <c r="G22" s="126">
        <f>IFERROR('Historical FS'!G44,0)</f>
        <v>0</v>
      </c>
      <c r="H22" s="126">
        <f>IFERROR('Historical FS'!H44,0)</f>
        <v>0</v>
      </c>
      <c r="I22" s="126">
        <f>IFERROR('Historical FS'!I44,0)</f>
        <v>0</v>
      </c>
      <c r="J22" s="126">
        <f>IFERROR('Historical FS'!J44,0)</f>
        <v>0</v>
      </c>
      <c r="K22" s="126">
        <f>IFERROR('Historical FS'!K44,0)</f>
        <v>0</v>
      </c>
      <c r="L22" s="126">
        <f>IFERROR('Historical FS'!L44,0)</f>
        <v>0.95600573809916478</v>
      </c>
      <c r="M22"/>
      <c r="N22" s="126">
        <f t="shared" si="1"/>
        <v>0.49510733980117017</v>
      </c>
      <c r="O22" s="126">
        <f t="shared" si="0"/>
        <v>0.47800286904958239</v>
      </c>
    </row>
    <row r="23" spans="1:15" x14ac:dyDescent="0.3">
      <c r="A23"/>
      <c r="B23" t="s">
        <v>315</v>
      </c>
      <c r="C23" s="126">
        <f>IFERROR('Historical FS'!C33/SUM('Historical FS'!C47:C48),0)</f>
        <v>0.2372052002491202</v>
      </c>
      <c r="D23" s="126">
        <f>IFERROR('Historical FS'!D33/SUM('Historical FS'!D47:D48),0)</f>
        <v>0.17441316864171685</v>
      </c>
      <c r="E23" s="126">
        <f>IFERROR('Historical FS'!E33/SUM('Historical FS'!E47:E48),0)</f>
        <v>7.2241189530689517E-2</v>
      </c>
      <c r="F23" s="126">
        <f>IFERROR('Historical FS'!F33/SUM('Historical FS'!F47:F48),0)</f>
        <v>9.2254980749341738E-3</v>
      </c>
      <c r="G23" s="126">
        <f>IFERROR('Historical FS'!G33/SUM('Historical FS'!G47:G48),0)</f>
        <v>-3.7345736658758885E-2</v>
      </c>
      <c r="H23" s="126">
        <f>IFERROR('Historical FS'!H33/SUM('Historical FS'!H47:H48),0)</f>
        <v>-0.1780542775131683</v>
      </c>
      <c r="I23" s="126">
        <f>IFERROR('Historical FS'!I33/SUM('Historical FS'!I47:I48),0)</f>
        <v>-3.4360591904822733E-2</v>
      </c>
      <c r="J23" s="126">
        <f>IFERROR('Historical FS'!J33/SUM('Historical FS'!J47:J48),0)</f>
        <v>-0.30651638060341208</v>
      </c>
      <c r="K23" s="126">
        <f>IFERROR('Historical FS'!K33/SUM('Historical FS'!K47:K48),0)</f>
        <v>-8.7686298356707396E-2</v>
      </c>
      <c r="L23" s="126">
        <f>IFERROR('Historical FS'!L33/SUM('Historical FS'!L47:L48),0)</f>
        <v>0.30775670464290211</v>
      </c>
      <c r="M23"/>
      <c r="N23" s="126">
        <f t="shared" si="1"/>
        <v>1.5687847610249338E-2</v>
      </c>
      <c r="O23" s="126">
        <f t="shared" si="0"/>
        <v>-1.2567546914944279E-2</v>
      </c>
    </row>
    <row r="24" spans="1:15" x14ac:dyDescent="0.3">
      <c r="A24"/>
      <c r="B24" t="s">
        <v>314</v>
      </c>
      <c r="C24" s="126">
        <f>IFERROR(C22*C23,0)</f>
        <v>0.2372052002491202</v>
      </c>
      <c r="D24" s="126">
        <f t="shared" ref="D24:L24" si="3">IFERROR(D22*D23,0)</f>
        <v>0.17355290357824379</v>
      </c>
      <c r="E24" s="126">
        <f t="shared" si="3"/>
        <v>7.2241189530689517E-2</v>
      </c>
      <c r="F24" s="126">
        <f t="shared" si="3"/>
        <v>9.2254980749341738E-3</v>
      </c>
      <c r="G24" s="126">
        <f t="shared" si="3"/>
        <v>0</v>
      </c>
      <c r="H24" s="126">
        <f t="shared" si="3"/>
        <v>0</v>
      </c>
      <c r="I24" s="126">
        <f t="shared" si="3"/>
        <v>0</v>
      </c>
      <c r="J24" s="126">
        <f t="shared" si="3"/>
        <v>0</v>
      </c>
      <c r="K24" s="126">
        <f t="shared" si="3"/>
        <v>0</v>
      </c>
      <c r="L24" s="126">
        <f t="shared" si="3"/>
        <v>0.29421717557710431</v>
      </c>
      <c r="M24"/>
      <c r="N24" s="126">
        <f t="shared" si="1"/>
        <v>7.8644196701009195E-2</v>
      </c>
      <c r="O24" s="126">
        <f t="shared" si="0"/>
        <v>4.6127490374670869E-3</v>
      </c>
    </row>
    <row r="25" spans="1:15" x14ac:dyDescent="0.3">
      <c r="A25"/>
      <c r="B25" s="135" t="s">
        <v>313</v>
      </c>
      <c r="C25" s="137">
        <f>IFERROR(('Historical FS'!C18-'Historical FS'!C24)/'Historical FS'!C21,0)</f>
        <v>5.3173039541375138</v>
      </c>
      <c r="D25" s="137">
        <f>IFERROR(('Historical FS'!D18-'Historical FS'!D24)/'Historical FS'!D21,0)</f>
        <v>4.4352863933500721</v>
      </c>
      <c r="E25" s="137">
        <f>IFERROR(('Historical FS'!E18-'Historical FS'!E24)/'Historical FS'!E21,0)</f>
        <v>2.7568835373205922</v>
      </c>
      <c r="F25" s="137">
        <f>IFERROR(('Historical FS'!F18-'Historical FS'!F24)/'Historical FS'!F21,0)</f>
        <v>2.1154494328024094</v>
      </c>
      <c r="G25" s="137">
        <f>IFERROR(('Historical FS'!G18-'Historical FS'!G24)/'Historical FS'!G21,0)</f>
        <v>0.18645156808947008</v>
      </c>
      <c r="H25" s="137">
        <f>IFERROR(('Historical FS'!H18-'Historical FS'!H24)/'Historical FS'!H21,0)</f>
        <v>-0.47469326953211261</v>
      </c>
      <c r="I25" s="137">
        <f>IFERROR(('Historical FS'!I18-'Historical FS'!I24)/'Historical FS'!I21,0)</f>
        <v>1.079478385658198</v>
      </c>
      <c r="J25" s="137">
        <f>IFERROR(('Historical FS'!J18-'Historical FS'!J24)/'Historical FS'!J21,0)</f>
        <v>-1.2414275987824557E-2</v>
      </c>
      <c r="K25" s="137">
        <f>IFERROR(('Historical FS'!K18-'Historical FS'!K24)/'Historical FS'!K21,0)</f>
        <v>0.68020669934320532</v>
      </c>
      <c r="L25" s="137">
        <f>IFERROR(('Historical FS'!L18-'Historical FS'!L24)/'Historical FS'!L21,0)</f>
        <v>3.2314225457050894</v>
      </c>
      <c r="M25" s="135"/>
      <c r="N25" s="137">
        <f t="shared" si="1"/>
        <v>1.9315374970886616</v>
      </c>
      <c r="O25" s="137">
        <f t="shared" si="0"/>
        <v>1.5974639092303038</v>
      </c>
    </row>
    <row r="26" spans="1:15" x14ac:dyDescent="0.3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</row>
    <row r="27" spans="1:15" x14ac:dyDescent="0.3">
      <c r="A27"/>
      <c r="B27" s="134" t="s">
        <v>312</v>
      </c>
      <c r="C27" s="138">
        <f>IFERROR('Historical FS'!C6/'Historical FS'!C59,0)</f>
        <v>20.92016821419486</v>
      </c>
      <c r="D27" s="138">
        <f>IFERROR('Historical FS'!D6/'Historical FS'!D59,0)</f>
        <v>20.119918266350599</v>
      </c>
      <c r="E27" s="138">
        <f>IFERROR('Historical FS'!E6/'Historical FS'!E59,0)</f>
        <v>19.160353236640844</v>
      </c>
      <c r="F27" s="138">
        <f>IFERROR('Historical FS'!F6/'Historical FS'!F59,0)</f>
        <v>14.655712224718874</v>
      </c>
      <c r="G27" s="138">
        <f>IFERROR('Historical FS'!G6/'Historical FS'!G59,0)</f>
        <v>15.894698773489607</v>
      </c>
      <c r="H27" s="138">
        <f>IFERROR('Historical FS'!H6/'Historical FS'!H59,0)</f>
        <v>23.366617170976728</v>
      </c>
      <c r="I27" s="138">
        <f>IFERROR('Historical FS'!I6/'Historical FS'!I59,0)</f>
        <v>19.701330853658153</v>
      </c>
      <c r="J27" s="138">
        <f>IFERROR('Historical FS'!J6/'Historical FS'!J59,0)</f>
        <v>22.379917570317598</v>
      </c>
      <c r="K27" s="138">
        <f>IFERROR('Historical FS'!K6/'Historical FS'!K59,0)</f>
        <v>21.982947610142858</v>
      </c>
      <c r="L27" s="138">
        <f>IFERROR('Historical FS'!L6/'Historical FS'!L59,0)</f>
        <v>25.833687966063799</v>
      </c>
      <c r="M27" s="134"/>
      <c r="N27" s="138">
        <f t="shared" si="1"/>
        <v>20.401535188655391</v>
      </c>
      <c r="O27" s="138">
        <f t="shared" si="0"/>
        <v>20.520043240272727</v>
      </c>
    </row>
    <row r="28" spans="1:15" x14ac:dyDescent="0.3">
      <c r="A28"/>
      <c r="B28" t="s">
        <v>311</v>
      </c>
      <c r="C28" s="139">
        <f>IFERROR('Historical FS'!C6/'Historical FS'!C50,0)</f>
        <v>2.4493010585757142</v>
      </c>
      <c r="D28" s="139">
        <f>IFERROR('Historical FS'!D6/'Historical FS'!D50,0)</f>
        <v>2.3769603927858673</v>
      </c>
      <c r="E28" s="139">
        <f>IFERROR('Historical FS'!E6/'Historical FS'!E50,0)</f>
        <v>1.9842807783040648</v>
      </c>
      <c r="F28" s="139">
        <f>IFERROR('Historical FS'!F6/'Historical FS'!F50,0)</f>
        <v>2.0414780318629697</v>
      </c>
      <c r="G28" s="139">
        <f>IFERROR('Historical FS'!G6/'Historical FS'!G50,0)</f>
        <v>2.1667847518227492</v>
      </c>
      <c r="H28" s="139">
        <f>IFERROR('Historical FS'!H6/'Historical FS'!H50,0)</f>
        <v>1.9602534811345065</v>
      </c>
      <c r="I28" s="139">
        <f>IFERROR('Historical FS'!I6/'Historical FS'!I50,0)</f>
        <v>1.7323684804395676</v>
      </c>
      <c r="J28" s="139">
        <f>IFERROR('Historical FS'!J6/'Historical FS'!J50,0)</f>
        <v>2.0170312149360217</v>
      </c>
      <c r="K28" s="139">
        <f>IFERROR('Historical FS'!K6/'Historical FS'!K50,0)</f>
        <v>2.2286057258733614</v>
      </c>
      <c r="L28" s="139">
        <f>IFERROR('Historical FS'!L6/'Historical FS'!L50,0)</f>
        <v>2.4536044912626069</v>
      </c>
      <c r="M28"/>
      <c r="N28" s="139">
        <f t="shared" si="1"/>
        <v>2.1410668406997426</v>
      </c>
      <c r="O28" s="139">
        <f t="shared" si="0"/>
        <v>2.1041313918428592</v>
      </c>
    </row>
    <row r="29" spans="1:15" x14ac:dyDescent="0.3">
      <c r="A29"/>
      <c r="B29" t="s">
        <v>310</v>
      </c>
      <c r="C29" s="139">
        <f>IFERROR('Historical FS'!C6/'Historical FS'!C60,0)</f>
        <v>8.9900219797938927</v>
      </c>
      <c r="D29" s="139">
        <f>IFERROR('Historical FS'!D6/'Historical FS'!D60,0)</f>
        <v>8.3613381173839922</v>
      </c>
      <c r="E29" s="139">
        <f>IFERROR('Historical FS'!E6/'Historical FS'!E60,0)</f>
        <v>7.6867643466738649</v>
      </c>
      <c r="F29" s="139">
        <f>IFERROR('Historical FS'!F6/'Historical FS'!F60,0)</f>
        <v>6.9190051742350009</v>
      </c>
      <c r="G29" s="139">
        <f>IFERROR('Historical FS'!G6/'Historical FS'!G60,0)</f>
        <v>7.7392856309817084</v>
      </c>
      <c r="H29" s="139">
        <f>IFERROR('Historical FS'!H6/'Historical FS'!H60,0)</f>
        <v>6.9698269049637886</v>
      </c>
      <c r="I29" s="139">
        <f>IFERROR('Historical FS'!I6/'Historical FS'!I60,0)</f>
        <v>6.9217098811563442</v>
      </c>
      <c r="J29" s="139">
        <f>IFERROR('Historical FS'!J6/'Historical FS'!J60,0)</f>
        <v>7.9015588385356104</v>
      </c>
      <c r="K29" s="139">
        <f>IFERROR('Historical FS'!K6/'Historical FS'!K60,0)</f>
        <v>8.4888641723217457</v>
      </c>
      <c r="L29" s="139">
        <f>IFERROR('Historical FS'!L6/'Historical FS'!L60,0)</f>
        <v>9.1639137956181322</v>
      </c>
      <c r="M29"/>
      <c r="N29" s="139">
        <f t="shared" si="1"/>
        <v>7.9142288841664072</v>
      </c>
      <c r="O29" s="139">
        <f t="shared" si="0"/>
        <v>7.8204222347586594</v>
      </c>
    </row>
    <row r="30" spans="1:15" x14ac:dyDescent="0.3">
      <c r="A30"/>
      <c r="B30" t="s">
        <v>309</v>
      </c>
      <c r="C30" s="139">
        <f>IFERROR('Historical FS'!C6/'Historical FS'!C53,0)</f>
        <v>2.9742370802544178</v>
      </c>
      <c r="D30" s="139">
        <f>IFERROR('Historical FS'!D6/'Historical FS'!D53,0)</f>
        <v>2.546312771514708</v>
      </c>
      <c r="E30" s="139">
        <f>IFERROR('Historical FS'!E6/'Historical FS'!E53,0)</f>
        <v>2.8109343484246239</v>
      </c>
      <c r="F30" s="139">
        <f>IFERROR('Historical FS'!F6/'Historical FS'!F53,0)</f>
        <v>2.4012948768781421</v>
      </c>
      <c r="G30" s="139">
        <f>IFERROR('Historical FS'!G6/'Historical FS'!G53,0)</f>
        <v>2.7144319562092578</v>
      </c>
      <c r="H30" s="139">
        <f>IFERROR('Historical FS'!H6/'Historical FS'!H53,0)</f>
        <v>2.0539205744067566</v>
      </c>
      <c r="I30" s="139">
        <f>IFERROR('Historical FS'!I6/'Historical FS'!I53,0)</f>
        <v>1.8008727134726064</v>
      </c>
      <c r="J30" s="139">
        <f>IFERROR('Historical FS'!J6/'Historical FS'!J53,0)</f>
        <v>2.0053488717943728</v>
      </c>
      <c r="K30" s="139">
        <f>IFERROR('Historical FS'!K6/'Historical FS'!K53,0)</f>
        <v>2.6193791539294131</v>
      </c>
      <c r="L30" s="139">
        <f>IFERROR('Historical FS'!L6/'Historical FS'!L53,0)</f>
        <v>2.9985490243659285</v>
      </c>
      <c r="M30"/>
      <c r="N30" s="139">
        <f t="shared" si="1"/>
        <v>2.4925281371250225</v>
      </c>
      <c r="O30" s="139">
        <f t="shared" si="0"/>
        <v>2.5828459627220606</v>
      </c>
    </row>
    <row r="31" spans="1:15" x14ac:dyDescent="0.3">
      <c r="A31"/>
      <c r="B31" s="135" t="s">
        <v>308</v>
      </c>
      <c r="C31" s="137">
        <f>IFERROR('Historical FS'!C6/SUM('Historical FS'!C47:C48),0)</f>
        <v>4.6773906756114965</v>
      </c>
      <c r="D31" s="137">
        <f>IFERROR('Historical FS'!D6/SUM('Historical FS'!D47:D48),0)</f>
        <v>3.4583567493379874</v>
      </c>
      <c r="E31" s="137">
        <f>IFERROR('Historical FS'!E6/SUM('Historical FS'!E47:E48),0)</f>
        <v>4.6449144180459854</v>
      </c>
      <c r="F31" s="137">
        <f>IFERROR('Historical FS'!F6/SUM('Historical FS'!F47:F48),0)</f>
        <v>3.0551908765475422</v>
      </c>
      <c r="G31" s="137">
        <f>IFERROR('Historical FS'!G6/SUM('Historical FS'!G47:G48),0)</f>
        <v>5.0172915853821474</v>
      </c>
      <c r="H31" s="137">
        <f>IFERROR('Historical FS'!H6/SUM('Historical FS'!H47:H48),0)</f>
        <v>4.196490075795241</v>
      </c>
      <c r="I31" s="137">
        <f>IFERROR('Historical FS'!I6/SUM('Historical FS'!I47:I48),0)</f>
        <v>4.5214403678625628</v>
      </c>
      <c r="J31" s="137">
        <f>IFERROR('Historical FS'!J6/SUM('Historical FS'!J47:J48),0)</f>
        <v>6.2487852671963351</v>
      </c>
      <c r="K31" s="137">
        <f>IFERROR('Historical FS'!K6/SUM('Historical FS'!K47:K48),0)</f>
        <v>7.6335680916398054</v>
      </c>
      <c r="L31" s="137">
        <f>IFERROR('Historical FS'!L6/SUM('Historical FS'!L47:L48),0)</f>
        <v>5.1570652495194773</v>
      </c>
      <c r="M31" s="135"/>
      <c r="N31" s="137">
        <f t="shared" si="1"/>
        <v>4.861049335693858</v>
      </c>
      <c r="O31" s="137">
        <f t="shared" si="0"/>
        <v>4.6611525468287409</v>
      </c>
    </row>
    <row r="32" spans="1:15" x14ac:dyDescent="0.3">
      <c r="A32"/>
      <c r="B32"/>
      <c r="C32"/>
      <c r="D32"/>
      <c r="E32"/>
      <c r="F32"/>
      <c r="G32"/>
      <c r="H32"/>
      <c r="I32"/>
      <c r="J32"/>
      <c r="K32"/>
      <c r="L32" s="135"/>
      <c r="M32" s="135"/>
      <c r="N32" s="135"/>
      <c r="O32" s="135"/>
    </row>
    <row r="33" spans="1:15" x14ac:dyDescent="0.3">
      <c r="A33"/>
      <c r="B33" s="134" t="s">
        <v>307</v>
      </c>
      <c r="C33" s="140">
        <f>IFERROR(365/C27,0)</f>
        <v>17.447278447423685</v>
      </c>
      <c r="D33" s="140">
        <f t="shared" ref="D33:L33" si="4">IFERROR(365/D27,0)</f>
        <v>18.141226776772818</v>
      </c>
      <c r="E33" s="140">
        <f t="shared" si="4"/>
        <v>19.049753180019717</v>
      </c>
      <c r="F33" s="140">
        <f t="shared" si="4"/>
        <v>24.904964999543136</v>
      </c>
      <c r="G33" s="140">
        <f t="shared" si="4"/>
        <v>22.963631157878556</v>
      </c>
      <c r="H33" s="140">
        <f t="shared" si="4"/>
        <v>15.620575170519771</v>
      </c>
      <c r="I33" s="140">
        <f t="shared" si="4"/>
        <v>18.52666719376608</v>
      </c>
      <c r="J33" s="140">
        <f t="shared" si="4"/>
        <v>16.309264717046954</v>
      </c>
      <c r="K33" s="140">
        <f t="shared" si="4"/>
        <v>16.603778823163378</v>
      </c>
      <c r="L33" s="140">
        <f t="shared" si="4"/>
        <v>14.128838301348189</v>
      </c>
      <c r="M33" s="134"/>
      <c r="N33" s="140">
        <f t="shared" si="1"/>
        <v>18.369597876748227</v>
      </c>
      <c r="O33" s="140">
        <f t="shared" si="0"/>
        <v>17.794252612098251</v>
      </c>
    </row>
    <row r="34" spans="1:15" x14ac:dyDescent="0.3">
      <c r="A34"/>
      <c r="B34" t="s">
        <v>306</v>
      </c>
      <c r="C34" s="141">
        <f>IFERROR(365/C28,0)</f>
        <v>149.02210519283818</v>
      </c>
      <c r="D34" s="141">
        <f t="shared" ref="D34:L34" si="5">IFERROR(365/D28,0)</f>
        <v>153.55745981623585</v>
      </c>
      <c r="E34" s="141">
        <f t="shared" si="5"/>
        <v>183.94574194885871</v>
      </c>
      <c r="F34" s="141">
        <f t="shared" si="5"/>
        <v>178.79202925682029</v>
      </c>
      <c r="G34" s="141">
        <f t="shared" si="5"/>
        <v>168.45235766633192</v>
      </c>
      <c r="H34" s="141">
        <f t="shared" si="5"/>
        <v>186.20040903524091</v>
      </c>
      <c r="I34" s="141">
        <f t="shared" si="5"/>
        <v>210.69420514242194</v>
      </c>
      <c r="J34" s="141">
        <f t="shared" si="5"/>
        <v>180.95902398395825</v>
      </c>
      <c r="K34" s="141">
        <f t="shared" si="5"/>
        <v>163.77953074537726</v>
      </c>
      <c r="L34" s="141">
        <f t="shared" si="5"/>
        <v>148.76073193531434</v>
      </c>
      <c r="M34"/>
      <c r="N34" s="141">
        <f t="shared" si="1"/>
        <v>172.41635947233979</v>
      </c>
      <c r="O34" s="141">
        <f t="shared" si="0"/>
        <v>173.6221934615761</v>
      </c>
    </row>
    <row r="35" spans="1:15" x14ac:dyDescent="0.3">
      <c r="A35"/>
      <c r="B35" t="s">
        <v>305</v>
      </c>
      <c r="C35" s="141">
        <f>IFERROR(365/C29,0)</f>
        <v>40.600568143256986</v>
      </c>
      <c r="D35" s="141">
        <f t="shared" ref="D35:L35" si="6">IFERROR(365/D29,0)</f>
        <v>43.653299851746382</v>
      </c>
      <c r="E35" s="141">
        <f t="shared" si="6"/>
        <v>47.484218786795374</v>
      </c>
      <c r="F35" s="141">
        <f t="shared" si="6"/>
        <v>52.753248596949661</v>
      </c>
      <c r="G35" s="141">
        <f t="shared" si="6"/>
        <v>47.161975588398164</v>
      </c>
      <c r="H35" s="141">
        <f t="shared" si="6"/>
        <v>52.368588915752468</v>
      </c>
      <c r="I35" s="141">
        <f t="shared" si="6"/>
        <v>52.732634893247351</v>
      </c>
      <c r="J35" s="141">
        <f t="shared" si="6"/>
        <v>46.193416698982041</v>
      </c>
      <c r="K35" s="141">
        <f t="shared" si="6"/>
        <v>42.997507392107408</v>
      </c>
      <c r="L35" s="141">
        <f t="shared" si="6"/>
        <v>39.830143336194453</v>
      </c>
      <c r="M35"/>
      <c r="N35" s="141">
        <f t="shared" si="1"/>
        <v>46.577560220343024</v>
      </c>
      <c r="O35" s="141">
        <f t="shared" si="0"/>
        <v>46.677696143690099</v>
      </c>
    </row>
    <row r="36" spans="1:15" x14ac:dyDescent="0.3">
      <c r="A36"/>
      <c r="B36" s="135" t="s">
        <v>304</v>
      </c>
      <c r="C36" s="142">
        <f>IFERROR(C33+C35-C34,0)</f>
        <v>-90.974258602157505</v>
      </c>
      <c r="D36" s="142">
        <f t="shared" ref="D36:L36" si="7">IFERROR(D33+D35-D34,0)</f>
        <v>-91.762933187716641</v>
      </c>
      <c r="E36" s="142">
        <f t="shared" si="7"/>
        <v>-117.41176998204362</v>
      </c>
      <c r="F36" s="142">
        <f t="shared" si="7"/>
        <v>-101.13381566032749</v>
      </c>
      <c r="G36" s="142">
        <f t="shared" si="7"/>
        <v>-98.326750920055204</v>
      </c>
      <c r="H36" s="142">
        <f t="shared" si="7"/>
        <v>-118.21124494896867</v>
      </c>
      <c r="I36" s="142">
        <f t="shared" si="7"/>
        <v>-139.43490305540851</v>
      </c>
      <c r="J36" s="142">
        <f t="shared" si="7"/>
        <v>-118.45634256792925</v>
      </c>
      <c r="K36" s="142">
        <f t="shared" si="7"/>
        <v>-104.17824453010647</v>
      </c>
      <c r="L36" s="142">
        <f t="shared" si="7"/>
        <v>-94.80175029777169</v>
      </c>
      <c r="M36" s="135"/>
      <c r="N36" s="142">
        <f>IFERROR(AVERAGE(C36:L36),0)</f>
        <v>-107.4692013752485</v>
      </c>
      <c r="O36" s="142">
        <f t="shared" si="0"/>
        <v>-102.65603009521698</v>
      </c>
    </row>
    <row r="37" spans="1:15" x14ac:dyDescent="0.3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</row>
    <row r="38" spans="1:15" x14ac:dyDescent="0.3">
      <c r="A38"/>
      <c r="B38" s="134" t="s">
        <v>303</v>
      </c>
      <c r="C38" s="127">
        <f>IFERROR('Historical FS'!C78/'Historical FS'!C6,0)</f>
        <v>0.12106750071762705</v>
      </c>
      <c r="D38" s="127">
        <f>IFERROR('Historical FS'!D78/'Historical FS'!D6,0)</f>
        <v>0.14360971207739662</v>
      </c>
      <c r="E38" s="127">
        <f>IFERROR('Historical FS'!E78/'Historical FS'!E6,0)</f>
        <v>0.12404497255040564</v>
      </c>
      <c r="F38" s="127">
        <f>IFERROR('Historical FS'!F78/'Historical FS'!F6,0)</f>
        <v>5.9759805574664121E-2</v>
      </c>
      <c r="G38" s="127">
        <f>IFERROR('Historical FS'!G78/'Historical FS'!G6,0)</f>
        <v>3.8653579670555313E-2</v>
      </c>
      <c r="H38" s="127">
        <f>IFERROR('Historical FS'!H78/'Historical FS'!H6,0)</f>
        <v>0.12141665635964458</v>
      </c>
      <c r="I38" s="127">
        <f>IFERROR('Historical FS'!I78/'Historical FS'!I6,0)</f>
        <v>0.11572300859005244</v>
      </c>
      <c r="J38" s="127">
        <f>IFERROR('Historical FS'!J78/'Historical FS'!J6,0)</f>
        <v>1.2684338598291522E-2</v>
      </c>
      <c r="K38" s="127">
        <f>IFERROR('Historical FS'!K78/'Historical FS'!K6,0)</f>
        <v>9.3248786148573667E-2</v>
      </c>
      <c r="L38" s="127">
        <f>IFERROR('Historical FS'!L78/'Historical FS'!L6,0)</f>
        <v>0.1718091547380062</v>
      </c>
      <c r="M38" s="134"/>
      <c r="N38" s="127">
        <f t="shared" si="1"/>
        <v>0.10020175150252172</v>
      </c>
      <c r="O38" s="127">
        <f t="shared" si="0"/>
        <v>0.11839525465383974</v>
      </c>
    </row>
    <row r="39" spans="1:15" x14ac:dyDescent="0.3">
      <c r="A39"/>
      <c r="B39" t="s">
        <v>302</v>
      </c>
      <c r="C39" s="126">
        <f>IFERROR('Historical FS'!C78/'Historical FS'!C64,0)</f>
        <v>0.1342520624188657</v>
      </c>
      <c r="D39" s="126">
        <f>IFERROR('Historical FS'!D78/'Historical FS'!D64,0)</f>
        <v>0.14899075217760099</v>
      </c>
      <c r="E39" s="126">
        <f>IFERROR('Historical FS'!E78/'Historical FS'!E64,0)</f>
        <v>0.12273077928285075</v>
      </c>
      <c r="F39" s="126">
        <f>IFERROR('Historical FS'!F78/'Historical FS'!F64,0)</f>
        <v>5.3250110386320486E-2</v>
      </c>
      <c r="G39" s="126">
        <f>IFERROR('Historical FS'!G78/'Historical FS'!G64,0)</f>
        <v>3.8177516390146542E-2</v>
      </c>
      <c r="H39" s="126">
        <f>IFERROR('Historical FS'!H78/'Historical FS'!H64,0)</f>
        <v>9.9000750797857404E-2</v>
      </c>
      <c r="I39" s="126">
        <f>IFERROR('Historical FS'!I78/'Historical FS'!I64,0)</f>
        <v>8.4629819997903213E-2</v>
      </c>
      <c r="J39" s="126">
        <f>IFERROR('Historical FS'!J78/'Historical FS'!J64,0)</f>
        <v>1.073355621163692E-2</v>
      </c>
      <c r="K39" s="126">
        <f>IFERROR('Historical FS'!K78/'Historical FS'!K64,0)</f>
        <v>9.639517425935408E-2</v>
      </c>
      <c r="L39" s="126">
        <f>IFERROR('Historical FS'!L78/'Historical FS'!L64,0)</f>
        <v>0.20298709375467744</v>
      </c>
      <c r="M39"/>
      <c r="N39" s="126">
        <f t="shared" si="1"/>
        <v>9.9114761567721366E-2</v>
      </c>
      <c r="O39" s="126">
        <f t="shared" si="0"/>
        <v>9.7697962528605742E-2</v>
      </c>
    </row>
    <row r="40" spans="1:15" x14ac:dyDescent="0.3">
      <c r="A40"/>
      <c r="B40" s="135" t="s">
        <v>301</v>
      </c>
      <c r="C40" s="125">
        <f>IFERROR('Historical FS'!C78/'Historical FS'!C49,0)</f>
        <v>0.43281933433581865</v>
      </c>
      <c r="D40" s="125">
        <f>IFERROR('Historical FS'!D78/'Historical FS'!D49,0)</f>
        <v>0.56534057978118779</v>
      </c>
      <c r="E40" s="125">
        <f>IFERROR('Historical FS'!E78/'Historical FS'!E49,0)</f>
        <v>0.42560185883717339</v>
      </c>
      <c r="F40" s="125">
        <f>IFERROR('Historical FS'!F78/'Historical FS'!F49,0)</f>
        <v>0.19587305159826587</v>
      </c>
      <c r="G40" s="125">
        <f>IFERROR('Historical FS'!G78/'Historical FS'!G49,0)</f>
        <v>0.1099219460940742</v>
      </c>
      <c r="H40" s="125">
        <f>IFERROR('Historical FS'!H78/'Historical FS'!H49,0)</f>
        <v>0.25401554192386361</v>
      </c>
      <c r="I40" s="125">
        <f>IFERROR('Historical FS'!I78/'Historical FS'!I49,0)</f>
        <v>0.20338341005738594</v>
      </c>
      <c r="J40" s="125">
        <f>IFERROR('Historical FS'!J78/'Historical FS'!J49,0)</f>
        <v>2.4117605968438302E-2</v>
      </c>
      <c r="K40" s="125">
        <f>IFERROR('Historical FS'!K78/'Historical FS'!K49,0)</f>
        <v>0.24055008953614193</v>
      </c>
      <c r="L40" s="125">
        <f>IFERROR('Historical FS'!L78/'Historical FS'!L49,0)</f>
        <v>0.70145670667754345</v>
      </c>
      <c r="M40" s="135"/>
      <c r="N40" s="125">
        <f t="shared" si="1"/>
        <v>0.31530801248098933</v>
      </c>
      <c r="O40" s="125">
        <f t="shared" si="0"/>
        <v>0.24728281573000277</v>
      </c>
    </row>
  </sheetData>
  <mergeCells count="1">
    <mergeCell ref="B2:O2"/>
  </mergeCells>
  <pageMargins left="0.7" right="0.7" top="0.75" bottom="0.75" header="0.3" footer="0.3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markers="1" xr2:uid="{57148928-B488-4CE9-8DA6-B4B1B03F9BB5}">
          <x14:colorSeries rgb="FF376092"/>
          <x14:colorNegative rgb="FFD00000"/>
          <x14:colorAxis rgb="FF000000"/>
          <x14:colorMarkers theme="1"/>
          <x14:colorFirst rgb="FFD00000"/>
          <x14:colorLast rgb="FFD00000"/>
          <x14:colorHigh rgb="FFD00000"/>
          <x14:colorLow rgb="FFD00000"/>
          <x14:sparklines>
            <x14:sparkline>
              <xm:f>'Ratio Analysis '!D5:L5</xm:f>
              <xm:sqref>M5</xm:sqref>
            </x14:sparkline>
            <x14:sparkline>
              <xm:f>'Ratio Analysis '!D6:L6</xm:f>
              <xm:sqref>M6</xm:sqref>
            </x14:sparkline>
            <x14:sparkline>
              <xm:f>'Ratio Analysis '!D7:L7</xm:f>
              <xm:sqref>M7</xm:sqref>
            </x14:sparkline>
            <x14:sparkline>
              <xm:f>'Ratio Analysis '!D8:L8</xm:f>
              <xm:sqref>M8</xm:sqref>
            </x14:sparkline>
            <x14:sparkline>
              <xm:f>'Ratio Analysis '!D9:L9</xm:f>
              <xm:sqref>M9</xm:sqref>
            </x14:sparkline>
          </x14:sparklines>
        </x14:sparklineGroup>
        <x14:sparklineGroup manualMax="0" manualMin="0" displayEmptyCellsAs="gap" markers="1" xr2:uid="{718E4F97-438E-4031-A49B-85545E005721}">
          <x14:colorSeries rgb="FF376092"/>
          <x14:colorNegative rgb="FFD00000"/>
          <x14:colorAxis rgb="FF000000"/>
          <x14:colorMarkers theme="1"/>
          <x14:colorFirst rgb="FFD00000"/>
          <x14:colorLast rgb="FFD00000"/>
          <x14:colorHigh rgb="FFD00000"/>
          <x14:colorLow rgb="FFD00000"/>
          <x14:sparklines>
            <x14:sparkline>
              <xm:f>'Ratio Analysis '!C11:L11</xm:f>
              <xm:sqref>M11</xm:sqref>
            </x14:sparkline>
            <x14:sparkline>
              <xm:f>'Ratio Analysis '!C12:L12</xm:f>
              <xm:sqref>M12</xm:sqref>
            </x14:sparkline>
            <x14:sparkline>
              <xm:f>'Ratio Analysis '!C13:L13</xm:f>
              <xm:sqref>M13</xm:sqref>
            </x14:sparkline>
            <x14:sparkline>
              <xm:f>'Ratio Analysis '!C14:L14</xm:f>
              <xm:sqref>M14</xm:sqref>
            </x14:sparkline>
            <x14:sparkline>
              <xm:f>'Ratio Analysis '!C15:L15</xm:f>
              <xm:sqref>M15</xm:sqref>
            </x14:sparkline>
            <x14:sparkline>
              <xm:f>'Ratio Analysis '!C17:L17</xm:f>
              <xm:sqref>M17</xm:sqref>
            </x14:sparkline>
            <x14:sparkline>
              <xm:f>'Ratio Analysis '!C18:L18</xm:f>
              <xm:sqref>M18</xm:sqref>
            </x14:sparkline>
            <x14:sparkline>
              <xm:f>'Ratio Analysis '!C19:L19</xm:f>
              <xm:sqref>M19</xm:sqref>
            </x14:sparkline>
            <x14:sparkline>
              <xm:f>'Ratio Analysis '!C21:L21</xm:f>
              <xm:sqref>M21</xm:sqref>
            </x14:sparkline>
            <x14:sparkline>
              <xm:f>'Ratio Analysis '!C22:L22</xm:f>
              <xm:sqref>M22</xm:sqref>
            </x14:sparkline>
            <x14:sparkline>
              <xm:f>'Ratio Analysis '!C23:L23</xm:f>
              <xm:sqref>M23</xm:sqref>
            </x14:sparkline>
            <x14:sparkline>
              <xm:f>'Ratio Analysis '!C24:L24</xm:f>
              <xm:sqref>M24</xm:sqref>
            </x14:sparkline>
            <x14:sparkline>
              <xm:f>'Ratio Analysis '!C25:L25</xm:f>
              <xm:sqref>M25</xm:sqref>
            </x14:sparkline>
            <x14:sparkline>
              <xm:f>'Ratio Analysis '!C27:L27</xm:f>
              <xm:sqref>M27</xm:sqref>
            </x14:sparkline>
            <x14:sparkline>
              <xm:f>'Ratio Analysis '!C28:L28</xm:f>
              <xm:sqref>M28</xm:sqref>
            </x14:sparkline>
            <x14:sparkline>
              <xm:f>'Ratio Analysis '!C29:L29</xm:f>
              <xm:sqref>M29</xm:sqref>
            </x14:sparkline>
            <x14:sparkline>
              <xm:f>'Ratio Analysis '!C30:L30</xm:f>
              <xm:sqref>M30</xm:sqref>
            </x14:sparkline>
            <x14:sparkline>
              <xm:f>'Ratio Analysis '!C31:L31</xm:f>
              <xm:sqref>M31</xm:sqref>
            </x14:sparkline>
            <x14:sparkline>
              <xm:f>'Ratio Analysis '!C33:L33</xm:f>
              <xm:sqref>M33</xm:sqref>
            </x14:sparkline>
            <x14:sparkline>
              <xm:f>'Ratio Analysis '!C34:L34</xm:f>
              <xm:sqref>M34</xm:sqref>
            </x14:sparkline>
            <x14:sparkline>
              <xm:f>'Ratio Analysis '!C35:L35</xm:f>
              <xm:sqref>M35</xm:sqref>
            </x14:sparkline>
            <x14:sparkline>
              <xm:f>'Ratio Analysis '!C36:L36</xm:f>
              <xm:sqref>M36</xm:sqref>
            </x14:sparkline>
            <x14:sparkline>
              <xm:f>'Ratio Analysis '!C38:L38</xm:f>
              <xm:sqref>M38</xm:sqref>
            </x14:sparkline>
            <x14:sparkline>
              <xm:f>'Ratio Analysis '!C39:L39</xm:f>
              <xm:sqref>M39</xm:sqref>
            </x14:sparkline>
            <x14:sparkline>
              <xm:f>'Ratio Analysis '!C40:L40</xm:f>
              <xm:sqref>M40</xm:sqref>
            </x14:sparkline>
          </x14:sparklines>
        </x14:sparklineGroup>
      </x14:sparklineGroup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BFFD4-0A64-4097-84B0-04C47DB1C52E}">
  <dimension ref="B3:G30"/>
  <sheetViews>
    <sheetView showGridLines="0" topLeftCell="A3" workbookViewId="0">
      <selection activeCell="D26" sqref="D26"/>
    </sheetView>
  </sheetViews>
  <sheetFormatPr defaultRowHeight="14.4" x14ac:dyDescent="0.3"/>
  <cols>
    <col min="1" max="1" width="1.88671875" customWidth="1"/>
  </cols>
  <sheetData>
    <row r="3" spans="2:7" x14ac:dyDescent="0.3">
      <c r="B3" t="s">
        <v>99</v>
      </c>
    </row>
    <row r="5" spans="2:7" x14ac:dyDescent="0.3">
      <c r="B5" s="44" t="s">
        <v>97</v>
      </c>
      <c r="C5" s="45" t="s">
        <v>98</v>
      </c>
    </row>
    <row r="6" spans="2:7" x14ac:dyDescent="0.3">
      <c r="B6" s="42">
        <v>2000</v>
      </c>
      <c r="C6" s="43">
        <v>-0.14649999999999999</v>
      </c>
      <c r="E6" t="s">
        <v>100</v>
      </c>
      <c r="G6" s="18">
        <f>AVERAGE(C6:C29)</f>
        <v>0.15609166666666666</v>
      </c>
    </row>
    <row r="7" spans="2:7" x14ac:dyDescent="0.3">
      <c r="B7" s="42">
        <v>2001</v>
      </c>
      <c r="C7" s="43">
        <v>-0.1618</v>
      </c>
      <c r="E7" t="s">
        <v>101</v>
      </c>
      <c r="G7" s="46">
        <v>1.1599999999999999E-2</v>
      </c>
    </row>
    <row r="8" spans="2:7" x14ac:dyDescent="0.3">
      <c r="B8" s="42">
        <v>2002</v>
      </c>
      <c r="C8" s="43">
        <v>3.2500000000000001E-2</v>
      </c>
      <c r="E8" s="47" t="s">
        <v>102</v>
      </c>
      <c r="F8" s="47"/>
      <c r="G8" s="48">
        <f>SUM(G6:G7)</f>
        <v>0.16769166666666666</v>
      </c>
    </row>
    <row r="9" spans="2:7" x14ac:dyDescent="0.3">
      <c r="B9" s="42">
        <v>2003</v>
      </c>
      <c r="C9" s="43">
        <v>0.71900000000000008</v>
      </c>
    </row>
    <row r="10" spans="2:7" x14ac:dyDescent="0.3">
      <c r="B10" s="42">
        <v>2004</v>
      </c>
      <c r="C10" s="43">
        <v>0.10679999999999999</v>
      </c>
    </row>
    <row r="11" spans="2:7" x14ac:dyDescent="0.3">
      <c r="B11" s="42">
        <v>2005</v>
      </c>
      <c r="C11" s="43">
        <v>0.36340000000000006</v>
      </c>
    </row>
    <row r="12" spans="2:7" x14ac:dyDescent="0.3">
      <c r="B12" s="42">
        <v>2006</v>
      </c>
      <c r="C12" s="43">
        <v>0.39829999999999999</v>
      </c>
    </row>
    <row r="13" spans="2:7" x14ac:dyDescent="0.3">
      <c r="B13" s="42">
        <v>2007</v>
      </c>
      <c r="C13" s="43">
        <v>0.54770000000000008</v>
      </c>
    </row>
    <row r="14" spans="2:7" x14ac:dyDescent="0.3">
      <c r="B14" s="42">
        <v>2008</v>
      </c>
      <c r="C14" s="43">
        <v>-0.51790000000000003</v>
      </c>
    </row>
    <row r="15" spans="2:7" x14ac:dyDescent="0.3">
      <c r="B15" s="42">
        <v>2009</v>
      </c>
      <c r="C15" s="43">
        <v>0.75760000000000005</v>
      </c>
    </row>
    <row r="16" spans="2:7" x14ac:dyDescent="0.3">
      <c r="B16" s="42">
        <v>2010</v>
      </c>
      <c r="C16" s="43">
        <v>0.17949999999999999</v>
      </c>
    </row>
    <row r="17" spans="2:3" x14ac:dyDescent="0.3">
      <c r="B17" s="42">
        <v>2011</v>
      </c>
      <c r="C17" s="43">
        <v>-0.2462</v>
      </c>
    </row>
    <row r="18" spans="2:3" x14ac:dyDescent="0.3">
      <c r="B18" s="42">
        <v>2012</v>
      </c>
      <c r="C18" s="43">
        <v>0.27699999999999997</v>
      </c>
    </row>
    <row r="19" spans="2:3" x14ac:dyDescent="0.3">
      <c r="B19" s="42">
        <v>2013</v>
      </c>
      <c r="C19" s="43">
        <v>6.7599999999999993E-2</v>
      </c>
    </row>
    <row r="20" spans="2:3" x14ac:dyDescent="0.3">
      <c r="B20" s="42">
        <v>2014</v>
      </c>
      <c r="C20" s="43">
        <v>0.31390000000000001</v>
      </c>
    </row>
    <row r="21" spans="2:3" x14ac:dyDescent="0.3">
      <c r="B21" s="42">
        <v>2015</v>
      </c>
      <c r="C21" s="43">
        <v>-4.0599999999999997E-2</v>
      </c>
    </row>
    <row r="22" spans="2:3" x14ac:dyDescent="0.3">
      <c r="B22" s="42">
        <v>2016</v>
      </c>
      <c r="C22" s="43">
        <v>3.0099999999999998E-2</v>
      </c>
    </row>
    <row r="23" spans="2:3" x14ac:dyDescent="0.3">
      <c r="B23" s="42">
        <v>2017</v>
      </c>
      <c r="C23" s="43">
        <v>0.28649999999999998</v>
      </c>
    </row>
    <row r="24" spans="2:3" x14ac:dyDescent="0.3">
      <c r="B24" s="42">
        <v>2018</v>
      </c>
      <c r="C24" s="43">
        <v>3.15E-2</v>
      </c>
    </row>
    <row r="25" spans="2:3" x14ac:dyDescent="0.3">
      <c r="B25" s="42">
        <v>2019</v>
      </c>
      <c r="C25" s="43">
        <v>0.1202</v>
      </c>
    </row>
    <row r="26" spans="2:3" x14ac:dyDescent="0.3">
      <c r="B26" s="42">
        <v>2020</v>
      </c>
      <c r="C26" s="43">
        <v>0.14899999999999999</v>
      </c>
    </row>
    <row r="27" spans="2:3" x14ac:dyDescent="0.3">
      <c r="B27" s="42">
        <v>2021</v>
      </c>
      <c r="C27" s="43">
        <v>0.2412</v>
      </c>
    </row>
    <row r="28" spans="2:3" x14ac:dyDescent="0.3">
      <c r="B28" s="42">
        <v>2022</v>
      </c>
      <c r="C28" s="43">
        <v>4.3200000000000002E-2</v>
      </c>
    </row>
    <row r="29" spans="2:3" x14ac:dyDescent="0.3">
      <c r="B29" s="42">
        <v>2023</v>
      </c>
      <c r="C29" s="43">
        <v>0.19420000000000001</v>
      </c>
    </row>
    <row r="30" spans="2:3" x14ac:dyDescent="0.3">
      <c r="B30" s="4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664B0-4014-446F-B35B-1604DDFC664B}">
  <dimension ref="A2:K65"/>
  <sheetViews>
    <sheetView showGridLines="0" topLeftCell="A46" workbookViewId="0">
      <selection activeCell="K48" sqref="K48"/>
    </sheetView>
  </sheetViews>
  <sheetFormatPr defaultRowHeight="14.4" x14ac:dyDescent="0.3"/>
  <cols>
    <col min="1" max="1" width="1.88671875" customWidth="1"/>
    <col min="2" max="2" width="10.21875" bestFit="1" customWidth="1"/>
    <col min="7" max="9" width="10.5546875" bestFit="1" customWidth="1"/>
    <col min="10" max="10" width="13.33203125" bestFit="1" customWidth="1"/>
    <col min="11" max="11" width="10.5546875" bestFit="1" customWidth="1"/>
  </cols>
  <sheetData>
    <row r="2" spans="2:11" x14ac:dyDescent="0.3">
      <c r="B2" s="82" t="s">
        <v>256</v>
      </c>
      <c r="C2" s="96"/>
      <c r="D2" s="96"/>
      <c r="E2" s="96"/>
      <c r="F2" s="96"/>
      <c r="G2" s="83">
        <f>'Raw FS'!J2</f>
        <v>43891</v>
      </c>
      <c r="H2" s="83">
        <f>'Raw FS'!K2</f>
        <v>44256</v>
      </c>
      <c r="I2" s="83">
        <f>'Raw FS'!L2</f>
        <v>44621</v>
      </c>
      <c r="J2" s="83">
        <f>'Raw FS'!M2</f>
        <v>44986</v>
      </c>
      <c r="K2" s="83">
        <f>'Raw FS'!N2</f>
        <v>45352</v>
      </c>
    </row>
    <row r="4" spans="2:11" x14ac:dyDescent="0.3">
      <c r="B4" s="1" t="s">
        <v>257</v>
      </c>
    </row>
    <row r="5" spans="2:11" x14ac:dyDescent="0.3">
      <c r="B5" s="97" t="str">
        <f>'Raw FS'!B36</f>
        <v>Inventories</v>
      </c>
      <c r="C5" s="97"/>
      <c r="D5" s="97"/>
      <c r="E5" s="97"/>
      <c r="F5" s="97"/>
      <c r="G5" s="92">
        <f>'Raw FS'!J36</f>
        <v>37457</v>
      </c>
      <c r="H5" s="92">
        <f>'Raw FS'!K36</f>
        <v>36089</v>
      </c>
      <c r="I5" s="92">
        <f>'Raw FS'!L36</f>
        <v>35240</v>
      </c>
      <c r="J5" s="92">
        <f>'Raw FS'!M36</f>
        <v>40755</v>
      </c>
      <c r="K5" s="92">
        <f>'Raw FS'!N36</f>
        <v>47788</v>
      </c>
    </row>
    <row r="6" spans="2:11" x14ac:dyDescent="0.3">
      <c r="B6" s="97" t="str">
        <f>'Raw FS'!B37</f>
        <v>Trade receivables -</v>
      </c>
      <c r="C6" s="97"/>
      <c r="D6" s="97"/>
      <c r="E6" s="97"/>
      <c r="F6" s="97"/>
      <c r="G6" s="92">
        <f>'Raw FS'!J37</f>
        <v>11173</v>
      </c>
      <c r="H6" s="92">
        <f>'Raw FS'!K37</f>
        <v>12679</v>
      </c>
      <c r="I6" s="92">
        <f>'Raw FS'!L37</f>
        <v>12442</v>
      </c>
      <c r="J6" s="92">
        <f>'Raw FS'!M37</f>
        <v>15738</v>
      </c>
      <c r="K6" s="92">
        <f>'Raw FS'!N37</f>
        <v>16952</v>
      </c>
    </row>
    <row r="7" spans="2:11" x14ac:dyDescent="0.3">
      <c r="B7" s="97" t="str">
        <f>'Raw FS'!B39</f>
        <v>Short term loans</v>
      </c>
      <c r="C7" s="97"/>
      <c r="D7" s="97"/>
      <c r="E7" s="97"/>
      <c r="F7" s="97"/>
      <c r="G7" s="92">
        <f>'Raw FS'!J39</f>
        <v>39</v>
      </c>
      <c r="H7" s="92">
        <f>'Raw FS'!K39</f>
        <v>142</v>
      </c>
      <c r="I7" s="92">
        <f>'Raw FS'!L39</f>
        <v>47</v>
      </c>
      <c r="J7" s="92">
        <f>'Raw FS'!M39</f>
        <v>119</v>
      </c>
      <c r="K7" s="92">
        <f>'Raw FS'!N39</f>
        <v>168</v>
      </c>
    </row>
    <row r="8" spans="2:11" x14ac:dyDescent="0.3">
      <c r="B8" t="str">
        <f>'Raw FS'!B40</f>
        <v>Other asset items</v>
      </c>
      <c r="G8" s="87">
        <f>'Raw FS'!J40</f>
        <v>58746</v>
      </c>
      <c r="H8" s="87">
        <f>'Raw FS'!K40</f>
        <v>61576</v>
      </c>
      <c r="I8" s="87">
        <f>'Raw FS'!L40</f>
        <v>62177</v>
      </c>
      <c r="J8" s="87">
        <f>'Raw FS'!M40</f>
        <v>68313</v>
      </c>
      <c r="K8" s="87">
        <f>'Raw FS'!N40</f>
        <v>78851</v>
      </c>
    </row>
    <row r="9" spans="2:11" x14ac:dyDescent="0.3">
      <c r="B9" s="90" t="s">
        <v>151</v>
      </c>
      <c r="C9" s="90"/>
      <c r="D9" s="90"/>
      <c r="E9" s="90"/>
      <c r="F9" s="90"/>
      <c r="G9" s="104">
        <f>SUM(G5:G8)</f>
        <v>107415</v>
      </c>
      <c r="H9" s="104">
        <f>SUM(H5:H8)</f>
        <v>110486</v>
      </c>
      <c r="I9" s="104">
        <f>SUM(I5:I8)</f>
        <v>109906</v>
      </c>
      <c r="J9" s="104">
        <f>SUM(J5:J8)</f>
        <v>124925</v>
      </c>
      <c r="K9" s="104">
        <f>SUM(K5:K8)</f>
        <v>143759</v>
      </c>
    </row>
    <row r="10" spans="2:11" x14ac:dyDescent="0.3">
      <c r="G10" s="87"/>
      <c r="H10" s="87"/>
      <c r="I10" s="87"/>
      <c r="J10" s="87"/>
      <c r="K10" s="87"/>
    </row>
    <row r="11" spans="2:11" x14ac:dyDescent="0.3">
      <c r="B11" s="1" t="s">
        <v>258</v>
      </c>
      <c r="G11" s="87"/>
      <c r="H11" s="87"/>
      <c r="I11" s="87"/>
      <c r="J11" s="87"/>
      <c r="K11" s="87"/>
    </row>
    <row r="12" spans="2:11" x14ac:dyDescent="0.3">
      <c r="B12" s="97" t="str">
        <f>'Raw FS'!B13</f>
        <v>Trade Payables</v>
      </c>
      <c r="C12" s="97"/>
      <c r="D12" s="97"/>
      <c r="E12" s="97"/>
      <c r="F12" s="97"/>
      <c r="G12" s="92">
        <f>'Raw FS'!J13</f>
        <v>66398</v>
      </c>
      <c r="H12" s="92">
        <f>'Raw FS'!K13</f>
        <v>76040</v>
      </c>
      <c r="I12" s="92">
        <f>'Raw FS'!L13</f>
        <v>69750</v>
      </c>
      <c r="J12" s="92">
        <f>'Raw FS'!M13</f>
        <v>79252</v>
      </c>
      <c r="K12" s="92">
        <f>'Raw FS'!N13</f>
        <v>93979</v>
      </c>
    </row>
    <row r="13" spans="2:11" x14ac:dyDescent="0.3">
      <c r="B13" s="97" t="str">
        <f>'Raw FS'!B14</f>
        <v>Advance from Customers</v>
      </c>
      <c r="C13" s="97"/>
      <c r="D13" s="97"/>
      <c r="E13" s="97"/>
      <c r="F13" s="97"/>
      <c r="G13" s="92">
        <f>'Raw FS'!J14</f>
        <v>0</v>
      </c>
      <c r="H13" s="92">
        <f>'Raw FS'!K14</f>
        <v>0</v>
      </c>
      <c r="I13" s="92">
        <f>'Raw FS'!L14</f>
        <v>0</v>
      </c>
      <c r="J13" s="92">
        <f>'Raw FS'!M14</f>
        <v>0</v>
      </c>
      <c r="K13" s="92">
        <f>'Raw FS'!N14</f>
        <v>0</v>
      </c>
    </row>
    <row r="14" spans="2:11" x14ac:dyDescent="0.3">
      <c r="B14" s="97" t="str">
        <f>'Raw FS'!B15</f>
        <v>Other liability items</v>
      </c>
      <c r="C14" s="97"/>
      <c r="D14" s="97"/>
      <c r="E14" s="97"/>
      <c r="F14" s="97"/>
      <c r="G14" s="92">
        <f>'Raw FS'!J15</f>
        <v>65969</v>
      </c>
      <c r="H14" s="92">
        <f>'Raw FS'!K15</f>
        <v>66579</v>
      </c>
      <c r="I14" s="92">
        <f>'Raw FS'!L15</f>
        <v>64030</v>
      </c>
      <c r="J14" s="92">
        <f>'Raw FS'!M15</f>
        <v>68710</v>
      </c>
      <c r="K14" s="92">
        <f>'Raw FS'!N15</f>
        <v>75186</v>
      </c>
    </row>
    <row r="15" spans="2:11" x14ac:dyDescent="0.3">
      <c r="B15" s="90" t="s">
        <v>260</v>
      </c>
      <c r="C15" s="90"/>
      <c r="D15" s="90"/>
      <c r="E15" s="90"/>
      <c r="F15" s="90"/>
      <c r="G15" s="104">
        <f>SUM(G12:G14)</f>
        <v>132367</v>
      </c>
      <c r="H15" s="104">
        <f>SUM(H12:H14)</f>
        <v>142619</v>
      </c>
      <c r="I15" s="104">
        <f>SUM(I12:I14)</f>
        <v>133780</v>
      </c>
      <c r="J15" s="104">
        <f>SUM(J12:J14)</f>
        <v>147962</v>
      </c>
      <c r="K15" s="104">
        <f>SUM(K12:K14)</f>
        <v>169165</v>
      </c>
    </row>
    <row r="16" spans="2:11" x14ac:dyDescent="0.3">
      <c r="G16" s="87"/>
      <c r="H16" s="87"/>
      <c r="I16" s="87"/>
      <c r="J16" s="87"/>
      <c r="K16" s="87"/>
    </row>
    <row r="17" spans="1:11" ht="15" thickBot="1" x14ac:dyDescent="0.35">
      <c r="A17" t="s">
        <v>108</v>
      </c>
      <c r="B17" s="98" t="s">
        <v>259</v>
      </c>
      <c r="C17" s="98"/>
      <c r="D17" s="98"/>
      <c r="E17" s="98"/>
      <c r="F17" s="98"/>
      <c r="G17" s="105">
        <f>G9-G15</f>
        <v>-24952</v>
      </c>
      <c r="H17" s="105">
        <f>H9-H15</f>
        <v>-32133</v>
      </c>
      <c r="I17" s="105">
        <f>I9-I15</f>
        <v>-23874</v>
      </c>
      <c r="J17" s="105">
        <f>J9-J15</f>
        <v>-23037</v>
      </c>
      <c r="K17" s="105">
        <f>K9-K15</f>
        <v>-25406</v>
      </c>
    </row>
    <row r="18" spans="1:11" x14ac:dyDescent="0.3">
      <c r="G18" s="87"/>
      <c r="H18" s="87"/>
      <c r="I18" s="87"/>
      <c r="J18" s="87"/>
      <c r="K18" s="87"/>
    </row>
    <row r="19" spans="1:11" x14ac:dyDescent="0.3">
      <c r="B19" s="1" t="s">
        <v>261</v>
      </c>
      <c r="G19" s="87"/>
      <c r="H19" s="87"/>
      <c r="I19" s="87"/>
      <c r="J19" s="87"/>
      <c r="K19" s="87"/>
    </row>
    <row r="20" spans="1:11" x14ac:dyDescent="0.3">
      <c r="B20" s="97" t="str">
        <f>'Raw FS'!B19</f>
        <v>Land</v>
      </c>
      <c r="C20" s="97"/>
      <c r="D20" s="97"/>
      <c r="E20" s="97"/>
      <c r="F20" s="97"/>
      <c r="G20" s="92">
        <f>'Raw FS'!J19</f>
        <v>7675</v>
      </c>
      <c r="H20" s="92">
        <f>'Raw FS'!K19</f>
        <v>7819</v>
      </c>
      <c r="I20" s="92">
        <f>'Raw FS'!L19</f>
        <v>7760</v>
      </c>
      <c r="J20" s="92">
        <f>'Raw FS'!M19</f>
        <v>8045</v>
      </c>
      <c r="K20" s="92">
        <f>'Raw FS'!N19</f>
        <v>7930</v>
      </c>
    </row>
    <row r="21" spans="1:11" x14ac:dyDescent="0.3">
      <c r="B21" s="97" t="str">
        <f>'Raw FS'!B20</f>
        <v>Building</v>
      </c>
      <c r="C21" s="97"/>
      <c r="D21" s="97"/>
      <c r="E21" s="97"/>
      <c r="F21" s="97"/>
      <c r="G21" s="92">
        <f>'Raw FS'!J20</f>
        <v>32665</v>
      </c>
      <c r="H21" s="92">
        <f>'Raw FS'!K20</f>
        <v>35537</v>
      </c>
      <c r="I21" s="92">
        <f>'Raw FS'!L20</f>
        <v>36466</v>
      </c>
      <c r="J21" s="92">
        <f>'Raw FS'!M20</f>
        <v>38674</v>
      </c>
      <c r="K21" s="92">
        <f>'Raw FS'!N20</f>
        <v>40584</v>
      </c>
    </row>
    <row r="22" spans="1:11" x14ac:dyDescent="0.3">
      <c r="B22" s="97" t="str">
        <f>'Raw FS'!B21</f>
        <v>Plant Machinery</v>
      </c>
      <c r="C22" s="97"/>
      <c r="D22" s="97"/>
      <c r="E22" s="97"/>
      <c r="F22" s="97"/>
      <c r="G22" s="92">
        <f>'Raw FS'!J21</f>
        <v>124158</v>
      </c>
      <c r="H22" s="92">
        <f>'Raw FS'!K21</f>
        <v>138868</v>
      </c>
      <c r="I22" s="92">
        <f>'Raw FS'!L21</f>
        <v>148585</v>
      </c>
      <c r="J22" s="92">
        <f>'Raw FS'!M21</f>
        <v>153672</v>
      </c>
      <c r="K22" s="92">
        <f>'Raw FS'!N21</f>
        <v>151878</v>
      </c>
    </row>
    <row r="23" spans="1:11" x14ac:dyDescent="0.3">
      <c r="B23" s="97" t="str">
        <f>'Raw FS'!B22</f>
        <v>Equipments</v>
      </c>
      <c r="C23" s="97"/>
      <c r="D23" s="97"/>
      <c r="E23" s="97"/>
      <c r="F23" s="97"/>
      <c r="G23" s="92">
        <f>'Raw FS'!J22</f>
        <v>0</v>
      </c>
      <c r="H23" s="92">
        <f>'Raw FS'!K22</f>
        <v>0</v>
      </c>
      <c r="I23" s="92">
        <f>'Raw FS'!L22</f>
        <v>0</v>
      </c>
      <c r="J23" s="92">
        <f>'Raw FS'!M22</f>
        <v>0</v>
      </c>
      <c r="K23" s="92">
        <f>'Raw FS'!N22</f>
        <v>0</v>
      </c>
    </row>
    <row r="24" spans="1:11" x14ac:dyDescent="0.3">
      <c r="B24" s="97" t="str">
        <f>'Raw FS'!B23</f>
        <v>Computers</v>
      </c>
      <c r="C24" s="97"/>
      <c r="D24" s="97"/>
      <c r="E24" s="97"/>
      <c r="F24" s="97"/>
      <c r="G24" s="92">
        <f>'Raw FS'!J23</f>
        <v>3054</v>
      </c>
      <c r="H24" s="92">
        <f>'Raw FS'!K23</f>
        <v>3172</v>
      </c>
      <c r="I24" s="92">
        <f>'Raw FS'!L23</f>
        <v>3383</v>
      </c>
      <c r="J24" s="92">
        <f>'Raw FS'!M23</f>
        <v>3499</v>
      </c>
      <c r="K24" s="92">
        <f>'Raw FS'!N23</f>
        <v>3667</v>
      </c>
    </row>
    <row r="25" spans="1:11" x14ac:dyDescent="0.3">
      <c r="B25" s="97" t="str">
        <f>'Raw FS'!B24</f>
        <v>Furniture n fittings</v>
      </c>
      <c r="C25" s="97"/>
      <c r="D25" s="97"/>
      <c r="E25" s="97"/>
      <c r="F25" s="97"/>
      <c r="G25" s="92">
        <f>'Raw FS'!J24</f>
        <v>1890</v>
      </c>
      <c r="H25" s="92">
        <f>'Raw FS'!K24</f>
        <v>1956</v>
      </c>
      <c r="I25" s="92">
        <f>'Raw FS'!L24</f>
        <v>1984</v>
      </c>
      <c r="J25" s="92">
        <f>'Raw FS'!M24</f>
        <v>2084</v>
      </c>
      <c r="K25" s="92">
        <f>'Raw FS'!N24</f>
        <v>2029</v>
      </c>
    </row>
    <row r="26" spans="1:11" x14ac:dyDescent="0.3">
      <c r="B26" s="97" t="str">
        <f>'Raw FS'!B25</f>
        <v>Vehicles</v>
      </c>
      <c r="C26" s="97"/>
      <c r="D26" s="97"/>
      <c r="E26" s="97"/>
      <c r="F26" s="97"/>
      <c r="G26" s="92">
        <f>'Raw FS'!J25</f>
        <v>601</v>
      </c>
      <c r="H26" s="92">
        <f>'Raw FS'!K25</f>
        <v>845</v>
      </c>
      <c r="I26" s="92">
        <f>'Raw FS'!L25</f>
        <v>725</v>
      </c>
      <c r="J26" s="92">
        <f>'Raw FS'!M25</f>
        <v>788</v>
      </c>
      <c r="K26" s="92">
        <f>'Raw FS'!N25</f>
        <v>956</v>
      </c>
    </row>
    <row r="27" spans="1:11" x14ac:dyDescent="0.3">
      <c r="B27" s="97" t="str">
        <f>'Raw FS'!B26</f>
        <v>Intangible Assets</v>
      </c>
      <c r="C27" s="97"/>
      <c r="D27" s="97"/>
      <c r="E27" s="97"/>
      <c r="F27" s="97"/>
      <c r="G27" s="92">
        <f>'Raw FS'!J26</f>
        <v>91157</v>
      </c>
      <c r="H27" s="92">
        <f>'Raw FS'!K26</f>
        <v>114809</v>
      </c>
      <c r="I27" s="92">
        <f>'Raw FS'!L26</f>
        <v>114323</v>
      </c>
      <c r="J27" s="92">
        <f>'Raw FS'!M26</f>
        <v>112538</v>
      </c>
      <c r="K27" s="92">
        <f>'Raw FS'!N26</f>
        <v>116714</v>
      </c>
    </row>
    <row r="28" spans="1:11" x14ac:dyDescent="0.3">
      <c r="B28" s="97" t="str">
        <f>'Raw FS'!B27</f>
        <v>Other fixed assets</v>
      </c>
      <c r="C28" s="97"/>
      <c r="D28" s="97"/>
      <c r="E28" s="97"/>
      <c r="F28" s="97"/>
      <c r="G28" s="92">
        <f>'Raw FS'!J27</f>
        <v>9380</v>
      </c>
      <c r="H28" s="92">
        <f>'Raw FS'!K27</f>
        <v>10686</v>
      </c>
      <c r="I28" s="92">
        <f>'Raw FS'!L27</f>
        <v>10870</v>
      </c>
      <c r="J28" s="92">
        <f>'Raw FS'!M27</f>
        <v>11841</v>
      </c>
      <c r="K28" s="92">
        <f>'Raw FS'!N27</f>
        <v>10724</v>
      </c>
    </row>
    <row r="29" spans="1:11" x14ac:dyDescent="0.3">
      <c r="B29" s="90" t="s">
        <v>246</v>
      </c>
      <c r="C29" s="90"/>
      <c r="D29" s="90"/>
      <c r="E29" s="90"/>
      <c r="F29" s="90"/>
      <c r="G29" s="104">
        <f>SUM(G20:G28)</f>
        <v>270580</v>
      </c>
      <c r="H29" s="104">
        <f>SUM(H20:H28)</f>
        <v>313692</v>
      </c>
      <c r="I29" s="104">
        <f>SUM(I20:I28)</f>
        <v>324096</v>
      </c>
      <c r="J29" s="104">
        <f>SUM(J20:J28)</f>
        <v>331141</v>
      </c>
      <c r="K29" s="104">
        <f>SUM(K20:K28)</f>
        <v>334482</v>
      </c>
    </row>
    <row r="30" spans="1:11" x14ac:dyDescent="0.3">
      <c r="B30" t="str">
        <f>'Raw FS'!B29</f>
        <v>Accumulated Depreciation</v>
      </c>
      <c r="G30" s="87">
        <f>-'Raw FS'!J29</f>
        <v>-143471</v>
      </c>
      <c r="H30" s="87">
        <f>-'Raw FS'!K29</f>
        <v>-174985</v>
      </c>
      <c r="I30" s="87">
        <f>-'Raw FS'!L29</f>
        <v>-185241</v>
      </c>
      <c r="J30" s="87">
        <f>-'Raw FS'!M29</f>
        <v>-199062</v>
      </c>
      <c r="K30" s="87">
        <f>-'Raw FS'!N29</f>
        <v>-213197</v>
      </c>
    </row>
    <row r="31" spans="1:11" ht="15" thickBot="1" x14ac:dyDescent="0.35">
      <c r="A31" t="s">
        <v>108</v>
      </c>
      <c r="B31" s="98" t="s">
        <v>262</v>
      </c>
      <c r="C31" s="98"/>
      <c r="D31" s="98"/>
      <c r="E31" s="98"/>
      <c r="F31" s="98"/>
      <c r="G31" s="105">
        <f>SUM(G29:G30)</f>
        <v>127109</v>
      </c>
      <c r="H31" s="105">
        <f>SUM(H29:H30)</f>
        <v>138707</v>
      </c>
      <c r="I31" s="105">
        <f>SUM(I29:I30)</f>
        <v>138855</v>
      </c>
      <c r="J31" s="105">
        <f>SUM(J29:J30)</f>
        <v>132079</v>
      </c>
      <c r="K31" s="105">
        <f>SUM(K29:K30)</f>
        <v>121285</v>
      </c>
    </row>
    <row r="32" spans="1:11" x14ac:dyDescent="0.3">
      <c r="G32" s="87"/>
      <c r="H32" s="87"/>
      <c r="I32" s="87"/>
      <c r="J32" s="87"/>
      <c r="K32" s="87"/>
    </row>
    <row r="33" spans="1:11" x14ac:dyDescent="0.3">
      <c r="A33" t="s">
        <v>108</v>
      </c>
      <c r="B33" s="1" t="s">
        <v>263</v>
      </c>
      <c r="G33" s="89">
        <f>G31+G17</f>
        <v>102157</v>
      </c>
      <c r="H33" s="89">
        <f>H31+H17</f>
        <v>106574</v>
      </c>
      <c r="I33" s="89">
        <f>I31+I17</f>
        <v>114981</v>
      </c>
      <c r="J33" s="89">
        <f>J31+J17</f>
        <v>109042</v>
      </c>
      <c r="K33" s="89">
        <f>K31+K17</f>
        <v>95879</v>
      </c>
    </row>
    <row r="34" spans="1:11" x14ac:dyDescent="0.3">
      <c r="B34" s="1" t="s">
        <v>264</v>
      </c>
      <c r="C34" s="1"/>
      <c r="D34" s="1"/>
      <c r="E34" s="1"/>
      <c r="F34" s="1"/>
      <c r="G34" s="89">
        <f>'Historical FS'!H18+'Historical FS'!H24</f>
        <v>39412.499999999964</v>
      </c>
      <c r="H34" s="89">
        <f>'Historical FS'!I18+'Historical FS'!I24</f>
        <v>55834.139999999985</v>
      </c>
      <c r="I34" s="89">
        <f>'Historical FS'!J18+'Historical FS'!J24</f>
        <v>49555.780000000013</v>
      </c>
      <c r="J34" s="89">
        <f>'Historical FS'!K18+'Historical FS'!K24</f>
        <v>56676.15999999996</v>
      </c>
      <c r="K34" s="89">
        <f>'Historical FS'!L18+'Historical FS'!L24</f>
        <v>86808.470000000059</v>
      </c>
    </row>
    <row r="36" spans="1:11" ht="15" thickBot="1" x14ac:dyDescent="0.35">
      <c r="A36" t="s">
        <v>108</v>
      </c>
      <c r="B36" s="98" t="s">
        <v>265</v>
      </c>
      <c r="C36" s="98"/>
      <c r="D36" s="98"/>
      <c r="E36" s="98"/>
      <c r="F36" s="98"/>
      <c r="G36" s="99">
        <f>G34/G33</f>
        <v>0.3858032244486424</v>
      </c>
      <c r="H36" s="99">
        <f>H34/H33</f>
        <v>0.52390020079944433</v>
      </c>
      <c r="I36" s="99">
        <f>I34/I33</f>
        <v>0.43099103330115424</v>
      </c>
      <c r="J36" s="99">
        <f>J34/J33</f>
        <v>0.51976449441499573</v>
      </c>
      <c r="K36" s="99">
        <f>K34/K33</f>
        <v>0.90539607213258444</v>
      </c>
    </row>
    <row r="39" spans="1:11" x14ac:dyDescent="0.3">
      <c r="A39" t="s">
        <v>108</v>
      </c>
      <c r="B39" s="82" t="s">
        <v>266</v>
      </c>
      <c r="C39" s="96"/>
      <c r="D39" s="96"/>
      <c r="E39" s="96"/>
      <c r="F39" s="96"/>
      <c r="G39" s="83">
        <f>G2</f>
        <v>43891</v>
      </c>
      <c r="H39" s="83">
        <f>H2</f>
        <v>44256</v>
      </c>
      <c r="I39" s="83">
        <f>I2</f>
        <v>44621</v>
      </c>
      <c r="J39" s="83">
        <f>J2</f>
        <v>44986</v>
      </c>
      <c r="K39" s="83">
        <f>K2</f>
        <v>45352</v>
      </c>
    </row>
    <row r="41" spans="1:11" x14ac:dyDescent="0.3">
      <c r="B41" s="97" t="s">
        <v>267</v>
      </c>
      <c r="C41" s="97"/>
      <c r="D41" s="97"/>
      <c r="E41" s="97"/>
      <c r="F41" s="97"/>
      <c r="G41" s="92">
        <f>-SUM('Raw FS'!J57:J58)</f>
        <v>29531</v>
      </c>
      <c r="H41" s="92">
        <f>-SUM('Raw FS'!K57:K58)</f>
        <v>19854</v>
      </c>
      <c r="I41" s="92">
        <f>-SUM('Raw FS'!L57:L58)</f>
        <v>14938</v>
      </c>
      <c r="J41" s="92">
        <f>-SUM('Raw FS'!M57:M58)</f>
        <v>18945</v>
      </c>
      <c r="K41" s="92">
        <f>-SUM('Raw FS'!N57:N58)</f>
        <v>31183</v>
      </c>
    </row>
    <row r="42" spans="1:11" x14ac:dyDescent="0.3">
      <c r="B42" s="97" t="s">
        <v>271</v>
      </c>
      <c r="C42" s="97"/>
      <c r="D42" s="97"/>
      <c r="E42" s="97"/>
      <c r="F42" s="97"/>
      <c r="G42" s="92"/>
      <c r="H42" s="92">
        <f>H17-G17</f>
        <v>-7181</v>
      </c>
      <c r="I42" s="92">
        <f>I17-H17</f>
        <v>8259</v>
      </c>
      <c r="J42" s="92">
        <f>J17-I17</f>
        <v>837</v>
      </c>
      <c r="K42" s="92">
        <f>K17-J17</f>
        <v>-2369</v>
      </c>
    </row>
    <row r="43" spans="1:11" x14ac:dyDescent="0.3">
      <c r="B43" s="97"/>
      <c r="C43" s="97"/>
      <c r="D43" s="97"/>
      <c r="E43" s="97"/>
      <c r="F43" s="97"/>
      <c r="G43" s="92"/>
      <c r="H43" s="92"/>
      <c r="I43" s="92"/>
      <c r="J43" s="92"/>
      <c r="K43" s="92"/>
    </row>
    <row r="44" spans="1:11" x14ac:dyDescent="0.3">
      <c r="B44" s="97" t="s">
        <v>264</v>
      </c>
      <c r="C44" s="97"/>
      <c r="D44" s="97"/>
      <c r="E44" s="97"/>
      <c r="F44" s="97"/>
      <c r="G44" s="92">
        <f>G34</f>
        <v>39412.499999999964</v>
      </c>
      <c r="H44" s="92">
        <f>H34</f>
        <v>55834.139999999985</v>
      </c>
      <c r="I44" s="92">
        <f>I34</f>
        <v>49555.780000000013</v>
      </c>
      <c r="J44" s="92">
        <f>J34</f>
        <v>56676.15999999996</v>
      </c>
      <c r="K44" s="92">
        <f>K34</f>
        <v>86808.470000000059</v>
      </c>
    </row>
    <row r="45" spans="1:11" x14ac:dyDescent="0.3">
      <c r="B45" s="97" t="s">
        <v>272</v>
      </c>
      <c r="C45" s="97"/>
      <c r="D45" s="97"/>
      <c r="E45" s="97"/>
      <c r="F45" s="97"/>
      <c r="G45" s="106">
        <v>0.25</v>
      </c>
      <c r="H45" s="106">
        <v>0.25</v>
      </c>
      <c r="I45" s="106">
        <v>0.25</v>
      </c>
      <c r="J45" s="106">
        <v>0.25</v>
      </c>
      <c r="K45" s="106">
        <v>0.25</v>
      </c>
    </row>
    <row r="46" spans="1:11" x14ac:dyDescent="0.3">
      <c r="B46" s="97" t="s">
        <v>274</v>
      </c>
      <c r="C46" s="97"/>
      <c r="D46" s="97"/>
      <c r="E46" s="97"/>
      <c r="F46" s="97"/>
      <c r="G46" s="92">
        <f>G44*(1-G45)</f>
        <v>29559.374999999971</v>
      </c>
      <c r="H46" s="92">
        <f>H44*(1-H45)</f>
        <v>41875.604999999989</v>
      </c>
      <c r="I46" s="92">
        <f>I44*(1-I45)</f>
        <v>37166.835000000006</v>
      </c>
      <c r="J46" s="92">
        <f>J44*(1-J45)</f>
        <v>42507.119999999966</v>
      </c>
      <c r="K46" s="92">
        <f>K44*(1-K45)</f>
        <v>65106.352500000045</v>
      </c>
    </row>
    <row r="47" spans="1:11" x14ac:dyDescent="0.3">
      <c r="B47" s="97"/>
      <c r="C47" s="97"/>
      <c r="D47" s="97"/>
      <c r="E47" s="97"/>
      <c r="F47" s="97"/>
      <c r="G47" s="92"/>
      <c r="H47" s="92"/>
      <c r="I47" s="92"/>
      <c r="J47" s="92"/>
      <c r="K47" s="92"/>
    </row>
    <row r="48" spans="1:11" x14ac:dyDescent="0.3">
      <c r="B48" s="97" t="s">
        <v>273</v>
      </c>
      <c r="C48" s="97"/>
      <c r="D48" s="97"/>
      <c r="E48" s="97"/>
      <c r="F48" s="97"/>
      <c r="G48" s="92"/>
      <c r="H48" s="92">
        <f>SUM(H41:H42)</f>
        <v>12673</v>
      </c>
      <c r="I48" s="92">
        <f>SUM(I41:I42)</f>
        <v>23197</v>
      </c>
      <c r="J48" s="92">
        <f>SUM(J41:J42)</f>
        <v>19782</v>
      </c>
      <c r="K48" s="92">
        <f>SUM(K41:K42)</f>
        <v>28814</v>
      </c>
    </row>
    <row r="49" spans="1:11" ht="4.2" customHeight="1" x14ac:dyDescent="0.3">
      <c r="H49" s="81"/>
      <c r="I49" s="81"/>
      <c r="J49" s="81"/>
      <c r="K49" s="81"/>
    </row>
    <row r="50" spans="1:11" ht="15" thickBot="1" x14ac:dyDescent="0.35">
      <c r="B50" s="98" t="s">
        <v>275</v>
      </c>
      <c r="C50" s="98"/>
      <c r="D50" s="98"/>
      <c r="E50" s="98"/>
      <c r="F50" s="98"/>
      <c r="G50" s="98"/>
      <c r="H50" s="99">
        <f>H48/H46</f>
        <v>0.30263443358012387</v>
      </c>
      <c r="I50" s="99">
        <f>I48/I46</f>
        <v>0.62413170236314164</v>
      </c>
      <c r="J50" s="99">
        <f>J48/J46</f>
        <v>0.46538085854793304</v>
      </c>
      <c r="K50" s="99">
        <f>K48/K46</f>
        <v>0.44256818103886225</v>
      </c>
    </row>
    <row r="51" spans="1:11" x14ac:dyDescent="0.3">
      <c r="H51" s="9"/>
      <c r="I51" s="9"/>
      <c r="J51" s="9"/>
      <c r="K51" s="9"/>
    </row>
    <row r="52" spans="1:11" x14ac:dyDescent="0.3">
      <c r="J52" s="49" t="s">
        <v>276</v>
      </c>
      <c r="K52" s="50">
        <f>AVERAGE(H50:K50)</f>
        <v>0.4586787938825152</v>
      </c>
    </row>
    <row r="53" spans="1:11" x14ac:dyDescent="0.3">
      <c r="J53" s="49" t="s">
        <v>277</v>
      </c>
      <c r="K53" s="50">
        <f>MEDIAN(H50:K50)</f>
        <v>0.45397451979339765</v>
      </c>
    </row>
    <row r="55" spans="1:11" x14ac:dyDescent="0.3">
      <c r="A55" t="s">
        <v>108</v>
      </c>
      <c r="B55" s="82" t="s">
        <v>278</v>
      </c>
      <c r="C55" s="96"/>
      <c r="D55" s="96"/>
      <c r="E55" s="96"/>
      <c r="F55" s="96"/>
      <c r="G55" s="83">
        <f>G39</f>
        <v>43891</v>
      </c>
      <c r="H55" s="83">
        <f>H39</f>
        <v>44256</v>
      </c>
      <c r="I55" s="83">
        <f>I39</f>
        <v>44621</v>
      </c>
      <c r="J55" s="83">
        <f>J39</f>
        <v>44986</v>
      </c>
      <c r="K55" s="83">
        <f>K39</f>
        <v>45352</v>
      </c>
    </row>
    <row r="57" spans="1:11" x14ac:dyDescent="0.3">
      <c r="B57" s="97" t="s">
        <v>275</v>
      </c>
      <c r="C57" s="97"/>
      <c r="D57" s="97"/>
      <c r="E57" s="97"/>
      <c r="F57" s="97"/>
      <c r="G57" s="97"/>
      <c r="H57" s="107">
        <f>H50</f>
        <v>0.30263443358012387</v>
      </c>
      <c r="I57" s="107">
        <f>I50</f>
        <v>0.62413170236314164</v>
      </c>
      <c r="J57" s="107">
        <f>J50</f>
        <v>0.46538085854793304</v>
      </c>
      <c r="K57" s="107">
        <f>K50</f>
        <v>0.44256818103886225</v>
      </c>
    </row>
    <row r="58" spans="1:11" x14ac:dyDescent="0.3">
      <c r="B58" s="97" t="s">
        <v>265</v>
      </c>
      <c r="C58" s="97"/>
      <c r="D58" s="97"/>
      <c r="E58" s="97"/>
      <c r="F58" s="97"/>
      <c r="G58" s="97"/>
      <c r="H58" s="107">
        <f>H36</f>
        <v>0.52390020079944433</v>
      </c>
      <c r="I58" s="107">
        <f>I36</f>
        <v>0.43099103330115424</v>
      </c>
      <c r="J58" s="107">
        <f>J36</f>
        <v>0.51976449441499573</v>
      </c>
      <c r="K58" s="107">
        <f>K36</f>
        <v>0.90539607213258444</v>
      </c>
    </row>
    <row r="59" spans="1:11" ht="4.8" customHeight="1" x14ac:dyDescent="0.3"/>
    <row r="60" spans="1:11" ht="15" thickBot="1" x14ac:dyDescent="0.35">
      <c r="B60" s="108" t="s">
        <v>279</v>
      </c>
      <c r="C60" s="109"/>
      <c r="D60" s="109"/>
      <c r="E60" s="109"/>
      <c r="F60" s="109"/>
      <c r="G60" s="109"/>
      <c r="H60" s="110">
        <f>H58*H57</f>
        <v>0.158550240521453</v>
      </c>
      <c r="I60" s="110">
        <f>I58*I57</f>
        <v>0.26899516731749884</v>
      </c>
      <c r="J60" s="110">
        <f>J58*J57</f>
        <v>0.24188844665358306</v>
      </c>
      <c r="K60" s="110">
        <f>K58*K57</f>
        <v>0.40069949276344841</v>
      </c>
    </row>
    <row r="62" spans="1:11" x14ac:dyDescent="0.3">
      <c r="J62" s="49" t="s">
        <v>276</v>
      </c>
      <c r="K62" s="50">
        <f>AVERAGE(H60:K60)</f>
        <v>0.26753333681399583</v>
      </c>
    </row>
    <row r="63" spans="1:11" x14ac:dyDescent="0.3">
      <c r="J63" s="49" t="s">
        <v>277</v>
      </c>
      <c r="K63" s="50">
        <f>MEDIAN(H60:K60)</f>
        <v>0.25544180698554098</v>
      </c>
    </row>
    <row r="65" spans="9:9" x14ac:dyDescent="0.3">
      <c r="I65" t="s">
        <v>331</v>
      </c>
    </row>
  </sheetData>
  <pageMargins left="0.7" right="0.7" top="0.75" bottom="0.75" header="0.3" footer="0.3"/>
  <pageSetup orientation="portrait" r:id="rId1"/>
  <ignoredErrors>
    <ignoredError sqref="G41:K41" formulaRange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CDAD1-6DA7-44DC-A3B5-592747B2377D}">
  <sheetPr>
    <tabColor rgb="FF002060"/>
  </sheetPr>
  <dimension ref="A1"/>
  <sheetViews>
    <sheetView showGridLines="0" workbookViewId="0"/>
  </sheetViews>
  <sheetFormatPr defaultRowHeight="14.4" x14ac:dyDescent="0.3"/>
  <cols>
    <col min="1" max="1" width="1.88671875" customWidth="1"/>
  </cols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5205A-B80F-4EEB-B749-74DFCC7FA898}">
  <sheetPr>
    <tabColor rgb="FFFF0000"/>
  </sheetPr>
  <dimension ref="A1:K93"/>
  <sheetViews>
    <sheetView zoomScale="120" zoomScaleNormal="120" zoomScalePageLayoutView="120" workbookViewId="0">
      <pane xSplit="1" ySplit="1" topLeftCell="B2" activePane="bottomRight" state="frozen"/>
      <selection activeCell="C4" sqref="C4"/>
      <selection pane="topRight" activeCell="C4" sqref="C4"/>
      <selection pane="bottomLeft" activeCell="C4" sqref="C4"/>
      <selection pane="bottomRight" activeCell="A57" sqref="A57:A69"/>
    </sheetView>
  </sheetViews>
  <sheetFormatPr defaultColWidth="8.77734375" defaultRowHeight="14.4" x14ac:dyDescent="0.3"/>
  <cols>
    <col min="1" max="1" width="27.6640625" style="73" bestFit="1" customWidth="1"/>
    <col min="2" max="11" width="13.44140625" style="73" bestFit="1" customWidth="1"/>
    <col min="12" max="16384" width="8.77734375" style="73"/>
  </cols>
  <sheetData>
    <row r="1" spans="1:11" s="75" customFormat="1" x14ac:dyDescent="0.3">
      <c r="A1" s="75" t="s">
        <v>223</v>
      </c>
      <c r="B1" s="75" t="s">
        <v>222</v>
      </c>
      <c r="E1" s="152" t="str">
        <f>IF(B2&lt;&gt;B3, "A NEW VERSION OF THE WORKSHEET IS AVAILABLE", "")</f>
        <v/>
      </c>
      <c r="F1" s="152"/>
      <c r="G1" s="152"/>
      <c r="H1" s="152"/>
      <c r="I1" s="152"/>
      <c r="J1" s="152"/>
      <c r="K1" s="152"/>
    </row>
    <row r="2" spans="1:11" x14ac:dyDescent="0.3">
      <c r="A2" s="75" t="s">
        <v>221</v>
      </c>
      <c r="B2" s="73">
        <v>2.1</v>
      </c>
      <c r="E2" s="153" t="s">
        <v>220</v>
      </c>
      <c r="F2" s="153"/>
      <c r="G2" s="153"/>
      <c r="H2" s="153"/>
      <c r="I2" s="153"/>
      <c r="J2" s="153"/>
      <c r="K2" s="153"/>
    </row>
    <row r="3" spans="1:11" x14ac:dyDescent="0.3">
      <c r="A3" s="75" t="s">
        <v>219</v>
      </c>
      <c r="B3" s="73">
        <v>2.1</v>
      </c>
    </row>
    <row r="4" spans="1:11" x14ac:dyDescent="0.3">
      <c r="A4" s="75"/>
    </row>
    <row r="5" spans="1:11" x14ac:dyDescent="0.3">
      <c r="A5" s="75" t="s">
        <v>218</v>
      </c>
    </row>
    <row r="6" spans="1:11" x14ac:dyDescent="0.3">
      <c r="A6" s="73" t="s">
        <v>217</v>
      </c>
      <c r="B6" s="73">
        <f>IF(B9&gt;0, B9/B8, 0)</f>
        <v>366.44703141928494</v>
      </c>
    </row>
    <row r="7" spans="1:11" x14ac:dyDescent="0.3">
      <c r="A7" s="73" t="s">
        <v>216</v>
      </c>
      <c r="B7" s="76">
        <v>2</v>
      </c>
    </row>
    <row r="8" spans="1:11" x14ac:dyDescent="0.3">
      <c r="A8" s="73" t="s">
        <v>215</v>
      </c>
      <c r="B8" s="76">
        <v>923</v>
      </c>
    </row>
    <row r="9" spans="1:11" x14ac:dyDescent="0.3">
      <c r="A9" s="73" t="s">
        <v>29</v>
      </c>
      <c r="B9" s="76">
        <v>338230.61</v>
      </c>
    </row>
    <row r="15" spans="1:11" x14ac:dyDescent="0.3">
      <c r="A15" s="75" t="s">
        <v>214</v>
      </c>
    </row>
    <row r="16" spans="1:11" s="78" customFormat="1" x14ac:dyDescent="0.3">
      <c r="A16" s="80" t="s">
        <v>193</v>
      </c>
      <c r="B16" s="79">
        <v>42094</v>
      </c>
      <c r="C16" s="79">
        <v>42460</v>
      </c>
      <c r="D16" s="79">
        <v>42825</v>
      </c>
      <c r="E16" s="79">
        <v>43190</v>
      </c>
      <c r="F16" s="79">
        <v>43555</v>
      </c>
      <c r="G16" s="79">
        <v>43921</v>
      </c>
      <c r="H16" s="79">
        <v>44286</v>
      </c>
      <c r="I16" s="79">
        <v>44651</v>
      </c>
      <c r="J16" s="79">
        <v>45016</v>
      </c>
      <c r="K16" s="79">
        <v>45382</v>
      </c>
    </row>
    <row r="17" spans="1:11" s="77" customFormat="1" x14ac:dyDescent="0.3">
      <c r="A17" s="77" t="s">
        <v>110</v>
      </c>
      <c r="B17" s="76">
        <v>263158.98</v>
      </c>
      <c r="C17" s="76">
        <v>273045.59999999998</v>
      </c>
      <c r="D17" s="76">
        <v>269692.51</v>
      </c>
      <c r="E17" s="76">
        <v>291550.48</v>
      </c>
      <c r="F17" s="76">
        <v>301938.40000000002</v>
      </c>
      <c r="G17" s="76">
        <v>261067.97</v>
      </c>
      <c r="H17" s="76">
        <v>249794.75</v>
      </c>
      <c r="I17" s="76">
        <v>278453.62</v>
      </c>
      <c r="J17" s="76">
        <v>345966.97</v>
      </c>
      <c r="K17" s="76">
        <v>437927.77</v>
      </c>
    </row>
    <row r="18" spans="1:11" s="77" customFormat="1" x14ac:dyDescent="0.3">
      <c r="A18" s="73" t="s">
        <v>213</v>
      </c>
      <c r="B18" s="76">
        <v>163250.35999999999</v>
      </c>
      <c r="C18" s="76">
        <v>166134.01</v>
      </c>
      <c r="D18" s="76">
        <v>173294.07999999999</v>
      </c>
      <c r="E18" s="76">
        <v>187896.58</v>
      </c>
      <c r="F18" s="76">
        <v>194267.91</v>
      </c>
      <c r="G18" s="76">
        <v>164899.82</v>
      </c>
      <c r="H18" s="76">
        <v>153607.35999999999</v>
      </c>
      <c r="I18" s="76">
        <v>179295.33</v>
      </c>
      <c r="J18" s="76">
        <v>231251.26</v>
      </c>
      <c r="K18" s="76">
        <v>274321.23</v>
      </c>
    </row>
    <row r="19" spans="1:11" s="77" customFormat="1" x14ac:dyDescent="0.3">
      <c r="A19" s="73" t="s">
        <v>212</v>
      </c>
      <c r="B19" s="76">
        <v>3330.35</v>
      </c>
      <c r="C19" s="76">
        <v>2750.99</v>
      </c>
      <c r="D19" s="76">
        <v>7399.92</v>
      </c>
      <c r="E19" s="76">
        <v>2046.58</v>
      </c>
      <c r="F19" s="76">
        <v>-2053.2800000000002</v>
      </c>
      <c r="G19" s="76">
        <v>-2231.19</v>
      </c>
      <c r="H19" s="76">
        <v>-4684.16</v>
      </c>
      <c r="I19" s="76">
        <v>-1590.49</v>
      </c>
      <c r="J19" s="76">
        <v>4781.62</v>
      </c>
      <c r="K19" s="76">
        <v>1565.53</v>
      </c>
    </row>
    <row r="20" spans="1:11" s="77" customFormat="1" x14ac:dyDescent="0.3">
      <c r="A20" s="73" t="s">
        <v>211</v>
      </c>
      <c r="B20" s="76">
        <v>1121.75</v>
      </c>
      <c r="C20" s="76">
        <v>1143.6300000000001</v>
      </c>
      <c r="D20" s="76">
        <v>1159.82</v>
      </c>
      <c r="E20" s="76">
        <v>1308.08</v>
      </c>
      <c r="F20" s="76">
        <v>1585.93</v>
      </c>
      <c r="G20" s="76">
        <v>1264.95</v>
      </c>
      <c r="H20" s="76">
        <v>1112.8699999999999</v>
      </c>
      <c r="I20" s="76">
        <v>2178.29</v>
      </c>
      <c r="J20" s="76">
        <v>2513.33</v>
      </c>
    </row>
    <row r="21" spans="1:11" s="77" customFormat="1" x14ac:dyDescent="0.3">
      <c r="A21" s="73" t="s">
        <v>210</v>
      </c>
      <c r="B21" s="76">
        <v>16173.17</v>
      </c>
      <c r="C21" s="76">
        <v>12101.53</v>
      </c>
      <c r="D21" s="76">
        <v>10067.370000000001</v>
      </c>
      <c r="E21" s="76">
        <v>10971.66</v>
      </c>
      <c r="F21" s="76">
        <v>11694.54</v>
      </c>
      <c r="G21" s="76">
        <v>11541.51</v>
      </c>
      <c r="H21" s="76">
        <v>8273.17</v>
      </c>
      <c r="I21" s="76">
        <v>9427.3799999999992</v>
      </c>
      <c r="J21" s="76">
        <v>11765.97</v>
      </c>
    </row>
    <row r="22" spans="1:11" s="77" customFormat="1" x14ac:dyDescent="0.3">
      <c r="A22" s="73" t="s">
        <v>209</v>
      </c>
      <c r="B22" s="76">
        <v>25641.95</v>
      </c>
      <c r="C22" s="76">
        <v>28880.89</v>
      </c>
      <c r="D22" s="76">
        <v>28332.89</v>
      </c>
      <c r="E22" s="76">
        <v>30300.09</v>
      </c>
      <c r="F22" s="76">
        <v>33243.870000000003</v>
      </c>
      <c r="G22" s="76">
        <v>30438.6</v>
      </c>
      <c r="H22" s="76">
        <v>27648.48</v>
      </c>
      <c r="I22" s="76">
        <v>30808.52</v>
      </c>
      <c r="J22" s="76">
        <v>33654.699999999997</v>
      </c>
      <c r="K22" s="76">
        <v>42486.64</v>
      </c>
    </row>
    <row r="23" spans="1:11" s="77" customFormat="1" x14ac:dyDescent="0.3">
      <c r="A23" s="73" t="s">
        <v>208</v>
      </c>
      <c r="B23" s="76">
        <v>23603.01</v>
      </c>
      <c r="C23" s="76">
        <v>21991.9</v>
      </c>
      <c r="D23" s="76">
        <v>30039.38</v>
      </c>
      <c r="E23" s="76">
        <v>31004.58</v>
      </c>
      <c r="F23" s="76">
        <v>32719.8</v>
      </c>
      <c r="G23" s="76">
        <v>29248.32</v>
      </c>
      <c r="H23" s="76">
        <v>23015.79</v>
      </c>
      <c r="I23" s="76">
        <v>29205.4</v>
      </c>
      <c r="J23" s="76">
        <v>34839.19</v>
      </c>
    </row>
    <row r="24" spans="1:11" s="77" customFormat="1" x14ac:dyDescent="0.3">
      <c r="A24" s="73" t="s">
        <v>207</v>
      </c>
      <c r="B24" s="76">
        <v>-2539.56</v>
      </c>
      <c r="C24" s="76">
        <v>7149.38</v>
      </c>
      <c r="D24" s="76">
        <v>4610.2</v>
      </c>
      <c r="E24" s="76">
        <v>658.39</v>
      </c>
      <c r="F24" s="76">
        <v>1708.74</v>
      </c>
      <c r="G24" s="76">
        <v>3456.51</v>
      </c>
      <c r="H24" s="76">
        <v>-834.51</v>
      </c>
      <c r="I24" s="76">
        <v>1228.1199999999999</v>
      </c>
      <c r="J24" s="76">
        <v>4908.34</v>
      </c>
      <c r="K24" s="76">
        <v>63147.09</v>
      </c>
    </row>
    <row r="25" spans="1:11" s="77" customFormat="1" x14ac:dyDescent="0.3">
      <c r="A25" s="77" t="s">
        <v>203</v>
      </c>
      <c r="B25" s="76">
        <v>714.03</v>
      </c>
      <c r="C25" s="76">
        <v>-2669.62</v>
      </c>
      <c r="D25" s="76">
        <v>1869.1</v>
      </c>
      <c r="E25" s="76">
        <v>5932.73</v>
      </c>
      <c r="F25" s="76">
        <v>-26686.25</v>
      </c>
      <c r="G25" s="76">
        <v>101.71</v>
      </c>
      <c r="H25" s="76">
        <v>-11117.83</v>
      </c>
      <c r="I25" s="76">
        <v>2424.0500000000002</v>
      </c>
      <c r="J25" s="76">
        <v>6327.59</v>
      </c>
      <c r="K25" s="76">
        <v>5672.66</v>
      </c>
    </row>
    <row r="26" spans="1:11" s="77" customFormat="1" x14ac:dyDescent="0.3">
      <c r="A26" s="77" t="s">
        <v>123</v>
      </c>
      <c r="B26" s="76">
        <v>13388.63</v>
      </c>
      <c r="C26" s="76">
        <v>16710.78</v>
      </c>
      <c r="D26" s="76">
        <v>17904.990000000002</v>
      </c>
      <c r="E26" s="76">
        <v>21553.59</v>
      </c>
      <c r="F26" s="76">
        <v>23590.63</v>
      </c>
      <c r="G26" s="76">
        <v>21425.43</v>
      </c>
      <c r="H26" s="76">
        <v>23546.71</v>
      </c>
      <c r="I26" s="76">
        <v>24835.69</v>
      </c>
      <c r="J26" s="76">
        <v>24860.36</v>
      </c>
      <c r="K26" s="76">
        <v>27270.13</v>
      </c>
    </row>
    <row r="27" spans="1:11" s="77" customFormat="1" x14ac:dyDescent="0.3">
      <c r="A27" s="77" t="s">
        <v>121</v>
      </c>
      <c r="B27" s="76">
        <v>4861.49</v>
      </c>
      <c r="C27" s="76">
        <v>4889.08</v>
      </c>
      <c r="D27" s="76">
        <v>4238.01</v>
      </c>
      <c r="E27" s="76">
        <v>4681.79</v>
      </c>
      <c r="F27" s="76">
        <v>5758.6</v>
      </c>
      <c r="G27" s="76">
        <v>7243.33</v>
      </c>
      <c r="H27" s="76">
        <v>8097.17</v>
      </c>
      <c r="I27" s="76">
        <v>9311.86</v>
      </c>
      <c r="J27" s="76">
        <v>10225.48</v>
      </c>
      <c r="K27" s="76">
        <v>9985.76</v>
      </c>
    </row>
    <row r="28" spans="1:11" s="77" customFormat="1" x14ac:dyDescent="0.3">
      <c r="A28" s="77" t="s">
        <v>202</v>
      </c>
      <c r="B28" s="76">
        <v>21702.560000000001</v>
      </c>
      <c r="C28" s="76">
        <v>14125.77</v>
      </c>
      <c r="D28" s="76">
        <v>9314.7900000000009</v>
      </c>
      <c r="E28" s="76">
        <v>11155.03</v>
      </c>
      <c r="F28" s="76">
        <v>-31371.15</v>
      </c>
      <c r="G28" s="76">
        <v>-10579.98</v>
      </c>
      <c r="H28" s="76">
        <v>-10474.280000000001</v>
      </c>
      <c r="I28" s="76">
        <v>-7003.41</v>
      </c>
      <c r="J28" s="76">
        <v>3057.55</v>
      </c>
      <c r="K28" s="76">
        <v>27955.11</v>
      </c>
    </row>
    <row r="29" spans="1:11" s="77" customFormat="1" x14ac:dyDescent="0.3">
      <c r="A29" s="77" t="s">
        <v>127</v>
      </c>
      <c r="B29" s="76">
        <v>7642.91</v>
      </c>
      <c r="C29" s="76">
        <v>3025.05</v>
      </c>
      <c r="D29" s="76">
        <v>3251.23</v>
      </c>
      <c r="E29" s="76">
        <v>4341.93</v>
      </c>
      <c r="F29" s="76">
        <v>-2437.4499999999998</v>
      </c>
      <c r="G29" s="76">
        <v>395.25</v>
      </c>
      <c r="H29" s="76">
        <v>2541.86</v>
      </c>
      <c r="I29" s="76">
        <v>4231.29</v>
      </c>
      <c r="J29" s="76">
        <v>704.06</v>
      </c>
      <c r="K29" s="76">
        <v>-3851.64</v>
      </c>
    </row>
    <row r="30" spans="1:11" s="77" customFormat="1" x14ac:dyDescent="0.3">
      <c r="A30" s="77" t="s">
        <v>201</v>
      </c>
      <c r="B30" s="76">
        <v>13986.29</v>
      </c>
      <c r="C30" s="76">
        <v>11579.31</v>
      </c>
      <c r="D30" s="76">
        <v>7454.36</v>
      </c>
      <c r="E30" s="76">
        <v>8988.91</v>
      </c>
      <c r="F30" s="76">
        <v>-28826.23</v>
      </c>
      <c r="G30" s="76">
        <v>-12070.85</v>
      </c>
      <c r="H30" s="76">
        <v>-13451.39</v>
      </c>
      <c r="I30" s="76">
        <v>-11441.47</v>
      </c>
      <c r="J30" s="76">
        <v>2414.29</v>
      </c>
      <c r="K30" s="76">
        <v>31399.09</v>
      </c>
    </row>
    <row r="31" spans="1:11" s="77" customFormat="1" x14ac:dyDescent="0.3">
      <c r="A31" s="77" t="s">
        <v>206</v>
      </c>
      <c r="C31" s="76">
        <v>67.92</v>
      </c>
      <c r="J31" s="76">
        <v>766.02</v>
      </c>
      <c r="K31" s="76">
        <v>1149.75</v>
      </c>
    </row>
    <row r="32" spans="1:11" s="77" customFormat="1" x14ac:dyDescent="0.3"/>
    <row r="33" spans="1:11" x14ac:dyDescent="0.3">
      <c r="A33" s="77"/>
    </row>
    <row r="34" spans="1:11" x14ac:dyDescent="0.3">
      <c r="A34" s="77"/>
    </row>
    <row r="35" spans="1:11" x14ac:dyDescent="0.3">
      <c r="A35" s="77"/>
    </row>
    <row r="36" spans="1:11" x14ac:dyDescent="0.3">
      <c r="A36" s="77"/>
    </row>
    <row r="37" spans="1:11" x14ac:dyDescent="0.3">
      <c r="A37" s="77"/>
    </row>
    <row r="38" spans="1:11" x14ac:dyDescent="0.3">
      <c r="A38" s="77"/>
    </row>
    <row r="39" spans="1:11" x14ac:dyDescent="0.3">
      <c r="A39" s="77"/>
    </row>
    <row r="40" spans="1:11" x14ac:dyDescent="0.3">
      <c r="A40" s="75" t="s">
        <v>205</v>
      </c>
    </row>
    <row r="41" spans="1:11" s="78" customFormat="1" x14ac:dyDescent="0.3">
      <c r="A41" s="80" t="s">
        <v>193</v>
      </c>
      <c r="B41" s="79">
        <v>44561</v>
      </c>
      <c r="C41" s="79">
        <v>44651</v>
      </c>
      <c r="D41" s="79">
        <v>44742</v>
      </c>
      <c r="E41" s="79">
        <v>44834</v>
      </c>
      <c r="F41" s="79">
        <v>44926</v>
      </c>
      <c r="G41" s="79">
        <v>45016</v>
      </c>
      <c r="H41" s="79">
        <v>45107</v>
      </c>
      <c r="I41" s="79">
        <v>45199</v>
      </c>
      <c r="J41" s="79">
        <v>45291</v>
      </c>
      <c r="K41" s="79">
        <v>45382</v>
      </c>
    </row>
    <row r="42" spans="1:11" s="77" customFormat="1" x14ac:dyDescent="0.3">
      <c r="A42" s="77" t="s">
        <v>110</v>
      </c>
      <c r="B42" s="76">
        <v>72229.289999999994</v>
      </c>
      <c r="C42" s="76">
        <v>78439.06</v>
      </c>
      <c r="D42" s="76">
        <v>71934.66</v>
      </c>
      <c r="E42" s="76">
        <v>79611.37</v>
      </c>
      <c r="F42" s="76">
        <v>88488.59</v>
      </c>
      <c r="G42" s="76">
        <v>105932.35</v>
      </c>
      <c r="H42" s="76">
        <v>102236.08</v>
      </c>
      <c r="I42" s="76">
        <v>105128.24</v>
      </c>
      <c r="J42" s="76">
        <v>110577.14</v>
      </c>
      <c r="K42" s="76">
        <v>119986.31</v>
      </c>
    </row>
    <row r="43" spans="1:11" s="77" customFormat="1" x14ac:dyDescent="0.3">
      <c r="A43" s="77" t="s">
        <v>204</v>
      </c>
      <c r="B43" s="76">
        <v>65151.27</v>
      </c>
      <c r="C43" s="76">
        <v>70156.27</v>
      </c>
      <c r="D43" s="76">
        <v>69521.929999999993</v>
      </c>
      <c r="E43" s="76">
        <v>74039.06</v>
      </c>
      <c r="F43" s="76">
        <v>77668.350000000006</v>
      </c>
      <c r="G43" s="76">
        <v>92817.95</v>
      </c>
      <c r="H43" s="76">
        <v>89018.36</v>
      </c>
      <c r="I43" s="76">
        <v>91361.3</v>
      </c>
      <c r="J43" s="76">
        <v>95158.77</v>
      </c>
      <c r="K43" s="76">
        <v>102851</v>
      </c>
    </row>
    <row r="44" spans="1:11" s="77" customFormat="1" x14ac:dyDescent="0.3">
      <c r="A44" s="77" t="s">
        <v>203</v>
      </c>
      <c r="B44" s="76">
        <v>788.73</v>
      </c>
      <c r="C44" s="76">
        <v>188.74</v>
      </c>
      <c r="D44" s="76">
        <v>2380.98</v>
      </c>
      <c r="E44" s="76">
        <v>1351.14</v>
      </c>
      <c r="F44" s="76">
        <v>1129.98</v>
      </c>
      <c r="G44" s="76">
        <v>1452.86</v>
      </c>
      <c r="H44" s="76">
        <v>683.56</v>
      </c>
      <c r="I44" s="76">
        <v>1507.05</v>
      </c>
      <c r="J44" s="76">
        <v>1603.76</v>
      </c>
      <c r="K44" s="76">
        <v>1618.3</v>
      </c>
    </row>
    <row r="45" spans="1:11" s="77" customFormat="1" x14ac:dyDescent="0.3">
      <c r="A45" s="77" t="s">
        <v>123</v>
      </c>
      <c r="B45" s="76">
        <v>6078.13</v>
      </c>
      <c r="C45" s="76">
        <v>6432.11</v>
      </c>
      <c r="D45" s="76">
        <v>5841.04</v>
      </c>
      <c r="E45" s="76">
        <v>5897.34</v>
      </c>
      <c r="F45" s="76">
        <v>6071.78</v>
      </c>
      <c r="G45" s="76">
        <v>7050.2</v>
      </c>
      <c r="H45" s="76">
        <v>6633.18</v>
      </c>
      <c r="I45" s="76">
        <v>6636.42</v>
      </c>
      <c r="J45" s="76">
        <v>6850</v>
      </c>
      <c r="K45" s="76">
        <v>7150.53</v>
      </c>
    </row>
    <row r="46" spans="1:11" s="77" customFormat="1" x14ac:dyDescent="0.3">
      <c r="A46" s="77" t="s">
        <v>121</v>
      </c>
      <c r="B46" s="76">
        <v>2400.7399999999998</v>
      </c>
      <c r="C46" s="76">
        <v>2380.52</v>
      </c>
      <c r="D46" s="76">
        <v>2420.7199999999998</v>
      </c>
      <c r="E46" s="76">
        <v>2487.2600000000002</v>
      </c>
      <c r="F46" s="76">
        <v>2675.83</v>
      </c>
      <c r="G46" s="76">
        <v>2641.67</v>
      </c>
      <c r="H46" s="76">
        <v>2615.39</v>
      </c>
      <c r="I46" s="76">
        <v>2651.69</v>
      </c>
      <c r="J46" s="76">
        <v>2484.91</v>
      </c>
      <c r="K46" s="76">
        <v>2233.77</v>
      </c>
    </row>
    <row r="47" spans="1:11" s="77" customFormat="1" x14ac:dyDescent="0.3">
      <c r="A47" s="77" t="s">
        <v>202</v>
      </c>
      <c r="B47" s="76">
        <v>-612.12</v>
      </c>
      <c r="C47" s="76">
        <v>-341.1</v>
      </c>
      <c r="D47" s="76">
        <v>-3468.05</v>
      </c>
      <c r="E47" s="76">
        <v>-1461.15</v>
      </c>
      <c r="F47" s="76">
        <v>3202.61</v>
      </c>
      <c r="G47" s="76">
        <v>4875.3900000000003</v>
      </c>
      <c r="H47" s="76">
        <v>4652.71</v>
      </c>
      <c r="I47" s="76">
        <v>5985.88</v>
      </c>
      <c r="J47" s="76">
        <v>7687.22</v>
      </c>
      <c r="K47" s="76">
        <v>9369.31</v>
      </c>
    </row>
    <row r="48" spans="1:11" s="77" customFormat="1" x14ac:dyDescent="0.3">
      <c r="A48" s="77" t="s">
        <v>127</v>
      </c>
      <c r="B48" s="76">
        <v>726.05</v>
      </c>
      <c r="C48" s="76">
        <v>758.22</v>
      </c>
      <c r="D48" s="76">
        <v>1518.96</v>
      </c>
      <c r="E48" s="76">
        <v>-457.08</v>
      </c>
      <c r="F48" s="76">
        <v>262.83</v>
      </c>
      <c r="G48" s="76">
        <v>-620.65</v>
      </c>
      <c r="H48" s="76">
        <v>1563.01</v>
      </c>
      <c r="I48" s="76">
        <v>2202.84</v>
      </c>
      <c r="J48" s="76">
        <v>541.79</v>
      </c>
      <c r="K48" s="76">
        <v>-8159.28</v>
      </c>
    </row>
    <row r="49" spans="1:11" s="77" customFormat="1" x14ac:dyDescent="0.3">
      <c r="A49" s="77" t="s">
        <v>201</v>
      </c>
      <c r="B49" s="76">
        <v>-1516.14</v>
      </c>
      <c r="C49" s="76">
        <v>-1032.8399999999999</v>
      </c>
      <c r="D49" s="76">
        <v>-5006.6000000000004</v>
      </c>
      <c r="E49" s="76">
        <v>-944.61</v>
      </c>
      <c r="F49" s="76">
        <v>2957.71</v>
      </c>
      <c r="G49" s="76">
        <v>5407.79</v>
      </c>
      <c r="H49" s="76">
        <v>3202.8</v>
      </c>
      <c r="I49" s="76">
        <v>3764</v>
      </c>
      <c r="J49" s="76">
        <v>7025.11</v>
      </c>
      <c r="K49" s="76">
        <v>17407.18</v>
      </c>
    </row>
    <row r="50" spans="1:11" x14ac:dyDescent="0.3">
      <c r="A50" s="77" t="s">
        <v>200</v>
      </c>
      <c r="B50" s="76">
        <v>7078.02</v>
      </c>
      <c r="C50" s="76">
        <v>8282.7900000000009</v>
      </c>
      <c r="D50" s="76">
        <v>2412.73</v>
      </c>
      <c r="E50" s="76">
        <v>5572.31</v>
      </c>
      <c r="F50" s="76">
        <v>10820.24</v>
      </c>
      <c r="G50" s="76">
        <v>13114.4</v>
      </c>
      <c r="H50" s="76">
        <v>13217.72</v>
      </c>
      <c r="I50" s="76">
        <v>13766.94</v>
      </c>
      <c r="J50" s="76">
        <v>15418.37</v>
      </c>
      <c r="K50" s="76">
        <v>17135.310000000001</v>
      </c>
    </row>
    <row r="51" spans="1:11" x14ac:dyDescent="0.3">
      <c r="A51" s="77"/>
    </row>
    <row r="52" spans="1:11" x14ac:dyDescent="0.3">
      <c r="A52" s="77"/>
    </row>
    <row r="53" spans="1:11" x14ac:dyDescent="0.3">
      <c r="A53" s="77"/>
    </row>
    <row r="54" spans="1:11" x14ac:dyDescent="0.3">
      <c r="A54" s="77"/>
    </row>
    <row r="55" spans="1:11" x14ac:dyDescent="0.3">
      <c r="A55" s="75" t="s">
        <v>199</v>
      </c>
    </row>
    <row r="56" spans="1:11" s="78" customFormat="1" x14ac:dyDescent="0.3">
      <c r="A56" s="80" t="s">
        <v>193</v>
      </c>
      <c r="B56" s="79">
        <v>42094</v>
      </c>
      <c r="C56" s="79">
        <v>42460</v>
      </c>
      <c r="D56" s="79">
        <v>42825</v>
      </c>
      <c r="E56" s="79">
        <v>43190</v>
      </c>
      <c r="F56" s="79">
        <v>43555</v>
      </c>
      <c r="G56" s="79">
        <v>43921</v>
      </c>
      <c r="H56" s="79">
        <v>44286</v>
      </c>
      <c r="I56" s="79">
        <v>44651</v>
      </c>
      <c r="J56" s="79">
        <v>45016</v>
      </c>
      <c r="K56" s="79">
        <v>45382</v>
      </c>
    </row>
    <row r="57" spans="1:11" x14ac:dyDescent="0.3">
      <c r="A57" s="77" t="s">
        <v>138</v>
      </c>
      <c r="B57" s="76">
        <v>643.78</v>
      </c>
      <c r="C57" s="76">
        <v>679.18</v>
      </c>
      <c r="D57" s="76">
        <v>679.22</v>
      </c>
      <c r="E57" s="76">
        <v>679.22</v>
      </c>
      <c r="F57" s="76">
        <v>679.22</v>
      </c>
      <c r="G57" s="76">
        <v>719.54</v>
      </c>
      <c r="H57" s="76">
        <v>765.81</v>
      </c>
      <c r="I57" s="76">
        <v>765.88</v>
      </c>
      <c r="J57" s="76">
        <v>766.02</v>
      </c>
      <c r="K57" s="76">
        <v>766.5</v>
      </c>
    </row>
    <row r="58" spans="1:11" x14ac:dyDescent="0.3">
      <c r="A58" s="77" t="s">
        <v>139</v>
      </c>
      <c r="B58" s="76">
        <v>55618.14</v>
      </c>
      <c r="C58" s="76">
        <v>78273.23</v>
      </c>
      <c r="D58" s="76">
        <v>57382.67</v>
      </c>
      <c r="E58" s="76">
        <v>94748.69</v>
      </c>
      <c r="F58" s="76">
        <v>59500.34</v>
      </c>
      <c r="G58" s="76">
        <v>61491.49</v>
      </c>
      <c r="H58" s="76">
        <v>54480.91</v>
      </c>
      <c r="I58" s="76">
        <v>43795.360000000001</v>
      </c>
      <c r="J58" s="76">
        <v>44555.77</v>
      </c>
      <c r="K58" s="76">
        <v>84151.52</v>
      </c>
    </row>
    <row r="59" spans="1:11" x14ac:dyDescent="0.3">
      <c r="A59" s="77" t="s">
        <v>140</v>
      </c>
      <c r="B59" s="76">
        <v>73610.39</v>
      </c>
      <c r="C59" s="76">
        <v>69359.960000000006</v>
      </c>
      <c r="D59" s="76">
        <v>78603.98</v>
      </c>
      <c r="E59" s="76">
        <v>88950.47</v>
      </c>
      <c r="F59" s="76">
        <v>106175.34</v>
      </c>
      <c r="G59" s="76">
        <v>124787.64</v>
      </c>
      <c r="H59" s="76">
        <v>142130.57</v>
      </c>
      <c r="I59" s="76">
        <v>146449.03</v>
      </c>
      <c r="J59" s="76">
        <v>134113.44</v>
      </c>
      <c r="K59" s="76">
        <v>107262.5</v>
      </c>
    </row>
    <row r="60" spans="1:11" x14ac:dyDescent="0.3">
      <c r="A60" s="77" t="s">
        <v>141</v>
      </c>
      <c r="B60" s="76">
        <v>107442.48</v>
      </c>
      <c r="C60" s="76">
        <v>114871.75</v>
      </c>
      <c r="D60" s="76">
        <v>135914.49</v>
      </c>
      <c r="E60" s="76">
        <v>142813.43</v>
      </c>
      <c r="F60" s="76">
        <v>139348.59</v>
      </c>
      <c r="G60" s="76">
        <v>133180.72</v>
      </c>
      <c r="H60" s="76">
        <v>144192.62</v>
      </c>
      <c r="I60" s="76">
        <v>138051.22</v>
      </c>
      <c r="J60" s="76">
        <v>155239.20000000001</v>
      </c>
      <c r="K60" s="76">
        <v>178483.44</v>
      </c>
    </row>
    <row r="61" spans="1:11" s="75" customFormat="1" x14ac:dyDescent="0.3">
      <c r="A61" s="75" t="s">
        <v>58</v>
      </c>
      <c r="B61" s="76">
        <v>237314.79</v>
      </c>
      <c r="C61" s="76">
        <v>263184.12</v>
      </c>
      <c r="D61" s="76">
        <v>272580.36</v>
      </c>
      <c r="E61" s="76">
        <v>327191.81</v>
      </c>
      <c r="F61" s="76">
        <v>305703.49</v>
      </c>
      <c r="G61" s="76">
        <v>320179.39</v>
      </c>
      <c r="H61" s="76">
        <v>341569.91</v>
      </c>
      <c r="I61" s="76">
        <v>329061.49</v>
      </c>
      <c r="J61" s="76">
        <v>334674.43</v>
      </c>
      <c r="K61" s="76">
        <v>370663.96</v>
      </c>
    </row>
    <row r="62" spans="1:11" x14ac:dyDescent="0.3">
      <c r="A62" s="77" t="s">
        <v>198</v>
      </c>
      <c r="B62" s="76">
        <v>88479.49</v>
      </c>
      <c r="C62" s="76">
        <v>107231.76</v>
      </c>
      <c r="D62" s="76">
        <v>95944.08</v>
      </c>
      <c r="E62" s="76">
        <v>121413.86</v>
      </c>
      <c r="F62" s="76">
        <v>111234.47</v>
      </c>
      <c r="G62" s="76">
        <v>127107.14</v>
      </c>
      <c r="H62" s="76">
        <v>138707.60999999999</v>
      </c>
      <c r="I62" s="76">
        <v>138855.45000000001</v>
      </c>
      <c r="J62" s="76">
        <v>132079.76</v>
      </c>
      <c r="K62" s="76">
        <v>146046.56</v>
      </c>
    </row>
    <row r="63" spans="1:11" x14ac:dyDescent="0.3">
      <c r="A63" s="77" t="s">
        <v>144</v>
      </c>
      <c r="B63" s="76">
        <v>28640.09</v>
      </c>
      <c r="C63" s="76">
        <v>25918.94</v>
      </c>
      <c r="D63" s="76">
        <v>33698.839999999997</v>
      </c>
      <c r="E63" s="76">
        <v>40033.5</v>
      </c>
      <c r="F63" s="76">
        <v>31883.84</v>
      </c>
      <c r="G63" s="76">
        <v>35622.29</v>
      </c>
      <c r="H63" s="76">
        <v>20963.93</v>
      </c>
      <c r="I63" s="76">
        <v>10251.09</v>
      </c>
      <c r="J63" s="76">
        <v>14274.5</v>
      </c>
      <c r="K63" s="76">
        <v>10937.33</v>
      </c>
    </row>
    <row r="64" spans="1:11" x14ac:dyDescent="0.3">
      <c r="A64" s="77" t="s">
        <v>145</v>
      </c>
      <c r="B64" s="76">
        <v>15336.74</v>
      </c>
      <c r="C64" s="76">
        <v>23767.02</v>
      </c>
      <c r="D64" s="76">
        <v>20337.919999999998</v>
      </c>
      <c r="E64" s="76">
        <v>20812.75</v>
      </c>
      <c r="F64" s="76">
        <v>15770.72</v>
      </c>
      <c r="G64" s="76">
        <v>16308.48</v>
      </c>
      <c r="H64" s="76">
        <v>24620.28</v>
      </c>
      <c r="I64" s="76">
        <v>29379.53</v>
      </c>
      <c r="J64" s="76">
        <v>26379.16</v>
      </c>
      <c r="K64" s="76">
        <v>22971.07</v>
      </c>
    </row>
    <row r="65" spans="1:11" x14ac:dyDescent="0.3">
      <c r="A65" s="77" t="s">
        <v>146</v>
      </c>
      <c r="B65" s="76">
        <v>104858.47</v>
      </c>
      <c r="C65" s="76">
        <v>106266.4</v>
      </c>
      <c r="D65" s="76">
        <v>122599.52</v>
      </c>
      <c r="E65" s="76">
        <v>144931.70000000001</v>
      </c>
      <c r="F65" s="76">
        <v>146814.46</v>
      </c>
      <c r="G65" s="76">
        <v>141141.48000000001</v>
      </c>
      <c r="H65" s="76">
        <v>157278.09</v>
      </c>
      <c r="I65" s="76">
        <v>150575.42000000001</v>
      </c>
      <c r="J65" s="76">
        <v>161941.01</v>
      </c>
      <c r="K65" s="76">
        <v>190709</v>
      </c>
    </row>
    <row r="66" spans="1:11" s="75" customFormat="1" x14ac:dyDescent="0.3">
      <c r="A66" s="75" t="s">
        <v>58</v>
      </c>
      <c r="B66" s="76">
        <v>237314.79</v>
      </c>
      <c r="C66" s="76">
        <v>263184.12</v>
      </c>
      <c r="D66" s="76">
        <v>272580.36</v>
      </c>
      <c r="E66" s="76">
        <v>327191.81</v>
      </c>
      <c r="F66" s="76">
        <v>305703.49</v>
      </c>
      <c r="G66" s="76">
        <v>320179.39</v>
      </c>
      <c r="H66" s="76">
        <v>341569.91</v>
      </c>
      <c r="I66" s="76">
        <v>329061.49</v>
      </c>
      <c r="J66" s="76">
        <v>334674.43</v>
      </c>
      <c r="K66" s="76">
        <v>370663.96</v>
      </c>
    </row>
    <row r="67" spans="1:11" s="77" customFormat="1" x14ac:dyDescent="0.3">
      <c r="A67" s="77" t="s">
        <v>148</v>
      </c>
      <c r="B67" s="76">
        <v>12579.2</v>
      </c>
      <c r="C67" s="76">
        <v>13570.91</v>
      </c>
      <c r="D67" s="76">
        <v>14075.55</v>
      </c>
      <c r="E67" s="76">
        <v>19893.3</v>
      </c>
      <c r="F67" s="76">
        <v>18996.169999999998</v>
      </c>
      <c r="G67" s="76">
        <v>11172.69</v>
      </c>
      <c r="H67" s="76">
        <v>12679.08</v>
      </c>
      <c r="I67" s="76">
        <v>12442.12</v>
      </c>
      <c r="J67" s="76">
        <v>15737.97</v>
      </c>
      <c r="K67" s="76">
        <v>16951.810000000001</v>
      </c>
    </row>
    <row r="68" spans="1:11" x14ac:dyDescent="0.3">
      <c r="A68" s="77" t="s">
        <v>149</v>
      </c>
      <c r="B68" s="76">
        <v>29272.34</v>
      </c>
      <c r="C68" s="76">
        <v>32655.73</v>
      </c>
      <c r="D68" s="76">
        <v>35085.31</v>
      </c>
      <c r="E68" s="76">
        <v>42137.63</v>
      </c>
      <c r="F68" s="76">
        <v>39013.730000000003</v>
      </c>
      <c r="G68" s="76">
        <v>37456.879999999997</v>
      </c>
      <c r="H68" s="76">
        <v>36088.589999999997</v>
      </c>
      <c r="I68" s="76">
        <v>35240.339999999997</v>
      </c>
      <c r="J68" s="76">
        <v>40755.39</v>
      </c>
      <c r="K68" s="76">
        <v>47788.29</v>
      </c>
    </row>
    <row r="69" spans="1:11" x14ac:dyDescent="0.3">
      <c r="A69" s="73" t="s">
        <v>150</v>
      </c>
      <c r="B69" s="76">
        <v>32115.759999999998</v>
      </c>
      <c r="C69" s="76">
        <v>30460.400000000001</v>
      </c>
      <c r="D69" s="76">
        <v>36077.879999999997</v>
      </c>
      <c r="E69" s="76">
        <v>34613.910000000003</v>
      </c>
      <c r="F69" s="76">
        <v>32648.82</v>
      </c>
      <c r="G69" s="76">
        <v>33726.97</v>
      </c>
      <c r="H69" s="76">
        <v>46792.46</v>
      </c>
      <c r="I69" s="76">
        <v>40669.19</v>
      </c>
      <c r="J69" s="76">
        <v>37015.56</v>
      </c>
      <c r="K69" s="76">
        <v>45806.69</v>
      </c>
    </row>
    <row r="70" spans="1:11" x14ac:dyDescent="0.3">
      <c r="A70" s="73" t="s">
        <v>197</v>
      </c>
      <c r="B70" s="76">
        <v>3218930067</v>
      </c>
      <c r="C70" s="76">
        <v>3395930306</v>
      </c>
      <c r="D70" s="76">
        <v>3396100719</v>
      </c>
      <c r="E70" s="76">
        <v>3396100719</v>
      </c>
      <c r="F70" s="76">
        <v>3396100719</v>
      </c>
      <c r="G70" s="76">
        <v>3597726185</v>
      </c>
      <c r="H70" s="76">
        <v>3829060661</v>
      </c>
      <c r="I70" s="76">
        <v>3829414903</v>
      </c>
      <c r="J70" s="76">
        <v>3830097221</v>
      </c>
    </row>
    <row r="71" spans="1:11" x14ac:dyDescent="0.3">
      <c r="A71" s="73" t="s">
        <v>196</v>
      </c>
    </row>
    <row r="72" spans="1:11" x14ac:dyDescent="0.3">
      <c r="A72" s="73" t="s">
        <v>195</v>
      </c>
      <c r="B72" s="76">
        <v>2</v>
      </c>
      <c r="C72" s="76">
        <v>2</v>
      </c>
      <c r="D72" s="76">
        <v>2</v>
      </c>
      <c r="E72" s="76">
        <v>2</v>
      </c>
      <c r="F72" s="76">
        <v>2</v>
      </c>
      <c r="G72" s="76">
        <v>2</v>
      </c>
      <c r="H72" s="76">
        <v>2</v>
      </c>
      <c r="I72" s="76">
        <v>2</v>
      </c>
      <c r="J72" s="76">
        <v>2</v>
      </c>
      <c r="K72" s="76">
        <v>2</v>
      </c>
    </row>
    <row r="74" spans="1:11" x14ac:dyDescent="0.3">
      <c r="A74" s="77"/>
    </row>
    <row r="75" spans="1:11" x14ac:dyDescent="0.3">
      <c r="A75" s="77"/>
    </row>
    <row r="76" spans="1:11" x14ac:dyDescent="0.3">
      <c r="A76" s="77"/>
    </row>
    <row r="77" spans="1:11" x14ac:dyDescent="0.3">
      <c r="A77" s="77"/>
    </row>
    <row r="78" spans="1:11" x14ac:dyDescent="0.3">
      <c r="A78" s="77"/>
    </row>
    <row r="79" spans="1:11" x14ac:dyDescent="0.3">
      <c r="A79" s="77"/>
    </row>
    <row r="80" spans="1:11" x14ac:dyDescent="0.3">
      <c r="A80" s="75" t="s">
        <v>194</v>
      </c>
    </row>
    <row r="81" spans="1:11" s="78" customFormat="1" x14ac:dyDescent="0.3">
      <c r="A81" s="80" t="s">
        <v>193</v>
      </c>
      <c r="B81" s="79">
        <v>42094</v>
      </c>
      <c r="C81" s="79">
        <v>42460</v>
      </c>
      <c r="D81" s="79">
        <v>42825</v>
      </c>
      <c r="E81" s="79">
        <v>43190</v>
      </c>
      <c r="F81" s="79">
        <v>43555</v>
      </c>
      <c r="G81" s="79">
        <v>43921</v>
      </c>
      <c r="H81" s="79">
        <v>44286</v>
      </c>
      <c r="I81" s="79">
        <v>44651</v>
      </c>
      <c r="J81" s="79">
        <v>45016</v>
      </c>
      <c r="K81" s="79">
        <v>45382</v>
      </c>
    </row>
    <row r="82" spans="1:11" s="75" customFormat="1" x14ac:dyDescent="0.3">
      <c r="A82" s="77" t="s">
        <v>192</v>
      </c>
      <c r="B82" s="76">
        <v>35531.26</v>
      </c>
      <c r="C82" s="76">
        <v>37899.54</v>
      </c>
      <c r="D82" s="76">
        <v>30199.25</v>
      </c>
      <c r="E82" s="76">
        <v>23857.42</v>
      </c>
      <c r="F82" s="76">
        <v>18890.75</v>
      </c>
      <c r="G82" s="76">
        <v>26632.94</v>
      </c>
      <c r="H82" s="76">
        <v>29000.51</v>
      </c>
      <c r="I82" s="76">
        <v>14282.83</v>
      </c>
      <c r="J82" s="76">
        <v>35388.01</v>
      </c>
      <c r="K82" s="76">
        <v>67915.360000000001</v>
      </c>
    </row>
    <row r="83" spans="1:11" s="77" customFormat="1" x14ac:dyDescent="0.3">
      <c r="A83" s="77" t="s">
        <v>191</v>
      </c>
      <c r="B83" s="76">
        <v>-36232.35</v>
      </c>
      <c r="C83" s="76">
        <v>-36693.9</v>
      </c>
      <c r="D83" s="76">
        <v>-39571.4</v>
      </c>
      <c r="E83" s="76">
        <v>-25139.14</v>
      </c>
      <c r="F83" s="76">
        <v>-20878.07</v>
      </c>
      <c r="G83" s="76">
        <v>-33114.550000000003</v>
      </c>
      <c r="H83" s="76">
        <v>-25672.5</v>
      </c>
      <c r="I83" s="76">
        <v>-4443.66</v>
      </c>
      <c r="J83" s="76">
        <v>-15417.17</v>
      </c>
      <c r="K83" s="76">
        <v>-22828.09</v>
      </c>
    </row>
    <row r="84" spans="1:11" s="77" customFormat="1" x14ac:dyDescent="0.3">
      <c r="A84" s="77" t="s">
        <v>190</v>
      </c>
      <c r="B84" s="76">
        <v>5201.4399999999996</v>
      </c>
      <c r="C84" s="76">
        <v>-3795.12</v>
      </c>
      <c r="D84" s="76">
        <v>6205.3</v>
      </c>
      <c r="E84" s="76">
        <v>2011.71</v>
      </c>
      <c r="F84" s="76">
        <v>8830.3700000000008</v>
      </c>
      <c r="G84" s="76">
        <v>3389.61</v>
      </c>
      <c r="H84" s="76">
        <v>9904.2000000000007</v>
      </c>
      <c r="I84" s="76">
        <v>-3380.17</v>
      </c>
      <c r="J84" s="76">
        <v>-26242.9</v>
      </c>
      <c r="K84" s="76">
        <v>-37005.99</v>
      </c>
    </row>
    <row r="85" spans="1:11" s="75" customFormat="1" x14ac:dyDescent="0.3">
      <c r="A85" s="77" t="s">
        <v>186</v>
      </c>
      <c r="B85" s="76">
        <v>4500.3500000000004</v>
      </c>
      <c r="C85" s="76">
        <v>-2589.48</v>
      </c>
      <c r="D85" s="76">
        <v>-3166.85</v>
      </c>
      <c r="E85" s="76">
        <v>729.99</v>
      </c>
      <c r="F85" s="76">
        <v>6843.05</v>
      </c>
      <c r="G85" s="76">
        <v>-3092</v>
      </c>
      <c r="H85" s="76">
        <v>13232.21</v>
      </c>
      <c r="I85" s="76">
        <v>6459</v>
      </c>
      <c r="J85" s="76">
        <v>-6272.06</v>
      </c>
      <c r="K85" s="76">
        <v>8081.28</v>
      </c>
    </row>
    <row r="86" spans="1:11" x14ac:dyDescent="0.3">
      <c r="A86" s="77"/>
    </row>
    <row r="87" spans="1:11" x14ac:dyDescent="0.3">
      <c r="A87" s="77"/>
    </row>
    <row r="88" spans="1:11" x14ac:dyDescent="0.3">
      <c r="A88" s="77"/>
    </row>
    <row r="89" spans="1:11" x14ac:dyDescent="0.3">
      <c r="A89" s="77"/>
    </row>
    <row r="90" spans="1:11" s="75" customFormat="1" x14ac:dyDescent="0.3">
      <c r="A90" s="75" t="s">
        <v>189</v>
      </c>
      <c r="B90" s="76">
        <v>544.37</v>
      </c>
      <c r="C90" s="76">
        <v>386.6</v>
      </c>
      <c r="D90" s="76">
        <v>465.85</v>
      </c>
      <c r="E90" s="76">
        <v>326.85000000000002</v>
      </c>
      <c r="F90" s="76">
        <v>174.25</v>
      </c>
      <c r="G90" s="76">
        <v>71.05</v>
      </c>
      <c r="H90" s="76">
        <v>301.8</v>
      </c>
      <c r="I90" s="76">
        <v>433.75</v>
      </c>
      <c r="J90" s="76">
        <v>420.8</v>
      </c>
      <c r="K90" s="76">
        <v>992.8</v>
      </c>
    </row>
    <row r="92" spans="1:11" s="75" customFormat="1" x14ac:dyDescent="0.3">
      <c r="A92" s="75" t="s">
        <v>188</v>
      </c>
    </row>
    <row r="93" spans="1:11" x14ac:dyDescent="0.3">
      <c r="A93" s="73" t="s">
        <v>187</v>
      </c>
      <c r="B93" s="74">
        <v>288.74</v>
      </c>
      <c r="C93" s="74">
        <v>288.72000000000003</v>
      </c>
      <c r="D93" s="74">
        <v>288.73</v>
      </c>
      <c r="E93" s="74">
        <v>288.73</v>
      </c>
      <c r="F93" s="74">
        <v>288.73</v>
      </c>
      <c r="G93" s="74">
        <v>308.89999999999998</v>
      </c>
      <c r="H93" s="74">
        <v>332.03</v>
      </c>
      <c r="I93" s="74">
        <v>332.07</v>
      </c>
      <c r="J93" s="74">
        <v>332.13</v>
      </c>
      <c r="K93" s="74">
        <v>332.37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39A58452-FB6C-46A0-B57A-71FB58271444}"/>
  </hyperlinks>
  <pageMargins left="0.7" right="0.7" top="0.75" bottom="0.75" header="0.3" footer="0.3"/>
  <pageSetup paperSize="9"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1FCD0-568D-43E2-9F9B-A417EE3EBCF5}">
  <dimension ref="B2:O79"/>
  <sheetViews>
    <sheetView showGridLines="0" topLeftCell="B1" workbookViewId="0">
      <pane ySplit="2" topLeftCell="A45" activePane="bottomLeft" state="frozen"/>
      <selection pane="bottomLeft" activeCell="C58" sqref="C58"/>
    </sheetView>
  </sheetViews>
  <sheetFormatPr defaultRowHeight="14.4" x14ac:dyDescent="0.3"/>
  <cols>
    <col min="1" max="1" width="1.88671875" customWidth="1"/>
    <col min="2" max="2" width="25.77734375" bestFit="1" customWidth="1"/>
    <col min="3" max="14" width="9.6640625" bestFit="1" customWidth="1"/>
  </cols>
  <sheetData>
    <row r="2" spans="2:14" x14ac:dyDescent="0.3">
      <c r="B2" s="82" t="s">
        <v>255</v>
      </c>
      <c r="C2" s="83">
        <v>41334</v>
      </c>
      <c r="D2" s="83">
        <v>41699</v>
      </c>
      <c r="E2" s="83">
        <v>42064</v>
      </c>
      <c r="F2" s="83">
        <v>42430</v>
      </c>
      <c r="G2" s="83">
        <v>42795</v>
      </c>
      <c r="H2" s="83">
        <v>43160</v>
      </c>
      <c r="I2" s="83">
        <v>43525</v>
      </c>
      <c r="J2" s="83">
        <v>43891</v>
      </c>
      <c r="K2" s="83">
        <v>44256</v>
      </c>
      <c r="L2" s="83">
        <v>44621</v>
      </c>
      <c r="M2" s="83">
        <v>44986</v>
      </c>
      <c r="N2" s="83">
        <v>45352</v>
      </c>
    </row>
    <row r="3" spans="2:14" s="11" customFormat="1" x14ac:dyDescent="0.3"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</row>
    <row r="4" spans="2:14" x14ac:dyDescent="0.3">
      <c r="B4" s="1" t="s">
        <v>224</v>
      </c>
      <c r="C4" s="86">
        <v>638</v>
      </c>
      <c r="D4" s="86">
        <v>644</v>
      </c>
      <c r="E4" s="86">
        <v>644</v>
      </c>
      <c r="F4" s="86">
        <v>679</v>
      </c>
      <c r="G4" s="86">
        <v>679</v>
      </c>
      <c r="H4" s="86">
        <v>679</v>
      </c>
      <c r="I4" s="86">
        <v>679</v>
      </c>
      <c r="J4" s="86">
        <v>720</v>
      </c>
      <c r="K4" s="86">
        <v>766</v>
      </c>
      <c r="L4" s="86">
        <v>766</v>
      </c>
      <c r="M4" s="86">
        <v>766</v>
      </c>
      <c r="N4" s="86">
        <v>766</v>
      </c>
    </row>
    <row r="5" spans="2:14" x14ac:dyDescent="0.3">
      <c r="B5" s="1" t="s">
        <v>139</v>
      </c>
      <c r="C5" s="86">
        <v>36999</v>
      </c>
      <c r="D5" s="86">
        <v>64960</v>
      </c>
      <c r="E5" s="86">
        <v>55618</v>
      </c>
      <c r="F5" s="86">
        <v>78273</v>
      </c>
      <c r="G5" s="86">
        <v>57383</v>
      </c>
      <c r="H5" s="86">
        <v>94749</v>
      </c>
      <c r="I5" s="86">
        <v>59500</v>
      </c>
      <c r="J5" s="86">
        <v>61491</v>
      </c>
      <c r="K5" s="86">
        <v>54481</v>
      </c>
      <c r="L5" s="86">
        <v>43795</v>
      </c>
      <c r="M5" s="86">
        <v>44556</v>
      </c>
      <c r="N5" s="86">
        <v>84152</v>
      </c>
    </row>
    <row r="6" spans="2:14" x14ac:dyDescent="0.3">
      <c r="B6" s="1" t="s">
        <v>225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</row>
    <row r="7" spans="2:14" x14ac:dyDescent="0.3">
      <c r="B7" t="s">
        <v>226</v>
      </c>
      <c r="C7" s="86">
        <v>32155</v>
      </c>
      <c r="D7" s="86">
        <v>45259</v>
      </c>
      <c r="E7" s="86">
        <v>56071</v>
      </c>
      <c r="F7" s="86">
        <v>50510</v>
      </c>
      <c r="G7" s="86">
        <v>60629</v>
      </c>
      <c r="H7" s="86">
        <v>61200</v>
      </c>
      <c r="I7" s="86">
        <v>70818</v>
      </c>
      <c r="J7" s="86">
        <v>83316</v>
      </c>
      <c r="K7" s="86">
        <v>93113</v>
      </c>
      <c r="L7" s="86">
        <v>97759</v>
      </c>
      <c r="M7" s="86">
        <v>88696</v>
      </c>
      <c r="N7" s="86">
        <v>62149</v>
      </c>
    </row>
    <row r="8" spans="2:14" x14ac:dyDescent="0.3">
      <c r="B8" t="s">
        <v>227</v>
      </c>
      <c r="C8" s="86">
        <v>11620</v>
      </c>
      <c r="D8" s="86">
        <v>9696</v>
      </c>
      <c r="E8" s="86">
        <v>13140</v>
      </c>
      <c r="F8" s="86">
        <v>11451</v>
      </c>
      <c r="G8" s="86">
        <v>13860</v>
      </c>
      <c r="H8" s="86">
        <v>16795</v>
      </c>
      <c r="I8" s="86">
        <v>20150</v>
      </c>
      <c r="J8" s="86">
        <v>16363</v>
      </c>
      <c r="K8" s="86">
        <v>42792</v>
      </c>
      <c r="L8" s="86">
        <v>41918</v>
      </c>
      <c r="M8" s="86">
        <v>36965</v>
      </c>
      <c r="N8" s="86">
        <v>36352</v>
      </c>
    </row>
    <row r="9" spans="2:14" x14ac:dyDescent="0.3">
      <c r="B9" t="s">
        <v>228</v>
      </c>
      <c r="C9" s="86">
        <v>0</v>
      </c>
      <c r="D9" s="86">
        <v>0</v>
      </c>
      <c r="E9" s="86">
        <v>0</v>
      </c>
      <c r="F9" s="86">
        <v>0</v>
      </c>
      <c r="G9" s="86">
        <v>0</v>
      </c>
      <c r="H9" s="86">
        <v>0</v>
      </c>
      <c r="I9" s="86">
        <v>173</v>
      </c>
      <c r="J9" s="86">
        <v>5977</v>
      </c>
      <c r="K9" s="86">
        <v>6226</v>
      </c>
      <c r="L9" s="86">
        <v>6772</v>
      </c>
      <c r="M9" s="86">
        <v>8453</v>
      </c>
      <c r="N9" s="86">
        <v>8762</v>
      </c>
    </row>
    <row r="10" spans="2:14" x14ac:dyDescent="0.3">
      <c r="B10" t="s">
        <v>229</v>
      </c>
      <c r="C10" s="86">
        <v>9940</v>
      </c>
      <c r="D10" s="86">
        <v>5688</v>
      </c>
      <c r="E10" s="86">
        <v>4399</v>
      </c>
      <c r="F10" s="86">
        <v>7399</v>
      </c>
      <c r="G10" s="86">
        <v>4115</v>
      </c>
      <c r="H10" s="86">
        <v>10956</v>
      </c>
      <c r="I10" s="86">
        <v>15034</v>
      </c>
      <c r="J10" s="86">
        <v>19132</v>
      </c>
      <c r="K10" s="86">
        <v>0</v>
      </c>
      <c r="L10" s="86">
        <v>0</v>
      </c>
      <c r="M10" s="86">
        <v>0</v>
      </c>
      <c r="N10" s="86">
        <v>0</v>
      </c>
    </row>
    <row r="11" spans="2:14" x14ac:dyDescent="0.3">
      <c r="B11" s="1" t="s">
        <v>230</v>
      </c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</row>
    <row r="12" spans="2:14" x14ac:dyDescent="0.3">
      <c r="B12" t="s">
        <v>231</v>
      </c>
      <c r="C12" s="86">
        <v>370</v>
      </c>
      <c r="D12" s="86">
        <v>421</v>
      </c>
      <c r="E12" s="86">
        <v>433</v>
      </c>
      <c r="F12" s="86">
        <v>433</v>
      </c>
      <c r="G12" s="86">
        <v>453</v>
      </c>
      <c r="H12" s="86">
        <v>525</v>
      </c>
      <c r="I12" s="86">
        <v>523</v>
      </c>
      <c r="J12" s="86">
        <v>814</v>
      </c>
      <c r="K12" s="86">
        <v>1573</v>
      </c>
      <c r="L12" s="86">
        <v>4271</v>
      </c>
      <c r="M12" s="86">
        <v>7278</v>
      </c>
      <c r="N12" s="86">
        <v>8176</v>
      </c>
    </row>
    <row r="13" spans="2:14" x14ac:dyDescent="0.3">
      <c r="B13" t="s">
        <v>232</v>
      </c>
      <c r="C13" s="86">
        <v>44912</v>
      </c>
      <c r="D13" s="86">
        <v>57316</v>
      </c>
      <c r="E13" s="86">
        <v>57407</v>
      </c>
      <c r="F13" s="86">
        <v>61562</v>
      </c>
      <c r="G13" s="86">
        <v>62533</v>
      </c>
      <c r="H13" s="86">
        <v>76940</v>
      </c>
      <c r="I13" s="86">
        <v>71691</v>
      </c>
      <c r="J13" s="86">
        <v>66398</v>
      </c>
      <c r="K13" s="86">
        <v>76040</v>
      </c>
      <c r="L13" s="86">
        <v>69750</v>
      </c>
      <c r="M13" s="86">
        <v>79252</v>
      </c>
      <c r="N13" s="86">
        <v>93979</v>
      </c>
    </row>
    <row r="14" spans="2:14" x14ac:dyDescent="0.3">
      <c r="B14" t="s">
        <v>233</v>
      </c>
      <c r="C14" s="86">
        <v>2067</v>
      </c>
      <c r="D14" s="86">
        <v>3119</v>
      </c>
      <c r="E14" s="86">
        <v>2289</v>
      </c>
      <c r="F14" s="86">
        <v>2165</v>
      </c>
      <c r="G14" s="86">
        <v>1711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</row>
    <row r="15" spans="2:14" x14ac:dyDescent="0.3">
      <c r="B15" t="s">
        <v>234</v>
      </c>
      <c r="C15" s="87">
        <v>29627</v>
      </c>
      <c r="D15" s="87">
        <v>31325</v>
      </c>
      <c r="E15" s="87">
        <v>47313</v>
      </c>
      <c r="F15" s="87">
        <v>50712</v>
      </c>
      <c r="G15" s="87">
        <v>71218</v>
      </c>
      <c r="H15" s="87">
        <v>65349</v>
      </c>
      <c r="I15" s="87">
        <v>67135</v>
      </c>
      <c r="J15" s="87">
        <v>65969</v>
      </c>
      <c r="K15" s="87">
        <v>66579</v>
      </c>
      <c r="L15" s="87">
        <v>64030</v>
      </c>
      <c r="M15" s="87">
        <v>68710</v>
      </c>
      <c r="N15" s="87">
        <v>75186</v>
      </c>
    </row>
    <row r="16" spans="2:14" x14ac:dyDescent="0.3">
      <c r="B16" s="85" t="s">
        <v>235</v>
      </c>
      <c r="C16" s="88">
        <v>168330</v>
      </c>
      <c r="D16" s="88">
        <v>218426</v>
      </c>
      <c r="E16" s="88">
        <v>237315</v>
      </c>
      <c r="F16" s="88">
        <v>263184</v>
      </c>
      <c r="G16" s="88">
        <v>272580</v>
      </c>
      <c r="H16" s="88">
        <v>327192</v>
      </c>
      <c r="I16" s="88">
        <v>305703</v>
      </c>
      <c r="J16" s="88">
        <v>320179</v>
      </c>
      <c r="K16" s="88">
        <v>341570</v>
      </c>
      <c r="L16" s="88">
        <v>329061</v>
      </c>
      <c r="M16" s="88">
        <v>334674</v>
      </c>
      <c r="N16" s="88">
        <v>369521</v>
      </c>
    </row>
    <row r="17" spans="2:14" x14ac:dyDescent="0.3"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</row>
    <row r="18" spans="2:14" x14ac:dyDescent="0.3">
      <c r="B18" s="1" t="s">
        <v>236</v>
      </c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</row>
    <row r="19" spans="2:14" x14ac:dyDescent="0.3">
      <c r="B19" t="s">
        <v>237</v>
      </c>
      <c r="C19" s="86">
        <v>1959</v>
      </c>
      <c r="D19" s="86">
        <v>2296</v>
      </c>
      <c r="E19" s="86">
        <v>2513</v>
      </c>
      <c r="F19" s="86">
        <v>7185</v>
      </c>
      <c r="G19" s="86">
        <v>6762</v>
      </c>
      <c r="H19" s="86">
        <v>7339</v>
      </c>
      <c r="I19" s="86">
        <v>7286</v>
      </c>
      <c r="J19" s="86">
        <v>7675</v>
      </c>
      <c r="K19" s="86">
        <v>7819</v>
      </c>
      <c r="L19" s="86">
        <v>7760</v>
      </c>
      <c r="M19" s="86">
        <v>8045</v>
      </c>
      <c r="N19" s="86">
        <v>7930</v>
      </c>
    </row>
    <row r="20" spans="2:14" x14ac:dyDescent="0.3">
      <c r="B20" t="s">
        <v>238</v>
      </c>
      <c r="C20" s="86">
        <v>8323</v>
      </c>
      <c r="D20" s="86">
        <v>11010</v>
      </c>
      <c r="E20" s="86">
        <v>13396</v>
      </c>
      <c r="F20" s="86">
        <v>12343</v>
      </c>
      <c r="G20" s="86">
        <v>12164</v>
      </c>
      <c r="H20" s="86">
        <v>16552</v>
      </c>
      <c r="I20" s="86">
        <v>22938</v>
      </c>
      <c r="J20" s="86">
        <v>32665</v>
      </c>
      <c r="K20" s="86">
        <v>35537</v>
      </c>
      <c r="L20" s="86">
        <v>36466</v>
      </c>
      <c r="M20" s="86">
        <v>38674</v>
      </c>
      <c r="N20" s="86">
        <v>40584</v>
      </c>
    </row>
    <row r="21" spans="2:14" x14ac:dyDescent="0.3">
      <c r="B21" t="s">
        <v>239</v>
      </c>
      <c r="C21" s="86">
        <v>63478</v>
      </c>
      <c r="D21" s="86">
        <v>79505</v>
      </c>
      <c r="E21" s="86">
        <v>88943</v>
      </c>
      <c r="F21" s="86">
        <v>80063</v>
      </c>
      <c r="G21" s="86">
        <v>79976</v>
      </c>
      <c r="H21" s="86">
        <v>100226</v>
      </c>
      <c r="I21" s="86">
        <v>109415</v>
      </c>
      <c r="J21" s="86">
        <v>124158</v>
      </c>
      <c r="K21" s="86">
        <v>138868</v>
      </c>
      <c r="L21" s="86">
        <v>148585</v>
      </c>
      <c r="M21" s="86">
        <v>153672</v>
      </c>
      <c r="N21" s="86">
        <v>151878</v>
      </c>
    </row>
    <row r="22" spans="2:14" x14ac:dyDescent="0.3">
      <c r="B22" t="s">
        <v>240</v>
      </c>
      <c r="C22" s="86">
        <v>0</v>
      </c>
      <c r="D22" s="86">
        <v>0</v>
      </c>
      <c r="E22" s="86">
        <v>482</v>
      </c>
      <c r="F22" s="86">
        <v>498</v>
      </c>
      <c r="G22" s="86">
        <v>0</v>
      </c>
      <c r="H22" s="86">
        <v>0</v>
      </c>
      <c r="I22" s="86">
        <v>0</v>
      </c>
      <c r="J22" s="86">
        <v>0</v>
      </c>
      <c r="K22" s="86">
        <v>0</v>
      </c>
      <c r="L22" s="86">
        <v>0</v>
      </c>
      <c r="M22" s="86">
        <v>0</v>
      </c>
      <c r="N22" s="86">
        <v>0</v>
      </c>
    </row>
    <row r="23" spans="2:14" x14ac:dyDescent="0.3">
      <c r="B23" t="s">
        <v>241</v>
      </c>
      <c r="C23" s="86">
        <v>928</v>
      </c>
      <c r="D23" s="86">
        <v>1126</v>
      </c>
      <c r="E23" s="86">
        <v>1364</v>
      </c>
      <c r="F23" s="86">
        <v>1634</v>
      </c>
      <c r="G23" s="86">
        <v>1767</v>
      </c>
      <c r="H23" s="86">
        <v>1943</v>
      </c>
      <c r="I23" s="86">
        <v>2335</v>
      </c>
      <c r="J23" s="86">
        <v>3054</v>
      </c>
      <c r="K23" s="86">
        <v>3172</v>
      </c>
      <c r="L23" s="86">
        <v>3383</v>
      </c>
      <c r="M23" s="86">
        <v>3499</v>
      </c>
      <c r="N23" s="86">
        <v>3667</v>
      </c>
    </row>
    <row r="24" spans="2:14" x14ac:dyDescent="0.3">
      <c r="B24" t="s">
        <v>242</v>
      </c>
      <c r="C24" s="86">
        <v>710</v>
      </c>
      <c r="D24" s="86">
        <v>1011</v>
      </c>
      <c r="E24" s="86">
        <v>1149</v>
      </c>
      <c r="F24" s="86">
        <v>1241</v>
      </c>
      <c r="G24" s="86">
        <v>1401</v>
      </c>
      <c r="H24" s="86">
        <v>1430</v>
      </c>
      <c r="I24" s="86">
        <v>1626</v>
      </c>
      <c r="J24" s="86">
        <v>1890</v>
      </c>
      <c r="K24" s="86">
        <v>1956</v>
      </c>
      <c r="L24" s="86">
        <v>1984</v>
      </c>
      <c r="M24" s="86">
        <v>2084</v>
      </c>
      <c r="N24" s="86">
        <v>2029</v>
      </c>
    </row>
    <row r="25" spans="2:14" x14ac:dyDescent="0.3">
      <c r="B25" t="s">
        <v>243</v>
      </c>
      <c r="C25" s="86">
        <v>251</v>
      </c>
      <c r="D25" s="86">
        <v>270</v>
      </c>
      <c r="E25" s="86">
        <v>280</v>
      </c>
      <c r="F25" s="86">
        <v>280</v>
      </c>
      <c r="G25" s="86">
        <v>291</v>
      </c>
      <c r="H25" s="86">
        <v>353</v>
      </c>
      <c r="I25" s="86">
        <v>387</v>
      </c>
      <c r="J25" s="86">
        <v>601</v>
      </c>
      <c r="K25" s="86">
        <v>845</v>
      </c>
      <c r="L25" s="86">
        <v>725</v>
      </c>
      <c r="M25" s="86">
        <v>788</v>
      </c>
      <c r="N25" s="86">
        <v>956</v>
      </c>
    </row>
    <row r="26" spans="2:14" x14ac:dyDescent="0.3">
      <c r="B26" t="s">
        <v>244</v>
      </c>
      <c r="C26" s="86">
        <v>7423</v>
      </c>
      <c r="D26" s="86">
        <v>8994</v>
      </c>
      <c r="E26" s="86">
        <v>9580</v>
      </c>
      <c r="F26" s="86">
        <v>58951</v>
      </c>
      <c r="G26" s="86">
        <v>54932</v>
      </c>
      <c r="H26" s="86">
        <v>77870</v>
      </c>
      <c r="I26" s="86">
        <v>80480</v>
      </c>
      <c r="J26" s="86">
        <v>91157</v>
      </c>
      <c r="K26" s="86">
        <v>114809</v>
      </c>
      <c r="L26" s="86">
        <v>114323</v>
      </c>
      <c r="M26" s="86">
        <v>112538</v>
      </c>
      <c r="N26" s="86">
        <v>116714</v>
      </c>
    </row>
    <row r="27" spans="2:14" x14ac:dyDescent="0.3">
      <c r="B27" t="s">
        <v>245</v>
      </c>
      <c r="C27" s="86">
        <v>24161</v>
      </c>
      <c r="D27" s="86">
        <v>33694</v>
      </c>
      <c r="E27" s="86">
        <v>45196</v>
      </c>
      <c r="F27" s="86">
        <v>6746</v>
      </c>
      <c r="G27" s="86">
        <v>6219</v>
      </c>
      <c r="H27" s="86">
        <v>7497</v>
      </c>
      <c r="I27" s="86">
        <v>8049</v>
      </c>
      <c r="J27" s="86">
        <v>9380</v>
      </c>
      <c r="K27" s="86">
        <v>10686</v>
      </c>
      <c r="L27" s="86">
        <v>10870</v>
      </c>
      <c r="M27" s="86">
        <v>11841</v>
      </c>
      <c r="N27" s="86">
        <v>10724</v>
      </c>
    </row>
    <row r="28" spans="2:14" x14ac:dyDescent="0.3">
      <c r="B28" s="1" t="s">
        <v>246</v>
      </c>
      <c r="C28" s="89">
        <v>107234</v>
      </c>
      <c r="D28" s="89">
        <v>137907</v>
      </c>
      <c r="E28" s="89">
        <v>162904</v>
      </c>
      <c r="F28" s="89">
        <v>168941</v>
      </c>
      <c r="G28" s="89">
        <v>163512</v>
      </c>
      <c r="H28" s="89">
        <v>213209</v>
      </c>
      <c r="I28" s="89">
        <v>232517</v>
      </c>
      <c r="J28" s="89">
        <v>270579</v>
      </c>
      <c r="K28" s="89">
        <v>313692</v>
      </c>
      <c r="L28" s="89">
        <v>324096</v>
      </c>
      <c r="M28" s="89">
        <v>331141</v>
      </c>
      <c r="N28" s="89">
        <v>334482</v>
      </c>
    </row>
    <row r="29" spans="2:14" x14ac:dyDescent="0.3">
      <c r="B29" s="1" t="s">
        <v>247</v>
      </c>
      <c r="C29" s="87">
        <v>51723</v>
      </c>
      <c r="D29" s="87">
        <v>68815</v>
      </c>
      <c r="E29" s="87">
        <v>74424</v>
      </c>
      <c r="F29" s="87">
        <v>61709</v>
      </c>
      <c r="G29" s="87">
        <v>67568</v>
      </c>
      <c r="H29" s="87">
        <v>91795</v>
      </c>
      <c r="I29" s="87">
        <v>121283</v>
      </c>
      <c r="J29" s="87">
        <v>143471</v>
      </c>
      <c r="K29" s="87">
        <v>174985</v>
      </c>
      <c r="L29" s="87">
        <v>185241</v>
      </c>
      <c r="M29" s="87">
        <v>199062</v>
      </c>
      <c r="N29" s="87">
        <v>213197</v>
      </c>
    </row>
    <row r="30" spans="2:14" x14ac:dyDescent="0.3">
      <c r="B30" s="90" t="s">
        <v>198</v>
      </c>
      <c r="C30" s="91">
        <f>C28-C29</f>
        <v>55511</v>
      </c>
      <c r="D30" s="91">
        <f t="shared" ref="D30:N30" si="0">D28-D29</f>
        <v>69092</v>
      </c>
      <c r="E30" s="91">
        <f t="shared" si="0"/>
        <v>88480</v>
      </c>
      <c r="F30" s="91">
        <f t="shared" si="0"/>
        <v>107232</v>
      </c>
      <c r="G30" s="91">
        <f t="shared" si="0"/>
        <v>95944</v>
      </c>
      <c r="H30" s="91">
        <f t="shared" si="0"/>
        <v>121414</v>
      </c>
      <c r="I30" s="91">
        <f t="shared" si="0"/>
        <v>111234</v>
      </c>
      <c r="J30" s="91">
        <f t="shared" si="0"/>
        <v>127108</v>
      </c>
      <c r="K30" s="91">
        <f t="shared" si="0"/>
        <v>138707</v>
      </c>
      <c r="L30" s="91">
        <f t="shared" si="0"/>
        <v>138855</v>
      </c>
      <c r="M30" s="91">
        <f t="shared" si="0"/>
        <v>132079</v>
      </c>
      <c r="N30" s="91">
        <f t="shared" si="0"/>
        <v>121285</v>
      </c>
    </row>
    <row r="31" spans="2:14" x14ac:dyDescent="0.3">
      <c r="B31" s="1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</row>
    <row r="32" spans="2:14" x14ac:dyDescent="0.3">
      <c r="B32" s="1" t="s">
        <v>248</v>
      </c>
      <c r="C32" s="92">
        <v>18454</v>
      </c>
      <c r="D32" s="92">
        <v>33263</v>
      </c>
      <c r="E32" s="92">
        <v>28640</v>
      </c>
      <c r="F32" s="92">
        <v>25919</v>
      </c>
      <c r="G32" s="92">
        <v>33699</v>
      </c>
      <c r="H32" s="92">
        <v>40034</v>
      </c>
      <c r="I32" s="92">
        <v>31884</v>
      </c>
      <c r="J32" s="92">
        <v>35622</v>
      </c>
      <c r="K32" s="92">
        <v>20964</v>
      </c>
      <c r="L32" s="92">
        <v>10251</v>
      </c>
      <c r="M32" s="92">
        <v>14274</v>
      </c>
      <c r="N32" s="92">
        <v>35698</v>
      </c>
    </row>
    <row r="33" spans="2:15" x14ac:dyDescent="0.3">
      <c r="B33" s="1" t="s">
        <v>145</v>
      </c>
      <c r="C33" s="92">
        <v>8765</v>
      </c>
      <c r="D33" s="92">
        <v>10687</v>
      </c>
      <c r="E33" s="92">
        <v>15337</v>
      </c>
      <c r="F33" s="92">
        <v>23767</v>
      </c>
      <c r="G33" s="92">
        <v>20338</v>
      </c>
      <c r="H33" s="92">
        <v>20813</v>
      </c>
      <c r="I33" s="92">
        <v>15771</v>
      </c>
      <c r="J33" s="92">
        <v>16308</v>
      </c>
      <c r="K33" s="92">
        <v>24620</v>
      </c>
      <c r="L33" s="92">
        <v>29380</v>
      </c>
      <c r="M33" s="92">
        <v>26379</v>
      </c>
      <c r="N33" s="92">
        <v>22971</v>
      </c>
    </row>
    <row r="34" spans="2:15" x14ac:dyDescent="0.3">
      <c r="B34" s="1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</row>
    <row r="35" spans="2:15" x14ac:dyDescent="0.3">
      <c r="B35" s="1" t="s">
        <v>249</v>
      </c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</row>
    <row r="36" spans="2:15" x14ac:dyDescent="0.3">
      <c r="B36" t="s">
        <v>250</v>
      </c>
      <c r="C36" s="92">
        <v>21037</v>
      </c>
      <c r="D36" s="92">
        <v>27271</v>
      </c>
      <c r="E36" s="92">
        <v>29272</v>
      </c>
      <c r="F36" s="92">
        <v>32656</v>
      </c>
      <c r="G36" s="92">
        <v>35085</v>
      </c>
      <c r="H36" s="92">
        <v>42138</v>
      </c>
      <c r="I36" s="92">
        <v>39014</v>
      </c>
      <c r="J36" s="92">
        <v>37457</v>
      </c>
      <c r="K36" s="92">
        <v>36089</v>
      </c>
      <c r="L36" s="92">
        <v>35240</v>
      </c>
      <c r="M36" s="92">
        <v>40755</v>
      </c>
      <c r="N36" s="92">
        <v>47788</v>
      </c>
    </row>
    <row r="37" spans="2:15" x14ac:dyDescent="0.3">
      <c r="B37" t="s">
        <v>251</v>
      </c>
      <c r="C37" s="92">
        <v>10960</v>
      </c>
      <c r="D37" s="92">
        <v>10574</v>
      </c>
      <c r="E37" s="92">
        <v>12579</v>
      </c>
      <c r="F37" s="92">
        <v>13571</v>
      </c>
      <c r="G37" s="92">
        <v>14076</v>
      </c>
      <c r="H37" s="92">
        <v>19893</v>
      </c>
      <c r="I37" s="92">
        <v>18996</v>
      </c>
      <c r="J37" s="92">
        <v>11173</v>
      </c>
      <c r="K37" s="92">
        <v>12679</v>
      </c>
      <c r="L37" s="92">
        <v>12442</v>
      </c>
      <c r="M37" s="92">
        <v>15738</v>
      </c>
      <c r="N37" s="92">
        <v>16952</v>
      </c>
    </row>
    <row r="38" spans="2:15" x14ac:dyDescent="0.3">
      <c r="B38" t="s">
        <v>252</v>
      </c>
      <c r="C38" s="92">
        <v>21115</v>
      </c>
      <c r="D38" s="92">
        <v>29712</v>
      </c>
      <c r="E38" s="92">
        <v>32116</v>
      </c>
      <c r="F38" s="92">
        <v>30460</v>
      </c>
      <c r="G38" s="92">
        <v>36078</v>
      </c>
      <c r="H38" s="92">
        <v>34614</v>
      </c>
      <c r="I38" s="92">
        <v>32649</v>
      </c>
      <c r="J38" s="92">
        <v>33727</v>
      </c>
      <c r="K38" s="92">
        <v>46792</v>
      </c>
      <c r="L38" s="92">
        <v>40669</v>
      </c>
      <c r="M38" s="92">
        <v>37016</v>
      </c>
      <c r="N38" s="92">
        <v>45807</v>
      </c>
    </row>
    <row r="39" spans="2:15" x14ac:dyDescent="0.3">
      <c r="B39" t="s">
        <v>253</v>
      </c>
      <c r="C39" s="92">
        <v>7041</v>
      </c>
      <c r="D39" s="92">
        <v>9344</v>
      </c>
      <c r="E39" s="92">
        <v>6190</v>
      </c>
      <c r="F39" s="92">
        <v>0</v>
      </c>
      <c r="G39" s="92">
        <v>0</v>
      </c>
      <c r="H39" s="92">
        <v>966</v>
      </c>
      <c r="I39" s="92">
        <v>974</v>
      </c>
      <c r="J39" s="92">
        <v>39</v>
      </c>
      <c r="K39" s="92">
        <v>142</v>
      </c>
      <c r="L39" s="92">
        <v>47</v>
      </c>
      <c r="M39" s="92">
        <v>119</v>
      </c>
      <c r="N39" s="92">
        <v>168</v>
      </c>
    </row>
    <row r="40" spans="2:15" x14ac:dyDescent="0.3">
      <c r="B40" t="s">
        <v>254</v>
      </c>
      <c r="C40" s="93">
        <v>25448</v>
      </c>
      <c r="D40" s="93">
        <v>28484</v>
      </c>
      <c r="E40" s="93">
        <v>24701</v>
      </c>
      <c r="F40" s="93">
        <v>29579</v>
      </c>
      <c r="G40" s="93">
        <v>37361</v>
      </c>
      <c r="H40" s="93">
        <v>47321</v>
      </c>
      <c r="I40" s="93">
        <v>55182</v>
      </c>
      <c r="J40" s="93">
        <v>58746</v>
      </c>
      <c r="K40" s="93">
        <v>61576</v>
      </c>
      <c r="L40" s="93">
        <v>62177</v>
      </c>
      <c r="M40" s="93">
        <v>68313</v>
      </c>
      <c r="N40" s="93">
        <v>78851</v>
      </c>
    </row>
    <row r="41" spans="2:15" x14ac:dyDescent="0.3">
      <c r="B41" s="94" t="s">
        <v>152</v>
      </c>
      <c r="C41" s="95">
        <v>168330</v>
      </c>
      <c r="D41" s="95">
        <v>218426</v>
      </c>
      <c r="E41" s="95">
        <v>237315</v>
      </c>
      <c r="F41" s="95">
        <v>263184</v>
      </c>
      <c r="G41" s="95">
        <v>272580</v>
      </c>
      <c r="H41" s="95">
        <v>327192</v>
      </c>
      <c r="I41" s="95">
        <v>305703</v>
      </c>
      <c r="J41" s="95">
        <v>320179</v>
      </c>
      <c r="K41" s="95">
        <v>341570</v>
      </c>
      <c r="L41" s="95">
        <v>329061</v>
      </c>
      <c r="M41" s="95">
        <v>334674</v>
      </c>
      <c r="N41" s="95">
        <v>369521</v>
      </c>
    </row>
    <row r="45" spans="2:15" x14ac:dyDescent="0.3"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</row>
    <row r="46" spans="2:15" x14ac:dyDescent="0.3">
      <c r="B46" s="1" t="s">
        <v>268</v>
      </c>
      <c r="C46" s="102">
        <v>22163</v>
      </c>
      <c r="D46" s="102">
        <v>36151</v>
      </c>
      <c r="E46" s="102">
        <v>35531</v>
      </c>
      <c r="F46" s="102">
        <v>37900</v>
      </c>
      <c r="G46" s="102">
        <v>30199</v>
      </c>
      <c r="H46" s="102">
        <v>23857</v>
      </c>
      <c r="I46" s="102">
        <v>18891</v>
      </c>
      <c r="J46" s="102">
        <v>26633</v>
      </c>
      <c r="K46" s="102">
        <v>29001</v>
      </c>
      <c r="L46" s="102">
        <v>14283</v>
      </c>
      <c r="M46" s="102">
        <v>35388</v>
      </c>
      <c r="N46" s="102">
        <v>67915</v>
      </c>
      <c r="O46" s="81"/>
    </row>
    <row r="47" spans="2:15" x14ac:dyDescent="0.3">
      <c r="B47" t="s">
        <v>156</v>
      </c>
      <c r="C47" s="102">
        <v>24406</v>
      </c>
      <c r="D47" s="102">
        <v>36303</v>
      </c>
      <c r="E47" s="102">
        <v>43397</v>
      </c>
      <c r="F47" s="102">
        <v>38626</v>
      </c>
      <c r="G47" s="102">
        <v>28840</v>
      </c>
      <c r="H47" s="102">
        <v>33312</v>
      </c>
      <c r="I47" s="102">
        <v>28771</v>
      </c>
      <c r="J47" s="102">
        <v>23352</v>
      </c>
      <c r="K47" s="102">
        <v>31198</v>
      </c>
      <c r="L47" s="102">
        <v>26943</v>
      </c>
      <c r="M47" s="102">
        <v>41694</v>
      </c>
      <c r="N47" s="102">
        <v>65106</v>
      </c>
    </row>
    <row r="48" spans="2:15" x14ac:dyDescent="0.3">
      <c r="B48" t="s">
        <v>148</v>
      </c>
      <c r="C48" s="102">
        <v>-5177</v>
      </c>
      <c r="D48" s="103">
        <v>445</v>
      </c>
      <c r="E48" s="102">
        <v>-3179</v>
      </c>
      <c r="F48" s="102">
        <v>-2223</v>
      </c>
      <c r="G48" s="102">
        <v>-4152</v>
      </c>
      <c r="H48" s="102">
        <v>-10688</v>
      </c>
      <c r="I48" s="102">
        <v>-9109</v>
      </c>
      <c r="J48" s="102">
        <v>9950</v>
      </c>
      <c r="K48" s="102">
        <v>-5505</v>
      </c>
      <c r="L48" s="103">
        <v>185</v>
      </c>
      <c r="M48" s="102">
        <v>-2213</v>
      </c>
      <c r="N48" s="102">
        <v>-1875</v>
      </c>
    </row>
    <row r="49" spans="2:14" x14ac:dyDescent="0.3">
      <c r="B49" t="s">
        <v>149</v>
      </c>
      <c r="C49" s="102">
        <v>-2656</v>
      </c>
      <c r="D49" s="102">
        <v>-2853</v>
      </c>
      <c r="E49" s="102">
        <v>-3692</v>
      </c>
      <c r="F49" s="102">
        <v>-5743</v>
      </c>
      <c r="G49" s="102">
        <v>-6621</v>
      </c>
      <c r="H49" s="102">
        <v>-3560</v>
      </c>
      <c r="I49" s="102">
        <v>2069</v>
      </c>
      <c r="J49" s="102">
        <v>2326</v>
      </c>
      <c r="K49" s="102">
        <v>3814</v>
      </c>
      <c r="L49" s="103">
        <v>472</v>
      </c>
      <c r="M49" s="102">
        <v>-5665</v>
      </c>
      <c r="N49" s="102">
        <v>-7265</v>
      </c>
    </row>
    <row r="50" spans="2:14" x14ac:dyDescent="0.3">
      <c r="B50" t="s">
        <v>157</v>
      </c>
      <c r="C50" s="102">
        <v>8132</v>
      </c>
      <c r="D50" s="102">
        <v>4694</v>
      </c>
      <c r="E50" s="102">
        <v>3598</v>
      </c>
      <c r="F50" s="102">
        <v>3947</v>
      </c>
      <c r="G50" s="102">
        <v>9301</v>
      </c>
      <c r="H50" s="102">
        <v>7320</v>
      </c>
      <c r="I50" s="102">
        <v>-4692</v>
      </c>
      <c r="J50" s="102">
        <v>-8085</v>
      </c>
      <c r="K50" s="102">
        <v>5748</v>
      </c>
      <c r="L50" s="102">
        <v>-7012</v>
      </c>
      <c r="M50" s="102">
        <v>6945</v>
      </c>
      <c r="N50" s="102">
        <v>13706</v>
      </c>
    </row>
    <row r="51" spans="2:14" x14ac:dyDescent="0.3">
      <c r="B51" t="s">
        <v>158</v>
      </c>
      <c r="C51" s="103">
        <v>0</v>
      </c>
      <c r="D51" s="103">
        <v>0</v>
      </c>
      <c r="E51" s="103">
        <v>0</v>
      </c>
      <c r="F51" s="103">
        <v>-520</v>
      </c>
      <c r="G51" s="103">
        <v>0</v>
      </c>
      <c r="H51" s="103">
        <v>0</v>
      </c>
      <c r="I51" s="103">
        <v>0</v>
      </c>
      <c r="J51" s="103">
        <v>0</v>
      </c>
      <c r="K51" s="103">
        <v>0</v>
      </c>
      <c r="L51" s="103">
        <v>0</v>
      </c>
      <c r="M51" s="103">
        <v>0</v>
      </c>
      <c r="N51" s="103">
        <v>0</v>
      </c>
    </row>
    <row r="52" spans="2:14" x14ac:dyDescent="0.3">
      <c r="B52" t="s">
        <v>159</v>
      </c>
      <c r="C52" s="103">
        <v>-303</v>
      </c>
      <c r="D52" s="102">
        <v>1870</v>
      </c>
      <c r="E52" s="103">
        <v>-398</v>
      </c>
      <c r="F52" s="102">
        <v>5852</v>
      </c>
      <c r="G52" s="102">
        <v>4727</v>
      </c>
      <c r="H52" s="103">
        <v>494</v>
      </c>
      <c r="I52" s="102">
        <v>4512</v>
      </c>
      <c r="J52" s="103">
        <v>875</v>
      </c>
      <c r="K52" s="102">
        <v>-4150</v>
      </c>
      <c r="L52" s="102">
        <v>-4396</v>
      </c>
      <c r="M52" s="102">
        <v>-2194</v>
      </c>
      <c r="N52" s="102">
        <v>2760</v>
      </c>
    </row>
    <row r="53" spans="2:14" x14ac:dyDescent="0.3">
      <c r="B53" t="s">
        <v>160</v>
      </c>
      <c r="C53" s="103">
        <v>-3</v>
      </c>
      <c r="D53" s="102">
        <v>4157</v>
      </c>
      <c r="E53" s="102">
        <v>-3672</v>
      </c>
      <c r="F53" s="102">
        <v>1313</v>
      </c>
      <c r="G53" s="102">
        <v>3254</v>
      </c>
      <c r="H53" s="102">
        <v>-6434</v>
      </c>
      <c r="I53" s="102">
        <v>-7221</v>
      </c>
      <c r="J53" s="102">
        <v>5065</v>
      </c>
      <c r="K53" s="103">
        <v>-93</v>
      </c>
      <c r="L53" s="102">
        <v>-10750</v>
      </c>
      <c r="M53" s="102">
        <v>-3127</v>
      </c>
      <c r="N53" s="102">
        <v>7325</v>
      </c>
    </row>
    <row r="54" spans="2:14" x14ac:dyDescent="0.3">
      <c r="B54" t="s">
        <v>161</v>
      </c>
      <c r="C54" s="102">
        <v>-2240</v>
      </c>
      <c r="D54" s="102">
        <v>-4308</v>
      </c>
      <c r="E54" s="102">
        <v>-4194</v>
      </c>
      <c r="F54" s="102">
        <v>-2040</v>
      </c>
      <c r="G54" s="102">
        <v>-1895</v>
      </c>
      <c r="H54" s="102">
        <v>-3021</v>
      </c>
      <c r="I54" s="102">
        <v>-2659</v>
      </c>
      <c r="J54" s="102">
        <v>-1785</v>
      </c>
      <c r="K54" s="102">
        <v>-2105</v>
      </c>
      <c r="L54" s="102">
        <v>-1910</v>
      </c>
      <c r="M54" s="102">
        <v>-3179</v>
      </c>
      <c r="N54" s="102">
        <v>-4516</v>
      </c>
    </row>
    <row r="55" spans="2:14" x14ac:dyDescent="0.3"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</row>
    <row r="56" spans="2:14" x14ac:dyDescent="0.3">
      <c r="B56" s="1" t="s">
        <v>269</v>
      </c>
      <c r="C56" s="102">
        <v>-22969</v>
      </c>
      <c r="D56" s="102">
        <v>-27991</v>
      </c>
      <c r="E56" s="102">
        <v>-36232</v>
      </c>
      <c r="F56" s="102">
        <v>-36694</v>
      </c>
      <c r="G56" s="102">
        <v>-39571</v>
      </c>
      <c r="H56" s="102">
        <v>-25139</v>
      </c>
      <c r="I56" s="102">
        <v>-20878</v>
      </c>
      <c r="J56" s="102">
        <v>-33115</v>
      </c>
      <c r="K56" s="102">
        <v>-25672</v>
      </c>
      <c r="L56" s="102">
        <v>-4444</v>
      </c>
      <c r="M56" s="102">
        <v>-15417</v>
      </c>
      <c r="N56" s="102">
        <v>-22782</v>
      </c>
    </row>
    <row r="57" spans="2:14" x14ac:dyDescent="0.3">
      <c r="B57" t="s">
        <v>164</v>
      </c>
      <c r="C57" s="102">
        <v>-18863</v>
      </c>
      <c r="D57" s="102">
        <v>-26975</v>
      </c>
      <c r="E57" s="102">
        <v>-31962</v>
      </c>
      <c r="F57" s="102">
        <v>-31503</v>
      </c>
      <c r="G57" s="102">
        <v>-16072</v>
      </c>
      <c r="H57" s="102">
        <v>-35079</v>
      </c>
      <c r="I57" s="102">
        <v>-35304</v>
      </c>
      <c r="J57" s="102">
        <v>-29702</v>
      </c>
      <c r="K57" s="102">
        <v>-20205</v>
      </c>
      <c r="L57" s="102">
        <v>-15168</v>
      </c>
      <c r="M57" s="102">
        <v>-19230</v>
      </c>
      <c r="N57" s="102">
        <v>-31414</v>
      </c>
    </row>
    <row r="58" spans="2:14" x14ac:dyDescent="0.3">
      <c r="B58" t="s">
        <v>165</v>
      </c>
      <c r="C58" s="103">
        <v>37</v>
      </c>
      <c r="D58" s="103">
        <v>50</v>
      </c>
      <c r="E58" s="103">
        <v>74</v>
      </c>
      <c r="F58" s="103">
        <v>59</v>
      </c>
      <c r="G58" s="103">
        <v>53</v>
      </c>
      <c r="H58" s="103">
        <v>30</v>
      </c>
      <c r="I58" s="103">
        <v>67</v>
      </c>
      <c r="J58" s="103">
        <v>171</v>
      </c>
      <c r="K58" s="103">
        <v>351</v>
      </c>
      <c r="L58" s="103">
        <v>230</v>
      </c>
      <c r="M58" s="103">
        <v>285</v>
      </c>
      <c r="N58" s="103">
        <v>231</v>
      </c>
    </row>
    <row r="59" spans="2:14" x14ac:dyDescent="0.3">
      <c r="B59" t="s">
        <v>166</v>
      </c>
      <c r="C59" s="103">
        <v>73</v>
      </c>
      <c r="D59" s="103">
        <v>-429</v>
      </c>
      <c r="E59" s="102">
        <v>-5461</v>
      </c>
      <c r="F59" s="102">
        <v>-4728</v>
      </c>
      <c r="G59" s="103">
        <v>-6</v>
      </c>
      <c r="H59" s="103">
        <v>-329</v>
      </c>
      <c r="I59" s="103">
        <v>-130</v>
      </c>
      <c r="J59" s="102">
        <v>-1439</v>
      </c>
      <c r="K59" s="102">
        <v>-7530</v>
      </c>
      <c r="L59" s="102">
        <v>-3008</v>
      </c>
      <c r="M59" s="103">
        <v>-50</v>
      </c>
      <c r="N59" s="103">
        <v>-74</v>
      </c>
    </row>
    <row r="60" spans="2:14" x14ac:dyDescent="0.3">
      <c r="B60" t="s">
        <v>167</v>
      </c>
      <c r="C60" s="103">
        <v>34</v>
      </c>
      <c r="D60" s="103">
        <v>4</v>
      </c>
      <c r="E60" s="103">
        <v>42</v>
      </c>
      <c r="F60" s="103">
        <v>89</v>
      </c>
      <c r="G60" s="102">
        <v>1965</v>
      </c>
      <c r="H60" s="102">
        <v>2381</v>
      </c>
      <c r="I60" s="102">
        <v>5644</v>
      </c>
      <c r="J60" s="103">
        <v>21</v>
      </c>
      <c r="K60" s="103">
        <v>226</v>
      </c>
      <c r="L60" s="103">
        <v>104</v>
      </c>
      <c r="M60" s="102">
        <v>6895</v>
      </c>
      <c r="N60" s="102">
        <v>10820</v>
      </c>
    </row>
    <row r="61" spans="2:14" x14ac:dyDescent="0.3">
      <c r="B61" t="s">
        <v>168</v>
      </c>
      <c r="C61" s="103">
        <v>713</v>
      </c>
      <c r="D61" s="103">
        <v>653</v>
      </c>
      <c r="E61" s="103">
        <v>698</v>
      </c>
      <c r="F61" s="103">
        <v>731</v>
      </c>
      <c r="G61" s="103">
        <v>638</v>
      </c>
      <c r="H61" s="103">
        <v>690</v>
      </c>
      <c r="I61" s="103">
        <v>761</v>
      </c>
      <c r="J61" s="102">
        <v>1104</v>
      </c>
      <c r="K61" s="103">
        <v>428</v>
      </c>
      <c r="L61" s="103">
        <v>653</v>
      </c>
      <c r="M61" s="103">
        <v>973</v>
      </c>
      <c r="N61" s="102">
        <v>2493</v>
      </c>
    </row>
    <row r="62" spans="2:14" x14ac:dyDescent="0.3">
      <c r="B62" t="s">
        <v>169</v>
      </c>
      <c r="C62" s="103">
        <v>95</v>
      </c>
      <c r="D62" s="103">
        <v>40</v>
      </c>
      <c r="E62" s="103">
        <v>80</v>
      </c>
      <c r="F62" s="103">
        <v>58</v>
      </c>
      <c r="G62" s="103">
        <v>620</v>
      </c>
      <c r="H62" s="102">
        <v>1797</v>
      </c>
      <c r="I62" s="103">
        <v>232</v>
      </c>
      <c r="J62" s="103">
        <v>21</v>
      </c>
      <c r="K62" s="103">
        <v>18</v>
      </c>
      <c r="L62" s="103">
        <v>32</v>
      </c>
      <c r="M62" s="103">
        <v>46</v>
      </c>
      <c r="N62" s="103">
        <v>47</v>
      </c>
    </row>
    <row r="63" spans="2:14" x14ac:dyDescent="0.3">
      <c r="B63" t="s">
        <v>170</v>
      </c>
      <c r="C63" s="103">
        <v>0</v>
      </c>
      <c r="D63" s="103">
        <v>0</v>
      </c>
      <c r="E63" s="103">
        <v>-160</v>
      </c>
      <c r="F63" s="103">
        <v>0</v>
      </c>
      <c r="G63" s="103">
        <v>-107</v>
      </c>
      <c r="H63" s="103">
        <v>-4</v>
      </c>
      <c r="I63" s="103">
        <v>-9</v>
      </c>
      <c r="J63" s="103">
        <v>-606</v>
      </c>
      <c r="K63" s="103">
        <v>-10</v>
      </c>
      <c r="L63" s="103">
        <v>0</v>
      </c>
      <c r="M63" s="103">
        <v>0</v>
      </c>
      <c r="N63" s="103">
        <v>-150</v>
      </c>
    </row>
    <row r="64" spans="2:14" x14ac:dyDescent="0.3">
      <c r="B64" t="s">
        <v>171</v>
      </c>
      <c r="C64" s="103">
        <v>0</v>
      </c>
      <c r="D64" s="103">
        <v>0</v>
      </c>
      <c r="E64" s="103">
        <v>0</v>
      </c>
      <c r="F64" s="103">
        <v>0</v>
      </c>
      <c r="G64" s="103">
        <v>0</v>
      </c>
      <c r="H64" s="103">
        <v>14</v>
      </c>
      <c r="I64" s="103">
        <v>533</v>
      </c>
      <c r="J64" s="103">
        <v>0</v>
      </c>
      <c r="K64" s="103">
        <v>0</v>
      </c>
      <c r="L64" s="103">
        <v>0</v>
      </c>
      <c r="M64" s="103">
        <v>19</v>
      </c>
      <c r="N64" s="103">
        <v>108</v>
      </c>
    </row>
    <row r="65" spans="2:14" x14ac:dyDescent="0.3">
      <c r="B65" t="s">
        <v>172</v>
      </c>
      <c r="C65" s="103">
        <v>0</v>
      </c>
      <c r="D65" s="103">
        <v>-185</v>
      </c>
      <c r="E65" s="103">
        <v>0</v>
      </c>
      <c r="F65" s="103">
        <v>-111</v>
      </c>
      <c r="G65" s="103">
        <v>0</v>
      </c>
      <c r="H65" s="103">
        <v>0</v>
      </c>
      <c r="I65" s="103">
        <v>-8</v>
      </c>
      <c r="J65" s="103">
        <v>-27</v>
      </c>
      <c r="K65" s="103">
        <v>0</v>
      </c>
      <c r="L65" s="103">
        <v>-98</v>
      </c>
      <c r="M65" s="103">
        <v>0</v>
      </c>
      <c r="N65" s="103">
        <v>0</v>
      </c>
    </row>
    <row r="66" spans="2:14" x14ac:dyDescent="0.3">
      <c r="B66" t="s">
        <v>173</v>
      </c>
      <c r="C66" s="103">
        <v>45</v>
      </c>
      <c r="D66" s="103">
        <v>0</v>
      </c>
      <c r="E66" s="103">
        <v>0</v>
      </c>
      <c r="F66" s="103">
        <v>0</v>
      </c>
      <c r="G66" s="103">
        <v>0</v>
      </c>
      <c r="H66" s="103">
        <v>0</v>
      </c>
      <c r="I66" s="103">
        <v>0</v>
      </c>
      <c r="J66" s="103">
        <v>0</v>
      </c>
      <c r="K66" s="103">
        <v>0</v>
      </c>
      <c r="L66" s="103">
        <v>0</v>
      </c>
      <c r="M66" s="103">
        <v>0</v>
      </c>
      <c r="N66" s="103">
        <v>-24</v>
      </c>
    </row>
    <row r="67" spans="2:14" x14ac:dyDescent="0.3">
      <c r="B67" t="s">
        <v>174</v>
      </c>
      <c r="C67" s="102">
        <v>-5103</v>
      </c>
      <c r="D67" s="102">
        <v>-1149</v>
      </c>
      <c r="E67" s="103">
        <v>456</v>
      </c>
      <c r="F67" s="102">
        <v>-1289</v>
      </c>
      <c r="G67" s="102">
        <v>-26663</v>
      </c>
      <c r="H67" s="102">
        <v>5360</v>
      </c>
      <c r="I67" s="102">
        <v>7335</v>
      </c>
      <c r="J67" s="102">
        <v>-2659</v>
      </c>
      <c r="K67" s="102">
        <v>1051</v>
      </c>
      <c r="L67" s="102">
        <v>12813</v>
      </c>
      <c r="M67" s="102">
        <v>-4357</v>
      </c>
      <c r="N67" s="102">
        <v>-4817</v>
      </c>
    </row>
    <row r="68" spans="2:14" x14ac:dyDescent="0.3">
      <c r="C68" s="81"/>
      <c r="D68" s="81"/>
      <c r="F68" s="81"/>
      <c r="G68" s="81"/>
      <c r="H68" s="81"/>
      <c r="I68" s="81"/>
      <c r="J68" s="81"/>
      <c r="K68" s="81"/>
      <c r="L68" s="81"/>
      <c r="M68" s="81"/>
      <c r="N68" s="81"/>
    </row>
    <row r="69" spans="2:14" x14ac:dyDescent="0.3">
      <c r="B69" s="1" t="s">
        <v>270</v>
      </c>
      <c r="C69" s="102">
        <v>-1692</v>
      </c>
      <c r="D69" s="102">
        <v>-3883</v>
      </c>
      <c r="E69" s="102">
        <v>5201</v>
      </c>
      <c r="F69" s="102">
        <v>-3795</v>
      </c>
      <c r="G69" s="102">
        <v>6205</v>
      </c>
      <c r="H69" s="102">
        <v>2012</v>
      </c>
      <c r="I69" s="102">
        <v>8830</v>
      </c>
      <c r="J69" s="102">
        <v>3390</v>
      </c>
      <c r="K69" s="102">
        <v>9904</v>
      </c>
      <c r="L69" s="102">
        <v>-3380</v>
      </c>
      <c r="M69" s="102">
        <v>-26243</v>
      </c>
      <c r="N69" s="102">
        <v>-37006</v>
      </c>
    </row>
    <row r="70" spans="2:14" x14ac:dyDescent="0.3">
      <c r="B70" t="s">
        <v>177</v>
      </c>
      <c r="C70" s="103">
        <v>1</v>
      </c>
      <c r="D70" s="103">
        <v>0</v>
      </c>
      <c r="E70" s="103">
        <v>0</v>
      </c>
      <c r="F70" s="102">
        <v>7433</v>
      </c>
      <c r="G70" s="103">
        <v>5</v>
      </c>
      <c r="H70" s="103">
        <v>0</v>
      </c>
      <c r="I70" s="103">
        <v>0</v>
      </c>
      <c r="J70" s="102">
        <v>3889</v>
      </c>
      <c r="K70" s="102">
        <v>2603</v>
      </c>
      <c r="L70" s="103">
        <v>19</v>
      </c>
      <c r="M70" s="103">
        <v>20</v>
      </c>
      <c r="N70" s="103">
        <v>82</v>
      </c>
    </row>
    <row r="71" spans="2:14" x14ac:dyDescent="0.3">
      <c r="B71" t="s">
        <v>178</v>
      </c>
      <c r="C71" s="103">
        <v>-97</v>
      </c>
      <c r="D71" s="103">
        <v>-658</v>
      </c>
      <c r="E71" s="103">
        <v>-744</v>
      </c>
      <c r="F71" s="103">
        <v>0</v>
      </c>
      <c r="G71" s="103">
        <v>0</v>
      </c>
      <c r="H71" s="103">
        <v>0</v>
      </c>
      <c r="I71" s="103">
        <v>0</v>
      </c>
      <c r="J71" s="103">
        <v>0</v>
      </c>
      <c r="K71" s="103">
        <v>0</v>
      </c>
      <c r="L71" s="103">
        <v>0</v>
      </c>
      <c r="M71" s="103">
        <v>0</v>
      </c>
      <c r="N71" s="103">
        <v>0</v>
      </c>
    </row>
    <row r="72" spans="2:14" x14ac:dyDescent="0.3">
      <c r="B72" t="s">
        <v>179</v>
      </c>
      <c r="C72" s="102">
        <v>27863</v>
      </c>
      <c r="D72" s="102">
        <v>33258</v>
      </c>
      <c r="E72" s="102">
        <v>36363</v>
      </c>
      <c r="F72" s="102">
        <v>19519</v>
      </c>
      <c r="G72" s="102">
        <v>33390</v>
      </c>
      <c r="H72" s="102">
        <v>37482</v>
      </c>
      <c r="I72" s="102">
        <v>51128</v>
      </c>
      <c r="J72" s="102">
        <v>38297</v>
      </c>
      <c r="K72" s="102">
        <v>46641</v>
      </c>
      <c r="L72" s="102">
        <v>46578</v>
      </c>
      <c r="M72" s="102">
        <v>43934</v>
      </c>
      <c r="N72" s="102">
        <v>18747</v>
      </c>
    </row>
    <row r="73" spans="2:14" x14ac:dyDescent="0.3">
      <c r="B73" t="s">
        <v>180</v>
      </c>
      <c r="C73" s="102">
        <v>-20395</v>
      </c>
      <c r="D73" s="102">
        <v>-29141</v>
      </c>
      <c r="E73" s="102">
        <v>-23332</v>
      </c>
      <c r="F73" s="102">
        <v>-24924</v>
      </c>
      <c r="G73" s="102">
        <v>-21732</v>
      </c>
      <c r="H73" s="102">
        <v>-29964</v>
      </c>
      <c r="I73" s="102">
        <v>-35198</v>
      </c>
      <c r="J73" s="102">
        <v>-29847</v>
      </c>
      <c r="K73" s="102">
        <v>-29709</v>
      </c>
      <c r="L73" s="102">
        <v>-42816</v>
      </c>
      <c r="M73" s="102">
        <v>-62557</v>
      </c>
      <c r="N73" s="102">
        <v>-47332</v>
      </c>
    </row>
    <row r="74" spans="2:14" x14ac:dyDescent="0.3">
      <c r="B74" t="s">
        <v>181</v>
      </c>
      <c r="C74" s="102">
        <v>-4666</v>
      </c>
      <c r="D74" s="102">
        <v>-6171</v>
      </c>
      <c r="E74" s="102">
        <v>-6307</v>
      </c>
      <c r="F74" s="102">
        <v>-5716</v>
      </c>
      <c r="G74" s="102">
        <v>-5336</v>
      </c>
      <c r="H74" s="102">
        <v>-5411</v>
      </c>
      <c r="I74" s="102">
        <v>-7005</v>
      </c>
      <c r="J74" s="102">
        <v>-7518</v>
      </c>
      <c r="K74" s="102">
        <v>-8123</v>
      </c>
      <c r="L74" s="102">
        <v>-9251</v>
      </c>
      <c r="M74" s="102">
        <v>-9336</v>
      </c>
      <c r="N74" s="102">
        <v>-9332</v>
      </c>
    </row>
    <row r="75" spans="2:14" x14ac:dyDescent="0.3">
      <c r="B75" t="s">
        <v>182</v>
      </c>
      <c r="C75" s="102">
        <v>-1551</v>
      </c>
      <c r="D75" s="103">
        <v>-722</v>
      </c>
      <c r="E75" s="103">
        <v>-720</v>
      </c>
      <c r="F75" s="103">
        <v>-108</v>
      </c>
      <c r="G75" s="103">
        <v>-121</v>
      </c>
      <c r="H75" s="103">
        <v>-96</v>
      </c>
      <c r="I75" s="103">
        <v>-95</v>
      </c>
      <c r="J75" s="103">
        <v>-57</v>
      </c>
      <c r="K75" s="103">
        <v>-30</v>
      </c>
      <c r="L75" s="103">
        <v>-100</v>
      </c>
      <c r="M75" s="103">
        <v>-141</v>
      </c>
      <c r="N75" s="102">
        <v>-1059</v>
      </c>
    </row>
    <row r="76" spans="2:14" x14ac:dyDescent="0.3">
      <c r="B76" t="s">
        <v>183</v>
      </c>
      <c r="C76" s="103">
        <v>0</v>
      </c>
      <c r="D76" s="103">
        <v>0</v>
      </c>
      <c r="E76" s="103">
        <v>0</v>
      </c>
      <c r="F76" s="103">
        <v>0</v>
      </c>
      <c r="G76" s="103">
        <v>0</v>
      </c>
      <c r="H76" s="103">
        <v>0</v>
      </c>
      <c r="I76" s="103">
        <v>0</v>
      </c>
      <c r="J76" s="102">
        <v>-1346</v>
      </c>
      <c r="K76" s="102">
        <v>-1477</v>
      </c>
      <c r="L76" s="102">
        <v>-1559</v>
      </c>
      <c r="M76" s="102">
        <v>-1517</v>
      </c>
      <c r="N76" s="102">
        <v>-1924</v>
      </c>
    </row>
    <row r="77" spans="2:14" x14ac:dyDescent="0.3">
      <c r="B77" t="s">
        <v>184</v>
      </c>
      <c r="C77" s="102">
        <v>-2849</v>
      </c>
      <c r="D77" s="103">
        <v>-450</v>
      </c>
      <c r="E77" s="103">
        <v>-57</v>
      </c>
      <c r="F77" s="103">
        <v>0</v>
      </c>
      <c r="G77" s="103">
        <v>0</v>
      </c>
      <c r="H77" s="103">
        <v>0</v>
      </c>
      <c r="I77" s="103">
        <v>0</v>
      </c>
      <c r="J77" s="103">
        <v>-29</v>
      </c>
      <c r="K77" s="103">
        <v>0</v>
      </c>
      <c r="L77" s="102">
        <v>3750</v>
      </c>
      <c r="M77" s="102">
        <v>3355</v>
      </c>
      <c r="N77" s="102">
        <v>3812</v>
      </c>
    </row>
    <row r="78" spans="2:14" x14ac:dyDescent="0.3">
      <c r="C78" s="81"/>
      <c r="L78" s="81"/>
      <c r="M78" s="81"/>
      <c r="N78" s="81"/>
    </row>
    <row r="79" spans="2:14" s="98" customFormat="1" ht="15" thickBot="1" x14ac:dyDescent="0.35">
      <c r="B79" s="98" t="s">
        <v>186</v>
      </c>
      <c r="C79" s="101">
        <v>-2499</v>
      </c>
      <c r="D79" s="101">
        <v>4277</v>
      </c>
      <c r="E79" s="101">
        <v>4500</v>
      </c>
      <c r="F79" s="101">
        <v>-2589</v>
      </c>
      <c r="G79" s="101">
        <v>-3167</v>
      </c>
      <c r="H79" s="98">
        <v>730</v>
      </c>
      <c r="I79" s="101">
        <v>6843</v>
      </c>
      <c r="J79" s="101">
        <v>-3092</v>
      </c>
      <c r="K79" s="101">
        <v>13232</v>
      </c>
      <c r="L79" s="101">
        <v>6459</v>
      </c>
      <c r="M79" s="101">
        <v>-6272</v>
      </c>
      <c r="N79" s="101">
        <v>8128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857FB-DFD3-42E2-8CF3-87F692A6C009}">
  <dimension ref="A2:M105"/>
  <sheetViews>
    <sheetView showGridLines="0" workbookViewId="0">
      <pane ySplit="3" topLeftCell="A70" activePane="bottomLeft" state="frozen"/>
      <selection pane="bottomLeft" activeCell="E75" sqref="E75"/>
    </sheetView>
  </sheetViews>
  <sheetFormatPr defaultRowHeight="14.4" x14ac:dyDescent="0.3"/>
  <cols>
    <col min="1" max="1" width="1.88671875" customWidth="1"/>
    <col min="2" max="2" width="26.77734375" bestFit="1" customWidth="1"/>
    <col min="3" max="12" width="11.109375" bestFit="1" customWidth="1"/>
    <col min="13" max="13" width="10" bestFit="1" customWidth="1"/>
  </cols>
  <sheetData>
    <row r="2" spans="1:13" x14ac:dyDescent="0.3">
      <c r="B2" s="151" t="str">
        <f>"Historical Financial Statement- " &amp;'Data Sheet'!B1</f>
        <v>Historical Financial Statement- TATA MOTORS LTD</v>
      </c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</row>
    <row r="3" spans="1:13" x14ac:dyDescent="0.3">
      <c r="B3" s="57" t="s">
        <v>106</v>
      </c>
      <c r="C3" s="58">
        <f>'Data Sheet'!B16</f>
        <v>42094</v>
      </c>
      <c r="D3" s="58">
        <f>'Data Sheet'!C16</f>
        <v>42460</v>
      </c>
      <c r="E3" s="58">
        <f>'Data Sheet'!D16</f>
        <v>42825</v>
      </c>
      <c r="F3" s="58">
        <f>'Data Sheet'!E16</f>
        <v>43190</v>
      </c>
      <c r="G3" s="58">
        <f>'Data Sheet'!F16</f>
        <v>43555</v>
      </c>
      <c r="H3" s="58">
        <f>'Data Sheet'!G16</f>
        <v>43921</v>
      </c>
      <c r="I3" s="58">
        <f>'Data Sheet'!H16</f>
        <v>44286</v>
      </c>
      <c r="J3" s="58">
        <f>'Data Sheet'!I16</f>
        <v>44651</v>
      </c>
      <c r="K3" s="58">
        <f>'Data Sheet'!J16</f>
        <v>45016</v>
      </c>
      <c r="L3" s="58">
        <f>'Data Sheet'!K16</f>
        <v>45382</v>
      </c>
      <c r="M3" s="59" t="s">
        <v>107</v>
      </c>
    </row>
    <row r="4" spans="1:13" x14ac:dyDescent="0.3">
      <c r="A4" s="60"/>
      <c r="B4" s="61"/>
      <c r="C4" s="62"/>
      <c r="D4" s="62"/>
      <c r="E4" s="62"/>
      <c r="F4" s="62"/>
      <c r="G4" s="62"/>
      <c r="H4" s="62"/>
      <c r="I4" s="62"/>
      <c r="J4" s="62"/>
      <c r="K4" s="62"/>
      <c r="L4" s="62"/>
      <c r="M4" s="61"/>
    </row>
    <row r="5" spans="1:13" x14ac:dyDescent="0.3">
      <c r="A5" s="60" t="s">
        <v>108</v>
      </c>
      <c r="B5" s="63" t="s">
        <v>109</v>
      </c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</row>
    <row r="6" spans="1:13" x14ac:dyDescent="0.3">
      <c r="B6" t="s">
        <v>110</v>
      </c>
      <c r="C6" s="64">
        <f>IFERROR('Data Sheet'!B17,0)</f>
        <v>263158.98</v>
      </c>
      <c r="D6" s="64">
        <f>IFERROR('Data Sheet'!C17,0)</f>
        <v>273045.59999999998</v>
      </c>
      <c r="E6" s="64">
        <f>IFERROR('Data Sheet'!D17,0)</f>
        <v>269692.51</v>
      </c>
      <c r="F6" s="64">
        <f>IFERROR('Data Sheet'!E17,0)</f>
        <v>291550.48</v>
      </c>
      <c r="G6" s="64">
        <f>IFERROR('Data Sheet'!F17,0)</f>
        <v>301938.40000000002</v>
      </c>
      <c r="H6" s="64">
        <f>IFERROR('Data Sheet'!G17,0)</f>
        <v>261067.97</v>
      </c>
      <c r="I6" s="64">
        <f>IFERROR('Data Sheet'!H17,0)</f>
        <v>249794.75</v>
      </c>
      <c r="J6" s="64">
        <f>IFERROR('Data Sheet'!I17,0)</f>
        <v>278453.62</v>
      </c>
      <c r="K6" s="64">
        <f>IFERROR('Data Sheet'!J17,0)</f>
        <v>345966.97</v>
      </c>
      <c r="L6" s="64">
        <f>IFERROR('Data Sheet'!K17,0)</f>
        <v>437927.77</v>
      </c>
      <c r="M6">
        <f>IFERROR(SUM('Data Sheet'!H42:K42),0)</f>
        <v>437927.77</v>
      </c>
    </row>
    <row r="7" spans="1:13" x14ac:dyDescent="0.3">
      <c r="A7" s="65"/>
      <c r="B7" s="65" t="s">
        <v>111</v>
      </c>
      <c r="C7" s="65" t="s">
        <v>112</v>
      </c>
      <c r="D7" s="66">
        <f>(D6/C6)-1</f>
        <v>3.75690010654397E-2</v>
      </c>
      <c r="E7" s="66">
        <f t="shared" ref="E7:M7" si="0">(E6/D6)-1</f>
        <v>-1.2280329732469508E-2</v>
      </c>
      <c r="F7" s="66">
        <f t="shared" si="0"/>
        <v>8.104774581985974E-2</v>
      </c>
      <c r="G7" s="66">
        <f t="shared" si="0"/>
        <v>3.5629919045237157E-2</v>
      </c>
      <c r="H7" s="66">
        <f t="shared" si="0"/>
        <v>-0.135360159555724</v>
      </c>
      <c r="I7" s="66">
        <f t="shared" si="0"/>
        <v>-4.3181168490336042E-2</v>
      </c>
      <c r="J7" s="66">
        <f t="shared" si="0"/>
        <v>0.11472967306158344</v>
      </c>
      <c r="K7" s="66">
        <f t="shared" si="0"/>
        <v>0.24245815155859707</v>
      </c>
      <c r="L7" s="66">
        <f t="shared" si="0"/>
        <v>0.26580803363974326</v>
      </c>
      <c r="M7" s="66">
        <f t="shared" si="0"/>
        <v>0</v>
      </c>
    </row>
    <row r="9" spans="1:13" x14ac:dyDescent="0.3">
      <c r="B9" t="s">
        <v>113</v>
      </c>
      <c r="C9" s="64">
        <f>IFERROR(SUM('Data Sheet'!B18,'Data Sheet'!B20:B22)-1*'Data Sheet'!B19,0)</f>
        <v>202856.88</v>
      </c>
      <c r="D9" s="64">
        <f>IFERROR(SUM('Data Sheet'!C18,'Data Sheet'!C20:C22)-1*'Data Sheet'!C19,0)</f>
        <v>205509.07</v>
      </c>
      <c r="E9" s="64">
        <f>IFERROR(SUM('Data Sheet'!D18,'Data Sheet'!D20:D22)-1*'Data Sheet'!D19,0)</f>
        <v>205454.23999999996</v>
      </c>
      <c r="F9" s="64">
        <f>IFERROR(SUM('Data Sheet'!E18,'Data Sheet'!E20:E22)-1*'Data Sheet'!E19,0)</f>
        <v>228429.83</v>
      </c>
      <c r="G9" s="64">
        <f>IFERROR(SUM('Data Sheet'!F18,'Data Sheet'!F20:F22)-1*'Data Sheet'!F19,0)</f>
        <v>242845.53</v>
      </c>
      <c r="H9" s="64">
        <f>IFERROR(SUM('Data Sheet'!G18,'Data Sheet'!G20:G22)-1*'Data Sheet'!G19,0)</f>
        <v>210376.07000000004</v>
      </c>
      <c r="I9" s="64">
        <f>IFERROR(SUM('Data Sheet'!H18,'Data Sheet'!H20:H22)-1*'Data Sheet'!H19,0)</f>
        <v>195326.04</v>
      </c>
      <c r="J9" s="64">
        <f>IFERROR(SUM('Data Sheet'!I18,'Data Sheet'!I20:I22)-1*'Data Sheet'!I19,0)</f>
        <v>223300.00999999998</v>
      </c>
      <c r="K9" s="64">
        <f>IFERROR(SUM('Data Sheet'!J18,'Data Sheet'!J20:J22)-1*'Data Sheet'!J19,0)</f>
        <v>274403.64</v>
      </c>
      <c r="L9" s="64">
        <f>IFERROR(SUM('Data Sheet'!K18,'Data Sheet'!K20:K22)-1*'Data Sheet'!K19,0)</f>
        <v>315242.33999999997</v>
      </c>
      <c r="M9">
        <f>IFERROR(SUM('Data Sheet'!L18,'Data Sheet'!L20:L22)-1*'Data Sheet'!L19,0)</f>
        <v>0</v>
      </c>
    </row>
    <row r="10" spans="1:13" x14ac:dyDescent="0.3">
      <c r="A10" s="65"/>
      <c r="B10" s="65" t="s">
        <v>114</v>
      </c>
      <c r="C10" s="66">
        <f>C9/C6</f>
        <v>0.77085296500237244</v>
      </c>
      <c r="D10" s="66">
        <f t="shared" ref="D10:M10" si="1">D9/D6</f>
        <v>0.75265475803309057</v>
      </c>
      <c r="E10" s="66">
        <f t="shared" si="1"/>
        <v>0.76180921746770036</v>
      </c>
      <c r="F10" s="66">
        <f t="shared" si="1"/>
        <v>0.78350009919380004</v>
      </c>
      <c r="G10" s="66">
        <f t="shared" si="1"/>
        <v>0.80428832503583503</v>
      </c>
      <c r="H10" s="66">
        <f t="shared" si="1"/>
        <v>0.80582872728508226</v>
      </c>
      <c r="I10" s="66">
        <f t="shared" si="1"/>
        <v>0.7819461377791167</v>
      </c>
      <c r="J10" s="66">
        <f t="shared" si="1"/>
        <v>0.80192891728252624</v>
      </c>
      <c r="K10" s="66">
        <f t="shared" si="1"/>
        <v>0.79314982005363122</v>
      </c>
      <c r="L10" s="66">
        <f t="shared" si="1"/>
        <v>0.71985007938637902</v>
      </c>
      <c r="M10" s="66">
        <f t="shared" si="1"/>
        <v>0</v>
      </c>
    </row>
    <row r="12" spans="1:13" x14ac:dyDescent="0.3">
      <c r="B12" s="67" t="s">
        <v>115</v>
      </c>
      <c r="C12" s="68">
        <f t="shared" ref="C12:M12" si="2">C6-C9</f>
        <v>60302.099999999977</v>
      </c>
      <c r="D12" s="68">
        <f t="shared" si="2"/>
        <v>67536.52999999997</v>
      </c>
      <c r="E12" s="68">
        <f t="shared" si="2"/>
        <v>64238.270000000048</v>
      </c>
      <c r="F12" s="68">
        <f t="shared" si="2"/>
        <v>63120.649999999994</v>
      </c>
      <c r="G12" s="68">
        <f t="shared" si="2"/>
        <v>59092.870000000024</v>
      </c>
      <c r="H12" s="68">
        <f t="shared" si="2"/>
        <v>50691.899999999965</v>
      </c>
      <c r="I12" s="68">
        <f t="shared" si="2"/>
        <v>54468.709999999992</v>
      </c>
      <c r="J12" s="68">
        <f t="shared" si="2"/>
        <v>55153.610000000015</v>
      </c>
      <c r="K12" s="68">
        <f t="shared" si="2"/>
        <v>71563.329999999958</v>
      </c>
      <c r="L12" s="68">
        <f t="shared" si="2"/>
        <v>122685.43000000005</v>
      </c>
      <c r="M12" s="67">
        <f t="shared" si="2"/>
        <v>437927.77</v>
      </c>
    </row>
    <row r="13" spans="1:13" x14ac:dyDescent="0.3">
      <c r="A13" s="65"/>
      <c r="B13" s="65" t="s">
        <v>116</v>
      </c>
      <c r="C13" s="66">
        <f>C12/C6</f>
        <v>0.22914703499762759</v>
      </c>
      <c r="D13" s="66">
        <f t="shared" ref="D13:M13" si="3">D12/D6</f>
        <v>0.24734524196690946</v>
      </c>
      <c r="E13" s="66">
        <f t="shared" si="3"/>
        <v>0.23819078253229964</v>
      </c>
      <c r="F13" s="66">
        <f t="shared" si="3"/>
        <v>0.21649990080619999</v>
      </c>
      <c r="G13" s="66">
        <f t="shared" si="3"/>
        <v>0.19571167496416494</v>
      </c>
      <c r="H13" s="66">
        <f t="shared" si="3"/>
        <v>0.19417127271491774</v>
      </c>
      <c r="I13" s="66">
        <f t="shared" si="3"/>
        <v>0.2180538622208833</v>
      </c>
      <c r="J13" s="66">
        <f t="shared" si="3"/>
        <v>0.19807108271747378</v>
      </c>
      <c r="K13" s="66">
        <f t="shared" si="3"/>
        <v>0.20685017994636876</v>
      </c>
      <c r="L13" s="66">
        <f t="shared" si="3"/>
        <v>0.28014992061362093</v>
      </c>
      <c r="M13" s="66">
        <f t="shared" si="3"/>
        <v>1</v>
      </c>
    </row>
    <row r="15" spans="1:13" x14ac:dyDescent="0.3">
      <c r="B15" t="s">
        <v>117</v>
      </c>
      <c r="C15" s="64">
        <f>IFERROR(SUM('Data Sheet'!B23:B24),0)</f>
        <v>21063.449999999997</v>
      </c>
      <c r="D15" s="64">
        <f>IFERROR(SUM('Data Sheet'!C23:C24),0)</f>
        <v>29141.280000000002</v>
      </c>
      <c r="E15" s="64">
        <f>IFERROR(SUM('Data Sheet'!D23:D24),0)</f>
        <v>34649.58</v>
      </c>
      <c r="F15" s="64">
        <f>IFERROR(SUM('Data Sheet'!E23:E24),0)</f>
        <v>31662.97</v>
      </c>
      <c r="G15" s="64">
        <f>IFERROR(SUM('Data Sheet'!F23:F24),0)</f>
        <v>34428.54</v>
      </c>
      <c r="H15" s="64">
        <f>IFERROR(SUM('Data Sheet'!G23:G24),0)</f>
        <v>32704.83</v>
      </c>
      <c r="I15" s="64">
        <f>IFERROR(SUM('Data Sheet'!H23:H24),0)</f>
        <v>22181.280000000002</v>
      </c>
      <c r="J15" s="64">
        <f>IFERROR(SUM('Data Sheet'!I23:I24),0)</f>
        <v>30433.52</v>
      </c>
      <c r="K15" s="64">
        <f>IFERROR(SUM('Data Sheet'!J23:J24),0)</f>
        <v>39747.53</v>
      </c>
      <c r="L15" s="64">
        <f>IFERROR(SUM('Data Sheet'!K23:K24),0)</f>
        <v>63147.09</v>
      </c>
      <c r="M15">
        <f>IFERROR(SUM('Data Sheet'!L23:L24),0)</f>
        <v>0</v>
      </c>
    </row>
    <row r="16" spans="1:13" x14ac:dyDescent="0.3">
      <c r="B16" s="65" t="s">
        <v>118</v>
      </c>
      <c r="C16" s="66">
        <f t="shared" ref="C16:M16" si="4">C15/C6</f>
        <v>8.0040779911823637E-2</v>
      </c>
      <c r="D16" s="66">
        <f t="shared" si="4"/>
        <v>0.10672678849247161</v>
      </c>
      <c r="E16" s="66">
        <f t="shared" si="4"/>
        <v>0.12847809529452636</v>
      </c>
      <c r="F16" s="66">
        <f t="shared" si="4"/>
        <v>0.10860201636437025</v>
      </c>
      <c r="G16" s="66">
        <f t="shared" si="4"/>
        <v>0.11402504616835751</v>
      </c>
      <c r="H16" s="66">
        <f t="shared" si="4"/>
        <v>0.12527323822987554</v>
      </c>
      <c r="I16" s="66">
        <f t="shared" si="4"/>
        <v>8.8798023177028354E-2</v>
      </c>
      <c r="J16" s="66">
        <f t="shared" si="4"/>
        <v>0.10929475436519734</v>
      </c>
      <c r="K16" s="66">
        <f t="shared" si="4"/>
        <v>0.11488822184383672</v>
      </c>
      <c r="L16" s="66">
        <f t="shared" si="4"/>
        <v>0.14419521739852212</v>
      </c>
      <c r="M16" s="66">
        <f t="shared" si="4"/>
        <v>0</v>
      </c>
    </row>
    <row r="17" spans="1:13" x14ac:dyDescent="0.3">
      <c r="C17" s="40"/>
    </row>
    <row r="18" spans="1:13" x14ac:dyDescent="0.3">
      <c r="A18" s="69"/>
      <c r="B18" s="67" t="s">
        <v>119</v>
      </c>
      <c r="C18" s="68">
        <f>C12-C15</f>
        <v>39238.64999999998</v>
      </c>
      <c r="D18" s="68">
        <f t="shared" ref="D18:M18" si="5">D12-D15</f>
        <v>38395.249999999971</v>
      </c>
      <c r="E18" s="68">
        <f t="shared" si="5"/>
        <v>29588.690000000046</v>
      </c>
      <c r="F18" s="68">
        <f t="shared" si="5"/>
        <v>31457.679999999993</v>
      </c>
      <c r="G18" s="68">
        <f t="shared" si="5"/>
        <v>24664.330000000024</v>
      </c>
      <c r="H18" s="68">
        <f t="shared" si="5"/>
        <v>17987.069999999963</v>
      </c>
      <c r="I18" s="68">
        <f t="shared" si="5"/>
        <v>32287.429999999989</v>
      </c>
      <c r="J18" s="68">
        <f t="shared" si="5"/>
        <v>24720.090000000015</v>
      </c>
      <c r="K18" s="68">
        <f t="shared" si="5"/>
        <v>31815.799999999959</v>
      </c>
      <c r="L18" s="68">
        <f t="shared" si="5"/>
        <v>59538.340000000055</v>
      </c>
      <c r="M18" s="67">
        <f t="shared" si="5"/>
        <v>437927.77</v>
      </c>
    </row>
    <row r="19" spans="1:13" x14ac:dyDescent="0.3">
      <c r="A19" s="65"/>
      <c r="B19" s="65" t="s">
        <v>120</v>
      </c>
      <c r="C19" s="66">
        <f t="shared" ref="C19:M19" si="6">C18/C6</f>
        <v>0.14910625508580397</v>
      </c>
      <c r="D19" s="66">
        <f t="shared" si="6"/>
        <v>0.14061845347443788</v>
      </c>
      <c r="E19" s="66">
        <f t="shared" si="6"/>
        <v>0.10971268723777329</v>
      </c>
      <c r="F19" s="66">
        <f t="shared" si="6"/>
        <v>0.10789788444182975</v>
      </c>
      <c r="G19" s="66">
        <f t="shared" si="6"/>
        <v>8.1686628795807431E-2</v>
      </c>
      <c r="H19" s="66">
        <f t="shared" si="6"/>
        <v>6.8898034485042198E-2</v>
      </c>
      <c r="I19" s="66">
        <f t="shared" si="6"/>
        <v>0.12925583904385496</v>
      </c>
      <c r="J19" s="66">
        <f t="shared" si="6"/>
        <v>8.877632835227646E-2</v>
      </c>
      <c r="K19" s="66">
        <f t="shared" si="6"/>
        <v>9.1961958102532049E-2</v>
      </c>
      <c r="L19" s="66">
        <f t="shared" si="6"/>
        <v>0.13595470321509881</v>
      </c>
      <c r="M19" s="66">
        <f t="shared" si="6"/>
        <v>1</v>
      </c>
    </row>
    <row r="21" spans="1:13" x14ac:dyDescent="0.3">
      <c r="B21" t="s">
        <v>121</v>
      </c>
      <c r="C21" s="64">
        <f>IFERROR('Data Sheet'!B27,0)</f>
        <v>4861.49</v>
      </c>
      <c r="D21" s="64">
        <f>IFERROR('Data Sheet'!C27,0)</f>
        <v>4889.08</v>
      </c>
      <c r="E21" s="64">
        <f>IFERROR('Data Sheet'!D27,0)</f>
        <v>4238.01</v>
      </c>
      <c r="F21" s="64">
        <f>IFERROR('Data Sheet'!E27,0)</f>
        <v>4681.79</v>
      </c>
      <c r="G21" s="64">
        <f>IFERROR('Data Sheet'!F27,0)</f>
        <v>5758.6</v>
      </c>
      <c r="H21" s="64">
        <f>IFERROR('Data Sheet'!G27,0)</f>
        <v>7243.33</v>
      </c>
      <c r="I21" s="64">
        <f>IFERROR('Data Sheet'!H27,0)</f>
        <v>8097.17</v>
      </c>
      <c r="J21" s="64">
        <f>IFERROR('Data Sheet'!I27,0)</f>
        <v>9311.86</v>
      </c>
      <c r="K21" s="64">
        <f>IFERROR('Data Sheet'!J27,0)</f>
        <v>10225.48</v>
      </c>
      <c r="L21" s="64">
        <f>IFERROR('Data Sheet'!K27,0)</f>
        <v>9985.76</v>
      </c>
      <c r="M21">
        <f>IFERROR(SUM('Data Sheet'!H46:K46),0)</f>
        <v>9985.76</v>
      </c>
    </row>
    <row r="22" spans="1:13" x14ac:dyDescent="0.3">
      <c r="A22" s="65"/>
      <c r="B22" s="65" t="s">
        <v>122</v>
      </c>
      <c r="C22" s="66">
        <f t="shared" ref="C22:M22" si="7">C21/C6</f>
        <v>1.8473585814932098E-2</v>
      </c>
      <c r="D22" s="66">
        <f t="shared" si="7"/>
        <v>1.7905727101993223E-2</v>
      </c>
      <c r="E22" s="66">
        <f t="shared" si="7"/>
        <v>1.5714229512714312E-2</v>
      </c>
      <c r="F22" s="66">
        <f t="shared" si="7"/>
        <v>1.605824830060304E-2</v>
      </c>
      <c r="G22" s="66">
        <f t="shared" si="7"/>
        <v>1.9072102124141878E-2</v>
      </c>
      <c r="H22" s="66">
        <f t="shared" si="7"/>
        <v>2.7744996829752802E-2</v>
      </c>
      <c r="I22" s="66">
        <f t="shared" si="7"/>
        <v>3.2415292955516477E-2</v>
      </c>
      <c r="J22" s="66">
        <f t="shared" si="7"/>
        <v>3.3441332168710897E-2</v>
      </c>
      <c r="K22" s="66">
        <f t="shared" si="7"/>
        <v>2.9556231914277829E-2</v>
      </c>
      <c r="L22" s="66">
        <f t="shared" si="7"/>
        <v>2.2802299109736749E-2</v>
      </c>
      <c r="M22" s="66">
        <f t="shared" si="7"/>
        <v>2.2802299109736749E-2</v>
      </c>
    </row>
    <row r="24" spans="1:13" x14ac:dyDescent="0.3">
      <c r="B24" t="s">
        <v>123</v>
      </c>
      <c r="C24" s="64">
        <f>IFERROR('Data Sheet'!B26,0)</f>
        <v>13388.63</v>
      </c>
      <c r="D24" s="64">
        <f>IFERROR('Data Sheet'!C26,0)</f>
        <v>16710.78</v>
      </c>
      <c r="E24" s="64">
        <f>IFERROR('Data Sheet'!D26,0)</f>
        <v>17904.990000000002</v>
      </c>
      <c r="F24" s="64">
        <f>IFERROR('Data Sheet'!E26,0)</f>
        <v>21553.59</v>
      </c>
      <c r="G24" s="64">
        <f>IFERROR('Data Sheet'!F26,0)</f>
        <v>23590.63</v>
      </c>
      <c r="H24" s="64">
        <f>IFERROR('Data Sheet'!G26,0)</f>
        <v>21425.43</v>
      </c>
      <c r="I24" s="64">
        <f>IFERROR('Data Sheet'!H26,0)</f>
        <v>23546.71</v>
      </c>
      <c r="J24" s="64">
        <f>IFERROR('Data Sheet'!I26,0)</f>
        <v>24835.69</v>
      </c>
      <c r="K24" s="64">
        <f>IFERROR('Data Sheet'!J26,0)</f>
        <v>24860.36</v>
      </c>
      <c r="L24" s="64">
        <f>IFERROR('Data Sheet'!K26,0)</f>
        <v>27270.13</v>
      </c>
      <c r="M24">
        <f>IFERROR(SUM('Data Sheet'!H45:K45),0)</f>
        <v>27270.129999999997</v>
      </c>
    </row>
    <row r="25" spans="1:13" x14ac:dyDescent="0.3">
      <c r="A25" s="65"/>
      <c r="B25" s="65" t="s">
        <v>124</v>
      </c>
      <c r="C25" s="66">
        <f t="shared" ref="C25:M25" si="8">C24/C6</f>
        <v>5.0876584184966822E-2</v>
      </c>
      <c r="D25" s="66">
        <f t="shared" si="8"/>
        <v>6.1201425695927715E-2</v>
      </c>
      <c r="E25" s="66">
        <f t="shared" si="8"/>
        <v>6.63903865924938E-2</v>
      </c>
      <c r="F25" s="66">
        <f t="shared" si="8"/>
        <v>7.3927472182518786E-2</v>
      </c>
      <c r="G25" s="66">
        <f t="shared" si="8"/>
        <v>7.8130605447998658E-2</v>
      </c>
      <c r="H25" s="66">
        <f t="shared" si="8"/>
        <v>8.206839774331566E-2</v>
      </c>
      <c r="I25" s="66">
        <f t="shared" si="8"/>
        <v>9.4264230933596482E-2</v>
      </c>
      <c r="J25" s="66">
        <f t="shared" si="8"/>
        <v>8.9191478279219347E-2</v>
      </c>
      <c r="K25" s="66">
        <f t="shared" si="8"/>
        <v>7.1857611147098821E-2</v>
      </c>
      <c r="L25" s="66">
        <f t="shared" si="8"/>
        <v>6.2270839777984394E-2</v>
      </c>
      <c r="M25" s="66">
        <f t="shared" si="8"/>
        <v>6.2270839777984387E-2</v>
      </c>
    </row>
    <row r="27" spans="1:13" x14ac:dyDescent="0.3">
      <c r="A27" s="69"/>
      <c r="B27" s="67" t="s">
        <v>125</v>
      </c>
      <c r="C27" s="68">
        <f>C18-SUM(C21,C24)</f>
        <v>20988.529999999981</v>
      </c>
      <c r="D27" s="68">
        <f t="shared" ref="D27:L27" si="9">D18-SUM(D21,D24)</f>
        <v>16795.38999999997</v>
      </c>
      <c r="E27" s="68">
        <f t="shared" si="9"/>
        <v>7445.690000000046</v>
      </c>
      <c r="F27" s="68">
        <f t="shared" si="9"/>
        <v>5222.299999999992</v>
      </c>
      <c r="G27" s="68">
        <f t="shared" si="9"/>
        <v>-4684.8999999999796</v>
      </c>
      <c r="H27" s="68">
        <f t="shared" si="9"/>
        <v>-10681.690000000039</v>
      </c>
      <c r="I27" s="68">
        <f t="shared" si="9"/>
        <v>643.549999999992</v>
      </c>
      <c r="J27" s="68">
        <f t="shared" si="9"/>
        <v>-9427.4599999999882</v>
      </c>
      <c r="K27" s="68">
        <f t="shared" si="9"/>
        <v>-3270.0400000000373</v>
      </c>
      <c r="L27" s="68">
        <f t="shared" si="9"/>
        <v>22282.450000000055</v>
      </c>
      <c r="M27" s="67">
        <f>SUM('Data Sheet'!H47:K47)</f>
        <v>27695.120000000003</v>
      </c>
    </row>
    <row r="28" spans="1:13" x14ac:dyDescent="0.3">
      <c r="A28" s="65"/>
      <c r="B28" s="65" t="s">
        <v>126</v>
      </c>
      <c r="C28" s="66">
        <f>C27/C6</f>
        <v>7.9756085085905037E-2</v>
      </c>
      <c r="D28" s="66">
        <f t="shared" ref="D28:M28" si="10">D27/D6</f>
        <v>6.1511300676516931E-2</v>
      </c>
      <c r="E28" s="66">
        <f t="shared" si="10"/>
        <v>2.7608071132565179E-2</v>
      </c>
      <c r="F28" s="66">
        <f t="shared" si="10"/>
        <v>1.7912163958707913E-2</v>
      </c>
      <c r="G28" s="66">
        <f t="shared" si="10"/>
        <v>-1.5516078776333117E-2</v>
      </c>
      <c r="H28" s="66">
        <f t="shared" si="10"/>
        <v>-4.0915360088026265E-2</v>
      </c>
      <c r="I28" s="66">
        <f t="shared" si="10"/>
        <v>2.5763151547420113E-3</v>
      </c>
      <c r="J28" s="66">
        <f t="shared" si="10"/>
        <v>-3.3856482095653805E-2</v>
      </c>
      <c r="K28" s="66">
        <f t="shared" si="10"/>
        <v>-9.4518849588445895E-3</v>
      </c>
      <c r="L28" s="66">
        <f t="shared" si="10"/>
        <v>5.0881564327377671E-2</v>
      </c>
      <c r="M28" s="66">
        <f t="shared" si="10"/>
        <v>6.3241296618389842E-2</v>
      </c>
    </row>
    <row r="30" spans="1:13" x14ac:dyDescent="0.3">
      <c r="B30" t="s">
        <v>127</v>
      </c>
      <c r="C30" s="64">
        <f>IFERROR('Data Sheet'!B29,0)</f>
        <v>7642.91</v>
      </c>
      <c r="D30" s="64">
        <f>IFERROR('Data Sheet'!C29,0)</f>
        <v>3025.05</v>
      </c>
      <c r="E30" s="64">
        <f>IFERROR('Data Sheet'!D29,0)</f>
        <v>3251.23</v>
      </c>
      <c r="F30" s="64">
        <f>IFERROR('Data Sheet'!E29,0)</f>
        <v>4341.93</v>
      </c>
      <c r="G30" s="64">
        <f>IFERROR('Data Sheet'!F29,0)</f>
        <v>-2437.4499999999998</v>
      </c>
      <c r="H30" s="64">
        <f>IFERROR('Data Sheet'!G29,0)</f>
        <v>395.25</v>
      </c>
      <c r="I30" s="64">
        <f>IFERROR('Data Sheet'!H29,0)</f>
        <v>2541.86</v>
      </c>
      <c r="J30" s="64">
        <f>IFERROR('Data Sheet'!I29,0)</f>
        <v>4231.29</v>
      </c>
      <c r="K30" s="64">
        <f>IFERROR('Data Sheet'!J29,0)</f>
        <v>704.06</v>
      </c>
      <c r="L30" s="64">
        <f>IFERROR('Data Sheet'!K29,0)</f>
        <v>-3851.64</v>
      </c>
      <c r="M30" s="64">
        <f>IFERROR(SUM('Data Sheet'!H48:K48),0)</f>
        <v>-3851.6399999999994</v>
      </c>
    </row>
    <row r="31" spans="1:13" x14ac:dyDescent="0.3">
      <c r="A31" s="65"/>
      <c r="B31" s="65" t="s">
        <v>128</v>
      </c>
      <c r="C31" s="66">
        <f>C30/C27</f>
        <v>0.3641469888553418</v>
      </c>
      <c r="D31" s="66">
        <f t="shared" ref="D31:M31" si="11">D30/D27</f>
        <v>0.18011192356950362</v>
      </c>
      <c r="E31" s="66">
        <f t="shared" si="11"/>
        <v>0.43665932908836924</v>
      </c>
      <c r="F31" s="66">
        <f t="shared" si="11"/>
        <v>0.8314210213890445</v>
      </c>
      <c r="G31" s="66">
        <f t="shared" si="11"/>
        <v>0.52027791414971725</v>
      </c>
      <c r="H31" s="66">
        <f t="shared" si="11"/>
        <v>-3.7002571690434617E-2</v>
      </c>
      <c r="I31" s="66">
        <f t="shared" si="11"/>
        <v>3.9497474943672315</v>
      </c>
      <c r="J31" s="66">
        <f t="shared" si="11"/>
        <v>-0.4488260888935095</v>
      </c>
      <c r="K31" s="66">
        <f t="shared" si="11"/>
        <v>-0.21530623478611635</v>
      </c>
      <c r="L31" s="66">
        <f t="shared" si="11"/>
        <v>-0.17285531887202665</v>
      </c>
      <c r="M31" s="66">
        <f t="shared" si="11"/>
        <v>-0.13907287637677682</v>
      </c>
    </row>
    <row r="33" spans="1:13" x14ac:dyDescent="0.3">
      <c r="A33" s="69"/>
      <c r="B33" s="67" t="s">
        <v>129</v>
      </c>
      <c r="C33" s="68">
        <f>IFERROR(C27-C30,0)</f>
        <v>13345.619999999981</v>
      </c>
      <c r="D33" s="68">
        <f t="shared" ref="D33:M33" si="12">IFERROR(D27-D30,0)</f>
        <v>13770.339999999971</v>
      </c>
      <c r="E33" s="68">
        <f t="shared" si="12"/>
        <v>4194.4600000000464</v>
      </c>
      <c r="F33" s="68">
        <f t="shared" si="12"/>
        <v>880.36999999999171</v>
      </c>
      <c r="G33" s="68">
        <f t="shared" si="12"/>
        <v>-2247.4499999999798</v>
      </c>
      <c r="H33" s="68">
        <f t="shared" si="12"/>
        <v>-11076.940000000039</v>
      </c>
      <c r="I33" s="68">
        <f t="shared" si="12"/>
        <v>-1898.3100000000081</v>
      </c>
      <c r="J33" s="68">
        <f t="shared" si="12"/>
        <v>-13658.749999999989</v>
      </c>
      <c r="K33" s="68">
        <f t="shared" si="12"/>
        <v>-3974.1000000000372</v>
      </c>
      <c r="L33" s="68">
        <f t="shared" si="12"/>
        <v>26134.090000000055</v>
      </c>
      <c r="M33" s="68">
        <f t="shared" si="12"/>
        <v>31546.760000000002</v>
      </c>
    </row>
    <row r="34" spans="1:13" x14ac:dyDescent="0.3">
      <c r="A34" s="65"/>
      <c r="B34" s="65" t="s">
        <v>130</v>
      </c>
      <c r="C34" s="66">
        <f>C33/C6</f>
        <v>5.0713146858982282E-2</v>
      </c>
      <c r="D34" s="66">
        <f t="shared" ref="D34:M34" si="13">D33/D6</f>
        <v>5.0432381990407359E-2</v>
      </c>
      <c r="E34" s="66">
        <f t="shared" si="13"/>
        <v>1.5552749314395296E-2</v>
      </c>
      <c r="F34" s="66">
        <f t="shared" si="13"/>
        <v>3.01961430487095E-3</v>
      </c>
      <c r="G34" s="66">
        <f t="shared" si="13"/>
        <v>-7.4434056747998256E-3</v>
      </c>
      <c r="H34" s="66">
        <f t="shared" si="13"/>
        <v>-4.2429333632923408E-2</v>
      </c>
      <c r="I34" s="66">
        <f t="shared" si="13"/>
        <v>-7.5994791724005731E-3</v>
      </c>
      <c r="J34" s="66">
        <f t="shared" si="13"/>
        <v>-4.9052154538339235E-2</v>
      </c>
      <c r="K34" s="66">
        <f t="shared" si="13"/>
        <v>-1.1486934720964945E-2</v>
      </c>
      <c r="L34" s="66">
        <f t="shared" si="13"/>
        <v>5.9676713353894073E-2</v>
      </c>
      <c r="M34" s="66">
        <f t="shared" si="13"/>
        <v>7.2036445644906244E-2</v>
      </c>
    </row>
    <row r="36" spans="1:13" x14ac:dyDescent="0.3">
      <c r="A36" s="70"/>
      <c r="B36" s="70" t="s">
        <v>131</v>
      </c>
      <c r="C36" s="70">
        <f>IFERROR('Data Sheet'!B93,0)</f>
        <v>288.74</v>
      </c>
      <c r="D36" s="70">
        <f>IFERROR('Data Sheet'!C93,0)</f>
        <v>288.72000000000003</v>
      </c>
      <c r="E36" s="70">
        <f>IFERROR('Data Sheet'!D93,0)</f>
        <v>288.73</v>
      </c>
      <c r="F36" s="70">
        <f>IFERROR('Data Sheet'!E93,0)</f>
        <v>288.73</v>
      </c>
      <c r="G36" s="70">
        <f>IFERROR('Data Sheet'!F93,0)</f>
        <v>288.73</v>
      </c>
      <c r="H36" s="70">
        <f>IFERROR('Data Sheet'!G93,0)</f>
        <v>308.89999999999998</v>
      </c>
      <c r="I36" s="70">
        <f>IFERROR('Data Sheet'!H93,0)</f>
        <v>332.03</v>
      </c>
      <c r="J36" s="70">
        <f>IFERROR('Data Sheet'!I93,0)</f>
        <v>332.07</v>
      </c>
      <c r="K36" s="70">
        <f>IFERROR('Data Sheet'!J93,0)</f>
        <v>332.13</v>
      </c>
      <c r="L36" s="70">
        <f>IFERROR('Data Sheet'!K93,0)</f>
        <v>332.37</v>
      </c>
      <c r="M36" s="70">
        <f>IFERROR('Data Sheet'!L93,0)</f>
        <v>0</v>
      </c>
    </row>
    <row r="38" spans="1:13" x14ac:dyDescent="0.3">
      <c r="B38" t="s">
        <v>132</v>
      </c>
      <c r="C38" s="64">
        <f>IFERROR(C33/C36,0)</f>
        <v>46.220198102098706</v>
      </c>
      <c r="D38" s="64">
        <f t="shared" ref="D38:M38" si="14">IFERROR(D33/D36,0)</f>
        <v>47.694444444444336</v>
      </c>
      <c r="E38" s="64">
        <f t="shared" si="14"/>
        <v>14.527274616423808</v>
      </c>
      <c r="F38" s="64">
        <f t="shared" si="14"/>
        <v>3.049111626779315</v>
      </c>
      <c r="G38" s="64">
        <f t="shared" si="14"/>
        <v>-7.7839157690575265</v>
      </c>
      <c r="H38" s="64">
        <f t="shared" si="14"/>
        <v>-35.859307219164904</v>
      </c>
      <c r="I38" s="64">
        <f t="shared" si="14"/>
        <v>-5.7172845827184542</v>
      </c>
      <c r="J38" s="64">
        <f t="shared" si="14"/>
        <v>-41.132140813683833</v>
      </c>
      <c r="K38" s="64">
        <f t="shared" si="14"/>
        <v>-11.965495438533218</v>
      </c>
      <c r="L38" s="64">
        <f t="shared" si="14"/>
        <v>78.629509281824639</v>
      </c>
      <c r="M38" s="64">
        <f t="shared" si="14"/>
        <v>0</v>
      </c>
    </row>
    <row r="39" spans="1:13" x14ac:dyDescent="0.3">
      <c r="A39" s="65"/>
      <c r="B39" s="65" t="s">
        <v>133</v>
      </c>
      <c r="C39" s="66"/>
      <c r="D39" s="66">
        <f>IFERROR(D38/C38-1,0)</f>
        <v>3.189614936502605E-2</v>
      </c>
      <c r="E39" s="66">
        <f t="shared" ref="E39:M39" si="15">IFERROR(E38/D38-1,0)</f>
        <v>-0.69540950134463697</v>
      </c>
      <c r="F39" s="66">
        <f t="shared" si="15"/>
        <v>-0.79011124197155724</v>
      </c>
      <c r="G39" s="66">
        <f t="shared" si="15"/>
        <v>-3.5528470983790919</v>
      </c>
      <c r="H39" s="66">
        <f t="shared" si="15"/>
        <v>3.6068467700681115</v>
      </c>
      <c r="I39" s="66">
        <f t="shared" si="15"/>
        <v>-0.84056344011958861</v>
      </c>
      <c r="J39" s="66">
        <f t="shared" si="15"/>
        <v>6.194349033807641</v>
      </c>
      <c r="K39" s="66">
        <f t="shared" si="15"/>
        <v>-0.70909621522659627</v>
      </c>
      <c r="L39" s="66">
        <f t="shared" si="15"/>
        <v>-7.5713542482001381</v>
      </c>
      <c r="M39" s="66">
        <f t="shared" si="15"/>
        <v>-1</v>
      </c>
    </row>
    <row r="41" spans="1:13" x14ac:dyDescent="0.3">
      <c r="B41" t="s">
        <v>134</v>
      </c>
      <c r="C41" s="64">
        <f>IFERROR('Data Sheet'!B31/'Historical FS'!C36,0)</f>
        <v>0</v>
      </c>
      <c r="D41" s="64">
        <f>IFERROR('Data Sheet'!C31/'Historical FS'!D36,0)</f>
        <v>0.23524522028262676</v>
      </c>
      <c r="E41" s="64">
        <f>IFERROR('Data Sheet'!D31/'Historical FS'!E36,0)</f>
        <v>0</v>
      </c>
      <c r="F41" s="64">
        <f>IFERROR('Data Sheet'!E31/'Historical FS'!F36,0)</f>
        <v>0</v>
      </c>
      <c r="G41" s="64">
        <f>IFERROR('Data Sheet'!F31/'Historical FS'!G36,0)</f>
        <v>0</v>
      </c>
      <c r="H41" s="64">
        <f>IFERROR('Data Sheet'!G31/'Historical FS'!H36,0)</f>
        <v>0</v>
      </c>
      <c r="I41" s="64">
        <f>IFERROR('Data Sheet'!H31/'Historical FS'!I36,0)</f>
        <v>0</v>
      </c>
      <c r="J41" s="64">
        <f>IFERROR('Data Sheet'!I31/'Historical FS'!J36,0)</f>
        <v>0</v>
      </c>
      <c r="K41" s="64">
        <f>IFERROR('Data Sheet'!J31/'Historical FS'!K36,0)</f>
        <v>2.3063860536536898</v>
      </c>
      <c r="L41" s="64">
        <f>IFERROR('Data Sheet'!K31/'Historical FS'!L36,0)</f>
        <v>3.4592472244787436</v>
      </c>
      <c r="M41" s="64">
        <f>IFERROR('Data Sheet'!L31/'Historical FS'!M36,0)</f>
        <v>0</v>
      </c>
    </row>
    <row r="42" spans="1:13" x14ac:dyDescent="0.3">
      <c r="A42" s="65"/>
      <c r="B42" s="65" t="s">
        <v>135</v>
      </c>
      <c r="C42" s="66">
        <f>IFERROR(C41/C38,0)</f>
        <v>0</v>
      </c>
      <c r="D42" s="66">
        <f t="shared" ref="D42:M42" si="16">IFERROR(D41/D38,0)</f>
        <v>4.9323400874633563E-3</v>
      </c>
      <c r="E42" s="66">
        <f t="shared" si="16"/>
        <v>0</v>
      </c>
      <c r="F42" s="66">
        <f t="shared" si="16"/>
        <v>0</v>
      </c>
      <c r="G42" s="66">
        <f t="shared" si="16"/>
        <v>0</v>
      </c>
      <c r="H42" s="66">
        <f t="shared" si="16"/>
        <v>0</v>
      </c>
      <c r="I42" s="66">
        <f t="shared" si="16"/>
        <v>0</v>
      </c>
      <c r="J42" s="66">
        <f t="shared" si="16"/>
        <v>0</v>
      </c>
      <c r="K42" s="66">
        <f t="shared" si="16"/>
        <v>-0.19275307616818721</v>
      </c>
      <c r="L42" s="66">
        <f t="shared" si="16"/>
        <v>4.3994261900835177E-2</v>
      </c>
      <c r="M42" s="66">
        <f t="shared" si="16"/>
        <v>0</v>
      </c>
    </row>
    <row r="44" spans="1:13" x14ac:dyDescent="0.3">
      <c r="A44" s="9"/>
      <c r="B44" s="9" t="s">
        <v>136</v>
      </c>
      <c r="C44" s="9">
        <f>IFERROR(IF(C38&gt;C41,1-C42,0),0)</f>
        <v>1</v>
      </c>
      <c r="D44" s="9">
        <f t="shared" ref="D44:M44" si="17">IFERROR(IF(D38&gt;D41,1-D42,0),0)</f>
        <v>0.99506765991253665</v>
      </c>
      <c r="E44" s="9">
        <f t="shared" si="17"/>
        <v>1</v>
      </c>
      <c r="F44" s="9">
        <f t="shared" si="17"/>
        <v>1</v>
      </c>
      <c r="G44" s="9">
        <f t="shared" si="17"/>
        <v>0</v>
      </c>
      <c r="H44" s="9">
        <f t="shared" si="17"/>
        <v>0</v>
      </c>
      <c r="I44" s="9">
        <f t="shared" si="17"/>
        <v>0</v>
      </c>
      <c r="J44" s="9">
        <f t="shared" si="17"/>
        <v>0</v>
      </c>
      <c r="K44" s="9">
        <f t="shared" si="17"/>
        <v>0</v>
      </c>
      <c r="L44" s="9">
        <f t="shared" si="17"/>
        <v>0.95600573809916478</v>
      </c>
      <c r="M44" s="9">
        <f t="shared" si="17"/>
        <v>0</v>
      </c>
    </row>
    <row r="46" spans="1:13" x14ac:dyDescent="0.3">
      <c r="A46" s="60" t="s">
        <v>108</v>
      </c>
      <c r="B46" s="63" t="s">
        <v>137</v>
      </c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</row>
    <row r="47" spans="1:13" x14ac:dyDescent="0.3">
      <c r="B47" t="s">
        <v>138</v>
      </c>
      <c r="C47" s="64">
        <f>IFERROR('Data Sheet'!B57,0)</f>
        <v>643.78</v>
      </c>
      <c r="D47" s="64">
        <f>IFERROR('Data Sheet'!C57,0)</f>
        <v>679.18</v>
      </c>
      <c r="E47" s="64">
        <f>IFERROR('Data Sheet'!D57,0)</f>
        <v>679.22</v>
      </c>
      <c r="F47" s="64">
        <f>IFERROR('Data Sheet'!E57,0)</f>
        <v>679.22</v>
      </c>
      <c r="G47" s="64">
        <f>IFERROR('Data Sheet'!F57,0)</f>
        <v>679.22</v>
      </c>
      <c r="H47" s="64">
        <f>IFERROR('Data Sheet'!G57,0)</f>
        <v>719.54</v>
      </c>
      <c r="I47" s="64">
        <f>IFERROR('Data Sheet'!H57,0)</f>
        <v>765.81</v>
      </c>
      <c r="J47" s="64">
        <f>IFERROR('Data Sheet'!I57,0)</f>
        <v>765.88</v>
      </c>
      <c r="K47" s="64">
        <f>IFERROR('Data Sheet'!J57,0)</f>
        <v>766.02</v>
      </c>
      <c r="L47" s="64">
        <f>IFERROR('Data Sheet'!K57,0)</f>
        <v>766.5</v>
      </c>
      <c r="M47" s="64"/>
    </row>
    <row r="48" spans="1:13" x14ac:dyDescent="0.3">
      <c r="B48" t="s">
        <v>139</v>
      </c>
      <c r="C48" s="64">
        <f>IFERROR('Data Sheet'!B58,0)</f>
        <v>55618.14</v>
      </c>
      <c r="D48" s="64">
        <f>IFERROR('Data Sheet'!C58,0)</f>
        <v>78273.23</v>
      </c>
      <c r="E48" s="64">
        <f>IFERROR('Data Sheet'!D58,0)</f>
        <v>57382.67</v>
      </c>
      <c r="F48" s="64">
        <f>IFERROR('Data Sheet'!E58,0)</f>
        <v>94748.69</v>
      </c>
      <c r="G48" s="64">
        <f>IFERROR('Data Sheet'!F58,0)</f>
        <v>59500.34</v>
      </c>
      <c r="H48" s="64">
        <f>IFERROR('Data Sheet'!G58,0)</f>
        <v>61491.49</v>
      </c>
      <c r="I48" s="64">
        <f>IFERROR('Data Sheet'!H58,0)</f>
        <v>54480.91</v>
      </c>
      <c r="J48" s="64">
        <f>IFERROR('Data Sheet'!I58,0)</f>
        <v>43795.360000000001</v>
      </c>
      <c r="K48" s="64">
        <f>IFERROR('Data Sheet'!J58,0)</f>
        <v>44555.77</v>
      </c>
      <c r="L48" s="64">
        <f>IFERROR('Data Sheet'!K58,0)</f>
        <v>84151.52</v>
      </c>
      <c r="M48" s="64"/>
    </row>
    <row r="49" spans="1:13" x14ac:dyDescent="0.3">
      <c r="B49" t="s">
        <v>140</v>
      </c>
      <c r="C49" s="64">
        <f>IFERROR('Data Sheet'!B59,0)</f>
        <v>73610.39</v>
      </c>
      <c r="D49" s="64">
        <f>IFERROR('Data Sheet'!C59,0)</f>
        <v>69359.960000000006</v>
      </c>
      <c r="E49" s="64">
        <f>IFERROR('Data Sheet'!D59,0)</f>
        <v>78603.98</v>
      </c>
      <c r="F49" s="64">
        <f>IFERROR('Data Sheet'!E59,0)</f>
        <v>88950.47</v>
      </c>
      <c r="G49" s="64">
        <f>IFERROR('Data Sheet'!F59,0)</f>
        <v>106175.34</v>
      </c>
      <c r="H49" s="64">
        <f>IFERROR('Data Sheet'!G59,0)</f>
        <v>124787.64</v>
      </c>
      <c r="I49" s="64">
        <f>IFERROR('Data Sheet'!H59,0)</f>
        <v>142130.57</v>
      </c>
      <c r="J49" s="64">
        <f>IFERROR('Data Sheet'!I59,0)</f>
        <v>146449.03</v>
      </c>
      <c r="K49" s="64">
        <f>IFERROR('Data Sheet'!J59,0)</f>
        <v>134113.44</v>
      </c>
      <c r="L49" s="64">
        <f>IFERROR('Data Sheet'!K59,0)</f>
        <v>107262.5</v>
      </c>
      <c r="M49" s="64"/>
    </row>
    <row r="50" spans="1:13" x14ac:dyDescent="0.3">
      <c r="B50" t="s">
        <v>141</v>
      </c>
      <c r="C50" s="64">
        <f>IFERROR('Data Sheet'!B60,0)</f>
        <v>107442.48</v>
      </c>
      <c r="D50" s="64">
        <f>IFERROR('Data Sheet'!C60,0)</f>
        <v>114871.75</v>
      </c>
      <c r="E50" s="64">
        <f>IFERROR('Data Sheet'!D60,0)</f>
        <v>135914.49</v>
      </c>
      <c r="F50" s="64">
        <f>IFERROR('Data Sheet'!E60,0)</f>
        <v>142813.43</v>
      </c>
      <c r="G50" s="64">
        <f>IFERROR('Data Sheet'!F60,0)</f>
        <v>139348.59</v>
      </c>
      <c r="H50" s="64">
        <f>IFERROR('Data Sheet'!G60,0)</f>
        <v>133180.72</v>
      </c>
      <c r="I50" s="64">
        <f>IFERROR('Data Sheet'!H60,0)</f>
        <v>144192.62</v>
      </c>
      <c r="J50" s="64">
        <f>IFERROR('Data Sheet'!I60,0)</f>
        <v>138051.22</v>
      </c>
      <c r="K50" s="64">
        <f>IFERROR('Data Sheet'!J60,0)</f>
        <v>155239.20000000001</v>
      </c>
      <c r="L50" s="64">
        <f>IFERROR('Data Sheet'!K60,0)</f>
        <v>178483.44</v>
      </c>
      <c r="M50" s="64"/>
    </row>
    <row r="51" spans="1:13" x14ac:dyDescent="0.3">
      <c r="A51" s="69"/>
      <c r="B51" s="67" t="s">
        <v>142</v>
      </c>
      <c r="C51" s="68">
        <f>IFERROR('Data Sheet'!B61,0)</f>
        <v>237314.79</v>
      </c>
      <c r="D51" s="68">
        <f>IFERROR('Data Sheet'!C61,0)</f>
        <v>263184.12</v>
      </c>
      <c r="E51" s="68">
        <f>IFERROR('Data Sheet'!D61,0)</f>
        <v>272580.36</v>
      </c>
      <c r="F51" s="68">
        <f>IFERROR('Data Sheet'!E61,0)</f>
        <v>327191.81</v>
      </c>
      <c r="G51" s="68">
        <f>IFERROR('Data Sheet'!F61,0)</f>
        <v>305703.49</v>
      </c>
      <c r="H51" s="68">
        <f>IFERROR('Data Sheet'!G61,0)</f>
        <v>320179.39</v>
      </c>
      <c r="I51" s="68">
        <f>IFERROR('Data Sheet'!H61,0)</f>
        <v>341569.91</v>
      </c>
      <c r="J51" s="68">
        <f>IFERROR('Data Sheet'!I61,0)</f>
        <v>329061.49</v>
      </c>
      <c r="K51" s="68">
        <f>IFERROR('Data Sheet'!J61,0)</f>
        <v>334674.43</v>
      </c>
      <c r="L51" s="68">
        <f>IFERROR('Data Sheet'!K61,0)</f>
        <v>370663.96</v>
      </c>
      <c r="M51" s="71"/>
    </row>
    <row r="52" spans="1:13" x14ac:dyDescent="0.3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</row>
    <row r="53" spans="1:13" x14ac:dyDescent="0.3">
      <c r="B53" t="s">
        <v>143</v>
      </c>
      <c r="C53" s="64">
        <f>IFERROR('Data Sheet'!B62,0)</f>
        <v>88479.49</v>
      </c>
      <c r="D53" s="64">
        <f>IFERROR('Data Sheet'!C62,0)</f>
        <v>107231.76</v>
      </c>
      <c r="E53" s="64">
        <f>IFERROR('Data Sheet'!D62,0)</f>
        <v>95944.08</v>
      </c>
      <c r="F53" s="64">
        <f>IFERROR('Data Sheet'!E62,0)</f>
        <v>121413.86</v>
      </c>
      <c r="G53" s="64">
        <f>IFERROR('Data Sheet'!F62,0)</f>
        <v>111234.47</v>
      </c>
      <c r="H53" s="64">
        <f>IFERROR('Data Sheet'!G62,0)</f>
        <v>127107.14</v>
      </c>
      <c r="I53" s="64">
        <f>IFERROR('Data Sheet'!H62,0)</f>
        <v>138707.60999999999</v>
      </c>
      <c r="J53" s="64">
        <f>IFERROR('Data Sheet'!I62,0)</f>
        <v>138855.45000000001</v>
      </c>
      <c r="K53" s="64">
        <f>IFERROR('Data Sheet'!J62,0)</f>
        <v>132079.76</v>
      </c>
      <c r="L53" s="64">
        <f>IFERROR('Data Sheet'!K62,0)</f>
        <v>146046.56</v>
      </c>
    </row>
    <row r="54" spans="1:13" x14ac:dyDescent="0.3">
      <c r="B54" t="s">
        <v>144</v>
      </c>
      <c r="C54" s="64">
        <f>IFERROR('Data Sheet'!B63,0)</f>
        <v>28640.09</v>
      </c>
      <c r="D54" s="64">
        <f>IFERROR('Data Sheet'!C63,0)</f>
        <v>25918.94</v>
      </c>
      <c r="E54" s="64">
        <f>IFERROR('Data Sheet'!D63,0)</f>
        <v>33698.839999999997</v>
      </c>
      <c r="F54" s="64">
        <f>IFERROR('Data Sheet'!E63,0)</f>
        <v>40033.5</v>
      </c>
      <c r="G54" s="64">
        <f>IFERROR('Data Sheet'!F63,0)</f>
        <v>31883.84</v>
      </c>
      <c r="H54" s="64">
        <f>IFERROR('Data Sheet'!G63,0)</f>
        <v>35622.29</v>
      </c>
      <c r="I54" s="64">
        <f>IFERROR('Data Sheet'!H63,0)</f>
        <v>20963.93</v>
      </c>
      <c r="J54" s="64">
        <f>IFERROR('Data Sheet'!I63,0)</f>
        <v>10251.09</v>
      </c>
      <c r="K54" s="64">
        <f>IFERROR('Data Sheet'!J63,0)</f>
        <v>14274.5</v>
      </c>
      <c r="L54" s="64">
        <f>IFERROR('Data Sheet'!K63,0)</f>
        <v>10937.33</v>
      </c>
    </row>
    <row r="55" spans="1:13" x14ac:dyDescent="0.3">
      <c r="B55" t="s">
        <v>145</v>
      </c>
      <c r="C55" s="64">
        <f>IFERROR('Data Sheet'!B64,0)</f>
        <v>15336.74</v>
      </c>
      <c r="D55" s="64">
        <f>IFERROR('Data Sheet'!C64,0)</f>
        <v>23767.02</v>
      </c>
      <c r="E55" s="64">
        <f>IFERROR('Data Sheet'!D64,0)</f>
        <v>20337.919999999998</v>
      </c>
      <c r="F55" s="64">
        <f>IFERROR('Data Sheet'!E64,0)</f>
        <v>20812.75</v>
      </c>
      <c r="G55" s="64">
        <f>IFERROR('Data Sheet'!F64,0)</f>
        <v>15770.72</v>
      </c>
      <c r="H55" s="64">
        <f>IFERROR('Data Sheet'!G64,0)</f>
        <v>16308.48</v>
      </c>
      <c r="I55" s="64">
        <f>IFERROR('Data Sheet'!H64,0)</f>
        <v>24620.28</v>
      </c>
      <c r="J55" s="64">
        <f>IFERROR('Data Sheet'!I64,0)</f>
        <v>29379.53</v>
      </c>
      <c r="K55" s="64">
        <f>IFERROR('Data Sheet'!J64,0)</f>
        <v>26379.16</v>
      </c>
      <c r="L55" s="64">
        <f>IFERROR('Data Sheet'!K64,0)</f>
        <v>22971.07</v>
      </c>
    </row>
    <row r="56" spans="1:13" x14ac:dyDescent="0.3">
      <c r="B56" t="s">
        <v>146</v>
      </c>
      <c r="C56" s="64">
        <f>IFERROR('Data Sheet'!B65-SUM('Data Sheet'!B67:B69),0)</f>
        <v>30891.17</v>
      </c>
      <c r="D56" s="64">
        <f>IFERROR('Data Sheet'!C65-SUM('Data Sheet'!C67:C69),0)</f>
        <v>29579.359999999986</v>
      </c>
      <c r="E56" s="64">
        <f>IFERROR('Data Sheet'!D65-SUM('Data Sheet'!D67:D69),0)</f>
        <v>37360.780000000013</v>
      </c>
      <c r="F56" s="64">
        <f>IFERROR('Data Sheet'!E65-SUM('Data Sheet'!E67:E69),0)</f>
        <v>48286.860000000015</v>
      </c>
      <c r="G56" s="64">
        <f>IFERROR('Data Sheet'!F65-SUM('Data Sheet'!F67:F69),0)</f>
        <v>56155.739999999991</v>
      </c>
      <c r="H56" s="64">
        <f>IFERROR('Data Sheet'!G65-SUM('Data Sheet'!G67:G69),0)</f>
        <v>58784.94</v>
      </c>
      <c r="I56" s="64">
        <f>IFERROR('Data Sheet'!H65-SUM('Data Sheet'!H67:H69),0)</f>
        <v>61717.959999999992</v>
      </c>
      <c r="J56" s="64">
        <f>IFERROR('Data Sheet'!I65-SUM('Data Sheet'!I67:I69),0)</f>
        <v>62223.770000000019</v>
      </c>
      <c r="K56" s="64">
        <f>IFERROR('Data Sheet'!J65-SUM('Data Sheet'!J67:J69),0)</f>
        <v>68432.090000000011</v>
      </c>
      <c r="L56" s="64">
        <f>IFERROR('Data Sheet'!K65-SUM('Data Sheet'!K67:K69),0)</f>
        <v>80162.209999999992</v>
      </c>
    </row>
    <row r="57" spans="1:13" x14ac:dyDescent="0.3">
      <c r="A57" s="69"/>
      <c r="B57" s="67" t="s">
        <v>147</v>
      </c>
      <c r="C57" s="68">
        <f>IFERROR(SUM(C53:C56),0)</f>
        <v>163347.49</v>
      </c>
      <c r="D57" s="68">
        <f t="shared" ref="D57:L57" si="18">IFERROR(SUM(D53:D56),0)</f>
        <v>186497.07999999996</v>
      </c>
      <c r="E57" s="68">
        <f t="shared" si="18"/>
        <v>187341.62</v>
      </c>
      <c r="F57" s="68">
        <f t="shared" si="18"/>
        <v>230546.97</v>
      </c>
      <c r="G57" s="68">
        <f t="shared" si="18"/>
        <v>215044.77</v>
      </c>
      <c r="H57" s="68">
        <f t="shared" si="18"/>
        <v>237822.85</v>
      </c>
      <c r="I57" s="68">
        <f t="shared" si="18"/>
        <v>246009.77999999997</v>
      </c>
      <c r="J57" s="68">
        <f t="shared" si="18"/>
        <v>240709.84000000003</v>
      </c>
      <c r="K57" s="68">
        <f t="shared" si="18"/>
        <v>241165.51</v>
      </c>
      <c r="L57" s="68">
        <f t="shared" si="18"/>
        <v>260117.16999999998</v>
      </c>
      <c r="M57" s="69"/>
    </row>
    <row r="58" spans="1:13" x14ac:dyDescent="0.3">
      <c r="A58" s="69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</row>
    <row r="59" spans="1:13" x14ac:dyDescent="0.3">
      <c r="B59" t="s">
        <v>148</v>
      </c>
      <c r="C59" s="64">
        <f>IFERROR('Data Sheet'!B67,0)</f>
        <v>12579.2</v>
      </c>
      <c r="D59" s="64">
        <f>IFERROR('Data Sheet'!C67,0)</f>
        <v>13570.91</v>
      </c>
      <c r="E59" s="64">
        <f>IFERROR('Data Sheet'!D67,0)</f>
        <v>14075.55</v>
      </c>
      <c r="F59" s="64">
        <f>IFERROR('Data Sheet'!E67,0)</f>
        <v>19893.3</v>
      </c>
      <c r="G59" s="64">
        <f>IFERROR('Data Sheet'!F67,0)</f>
        <v>18996.169999999998</v>
      </c>
      <c r="H59" s="64">
        <f>IFERROR('Data Sheet'!G67,0)</f>
        <v>11172.69</v>
      </c>
      <c r="I59" s="64">
        <f>IFERROR('Data Sheet'!H67,0)</f>
        <v>12679.08</v>
      </c>
      <c r="J59" s="64">
        <f>IFERROR('Data Sheet'!I67,0)</f>
        <v>12442.12</v>
      </c>
      <c r="K59" s="64">
        <f>IFERROR('Data Sheet'!J67,0)</f>
        <v>15737.97</v>
      </c>
      <c r="L59" s="64">
        <f>IFERROR('Data Sheet'!K67,0)</f>
        <v>16951.810000000001</v>
      </c>
    </row>
    <row r="60" spans="1:13" x14ac:dyDescent="0.3">
      <c r="B60" t="s">
        <v>149</v>
      </c>
      <c r="C60" s="64">
        <f>IFERROR('Data Sheet'!B68,0)</f>
        <v>29272.34</v>
      </c>
      <c r="D60" s="64">
        <f>IFERROR('Data Sheet'!C68,0)</f>
        <v>32655.73</v>
      </c>
      <c r="E60" s="64">
        <f>IFERROR('Data Sheet'!D68,0)</f>
        <v>35085.31</v>
      </c>
      <c r="F60" s="64">
        <f>IFERROR('Data Sheet'!E68,0)</f>
        <v>42137.63</v>
      </c>
      <c r="G60" s="64">
        <f>IFERROR('Data Sheet'!F68,0)</f>
        <v>39013.730000000003</v>
      </c>
      <c r="H60" s="64">
        <f>IFERROR('Data Sheet'!G68,0)</f>
        <v>37456.879999999997</v>
      </c>
      <c r="I60" s="64">
        <f>IFERROR('Data Sheet'!H68,0)</f>
        <v>36088.589999999997</v>
      </c>
      <c r="J60" s="64">
        <f>IFERROR('Data Sheet'!I68,0)</f>
        <v>35240.339999999997</v>
      </c>
      <c r="K60" s="64">
        <f>IFERROR('Data Sheet'!J68,0)</f>
        <v>40755.39</v>
      </c>
      <c r="L60" s="64">
        <f>IFERROR('Data Sheet'!K68,0)</f>
        <v>47788.29</v>
      </c>
    </row>
    <row r="61" spans="1:13" x14ac:dyDescent="0.3">
      <c r="B61" t="s">
        <v>150</v>
      </c>
      <c r="C61" s="64">
        <f>IFERROR('Data Sheet'!B69,0)</f>
        <v>32115.759999999998</v>
      </c>
      <c r="D61" s="64">
        <f>IFERROR('Data Sheet'!C69,0)</f>
        <v>30460.400000000001</v>
      </c>
      <c r="E61" s="64">
        <f>IFERROR('Data Sheet'!D69,0)</f>
        <v>36077.879999999997</v>
      </c>
      <c r="F61" s="64">
        <f>IFERROR('Data Sheet'!E69,0)</f>
        <v>34613.910000000003</v>
      </c>
      <c r="G61" s="64">
        <f>IFERROR('Data Sheet'!F69,0)</f>
        <v>32648.82</v>
      </c>
      <c r="H61" s="64">
        <f>IFERROR('Data Sheet'!G69,0)</f>
        <v>33726.97</v>
      </c>
      <c r="I61" s="64">
        <f>IFERROR('Data Sheet'!H69,0)</f>
        <v>46792.46</v>
      </c>
      <c r="J61" s="64">
        <f>IFERROR('Data Sheet'!I69,0)</f>
        <v>40669.19</v>
      </c>
      <c r="K61" s="64">
        <f>IFERROR('Data Sheet'!J69,0)</f>
        <v>37015.56</v>
      </c>
      <c r="L61" s="64">
        <f>IFERROR('Data Sheet'!K69,0)</f>
        <v>45806.69</v>
      </c>
    </row>
    <row r="62" spans="1:13" x14ac:dyDescent="0.3">
      <c r="A62" s="69"/>
      <c r="B62" s="67" t="s">
        <v>151</v>
      </c>
      <c r="C62" s="68">
        <f>IFERROR(SUM(C59:C61),0)</f>
        <v>73967.3</v>
      </c>
      <c r="D62" s="68">
        <f t="shared" ref="D62:L62" si="19">IFERROR(SUM(D59:D61),0)</f>
        <v>76687.040000000008</v>
      </c>
      <c r="E62" s="68">
        <f t="shared" si="19"/>
        <v>85238.739999999991</v>
      </c>
      <c r="F62" s="68">
        <f t="shared" si="19"/>
        <v>96644.84</v>
      </c>
      <c r="G62" s="68">
        <f t="shared" si="19"/>
        <v>90658.72</v>
      </c>
      <c r="H62" s="68">
        <f t="shared" si="19"/>
        <v>82356.540000000008</v>
      </c>
      <c r="I62" s="68">
        <f t="shared" si="19"/>
        <v>95560.13</v>
      </c>
      <c r="J62" s="68">
        <f t="shared" si="19"/>
        <v>88351.65</v>
      </c>
      <c r="K62" s="68">
        <f t="shared" si="19"/>
        <v>93508.92</v>
      </c>
      <c r="L62" s="68">
        <f t="shared" si="19"/>
        <v>110546.79000000001</v>
      </c>
      <c r="M62" s="69"/>
    </row>
    <row r="64" spans="1:13" x14ac:dyDescent="0.3">
      <c r="A64" s="69"/>
      <c r="B64" s="67" t="s">
        <v>152</v>
      </c>
      <c r="C64" s="68">
        <f>IFERROR(SUM(C62,C57),0)</f>
        <v>237314.78999999998</v>
      </c>
      <c r="D64" s="68">
        <f t="shared" ref="D64:L64" si="20">IFERROR(SUM(D62,D57),0)</f>
        <v>263184.12</v>
      </c>
      <c r="E64" s="68">
        <f t="shared" si="20"/>
        <v>272580.36</v>
      </c>
      <c r="F64" s="68">
        <f t="shared" si="20"/>
        <v>327191.81</v>
      </c>
      <c r="G64" s="68">
        <f t="shared" si="20"/>
        <v>305703.49</v>
      </c>
      <c r="H64" s="68">
        <f t="shared" si="20"/>
        <v>320179.39</v>
      </c>
      <c r="I64" s="68">
        <f t="shared" si="20"/>
        <v>341569.91</v>
      </c>
      <c r="J64" s="68">
        <f t="shared" si="20"/>
        <v>329061.49</v>
      </c>
      <c r="K64" s="68">
        <f t="shared" si="20"/>
        <v>334674.43</v>
      </c>
      <c r="L64" s="68">
        <f t="shared" si="20"/>
        <v>370663.95999999996</v>
      </c>
      <c r="M64" s="69"/>
    </row>
    <row r="66" spans="1:13" x14ac:dyDescent="0.3">
      <c r="B66" s="72" t="s">
        <v>153</v>
      </c>
      <c r="C66" t="b">
        <f>C64=C51</f>
        <v>1</v>
      </c>
      <c r="D66" t="b">
        <f t="shared" ref="D66:L66" si="21">D64=D51</f>
        <v>1</v>
      </c>
      <c r="E66" t="b">
        <f t="shared" si="21"/>
        <v>1</v>
      </c>
      <c r="F66" t="b">
        <f t="shared" si="21"/>
        <v>1</v>
      </c>
      <c r="G66" t="b">
        <f t="shared" si="21"/>
        <v>1</v>
      </c>
      <c r="H66" t="b">
        <f t="shared" si="21"/>
        <v>1</v>
      </c>
      <c r="I66" t="b">
        <f t="shared" si="21"/>
        <v>1</v>
      </c>
      <c r="J66" t="b">
        <f t="shared" si="21"/>
        <v>1</v>
      </c>
      <c r="K66" t="b">
        <f t="shared" si="21"/>
        <v>1</v>
      </c>
      <c r="L66" t="b">
        <f t="shared" si="21"/>
        <v>1</v>
      </c>
    </row>
    <row r="68" spans="1:13" x14ac:dyDescent="0.3">
      <c r="A68" s="60" t="s">
        <v>108</v>
      </c>
      <c r="B68" s="63" t="s">
        <v>154</v>
      </c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</row>
    <row r="69" spans="1:13" x14ac:dyDescent="0.3">
      <c r="B69" s="69" t="s">
        <v>155</v>
      </c>
    </row>
    <row r="70" spans="1:13" x14ac:dyDescent="0.3">
      <c r="B70" s="97" t="s">
        <v>156</v>
      </c>
      <c r="C70" s="143">
        <f>IFERROR('Cash Flow'!E4,0)</f>
        <v>43397</v>
      </c>
      <c r="D70" s="143">
        <f>IFERROR('Cash Flow'!F4,0)</f>
        <v>38626</v>
      </c>
      <c r="E70" s="143">
        <f>IFERROR('Cash Flow'!G4,0)</f>
        <v>28840</v>
      </c>
      <c r="F70" s="143">
        <f>IFERROR('Cash Flow'!H4,0)</f>
        <v>33312</v>
      </c>
      <c r="G70" s="143">
        <f>IFERROR('Cash Flow'!I4,0)</f>
        <v>28771</v>
      </c>
      <c r="H70" s="143">
        <f>IFERROR('Cash Flow'!J4,0)</f>
        <v>23352</v>
      </c>
      <c r="I70" s="143">
        <f>IFERROR('Cash Flow'!K4,0)</f>
        <v>31198</v>
      </c>
      <c r="J70" s="143">
        <f>IFERROR('Cash Flow'!L4,0)</f>
        <v>26943</v>
      </c>
      <c r="K70" s="143">
        <f>IFERROR('Cash Flow'!M4,0)</f>
        <v>41694</v>
      </c>
      <c r="L70" s="143">
        <f>IFERROR('Cash Flow'!N4,0)</f>
        <v>65106</v>
      </c>
    </row>
    <row r="71" spans="1:13" x14ac:dyDescent="0.3">
      <c r="B71" s="97" t="s">
        <v>148</v>
      </c>
      <c r="C71" s="143">
        <f>IFERROR('Cash Flow'!E5,0)</f>
        <v>-3179</v>
      </c>
      <c r="D71" s="143">
        <f>IFERROR('Cash Flow'!F5,0)</f>
        <v>-2223</v>
      </c>
      <c r="E71" s="143">
        <f>IFERROR('Cash Flow'!G5,0)</f>
        <v>-4152</v>
      </c>
      <c r="F71" s="143">
        <f>IFERROR('Cash Flow'!H5,0)</f>
        <v>-10688</v>
      </c>
      <c r="G71" s="143">
        <f>IFERROR('Cash Flow'!I5,0)</f>
        <v>-9109</v>
      </c>
      <c r="H71" s="143">
        <f>IFERROR('Cash Flow'!J5,0)</f>
        <v>9950</v>
      </c>
      <c r="I71" s="143">
        <f>IFERROR('Cash Flow'!K5,0)</f>
        <v>-5505</v>
      </c>
      <c r="J71" s="143">
        <f>IFERROR('Cash Flow'!L5,0)</f>
        <v>185</v>
      </c>
      <c r="K71" s="143">
        <f>IFERROR('Cash Flow'!M5,0)</f>
        <v>-2213</v>
      </c>
      <c r="L71" s="143">
        <f>IFERROR('Cash Flow'!N5,0)</f>
        <v>-1151</v>
      </c>
    </row>
    <row r="72" spans="1:13" x14ac:dyDescent="0.3">
      <c r="B72" s="97" t="s">
        <v>149</v>
      </c>
      <c r="C72" s="143">
        <f>IFERROR('Cash Flow'!E6,0)</f>
        <v>-3692</v>
      </c>
      <c r="D72" s="143">
        <f>IFERROR('Cash Flow'!F6,0)</f>
        <v>-5743</v>
      </c>
      <c r="E72" s="143">
        <f>IFERROR('Cash Flow'!G6,0)</f>
        <v>-6621</v>
      </c>
      <c r="F72" s="143">
        <f>IFERROR('Cash Flow'!H6,0)</f>
        <v>-3560</v>
      </c>
      <c r="G72" s="143">
        <f>IFERROR('Cash Flow'!I6,0)</f>
        <v>2069</v>
      </c>
      <c r="H72" s="143">
        <f>IFERROR('Cash Flow'!J6,0)</f>
        <v>2326</v>
      </c>
      <c r="I72" s="143">
        <f>IFERROR('Cash Flow'!K6,0)</f>
        <v>3814</v>
      </c>
      <c r="J72" s="143">
        <f>IFERROR('Cash Flow'!L6,0)</f>
        <v>472</v>
      </c>
      <c r="K72" s="143">
        <f>IFERROR('Cash Flow'!M6,0)</f>
        <v>-5665</v>
      </c>
      <c r="L72" s="143">
        <f>IFERROR('Cash Flow'!N6,0)</f>
        <v>-7265</v>
      </c>
    </row>
    <row r="73" spans="1:13" x14ac:dyDescent="0.3">
      <c r="B73" s="97" t="s">
        <v>157</v>
      </c>
      <c r="C73" s="143">
        <f>IFERROR('Cash Flow'!E7,0)</f>
        <v>3598</v>
      </c>
      <c r="D73" s="143">
        <f>IFERROR('Cash Flow'!F7,0)</f>
        <v>3947</v>
      </c>
      <c r="E73" s="143">
        <f>IFERROR('Cash Flow'!G7,0)</f>
        <v>9301</v>
      </c>
      <c r="F73" s="143">
        <f>IFERROR('Cash Flow'!H7,0)</f>
        <v>7320</v>
      </c>
      <c r="G73" s="143">
        <f>IFERROR('Cash Flow'!I7,0)</f>
        <v>-4692</v>
      </c>
      <c r="H73" s="143">
        <f>IFERROR('Cash Flow'!J7,0)</f>
        <v>-8085</v>
      </c>
      <c r="I73" s="143">
        <f>IFERROR('Cash Flow'!K7,0)</f>
        <v>5748</v>
      </c>
      <c r="J73" s="143">
        <f>IFERROR('Cash Flow'!L7,0)</f>
        <v>-7012</v>
      </c>
      <c r="K73" s="143">
        <f>IFERROR('Cash Flow'!M7,0)</f>
        <v>6945</v>
      </c>
      <c r="L73" s="143">
        <f>IFERROR('Cash Flow'!N7,0)</f>
        <v>13706</v>
      </c>
    </row>
    <row r="74" spans="1:13" x14ac:dyDescent="0.3">
      <c r="B74" s="97" t="s">
        <v>158</v>
      </c>
      <c r="C74" s="143">
        <f>IFERROR('Cash Flow'!E8,0)</f>
        <v>0</v>
      </c>
      <c r="D74" s="143">
        <f>IFERROR('Cash Flow'!F8,0)</f>
        <v>-520</v>
      </c>
      <c r="E74" s="143">
        <f>IFERROR('Cash Flow'!G8,0)</f>
        <v>0</v>
      </c>
      <c r="F74" s="143">
        <f>IFERROR('Cash Flow'!H8,0)</f>
        <v>0</v>
      </c>
      <c r="G74" s="143">
        <f>IFERROR('Cash Flow'!I8,0)</f>
        <v>0</v>
      </c>
      <c r="H74" s="143">
        <f>IFERROR('Cash Flow'!J8,0)</f>
        <v>0</v>
      </c>
      <c r="I74" s="143">
        <f>IFERROR('Cash Flow'!K8,0)</f>
        <v>0</v>
      </c>
      <c r="J74" s="143">
        <f>IFERROR('Cash Flow'!L8,0)</f>
        <v>0</v>
      </c>
      <c r="K74" s="143">
        <f>IFERROR('Cash Flow'!M8,0)</f>
        <v>0</v>
      </c>
      <c r="L74" s="143">
        <f>IFERROR('Cash Flow'!N8,0)</f>
        <v>-3083</v>
      </c>
    </row>
    <row r="75" spans="1:13" x14ac:dyDescent="0.3">
      <c r="B75" s="97" t="s">
        <v>159</v>
      </c>
      <c r="C75" s="143">
        <f>IFERROR('Cash Flow'!E9,0)</f>
        <v>-398</v>
      </c>
      <c r="D75" s="143">
        <f>IFERROR('Cash Flow'!F9,0)</f>
        <v>5852</v>
      </c>
      <c r="E75" s="143">
        <f>IFERROR('Cash Flow'!G9,0)</f>
        <v>4727</v>
      </c>
      <c r="F75" s="143">
        <f>IFERROR('Cash Flow'!H9,0)</f>
        <v>494</v>
      </c>
      <c r="G75" s="143">
        <f>IFERROR('Cash Flow'!I9,0)</f>
        <v>4512</v>
      </c>
      <c r="H75" s="143">
        <f>IFERROR('Cash Flow'!J9,0)</f>
        <v>875</v>
      </c>
      <c r="I75" s="143">
        <f>IFERROR('Cash Flow'!K9,0)</f>
        <v>-4150</v>
      </c>
      <c r="J75" s="143">
        <f>IFERROR('Cash Flow'!L9,0)</f>
        <v>-4396</v>
      </c>
      <c r="K75" s="143">
        <f>IFERROR('Cash Flow'!M9,0)</f>
        <v>-2194</v>
      </c>
      <c r="L75" s="143">
        <f>IFERROR('Cash Flow'!N9,0)</f>
        <v>5118</v>
      </c>
    </row>
    <row r="76" spans="1:13" x14ac:dyDescent="0.3">
      <c r="B76" s="97" t="s">
        <v>160</v>
      </c>
      <c r="C76" s="143">
        <f>IFERROR('Cash Flow'!E10,0)</f>
        <v>-3672</v>
      </c>
      <c r="D76" s="143">
        <f>IFERROR('Cash Flow'!F10,0)</f>
        <v>1313</v>
      </c>
      <c r="E76" s="143">
        <f>IFERROR('Cash Flow'!G10,0)</f>
        <v>3254</v>
      </c>
      <c r="F76" s="143">
        <f>IFERROR('Cash Flow'!H10,0)</f>
        <v>-6434</v>
      </c>
      <c r="G76" s="143">
        <f>IFERROR('Cash Flow'!I10,0)</f>
        <v>-7221</v>
      </c>
      <c r="H76" s="143">
        <f>IFERROR('Cash Flow'!J10,0)</f>
        <v>5065</v>
      </c>
      <c r="I76" s="143">
        <f>IFERROR('Cash Flow'!K10,0)</f>
        <v>-93</v>
      </c>
      <c r="J76" s="143">
        <f>IFERROR('Cash Flow'!L10,0)</f>
        <v>-10750</v>
      </c>
      <c r="K76" s="143">
        <f>IFERROR('Cash Flow'!M10,0)</f>
        <v>-3127</v>
      </c>
      <c r="L76" s="143">
        <f>IFERROR('Cash Flow'!N10,0)</f>
        <v>7325</v>
      </c>
    </row>
    <row r="77" spans="1:13" x14ac:dyDescent="0.3">
      <c r="B77" t="s">
        <v>161</v>
      </c>
      <c r="C77" s="143">
        <f>IFERROR('Cash Flow'!E11,0)</f>
        <v>-4194</v>
      </c>
      <c r="D77" s="143">
        <f>IFERROR('Cash Flow'!F11,0)</f>
        <v>-2040</v>
      </c>
      <c r="E77" s="143">
        <f>IFERROR('Cash Flow'!G11,0)</f>
        <v>-1895</v>
      </c>
      <c r="F77" s="143">
        <f>IFERROR('Cash Flow'!H11,0)</f>
        <v>-3021</v>
      </c>
      <c r="G77" s="143">
        <f>IFERROR('Cash Flow'!I11,0)</f>
        <v>-2659</v>
      </c>
      <c r="H77" s="143">
        <f>IFERROR('Cash Flow'!J11,0)</f>
        <v>-1785</v>
      </c>
      <c r="I77" s="143">
        <f>IFERROR('Cash Flow'!K11,0)</f>
        <v>-2105</v>
      </c>
      <c r="J77" s="143">
        <f>IFERROR('Cash Flow'!L11,0)</f>
        <v>-1910</v>
      </c>
      <c r="K77" s="143">
        <f>IFERROR('Cash Flow'!M11,0)</f>
        <v>-3179</v>
      </c>
      <c r="L77" s="143">
        <f>IFERROR('Cash Flow'!N11,0)</f>
        <v>-4516</v>
      </c>
    </row>
    <row r="78" spans="1:13" x14ac:dyDescent="0.3">
      <c r="A78" s="69"/>
      <c r="B78" s="144" t="s">
        <v>162</v>
      </c>
      <c r="C78" s="145">
        <f>SUM(C70:C77)</f>
        <v>31860</v>
      </c>
      <c r="D78" s="145">
        <f t="shared" ref="D78:L78" si="22">SUM(D70:D77)</f>
        <v>39212</v>
      </c>
      <c r="E78" s="145">
        <f t="shared" si="22"/>
        <v>33454</v>
      </c>
      <c r="F78" s="145">
        <f t="shared" si="22"/>
        <v>17423</v>
      </c>
      <c r="G78" s="145">
        <f t="shared" si="22"/>
        <v>11671</v>
      </c>
      <c r="H78" s="145">
        <f t="shared" si="22"/>
        <v>31698</v>
      </c>
      <c r="I78" s="145">
        <f t="shared" si="22"/>
        <v>28907</v>
      </c>
      <c r="J78" s="145">
        <f t="shared" si="22"/>
        <v>3532</v>
      </c>
      <c r="K78" s="145">
        <f t="shared" si="22"/>
        <v>32261</v>
      </c>
      <c r="L78" s="145">
        <f t="shared" si="22"/>
        <v>75240</v>
      </c>
      <c r="M78" s="69"/>
    </row>
    <row r="80" spans="1:13" x14ac:dyDescent="0.3">
      <c r="B80" s="69" t="s">
        <v>163</v>
      </c>
    </row>
    <row r="81" spans="1:13" x14ac:dyDescent="0.3">
      <c r="B81" s="97" t="s">
        <v>164</v>
      </c>
      <c r="C81" s="143">
        <f>IFERROR('Cash Flow'!E13,0)</f>
        <v>-31962</v>
      </c>
      <c r="D81" s="143">
        <f>IFERROR('Cash Flow'!F13,0)</f>
        <v>-31503</v>
      </c>
      <c r="E81" s="143">
        <f>IFERROR('Cash Flow'!G13,0)</f>
        <v>-16072</v>
      </c>
      <c r="F81" s="143">
        <f>IFERROR('Cash Flow'!H13,0)</f>
        <v>-35079</v>
      </c>
      <c r="G81" s="143">
        <f>IFERROR('Cash Flow'!I13,0)</f>
        <v>-35304</v>
      </c>
      <c r="H81" s="143">
        <f>IFERROR('Cash Flow'!J13,0)</f>
        <v>-29702</v>
      </c>
      <c r="I81" s="143">
        <f>IFERROR('Cash Flow'!K13,0)</f>
        <v>-20205</v>
      </c>
      <c r="J81" s="143">
        <f>IFERROR('Cash Flow'!L13,0)</f>
        <v>-15168</v>
      </c>
      <c r="K81" s="143">
        <f>IFERROR('Cash Flow'!M13,0)</f>
        <v>-19230</v>
      </c>
      <c r="L81" s="143">
        <f>IFERROR('Cash Flow'!N13,0)</f>
        <v>-31414</v>
      </c>
    </row>
    <row r="82" spans="1:13" x14ac:dyDescent="0.3">
      <c r="B82" s="97" t="s">
        <v>165</v>
      </c>
      <c r="C82" s="143">
        <f>IFERROR('Cash Flow'!E14,0)</f>
        <v>74</v>
      </c>
      <c r="D82" s="143">
        <f>IFERROR('Cash Flow'!F14,0)</f>
        <v>59</v>
      </c>
      <c r="E82" s="143">
        <f>IFERROR('Cash Flow'!G14,0)</f>
        <v>53</v>
      </c>
      <c r="F82" s="143">
        <f>IFERROR('Cash Flow'!H14,0)</f>
        <v>30</v>
      </c>
      <c r="G82" s="143">
        <f>IFERROR('Cash Flow'!I14,0)</f>
        <v>67</v>
      </c>
      <c r="H82" s="143">
        <f>IFERROR('Cash Flow'!J14,0)</f>
        <v>171</v>
      </c>
      <c r="I82" s="143">
        <f>IFERROR('Cash Flow'!K14,0)</f>
        <v>351</v>
      </c>
      <c r="J82" s="143">
        <f>IFERROR('Cash Flow'!L14,0)</f>
        <v>230</v>
      </c>
      <c r="K82" s="143">
        <f>IFERROR('Cash Flow'!M14,0)</f>
        <v>285</v>
      </c>
      <c r="L82" s="143">
        <f>IFERROR('Cash Flow'!N14,0)</f>
        <v>231</v>
      </c>
    </row>
    <row r="83" spans="1:13" x14ac:dyDescent="0.3">
      <c r="B83" s="97" t="s">
        <v>166</v>
      </c>
      <c r="C83" s="143">
        <f>IFERROR('Cash Flow'!E15,0)</f>
        <v>-5461</v>
      </c>
      <c r="D83" s="143">
        <f>IFERROR('Cash Flow'!F15,0)</f>
        <v>-4728</v>
      </c>
      <c r="E83" s="143">
        <f>IFERROR('Cash Flow'!G15,0)</f>
        <v>-6</v>
      </c>
      <c r="F83" s="143">
        <f>IFERROR('Cash Flow'!H15,0)</f>
        <v>-329</v>
      </c>
      <c r="G83" s="143">
        <f>IFERROR('Cash Flow'!I15,0)</f>
        <v>-130</v>
      </c>
      <c r="H83" s="143">
        <f>IFERROR('Cash Flow'!J15,0)</f>
        <v>-1439</v>
      </c>
      <c r="I83" s="143">
        <f>IFERROR('Cash Flow'!K15,0)</f>
        <v>-7530</v>
      </c>
      <c r="J83" s="143">
        <f>IFERROR('Cash Flow'!L15,0)</f>
        <v>-3008</v>
      </c>
      <c r="K83" s="143">
        <f>IFERROR('Cash Flow'!M15,0)</f>
        <v>-50</v>
      </c>
      <c r="L83" s="143">
        <f>IFERROR('Cash Flow'!N15,0)</f>
        <v>-5567</v>
      </c>
    </row>
    <row r="84" spans="1:13" x14ac:dyDescent="0.3">
      <c r="B84" s="97" t="s">
        <v>167</v>
      </c>
      <c r="C84" s="143">
        <f>IFERROR('Cash Flow'!E16,0)</f>
        <v>42</v>
      </c>
      <c r="D84" s="143">
        <f>IFERROR('Cash Flow'!F16,0)</f>
        <v>89</v>
      </c>
      <c r="E84" s="143">
        <f>IFERROR('Cash Flow'!G16,0)</f>
        <v>1965</v>
      </c>
      <c r="F84" s="143">
        <f>IFERROR('Cash Flow'!H16,0)</f>
        <v>2381</v>
      </c>
      <c r="G84" s="143">
        <f>IFERROR('Cash Flow'!I16,0)</f>
        <v>5644</v>
      </c>
      <c r="H84" s="143">
        <f>IFERROR('Cash Flow'!J16,0)</f>
        <v>21</v>
      </c>
      <c r="I84" s="143">
        <f>IFERROR('Cash Flow'!K16,0)</f>
        <v>226</v>
      </c>
      <c r="J84" s="143">
        <f>IFERROR('Cash Flow'!L16,0)</f>
        <v>104</v>
      </c>
      <c r="K84" s="143">
        <f>IFERROR('Cash Flow'!M16,0)</f>
        <v>6895</v>
      </c>
      <c r="L84" s="143">
        <f>IFERROR('Cash Flow'!N16,0)</f>
        <v>10820</v>
      </c>
    </row>
    <row r="85" spans="1:13" x14ac:dyDescent="0.3">
      <c r="B85" s="97" t="s">
        <v>168</v>
      </c>
      <c r="C85" s="143">
        <f>IFERROR('Cash Flow'!E17,0)</f>
        <v>698</v>
      </c>
      <c r="D85" s="143">
        <f>IFERROR('Cash Flow'!F17,0)</f>
        <v>731</v>
      </c>
      <c r="E85" s="143">
        <f>IFERROR('Cash Flow'!G17,0)</f>
        <v>638</v>
      </c>
      <c r="F85" s="143">
        <f>IFERROR('Cash Flow'!H17,0)</f>
        <v>690</v>
      </c>
      <c r="G85" s="143">
        <f>IFERROR('Cash Flow'!I17,0)</f>
        <v>761</v>
      </c>
      <c r="H85" s="143">
        <f>IFERROR('Cash Flow'!J17,0)</f>
        <v>1104</v>
      </c>
      <c r="I85" s="143">
        <f>IFERROR('Cash Flow'!K17,0)</f>
        <v>428</v>
      </c>
      <c r="J85" s="143">
        <f>IFERROR('Cash Flow'!L17,0)</f>
        <v>653</v>
      </c>
      <c r="K85" s="143">
        <f>IFERROR('Cash Flow'!M17,0)</f>
        <v>973</v>
      </c>
      <c r="L85" s="143">
        <f>IFERROR('Cash Flow'!N17,0)</f>
        <v>2493</v>
      </c>
    </row>
    <row r="86" spans="1:13" x14ac:dyDescent="0.3">
      <c r="B86" s="97" t="s">
        <v>169</v>
      </c>
      <c r="C86" s="143">
        <f>IFERROR('Cash Flow'!E18,0)</f>
        <v>80</v>
      </c>
      <c r="D86" s="143">
        <f>IFERROR('Cash Flow'!F18,0)</f>
        <v>58</v>
      </c>
      <c r="E86" s="143">
        <f>IFERROR('Cash Flow'!G18,0)</f>
        <v>620</v>
      </c>
      <c r="F86" s="143">
        <f>IFERROR('Cash Flow'!H18,0)</f>
        <v>1797</v>
      </c>
      <c r="G86" s="143">
        <f>IFERROR('Cash Flow'!I18,0)</f>
        <v>232</v>
      </c>
      <c r="H86" s="143">
        <f>IFERROR('Cash Flow'!J18,0)</f>
        <v>21</v>
      </c>
      <c r="I86" s="143">
        <f>IFERROR('Cash Flow'!K18,0)</f>
        <v>18</v>
      </c>
      <c r="J86" s="143">
        <f>IFERROR('Cash Flow'!L18,0)</f>
        <v>32</v>
      </c>
      <c r="K86" s="143">
        <f>IFERROR('Cash Flow'!M18,0)</f>
        <v>46</v>
      </c>
      <c r="L86" s="143">
        <f>IFERROR('Cash Flow'!N18,0)</f>
        <v>96</v>
      </c>
    </row>
    <row r="87" spans="1:13" x14ac:dyDescent="0.3">
      <c r="B87" s="97" t="s">
        <v>170</v>
      </c>
      <c r="C87" s="143">
        <f>IFERROR('Cash Flow'!E19,0)</f>
        <v>-160</v>
      </c>
      <c r="D87" s="143">
        <f>IFERROR('Cash Flow'!F19,0)</f>
        <v>0</v>
      </c>
      <c r="E87" s="143">
        <f>IFERROR('Cash Flow'!G19,0)</f>
        <v>-107</v>
      </c>
      <c r="F87" s="143">
        <f>IFERROR('Cash Flow'!H19,0)</f>
        <v>-4</v>
      </c>
      <c r="G87" s="143">
        <f>IFERROR('Cash Flow'!I19,0)</f>
        <v>-9</v>
      </c>
      <c r="H87" s="143">
        <f>IFERROR('Cash Flow'!J19,0)</f>
        <v>-606</v>
      </c>
      <c r="I87" s="143">
        <f>IFERROR('Cash Flow'!K19,0)</f>
        <v>-10</v>
      </c>
      <c r="J87" s="143">
        <f>IFERROR('Cash Flow'!L19,0)</f>
        <v>0</v>
      </c>
      <c r="K87" s="143">
        <f>IFERROR('Cash Flow'!M19,0)</f>
        <v>0</v>
      </c>
      <c r="L87" s="143">
        <f>IFERROR('Cash Flow'!N19,0)</f>
        <v>0</v>
      </c>
    </row>
    <row r="88" spans="1:13" x14ac:dyDescent="0.3">
      <c r="B88" s="97" t="s">
        <v>171</v>
      </c>
      <c r="C88" s="143">
        <f>IFERROR('Cash Flow'!E20,0)</f>
        <v>0</v>
      </c>
      <c r="D88" s="143">
        <f>IFERROR('Cash Flow'!F20,0)</f>
        <v>0</v>
      </c>
      <c r="E88" s="143">
        <f>IFERROR('Cash Flow'!G20,0)</f>
        <v>0</v>
      </c>
      <c r="F88" s="143">
        <f>IFERROR('Cash Flow'!H20,0)</f>
        <v>14</v>
      </c>
      <c r="G88" s="143">
        <f>IFERROR('Cash Flow'!I20,0)</f>
        <v>533</v>
      </c>
      <c r="H88" s="143">
        <f>IFERROR('Cash Flow'!J20,0)</f>
        <v>0</v>
      </c>
      <c r="I88" s="143">
        <f>IFERROR('Cash Flow'!K20,0)</f>
        <v>0</v>
      </c>
      <c r="J88" s="143">
        <f>IFERROR('Cash Flow'!L20,0)</f>
        <v>0</v>
      </c>
      <c r="K88" s="143">
        <f>IFERROR('Cash Flow'!M20,0)</f>
        <v>19</v>
      </c>
      <c r="L88" s="143">
        <f>IFERROR('Cash Flow'!N20,0)</f>
        <v>108</v>
      </c>
    </row>
    <row r="89" spans="1:13" x14ac:dyDescent="0.3">
      <c r="B89" s="97" t="s">
        <v>172</v>
      </c>
      <c r="C89" s="143">
        <f>IFERROR('Cash Flow'!E21,0)</f>
        <v>0</v>
      </c>
      <c r="D89" s="143">
        <f>IFERROR('Cash Flow'!F21,0)</f>
        <v>-111</v>
      </c>
      <c r="E89" s="143">
        <f>IFERROR('Cash Flow'!G21,0)</f>
        <v>0</v>
      </c>
      <c r="F89" s="143">
        <f>IFERROR('Cash Flow'!H21,0)</f>
        <v>0</v>
      </c>
      <c r="G89" s="143">
        <f>IFERROR('Cash Flow'!I21,0)</f>
        <v>-8</v>
      </c>
      <c r="H89" s="143">
        <f>IFERROR('Cash Flow'!J21,0)</f>
        <v>-27</v>
      </c>
      <c r="I89" s="143">
        <f>IFERROR('Cash Flow'!K21,0)</f>
        <v>0</v>
      </c>
      <c r="J89" s="143">
        <f>IFERROR('Cash Flow'!L21,0)</f>
        <v>-98</v>
      </c>
      <c r="K89" s="143">
        <f>IFERROR('Cash Flow'!M21,0)</f>
        <v>0</v>
      </c>
      <c r="L89" s="143">
        <f>IFERROR('Cash Flow'!N21,0)</f>
        <v>0</v>
      </c>
    </row>
    <row r="90" spans="1:13" x14ac:dyDescent="0.3">
      <c r="B90" s="97" t="s">
        <v>173</v>
      </c>
      <c r="C90" s="143">
        <f>IFERROR('Cash Flow'!E22,0)</f>
        <v>0</v>
      </c>
      <c r="D90" s="143">
        <f>IFERROR('Cash Flow'!F22,0)</f>
        <v>0</v>
      </c>
      <c r="E90" s="143">
        <f>IFERROR('Cash Flow'!G22,0)</f>
        <v>0</v>
      </c>
      <c r="F90" s="143">
        <f>IFERROR('Cash Flow'!H22,0)</f>
        <v>0</v>
      </c>
      <c r="G90" s="143">
        <f>IFERROR('Cash Flow'!I22,0)</f>
        <v>0</v>
      </c>
      <c r="H90" s="143">
        <f>IFERROR('Cash Flow'!J22,0)</f>
        <v>0</v>
      </c>
      <c r="I90" s="143">
        <f>IFERROR('Cash Flow'!K22,0)</f>
        <v>0</v>
      </c>
      <c r="J90" s="143">
        <f>IFERROR('Cash Flow'!L22,0)</f>
        <v>0</v>
      </c>
      <c r="K90" s="143">
        <f>IFERROR('Cash Flow'!M22,0)</f>
        <v>0</v>
      </c>
      <c r="L90" s="143">
        <f>IFERROR('Cash Flow'!N22,0)</f>
        <v>-24</v>
      </c>
    </row>
    <row r="91" spans="1:13" x14ac:dyDescent="0.3">
      <c r="B91" t="s">
        <v>174</v>
      </c>
      <c r="C91" s="64">
        <f>IFERROR('Cash Flow'!E23,0)</f>
        <v>456</v>
      </c>
      <c r="D91" s="64">
        <f>IFERROR('Cash Flow'!F23,0)</f>
        <v>-1289</v>
      </c>
      <c r="E91" s="64">
        <f>IFERROR('Cash Flow'!G23,0)</f>
        <v>-26663</v>
      </c>
      <c r="F91" s="64">
        <f>IFERROR('Cash Flow'!H23,0)</f>
        <v>5360</v>
      </c>
      <c r="G91" s="64">
        <f>IFERROR('Cash Flow'!I23,0)</f>
        <v>7335</v>
      </c>
      <c r="H91" s="64">
        <f>IFERROR('Cash Flow'!J23,0)</f>
        <v>-2659</v>
      </c>
      <c r="I91" s="64">
        <f>IFERROR('Cash Flow'!K23,0)</f>
        <v>1051</v>
      </c>
      <c r="J91" s="64">
        <f>IFERROR('Cash Flow'!L23,0)</f>
        <v>12813</v>
      </c>
      <c r="K91" s="64">
        <f>IFERROR('Cash Flow'!M23,0)</f>
        <v>-4357</v>
      </c>
      <c r="L91" s="64">
        <f>IFERROR('Cash Flow'!N23,0)</f>
        <v>429</v>
      </c>
    </row>
    <row r="92" spans="1:13" x14ac:dyDescent="0.3">
      <c r="A92" s="69"/>
      <c r="B92" s="144" t="s">
        <v>175</v>
      </c>
      <c r="C92" s="145">
        <f>SUM(C81:C91)</f>
        <v>-36233</v>
      </c>
      <c r="D92" s="145">
        <f t="shared" ref="D92:L92" si="23">SUM(D81:D91)</f>
        <v>-36694</v>
      </c>
      <c r="E92" s="145">
        <f t="shared" si="23"/>
        <v>-39572</v>
      </c>
      <c r="F92" s="145">
        <f t="shared" si="23"/>
        <v>-25140</v>
      </c>
      <c r="G92" s="145">
        <f t="shared" si="23"/>
        <v>-20879</v>
      </c>
      <c r="H92" s="145">
        <f t="shared" si="23"/>
        <v>-33116</v>
      </c>
      <c r="I92" s="145">
        <f t="shared" si="23"/>
        <v>-25671</v>
      </c>
      <c r="J92" s="145">
        <f t="shared" si="23"/>
        <v>-4442</v>
      </c>
      <c r="K92" s="145">
        <f t="shared" si="23"/>
        <v>-15419</v>
      </c>
      <c r="L92" s="145">
        <f t="shared" si="23"/>
        <v>-22828</v>
      </c>
      <c r="M92" s="69"/>
    </row>
    <row r="94" spans="1:13" x14ac:dyDescent="0.3">
      <c r="B94" s="69" t="s">
        <v>176</v>
      </c>
    </row>
    <row r="95" spans="1:13" x14ac:dyDescent="0.3">
      <c r="B95" s="97" t="s">
        <v>177</v>
      </c>
      <c r="C95" s="143">
        <f>IFERROR('Cash Flow'!E25,0)</f>
        <v>0</v>
      </c>
      <c r="D95" s="143">
        <f>IFERROR('Cash Flow'!F25,0)</f>
        <v>7433</v>
      </c>
      <c r="E95" s="143">
        <f>IFERROR('Cash Flow'!G25,0)</f>
        <v>5</v>
      </c>
      <c r="F95" s="143">
        <f>IFERROR('Cash Flow'!H25,0)</f>
        <v>0</v>
      </c>
      <c r="G95" s="143">
        <f>IFERROR('Cash Flow'!I25,0)</f>
        <v>0</v>
      </c>
      <c r="H95" s="143">
        <f>IFERROR('Cash Flow'!J25,0)</f>
        <v>3889</v>
      </c>
      <c r="I95" s="143">
        <f>IFERROR('Cash Flow'!K25,0)</f>
        <v>2603</v>
      </c>
      <c r="J95" s="143">
        <f>IFERROR('Cash Flow'!L25,0)</f>
        <v>19</v>
      </c>
      <c r="K95" s="143">
        <f>IFERROR('Cash Flow'!M25,0)</f>
        <v>20</v>
      </c>
      <c r="L95" s="143">
        <f>IFERROR('Cash Flow'!N25,0)</f>
        <v>82</v>
      </c>
    </row>
    <row r="96" spans="1:13" x14ac:dyDescent="0.3">
      <c r="B96" s="97" t="s">
        <v>178</v>
      </c>
      <c r="C96" s="143">
        <f>IFERROR('Cash Flow'!E26,0)</f>
        <v>-744</v>
      </c>
      <c r="D96" s="143">
        <f>IFERROR('Cash Flow'!F26,0)</f>
        <v>0</v>
      </c>
      <c r="E96" s="143">
        <f>IFERROR('Cash Flow'!G26,0)</f>
        <v>0</v>
      </c>
      <c r="F96" s="143">
        <f>IFERROR('Cash Flow'!H26,0)</f>
        <v>0</v>
      </c>
      <c r="G96" s="143">
        <f>IFERROR('Cash Flow'!I26,0)</f>
        <v>0</v>
      </c>
      <c r="H96" s="143">
        <f>IFERROR('Cash Flow'!J26,0)</f>
        <v>0</v>
      </c>
      <c r="I96" s="143">
        <f>IFERROR('Cash Flow'!K26,0)</f>
        <v>0</v>
      </c>
      <c r="J96" s="143">
        <f>IFERROR('Cash Flow'!L26,0)</f>
        <v>0</v>
      </c>
      <c r="K96" s="143">
        <f>IFERROR('Cash Flow'!M26,0)</f>
        <v>0</v>
      </c>
      <c r="L96" s="143">
        <f>IFERROR('Cash Flow'!N26,0)</f>
        <v>0</v>
      </c>
    </row>
    <row r="97" spans="1:13" x14ac:dyDescent="0.3">
      <c r="B97" s="97" t="s">
        <v>179</v>
      </c>
      <c r="C97" s="143">
        <f>IFERROR('Cash Flow'!E27,0)</f>
        <v>36363</v>
      </c>
      <c r="D97" s="143">
        <f>IFERROR('Cash Flow'!F27,0)</f>
        <v>19519</v>
      </c>
      <c r="E97" s="143">
        <f>IFERROR('Cash Flow'!G27,0)</f>
        <v>33390</v>
      </c>
      <c r="F97" s="143">
        <f>IFERROR('Cash Flow'!H27,0)</f>
        <v>37482</v>
      </c>
      <c r="G97" s="143">
        <f>IFERROR('Cash Flow'!I27,0)</f>
        <v>51128</v>
      </c>
      <c r="H97" s="143">
        <f>IFERROR('Cash Flow'!J27,0)</f>
        <v>38297</v>
      </c>
      <c r="I97" s="143">
        <f>IFERROR('Cash Flow'!K27,0)</f>
        <v>46641</v>
      </c>
      <c r="J97" s="143">
        <f>IFERROR('Cash Flow'!L27,0)</f>
        <v>46578</v>
      </c>
      <c r="K97" s="143">
        <f>IFERROR('Cash Flow'!M27,0)</f>
        <v>43934</v>
      </c>
      <c r="L97" s="143">
        <f>IFERROR('Cash Flow'!N27,0)</f>
        <v>21824</v>
      </c>
    </row>
    <row r="98" spans="1:13" x14ac:dyDescent="0.3">
      <c r="B98" s="97" t="s">
        <v>180</v>
      </c>
      <c r="C98" s="143">
        <f>IFERROR('Cash Flow'!E28,0)</f>
        <v>-23332</v>
      </c>
      <c r="D98" s="143">
        <f>IFERROR('Cash Flow'!F28,0)</f>
        <v>-24924</v>
      </c>
      <c r="E98" s="143">
        <f>IFERROR('Cash Flow'!G28,0)</f>
        <v>-21732</v>
      </c>
      <c r="F98" s="143">
        <f>IFERROR('Cash Flow'!H28,0)</f>
        <v>-29964</v>
      </c>
      <c r="G98" s="143">
        <f>IFERROR('Cash Flow'!I28,0)</f>
        <v>-35198</v>
      </c>
      <c r="H98" s="143">
        <f>IFERROR('Cash Flow'!J28,0)</f>
        <v>-29847</v>
      </c>
      <c r="I98" s="143">
        <f>IFERROR('Cash Flow'!K28,0)</f>
        <v>-29709</v>
      </c>
      <c r="J98" s="143">
        <f>IFERROR('Cash Flow'!L28,0)</f>
        <v>-42816</v>
      </c>
      <c r="K98" s="143">
        <f>IFERROR('Cash Flow'!M28,0)</f>
        <v>-62557</v>
      </c>
      <c r="L98" s="143">
        <f>IFERROR('Cash Flow'!N28,0)</f>
        <v>-50325</v>
      </c>
    </row>
    <row r="99" spans="1:13" x14ac:dyDescent="0.3">
      <c r="B99" s="97" t="s">
        <v>181</v>
      </c>
      <c r="C99" s="143">
        <f>IFERROR('Cash Flow'!E29,0)</f>
        <v>-6307</v>
      </c>
      <c r="D99" s="143">
        <f>IFERROR('Cash Flow'!F29,0)</f>
        <v>-5716</v>
      </c>
      <c r="E99" s="143">
        <f>IFERROR('Cash Flow'!G29,0)</f>
        <v>-5336</v>
      </c>
      <c r="F99" s="143">
        <f>IFERROR('Cash Flow'!H29,0)</f>
        <v>-5411</v>
      </c>
      <c r="G99" s="143">
        <f>IFERROR('Cash Flow'!I29,0)</f>
        <v>-7005</v>
      </c>
      <c r="H99" s="143">
        <f>IFERROR('Cash Flow'!J29,0)</f>
        <v>-7518</v>
      </c>
      <c r="I99" s="143">
        <f>IFERROR('Cash Flow'!K29,0)</f>
        <v>-8123</v>
      </c>
      <c r="J99" s="143">
        <f>IFERROR('Cash Flow'!L29,0)</f>
        <v>-9251</v>
      </c>
      <c r="K99" s="143">
        <f>IFERROR('Cash Flow'!M29,0)</f>
        <v>-9336</v>
      </c>
      <c r="L99" s="143">
        <f>IFERROR('Cash Flow'!N29,0)</f>
        <v>-9332</v>
      </c>
    </row>
    <row r="100" spans="1:13" x14ac:dyDescent="0.3">
      <c r="B100" s="97" t="s">
        <v>182</v>
      </c>
      <c r="C100" s="143">
        <f>IFERROR('Cash Flow'!E30,0)</f>
        <v>-720</v>
      </c>
      <c r="D100" s="143">
        <f>IFERROR('Cash Flow'!F30,0)</f>
        <v>-108</v>
      </c>
      <c r="E100" s="143">
        <f>IFERROR('Cash Flow'!G30,0)</f>
        <v>-121</v>
      </c>
      <c r="F100" s="143">
        <f>IFERROR('Cash Flow'!H30,0)</f>
        <v>-96</v>
      </c>
      <c r="G100" s="143">
        <f>IFERROR('Cash Flow'!I30,0)</f>
        <v>-95</v>
      </c>
      <c r="H100" s="143">
        <f>IFERROR('Cash Flow'!J30,0)</f>
        <v>-57</v>
      </c>
      <c r="I100" s="143">
        <f>IFERROR('Cash Flow'!K30,0)</f>
        <v>-30</v>
      </c>
      <c r="J100" s="143">
        <f>IFERROR('Cash Flow'!L30,0)</f>
        <v>-100</v>
      </c>
      <c r="K100" s="143">
        <f>IFERROR('Cash Flow'!M30,0)</f>
        <v>-141</v>
      </c>
      <c r="L100" s="143">
        <f>IFERROR('Cash Flow'!N30,0)</f>
        <v>-289</v>
      </c>
    </row>
    <row r="101" spans="1:13" x14ac:dyDescent="0.3">
      <c r="B101" s="97" t="s">
        <v>183</v>
      </c>
      <c r="C101" s="143">
        <f>IFERROR('Cash Flow'!E31,0)</f>
        <v>0</v>
      </c>
      <c r="D101" s="143">
        <f>IFERROR('Cash Flow'!F31,0)</f>
        <v>0</v>
      </c>
      <c r="E101" s="143">
        <f>IFERROR('Cash Flow'!G31,0)</f>
        <v>0</v>
      </c>
      <c r="F101" s="143">
        <f>IFERROR('Cash Flow'!H31,0)</f>
        <v>0</v>
      </c>
      <c r="G101" s="143">
        <f>IFERROR('Cash Flow'!I31,0)</f>
        <v>0</v>
      </c>
      <c r="H101" s="143">
        <f>IFERROR('Cash Flow'!J31,0)</f>
        <v>-1346</v>
      </c>
      <c r="I101" s="143">
        <f>IFERROR('Cash Flow'!K31,0)</f>
        <v>-1477</v>
      </c>
      <c r="J101" s="143">
        <f>IFERROR('Cash Flow'!L31,0)</f>
        <v>-1559</v>
      </c>
      <c r="K101" s="143">
        <f>IFERROR('Cash Flow'!M31,0)</f>
        <v>-1517</v>
      </c>
      <c r="L101" s="143">
        <f>IFERROR('Cash Flow'!N31,0)</f>
        <v>-3848</v>
      </c>
    </row>
    <row r="102" spans="1:13" x14ac:dyDescent="0.3">
      <c r="B102" t="s">
        <v>184</v>
      </c>
      <c r="C102" s="64">
        <f>IFERROR('Cash Flow'!E32,0)</f>
        <v>-57</v>
      </c>
      <c r="D102" s="64">
        <f>IFERROR('Cash Flow'!F32,0)</f>
        <v>0</v>
      </c>
      <c r="E102" s="64">
        <f>IFERROR('Cash Flow'!G32,0)</f>
        <v>0</v>
      </c>
      <c r="F102" s="64">
        <f>IFERROR('Cash Flow'!H32,0)</f>
        <v>0</v>
      </c>
      <c r="G102" s="64">
        <f>IFERROR('Cash Flow'!I32,0)</f>
        <v>0</v>
      </c>
      <c r="H102" s="64">
        <f>IFERROR('Cash Flow'!J32,0)</f>
        <v>-29</v>
      </c>
      <c r="I102" s="64">
        <f>IFERROR('Cash Flow'!K32,0)</f>
        <v>0</v>
      </c>
      <c r="J102" s="64">
        <f>IFERROR('Cash Flow'!L32,0)</f>
        <v>3750</v>
      </c>
      <c r="K102" s="64">
        <f>IFERROR('Cash Flow'!M32,0)</f>
        <v>3355</v>
      </c>
      <c r="L102" s="64">
        <f>IFERROR('Cash Flow'!N32,0)</f>
        <v>4884</v>
      </c>
    </row>
    <row r="103" spans="1:13" x14ac:dyDescent="0.3">
      <c r="A103" s="69"/>
      <c r="B103" s="144" t="s">
        <v>185</v>
      </c>
      <c r="C103" s="145">
        <f>SUM(C95:C102)</f>
        <v>5203</v>
      </c>
      <c r="D103" s="145">
        <f t="shared" ref="D103:L103" si="24">SUM(D95:D102)</f>
        <v>-3796</v>
      </c>
      <c r="E103" s="145">
        <f t="shared" si="24"/>
        <v>6206</v>
      </c>
      <c r="F103" s="145">
        <f t="shared" si="24"/>
        <v>2011</v>
      </c>
      <c r="G103" s="145">
        <f t="shared" si="24"/>
        <v>8830</v>
      </c>
      <c r="H103" s="145">
        <f t="shared" si="24"/>
        <v>3389</v>
      </c>
      <c r="I103" s="145">
        <f t="shared" si="24"/>
        <v>9905</v>
      </c>
      <c r="J103" s="145">
        <f t="shared" si="24"/>
        <v>-3379</v>
      </c>
      <c r="K103" s="145">
        <f t="shared" si="24"/>
        <v>-26242</v>
      </c>
      <c r="L103" s="145">
        <f t="shared" si="24"/>
        <v>-37004</v>
      </c>
      <c r="M103" s="69"/>
    </row>
    <row r="105" spans="1:13" ht="15" thickBot="1" x14ac:dyDescent="0.35">
      <c r="A105" s="69"/>
      <c r="B105" s="146" t="s">
        <v>186</v>
      </c>
      <c r="C105" s="147">
        <f>IFERROR(C103+C92+C78,0)</f>
        <v>830</v>
      </c>
      <c r="D105" s="147">
        <f t="shared" ref="D105:L105" si="25">IFERROR(D103+D92+D78,0)</f>
        <v>-1278</v>
      </c>
      <c r="E105" s="147">
        <f t="shared" si="25"/>
        <v>88</v>
      </c>
      <c r="F105" s="147">
        <f t="shared" si="25"/>
        <v>-5706</v>
      </c>
      <c r="G105" s="147">
        <f t="shared" si="25"/>
        <v>-378</v>
      </c>
      <c r="H105" s="147">
        <f t="shared" si="25"/>
        <v>1971</v>
      </c>
      <c r="I105" s="147">
        <f t="shared" si="25"/>
        <v>13141</v>
      </c>
      <c r="J105" s="147">
        <f t="shared" si="25"/>
        <v>-4289</v>
      </c>
      <c r="K105" s="147">
        <f t="shared" si="25"/>
        <v>-9400</v>
      </c>
      <c r="L105" s="147">
        <f t="shared" si="25"/>
        <v>15408</v>
      </c>
      <c r="M105" s="69"/>
    </row>
  </sheetData>
  <mergeCells count="1">
    <mergeCell ref="B2:M2"/>
  </mergeCells>
  <pageMargins left="0.7" right="0.7" top="0.75" bottom="0.75" header="0.3" footer="0.3"/>
  <pageSetup orientation="portrait" r:id="rId1"/>
  <ignoredErrors>
    <ignoredError sqref="H15" formulaRange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29476-5100-490D-A6D6-F3769004EE78}">
  <dimension ref="B2:N33"/>
  <sheetViews>
    <sheetView topLeftCell="A4" workbookViewId="0">
      <selection activeCell="B8" sqref="B8"/>
    </sheetView>
  </sheetViews>
  <sheetFormatPr defaultRowHeight="14.4" x14ac:dyDescent="0.3"/>
  <cols>
    <col min="2" max="2" width="25.77734375" bestFit="1" customWidth="1"/>
  </cols>
  <sheetData>
    <row r="2" spans="2:14" x14ac:dyDescent="0.3">
      <c r="C2" s="100">
        <v>41334</v>
      </c>
      <c r="D2" s="100">
        <v>41699</v>
      </c>
      <c r="E2" s="100">
        <v>42064</v>
      </c>
      <c r="F2" s="100">
        <v>42430</v>
      </c>
      <c r="G2" s="100">
        <v>42795</v>
      </c>
      <c r="H2" s="100">
        <v>43160</v>
      </c>
      <c r="I2" s="100">
        <v>43525</v>
      </c>
      <c r="J2" s="100">
        <v>43891</v>
      </c>
      <c r="K2" s="100">
        <v>44256</v>
      </c>
      <c r="L2" s="100">
        <v>44621</v>
      </c>
      <c r="M2" s="100">
        <v>44986</v>
      </c>
      <c r="N2" s="100">
        <v>45352</v>
      </c>
    </row>
    <row r="3" spans="2:14" x14ac:dyDescent="0.3">
      <c r="B3" t="s">
        <v>268</v>
      </c>
      <c r="C3" s="81">
        <v>22163</v>
      </c>
      <c r="D3" s="81">
        <v>36151</v>
      </c>
      <c r="E3" s="81">
        <v>35531</v>
      </c>
      <c r="F3" s="81">
        <v>37900</v>
      </c>
      <c r="G3" s="81">
        <v>30199</v>
      </c>
      <c r="H3" s="81">
        <v>23857</v>
      </c>
      <c r="I3" s="81">
        <v>18891</v>
      </c>
      <c r="J3" s="81">
        <v>26633</v>
      </c>
      <c r="K3" s="81">
        <v>29001</v>
      </c>
      <c r="L3" s="81">
        <v>14283</v>
      </c>
      <c r="M3" s="81">
        <v>35388</v>
      </c>
      <c r="N3" s="81">
        <v>67915</v>
      </c>
    </row>
    <row r="4" spans="2:14" x14ac:dyDescent="0.3">
      <c r="B4" t="s">
        <v>156</v>
      </c>
      <c r="C4" s="81">
        <v>24406</v>
      </c>
      <c r="D4" s="81">
        <v>36303</v>
      </c>
      <c r="E4" s="81">
        <v>43397</v>
      </c>
      <c r="F4" s="81">
        <v>38626</v>
      </c>
      <c r="G4" s="81">
        <v>28840</v>
      </c>
      <c r="H4" s="81">
        <v>33312</v>
      </c>
      <c r="I4" s="81">
        <v>28771</v>
      </c>
      <c r="J4" s="81">
        <v>23352</v>
      </c>
      <c r="K4" s="81">
        <v>31198</v>
      </c>
      <c r="L4" s="81">
        <v>26943</v>
      </c>
      <c r="M4" s="81">
        <v>41694</v>
      </c>
      <c r="N4" s="81">
        <v>65106</v>
      </c>
    </row>
    <row r="5" spans="2:14" x14ac:dyDescent="0.3">
      <c r="B5" t="s">
        <v>148</v>
      </c>
      <c r="C5" s="81">
        <v>-5177</v>
      </c>
      <c r="D5">
        <v>445</v>
      </c>
      <c r="E5" s="81">
        <v>-3179</v>
      </c>
      <c r="F5" s="81">
        <v>-2223</v>
      </c>
      <c r="G5" s="81">
        <v>-4152</v>
      </c>
      <c r="H5" s="81">
        <v>-10688</v>
      </c>
      <c r="I5" s="81">
        <v>-9109</v>
      </c>
      <c r="J5" s="81">
        <v>9950</v>
      </c>
      <c r="K5" s="81">
        <v>-5505</v>
      </c>
      <c r="L5">
        <v>185</v>
      </c>
      <c r="M5" s="81">
        <v>-2213</v>
      </c>
      <c r="N5" s="81">
        <v>-1151</v>
      </c>
    </row>
    <row r="6" spans="2:14" x14ac:dyDescent="0.3">
      <c r="B6" t="s">
        <v>149</v>
      </c>
      <c r="C6" s="81">
        <v>-2656</v>
      </c>
      <c r="D6" s="81">
        <v>-2853</v>
      </c>
      <c r="E6" s="81">
        <v>-3692</v>
      </c>
      <c r="F6" s="81">
        <v>-5743</v>
      </c>
      <c r="G6" s="81">
        <v>-6621</v>
      </c>
      <c r="H6" s="81">
        <v>-3560</v>
      </c>
      <c r="I6" s="81">
        <v>2069</v>
      </c>
      <c r="J6" s="81">
        <v>2326</v>
      </c>
      <c r="K6" s="81">
        <v>3814</v>
      </c>
      <c r="L6">
        <v>472</v>
      </c>
      <c r="M6" s="81">
        <v>-5665</v>
      </c>
      <c r="N6" s="81">
        <v>-7265</v>
      </c>
    </row>
    <row r="7" spans="2:14" x14ac:dyDescent="0.3">
      <c r="B7" t="s">
        <v>157</v>
      </c>
      <c r="C7" s="81">
        <v>8132</v>
      </c>
      <c r="D7" s="81">
        <v>4694</v>
      </c>
      <c r="E7" s="81">
        <v>3598</v>
      </c>
      <c r="F7" s="81">
        <v>3947</v>
      </c>
      <c r="G7" s="81">
        <v>9301</v>
      </c>
      <c r="H7" s="81">
        <v>7320</v>
      </c>
      <c r="I7" s="81">
        <v>-4692</v>
      </c>
      <c r="J7" s="81">
        <v>-8085</v>
      </c>
      <c r="K7" s="81">
        <v>5748</v>
      </c>
      <c r="L7" s="81">
        <v>-7012</v>
      </c>
      <c r="M7" s="81">
        <v>6945</v>
      </c>
      <c r="N7" s="81">
        <v>13706</v>
      </c>
    </row>
    <row r="8" spans="2:14" x14ac:dyDescent="0.3">
      <c r="B8" t="s">
        <v>158</v>
      </c>
      <c r="C8">
        <v>0</v>
      </c>
      <c r="D8">
        <v>0</v>
      </c>
      <c r="E8">
        <v>0</v>
      </c>
      <c r="F8">
        <v>-520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 s="81">
        <v>-3083</v>
      </c>
    </row>
    <row r="9" spans="2:14" x14ac:dyDescent="0.3">
      <c r="B9" t="s">
        <v>159</v>
      </c>
      <c r="C9">
        <v>-303</v>
      </c>
      <c r="D9" s="81">
        <v>1870</v>
      </c>
      <c r="E9">
        <v>-398</v>
      </c>
      <c r="F9" s="81">
        <v>5852</v>
      </c>
      <c r="G9" s="81">
        <v>4727</v>
      </c>
      <c r="H9">
        <v>494</v>
      </c>
      <c r="I9" s="81">
        <v>4512</v>
      </c>
      <c r="J9">
        <v>875</v>
      </c>
      <c r="K9" s="81">
        <v>-4150</v>
      </c>
      <c r="L9" s="81">
        <v>-4396</v>
      </c>
      <c r="M9" s="81">
        <v>-2194</v>
      </c>
      <c r="N9" s="81">
        <v>5118</v>
      </c>
    </row>
    <row r="10" spans="2:14" x14ac:dyDescent="0.3">
      <c r="B10" t="s">
        <v>160</v>
      </c>
      <c r="C10">
        <v>-3</v>
      </c>
      <c r="D10" s="81">
        <v>4157</v>
      </c>
      <c r="E10" s="81">
        <v>-3672</v>
      </c>
      <c r="F10" s="81">
        <v>1313</v>
      </c>
      <c r="G10" s="81">
        <v>3254</v>
      </c>
      <c r="H10" s="81">
        <v>-6434</v>
      </c>
      <c r="I10" s="81">
        <v>-7221</v>
      </c>
      <c r="J10" s="81">
        <v>5065</v>
      </c>
      <c r="K10">
        <v>-93</v>
      </c>
      <c r="L10" s="81">
        <v>-10750</v>
      </c>
      <c r="M10" s="81">
        <v>-3127</v>
      </c>
      <c r="N10" s="81">
        <v>7325</v>
      </c>
    </row>
    <row r="11" spans="2:14" x14ac:dyDescent="0.3">
      <c r="B11" t="s">
        <v>161</v>
      </c>
      <c r="C11" s="81">
        <v>-2240</v>
      </c>
      <c r="D11" s="81">
        <v>-4308</v>
      </c>
      <c r="E11" s="81">
        <v>-4194</v>
      </c>
      <c r="F11" s="81">
        <v>-2040</v>
      </c>
      <c r="G11" s="81">
        <v>-1895</v>
      </c>
      <c r="H11" s="81">
        <v>-3021</v>
      </c>
      <c r="I11" s="81">
        <v>-2659</v>
      </c>
      <c r="J11" s="81">
        <v>-1785</v>
      </c>
      <c r="K11" s="81">
        <v>-2105</v>
      </c>
      <c r="L11" s="81">
        <v>-1910</v>
      </c>
      <c r="M11" s="81">
        <v>-3179</v>
      </c>
      <c r="N11" s="81">
        <v>-4516</v>
      </c>
    </row>
    <row r="12" spans="2:14" x14ac:dyDescent="0.3">
      <c r="B12" t="s">
        <v>269</v>
      </c>
      <c r="C12" s="81">
        <v>-22969</v>
      </c>
      <c r="D12" s="81">
        <v>-27991</v>
      </c>
      <c r="E12" s="81">
        <v>-36232</v>
      </c>
      <c r="F12" s="81">
        <v>-36694</v>
      </c>
      <c r="G12" s="81">
        <v>-39571</v>
      </c>
      <c r="H12" s="81">
        <v>-25139</v>
      </c>
      <c r="I12" s="81">
        <v>-20878</v>
      </c>
      <c r="J12" s="81">
        <v>-33115</v>
      </c>
      <c r="K12" s="81">
        <v>-25672</v>
      </c>
      <c r="L12" s="81">
        <v>-4444</v>
      </c>
      <c r="M12" s="81">
        <v>-15417</v>
      </c>
      <c r="N12" s="81">
        <v>-22828</v>
      </c>
    </row>
    <row r="13" spans="2:14" x14ac:dyDescent="0.3">
      <c r="B13" t="s">
        <v>164</v>
      </c>
      <c r="C13" s="81">
        <v>-18863</v>
      </c>
      <c r="D13" s="81">
        <v>-26975</v>
      </c>
      <c r="E13" s="81">
        <v>-31962</v>
      </c>
      <c r="F13" s="81">
        <v>-31503</v>
      </c>
      <c r="G13" s="81">
        <v>-16072</v>
      </c>
      <c r="H13" s="81">
        <v>-35079</v>
      </c>
      <c r="I13" s="81">
        <v>-35304</v>
      </c>
      <c r="J13" s="81">
        <v>-29702</v>
      </c>
      <c r="K13" s="81">
        <v>-20205</v>
      </c>
      <c r="L13" s="81">
        <v>-15168</v>
      </c>
      <c r="M13" s="81">
        <v>-19230</v>
      </c>
      <c r="N13" s="81">
        <v>-31414</v>
      </c>
    </row>
    <row r="14" spans="2:14" x14ac:dyDescent="0.3">
      <c r="B14" t="s">
        <v>165</v>
      </c>
      <c r="C14">
        <v>37</v>
      </c>
      <c r="D14">
        <v>50</v>
      </c>
      <c r="E14">
        <v>74</v>
      </c>
      <c r="F14">
        <v>59</v>
      </c>
      <c r="G14">
        <v>53</v>
      </c>
      <c r="H14">
        <v>30</v>
      </c>
      <c r="I14">
        <v>67</v>
      </c>
      <c r="J14">
        <v>171</v>
      </c>
      <c r="K14">
        <v>351</v>
      </c>
      <c r="L14">
        <v>230</v>
      </c>
      <c r="M14">
        <v>285</v>
      </c>
      <c r="N14">
        <v>231</v>
      </c>
    </row>
    <row r="15" spans="2:14" x14ac:dyDescent="0.3">
      <c r="B15" t="s">
        <v>166</v>
      </c>
      <c r="C15">
        <v>73</v>
      </c>
      <c r="D15">
        <v>-429</v>
      </c>
      <c r="E15" s="81">
        <v>-5461</v>
      </c>
      <c r="F15" s="81">
        <v>-4728</v>
      </c>
      <c r="G15">
        <v>-6</v>
      </c>
      <c r="H15">
        <v>-329</v>
      </c>
      <c r="I15">
        <v>-130</v>
      </c>
      <c r="J15" s="81">
        <v>-1439</v>
      </c>
      <c r="K15" s="81">
        <v>-7530</v>
      </c>
      <c r="L15" s="81">
        <v>-3008</v>
      </c>
      <c r="M15">
        <v>-50</v>
      </c>
      <c r="N15" s="81">
        <v>-5567</v>
      </c>
    </row>
    <row r="16" spans="2:14" x14ac:dyDescent="0.3">
      <c r="B16" t="s">
        <v>167</v>
      </c>
      <c r="C16">
        <v>34</v>
      </c>
      <c r="D16">
        <v>4</v>
      </c>
      <c r="E16">
        <v>42</v>
      </c>
      <c r="F16">
        <v>89</v>
      </c>
      <c r="G16" s="81">
        <v>1965</v>
      </c>
      <c r="H16" s="81">
        <v>2381</v>
      </c>
      <c r="I16" s="81">
        <v>5644</v>
      </c>
      <c r="J16">
        <v>21</v>
      </c>
      <c r="K16">
        <v>226</v>
      </c>
      <c r="L16">
        <v>104</v>
      </c>
      <c r="M16" s="81">
        <v>6895</v>
      </c>
      <c r="N16" s="81">
        <v>10820</v>
      </c>
    </row>
    <row r="17" spans="2:14" x14ac:dyDescent="0.3">
      <c r="B17" t="s">
        <v>168</v>
      </c>
      <c r="C17">
        <v>713</v>
      </c>
      <c r="D17">
        <v>653</v>
      </c>
      <c r="E17">
        <v>698</v>
      </c>
      <c r="F17">
        <v>731</v>
      </c>
      <c r="G17">
        <v>638</v>
      </c>
      <c r="H17">
        <v>690</v>
      </c>
      <c r="I17">
        <v>761</v>
      </c>
      <c r="J17" s="81">
        <v>1104</v>
      </c>
      <c r="K17">
        <v>428</v>
      </c>
      <c r="L17">
        <v>653</v>
      </c>
      <c r="M17">
        <v>973</v>
      </c>
      <c r="N17" s="81">
        <v>2493</v>
      </c>
    </row>
    <row r="18" spans="2:14" x14ac:dyDescent="0.3">
      <c r="B18" t="s">
        <v>169</v>
      </c>
      <c r="C18">
        <v>95</v>
      </c>
      <c r="D18">
        <v>40</v>
      </c>
      <c r="E18">
        <v>80</v>
      </c>
      <c r="F18">
        <v>58</v>
      </c>
      <c r="G18">
        <v>620</v>
      </c>
      <c r="H18" s="81">
        <v>1797</v>
      </c>
      <c r="I18">
        <v>232</v>
      </c>
      <c r="J18">
        <v>21</v>
      </c>
      <c r="K18">
        <v>18</v>
      </c>
      <c r="L18">
        <v>32</v>
      </c>
      <c r="M18">
        <v>46</v>
      </c>
      <c r="N18">
        <v>96</v>
      </c>
    </row>
    <row r="19" spans="2:14" x14ac:dyDescent="0.3">
      <c r="B19" t="s">
        <v>170</v>
      </c>
      <c r="C19">
        <v>0</v>
      </c>
      <c r="D19">
        <v>0</v>
      </c>
      <c r="E19">
        <v>-160</v>
      </c>
      <c r="F19">
        <v>0</v>
      </c>
      <c r="G19">
        <v>-107</v>
      </c>
      <c r="H19">
        <v>-4</v>
      </c>
      <c r="I19">
        <v>-9</v>
      </c>
      <c r="J19">
        <v>-606</v>
      </c>
      <c r="K19">
        <v>-10</v>
      </c>
      <c r="L19">
        <v>0</v>
      </c>
      <c r="M19">
        <v>0</v>
      </c>
      <c r="N19">
        <v>0</v>
      </c>
    </row>
    <row r="20" spans="2:14" x14ac:dyDescent="0.3">
      <c r="B20" t="s">
        <v>171</v>
      </c>
      <c r="C20">
        <v>0</v>
      </c>
      <c r="D20">
        <v>0</v>
      </c>
      <c r="E20">
        <v>0</v>
      </c>
      <c r="F20">
        <v>0</v>
      </c>
      <c r="G20">
        <v>0</v>
      </c>
      <c r="H20">
        <v>14</v>
      </c>
      <c r="I20">
        <v>533</v>
      </c>
      <c r="J20">
        <v>0</v>
      </c>
      <c r="K20">
        <v>0</v>
      </c>
      <c r="L20">
        <v>0</v>
      </c>
      <c r="M20">
        <v>19</v>
      </c>
      <c r="N20">
        <v>108</v>
      </c>
    </row>
    <row r="21" spans="2:14" x14ac:dyDescent="0.3">
      <c r="B21" t="s">
        <v>172</v>
      </c>
      <c r="C21">
        <v>0</v>
      </c>
      <c r="D21">
        <v>-185</v>
      </c>
      <c r="E21">
        <v>0</v>
      </c>
      <c r="F21">
        <v>-111</v>
      </c>
      <c r="G21">
        <v>0</v>
      </c>
      <c r="H21">
        <v>0</v>
      </c>
      <c r="I21">
        <v>-8</v>
      </c>
      <c r="J21">
        <v>-27</v>
      </c>
      <c r="K21">
        <v>0</v>
      </c>
      <c r="L21">
        <v>-98</v>
      </c>
      <c r="M21">
        <v>0</v>
      </c>
      <c r="N21">
        <v>0</v>
      </c>
    </row>
    <row r="22" spans="2:14" x14ac:dyDescent="0.3">
      <c r="B22" t="s">
        <v>173</v>
      </c>
      <c r="C22">
        <v>45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-24</v>
      </c>
    </row>
    <row r="23" spans="2:14" x14ac:dyDescent="0.3">
      <c r="B23" t="s">
        <v>174</v>
      </c>
      <c r="C23" s="81">
        <v>-5103</v>
      </c>
      <c r="D23" s="81">
        <v>-1149</v>
      </c>
      <c r="E23">
        <v>456</v>
      </c>
      <c r="F23" s="81">
        <v>-1289</v>
      </c>
      <c r="G23" s="81">
        <v>-26663</v>
      </c>
      <c r="H23" s="81">
        <v>5360</v>
      </c>
      <c r="I23" s="81">
        <v>7335</v>
      </c>
      <c r="J23" s="81">
        <v>-2659</v>
      </c>
      <c r="K23" s="81">
        <v>1051</v>
      </c>
      <c r="L23" s="81">
        <v>12813</v>
      </c>
      <c r="M23" s="81">
        <v>-4357</v>
      </c>
      <c r="N23">
        <v>429</v>
      </c>
    </row>
    <row r="24" spans="2:14" x14ac:dyDescent="0.3">
      <c r="B24" t="s">
        <v>270</v>
      </c>
      <c r="C24" s="81">
        <v>-1692</v>
      </c>
      <c r="D24" s="81">
        <v>-3883</v>
      </c>
      <c r="E24" s="81">
        <v>5201</v>
      </c>
      <c r="F24" s="81">
        <v>-3795</v>
      </c>
      <c r="G24" s="81">
        <v>6205</v>
      </c>
      <c r="H24" s="81">
        <v>2012</v>
      </c>
      <c r="I24" s="81">
        <v>8830</v>
      </c>
      <c r="J24" s="81">
        <v>3390</v>
      </c>
      <c r="K24" s="81">
        <v>9904</v>
      </c>
      <c r="L24" s="81">
        <v>-3380</v>
      </c>
      <c r="M24" s="81">
        <v>-26243</v>
      </c>
      <c r="N24" s="81">
        <v>-37006</v>
      </c>
    </row>
    <row r="25" spans="2:14" x14ac:dyDescent="0.3">
      <c r="B25" t="s">
        <v>177</v>
      </c>
      <c r="C25">
        <v>1</v>
      </c>
      <c r="D25">
        <v>0</v>
      </c>
      <c r="E25">
        <v>0</v>
      </c>
      <c r="F25" s="81">
        <v>7433</v>
      </c>
      <c r="G25">
        <v>5</v>
      </c>
      <c r="H25">
        <v>0</v>
      </c>
      <c r="I25">
        <v>0</v>
      </c>
      <c r="J25" s="81">
        <v>3889</v>
      </c>
      <c r="K25" s="81">
        <v>2603</v>
      </c>
      <c r="L25">
        <v>19</v>
      </c>
      <c r="M25">
        <v>20</v>
      </c>
      <c r="N25">
        <v>82</v>
      </c>
    </row>
    <row r="26" spans="2:14" x14ac:dyDescent="0.3">
      <c r="B26" t="s">
        <v>178</v>
      </c>
      <c r="C26">
        <v>-97</v>
      </c>
      <c r="D26">
        <v>-658</v>
      </c>
      <c r="E26">
        <v>-744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2:14" x14ac:dyDescent="0.3">
      <c r="B27" t="s">
        <v>179</v>
      </c>
      <c r="C27" s="81">
        <v>27863</v>
      </c>
      <c r="D27" s="81">
        <v>33258</v>
      </c>
      <c r="E27" s="81">
        <v>36363</v>
      </c>
      <c r="F27" s="81">
        <v>19519</v>
      </c>
      <c r="G27" s="81">
        <v>33390</v>
      </c>
      <c r="H27" s="81">
        <v>37482</v>
      </c>
      <c r="I27" s="81">
        <v>51128</v>
      </c>
      <c r="J27" s="81">
        <v>38297</v>
      </c>
      <c r="K27" s="81">
        <v>46641</v>
      </c>
      <c r="L27" s="81">
        <v>46578</v>
      </c>
      <c r="M27" s="81">
        <v>43934</v>
      </c>
      <c r="N27" s="81">
        <v>21824</v>
      </c>
    </row>
    <row r="28" spans="2:14" x14ac:dyDescent="0.3">
      <c r="B28" t="s">
        <v>180</v>
      </c>
      <c r="C28" s="81">
        <v>-20395</v>
      </c>
      <c r="D28" s="81">
        <v>-29141</v>
      </c>
      <c r="E28" s="81">
        <v>-23332</v>
      </c>
      <c r="F28" s="81">
        <v>-24924</v>
      </c>
      <c r="G28" s="81">
        <v>-21732</v>
      </c>
      <c r="H28" s="81">
        <v>-29964</v>
      </c>
      <c r="I28" s="81">
        <v>-35198</v>
      </c>
      <c r="J28" s="81">
        <v>-29847</v>
      </c>
      <c r="K28" s="81">
        <v>-29709</v>
      </c>
      <c r="L28" s="81">
        <v>-42816</v>
      </c>
      <c r="M28" s="81">
        <v>-62557</v>
      </c>
      <c r="N28" s="81">
        <v>-50325</v>
      </c>
    </row>
    <row r="29" spans="2:14" x14ac:dyDescent="0.3">
      <c r="B29" t="s">
        <v>181</v>
      </c>
      <c r="C29" s="81">
        <v>-4666</v>
      </c>
      <c r="D29" s="81">
        <v>-6171</v>
      </c>
      <c r="E29" s="81">
        <v>-6307</v>
      </c>
      <c r="F29" s="81">
        <v>-5716</v>
      </c>
      <c r="G29" s="81">
        <v>-5336</v>
      </c>
      <c r="H29" s="81">
        <v>-5411</v>
      </c>
      <c r="I29" s="81">
        <v>-7005</v>
      </c>
      <c r="J29" s="81">
        <v>-7518</v>
      </c>
      <c r="K29" s="81">
        <v>-8123</v>
      </c>
      <c r="L29" s="81">
        <v>-9251</v>
      </c>
      <c r="M29" s="81">
        <v>-9336</v>
      </c>
      <c r="N29" s="81">
        <v>-9332</v>
      </c>
    </row>
    <row r="30" spans="2:14" x14ac:dyDescent="0.3">
      <c r="B30" t="s">
        <v>182</v>
      </c>
      <c r="C30" s="81">
        <v>-1551</v>
      </c>
      <c r="D30">
        <v>-722</v>
      </c>
      <c r="E30">
        <v>-720</v>
      </c>
      <c r="F30">
        <v>-108</v>
      </c>
      <c r="G30">
        <v>-121</v>
      </c>
      <c r="H30">
        <v>-96</v>
      </c>
      <c r="I30">
        <v>-95</v>
      </c>
      <c r="J30">
        <v>-57</v>
      </c>
      <c r="K30">
        <v>-30</v>
      </c>
      <c r="L30">
        <v>-100</v>
      </c>
      <c r="M30">
        <v>-141</v>
      </c>
      <c r="N30">
        <v>-289</v>
      </c>
    </row>
    <row r="31" spans="2:14" x14ac:dyDescent="0.3">
      <c r="B31" t="s">
        <v>183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 s="81">
        <v>-1346</v>
      </c>
      <c r="K31" s="81">
        <v>-1477</v>
      </c>
      <c r="L31" s="81">
        <v>-1559</v>
      </c>
      <c r="M31" s="81">
        <v>-1517</v>
      </c>
      <c r="N31" s="81">
        <v>-3848</v>
      </c>
    </row>
    <row r="32" spans="2:14" x14ac:dyDescent="0.3">
      <c r="B32" t="s">
        <v>184</v>
      </c>
      <c r="C32" s="81">
        <v>-2849</v>
      </c>
      <c r="D32">
        <v>-450</v>
      </c>
      <c r="E32">
        <v>-57</v>
      </c>
      <c r="F32">
        <v>0</v>
      </c>
      <c r="G32">
        <v>0</v>
      </c>
      <c r="H32">
        <v>0</v>
      </c>
      <c r="I32">
        <v>0</v>
      </c>
      <c r="J32">
        <v>-29</v>
      </c>
      <c r="K32">
        <v>0</v>
      </c>
      <c r="L32" s="81">
        <v>3750</v>
      </c>
      <c r="M32" s="81">
        <v>3355</v>
      </c>
      <c r="N32" s="81">
        <v>4884</v>
      </c>
    </row>
    <row r="33" spans="2:14" x14ac:dyDescent="0.3">
      <c r="B33" t="s">
        <v>186</v>
      </c>
      <c r="C33" s="81">
        <v>-2499</v>
      </c>
      <c r="D33" s="81">
        <v>4277</v>
      </c>
      <c r="E33" s="81">
        <v>4500</v>
      </c>
      <c r="F33" s="81">
        <v>-2589</v>
      </c>
      <c r="G33" s="81">
        <v>-3167</v>
      </c>
      <c r="H33">
        <v>730</v>
      </c>
      <c r="I33" s="81">
        <v>6843</v>
      </c>
      <c r="J33" s="81">
        <v>-3092</v>
      </c>
      <c r="K33" s="81">
        <v>13232</v>
      </c>
      <c r="L33" s="81">
        <v>6459</v>
      </c>
      <c r="M33" s="81">
        <v>-6272</v>
      </c>
      <c r="N33" s="81">
        <v>8081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A2DB8-E915-488E-9D11-D017474CD4FC}">
  <dimension ref="A2:K43"/>
  <sheetViews>
    <sheetView showGridLines="0" topLeftCell="A31" workbookViewId="0">
      <selection activeCell="K43" sqref="K43"/>
    </sheetView>
  </sheetViews>
  <sheetFormatPr defaultRowHeight="14.4" x14ac:dyDescent="0.3"/>
  <cols>
    <col min="1" max="1" width="1.88671875" customWidth="1"/>
    <col min="2" max="2" width="27.33203125" customWidth="1"/>
    <col min="3" max="3" width="11.21875" customWidth="1"/>
    <col min="4" max="4" width="9.5546875" bestFit="1" customWidth="1"/>
    <col min="5" max="5" width="10.77734375" bestFit="1" customWidth="1"/>
    <col min="6" max="6" width="10.6640625" bestFit="1" customWidth="1"/>
    <col min="7" max="7" width="10.33203125" customWidth="1"/>
    <col min="8" max="8" width="9.88671875" customWidth="1"/>
    <col min="9" max="9" width="15.33203125" customWidth="1"/>
    <col min="10" max="10" width="10.77734375" customWidth="1"/>
    <col min="11" max="11" width="11.5546875" customWidth="1"/>
    <col min="12" max="12" width="12.6640625" bestFit="1" customWidth="1"/>
    <col min="13" max="13" width="19.21875" bestFit="1" customWidth="1"/>
  </cols>
  <sheetData>
    <row r="2" spans="2:11" ht="18" x14ac:dyDescent="0.35">
      <c r="B2" s="129" t="s">
        <v>0</v>
      </c>
      <c r="C2" s="96"/>
      <c r="D2" s="96"/>
      <c r="E2" s="96"/>
      <c r="F2" s="96"/>
      <c r="G2" s="96"/>
      <c r="H2" s="96"/>
      <c r="I2" s="96"/>
      <c r="J2" s="96"/>
      <c r="K2" s="96"/>
    </row>
    <row r="4" spans="2:11" x14ac:dyDescent="0.3">
      <c r="B4" s="2" t="s">
        <v>1</v>
      </c>
    </row>
    <row r="6" spans="2:11" x14ac:dyDescent="0.3">
      <c r="B6" s="1" t="s">
        <v>2</v>
      </c>
    </row>
    <row r="7" spans="2:11" x14ac:dyDescent="0.3">
      <c r="B7" s="3"/>
      <c r="C7" s="3"/>
      <c r="D7" s="3"/>
      <c r="E7" s="3"/>
      <c r="F7" s="3"/>
      <c r="G7" s="3"/>
      <c r="H7" s="3" t="s">
        <v>9</v>
      </c>
      <c r="I7" s="3" t="s">
        <v>9</v>
      </c>
      <c r="J7" s="3" t="s">
        <v>12</v>
      </c>
      <c r="K7" s="3" t="s">
        <v>13</v>
      </c>
    </row>
    <row r="8" spans="2:11" ht="16.2" x14ac:dyDescent="0.3">
      <c r="B8" s="4" t="s">
        <v>3</v>
      </c>
      <c r="C8" s="4"/>
      <c r="D8" s="4" t="s">
        <v>4</v>
      </c>
      <c r="E8" s="5" t="s">
        <v>5</v>
      </c>
      <c r="F8" s="5" t="s">
        <v>6</v>
      </c>
      <c r="G8" s="5" t="s">
        <v>8</v>
      </c>
      <c r="H8" s="5" t="s">
        <v>10</v>
      </c>
      <c r="I8" s="5" t="s">
        <v>11</v>
      </c>
      <c r="J8" s="5" t="s">
        <v>15</v>
      </c>
      <c r="K8" s="5" t="s">
        <v>14</v>
      </c>
    </row>
    <row r="10" spans="2:11" x14ac:dyDescent="0.3">
      <c r="B10" s="6" t="s">
        <v>90</v>
      </c>
      <c r="C10" s="6"/>
      <c r="D10" s="6" t="s">
        <v>16</v>
      </c>
      <c r="E10" s="27">
        <f>'Beta Comps'!F4</f>
        <v>118.6</v>
      </c>
      <c r="F10" s="27">
        <f>'Beta Comps'!E4</f>
        <v>395453.99</v>
      </c>
      <c r="G10" s="13">
        <v>0.3</v>
      </c>
      <c r="H10" s="55">
        <f>E10/F10</f>
        <v>2.9990846722775512E-4</v>
      </c>
      <c r="I10" s="55">
        <f>E10/(E10+F10)</f>
        <v>2.9981854910624624E-4</v>
      </c>
      <c r="J10" s="10">
        <f>'Maruti Beta'!J6</f>
        <v>0.54651721104428919</v>
      </c>
      <c r="K10" s="56">
        <f>J10/(1+(1-G10)*H10)</f>
        <v>0.54640250152858316</v>
      </c>
    </row>
    <row r="11" spans="2:11" x14ac:dyDescent="0.3">
      <c r="B11" s="6" t="s">
        <v>91</v>
      </c>
      <c r="C11" s="6"/>
      <c r="D11" s="6" t="s">
        <v>16</v>
      </c>
      <c r="E11" s="27">
        <f>'Beta Comps'!F5</f>
        <v>107262.5</v>
      </c>
      <c r="F11" s="27">
        <f>'Beta Comps'!E5</f>
        <v>346169.55</v>
      </c>
      <c r="G11" s="13">
        <v>0.3</v>
      </c>
      <c r="H11" s="55">
        <f>E11/F11</f>
        <v>0.3098553873383722</v>
      </c>
      <c r="I11" s="55">
        <f>E11/(E11+F11)</f>
        <v>0.23655694386843631</v>
      </c>
      <c r="J11" s="10">
        <f>'Beta-Regression'!J6</f>
        <v>1.1842921752604125</v>
      </c>
      <c r="K11" s="56">
        <f>J11/(1+(1-G11)*H11)</f>
        <v>0.97320516985485483</v>
      </c>
    </row>
    <row r="12" spans="2:11" x14ac:dyDescent="0.3">
      <c r="B12" s="6" t="s">
        <v>92</v>
      </c>
      <c r="C12" s="6"/>
      <c r="D12" s="6" t="s">
        <v>16</v>
      </c>
      <c r="E12" s="27">
        <f>'Beta Comps'!F6</f>
        <v>106625.52</v>
      </c>
      <c r="F12" s="27">
        <f>'Beta Comps'!E6</f>
        <v>340229.51</v>
      </c>
      <c r="G12" s="13">
        <v>0.3</v>
      </c>
      <c r="H12" s="55">
        <f>E12/F12</f>
        <v>0.31339292114902084</v>
      </c>
      <c r="I12" s="55">
        <f>E12/(E12+F12)</f>
        <v>0.23861322541227745</v>
      </c>
      <c r="J12" s="10">
        <f>'M&amp;M Beta'!J6</f>
        <v>1.052743274728611</v>
      </c>
      <c r="K12" s="56">
        <f>J12/(1+(1-G12)*H12)</f>
        <v>0.86334658004876197</v>
      </c>
    </row>
    <row r="13" spans="2:11" x14ac:dyDescent="0.3">
      <c r="B13" s="6" t="s">
        <v>93</v>
      </c>
      <c r="C13" s="6"/>
      <c r="D13" s="6" t="s">
        <v>16</v>
      </c>
      <c r="E13" s="27">
        <f>'Beta Comps'!F7</f>
        <v>1911.74</v>
      </c>
      <c r="F13" s="27">
        <f>'Beta Comps'!E7</f>
        <v>268831.95</v>
      </c>
      <c r="G13" s="13">
        <v>0.3</v>
      </c>
      <c r="H13" s="55">
        <f>E13/F13</f>
        <v>7.1112827176978031E-3</v>
      </c>
      <c r="I13" s="55">
        <f>E13/(E13+F13)</f>
        <v>7.0610694565033079E-3</v>
      </c>
      <c r="J13" s="10">
        <f>'BajajA-Beta'!J6</f>
        <v>0.71147592582196129</v>
      </c>
      <c r="K13" s="56">
        <f>J13/(1+(1-G13)*H13)</f>
        <v>0.70795181397219697</v>
      </c>
    </row>
    <row r="14" spans="2:11" x14ac:dyDescent="0.3">
      <c r="B14" s="6" t="s">
        <v>94</v>
      </c>
      <c r="C14" s="6"/>
      <c r="D14" s="6" t="s">
        <v>16</v>
      </c>
      <c r="E14" s="27">
        <f>'Beta Comps'!F8</f>
        <v>419.44</v>
      </c>
      <c r="F14" s="27">
        <f>'Beta Comps'!E8</f>
        <v>126772.01</v>
      </c>
      <c r="G14" s="13">
        <v>0.3</v>
      </c>
      <c r="H14" s="55">
        <f>E14/F14</f>
        <v>3.3086167837837392E-3</v>
      </c>
      <c r="I14" s="55">
        <f>E14/(E14+F14)</f>
        <v>3.2977059385674115E-3</v>
      </c>
      <c r="J14" s="10">
        <f>'EicherM Beta'!J6</f>
        <v>0.80567125644197168</v>
      </c>
      <c r="K14" s="56">
        <f>J14/(1+(1-G14)*H14)</f>
        <v>0.80380960787027533</v>
      </c>
    </row>
    <row r="16" spans="2:11" x14ac:dyDescent="0.3">
      <c r="F16" s="3" t="s">
        <v>17</v>
      </c>
      <c r="G16" s="14">
        <f>AVERAGE(G10:G14)</f>
        <v>0.3</v>
      </c>
      <c r="H16" s="14">
        <f>AVERAGE(H10:H14)</f>
        <v>0.12679362329122046</v>
      </c>
      <c r="I16" s="14">
        <f>AVERAGE(I10:I14)</f>
        <v>9.7165752644978148E-2</v>
      </c>
      <c r="J16" s="16">
        <f>AVERAGE(J10:J14)</f>
        <v>0.86013996865944919</v>
      </c>
      <c r="K16" s="16">
        <f>AVERAGE(K10:K14)</f>
        <v>0.77894313465493448</v>
      </c>
    </row>
    <row r="17" spans="1:11" x14ac:dyDescent="0.3">
      <c r="F17" s="5" t="s">
        <v>18</v>
      </c>
      <c r="G17" s="15">
        <f>MEDIAN(G10:G14)</f>
        <v>0.3</v>
      </c>
      <c r="H17" s="15">
        <f>MEDIAN(H10:H14)</f>
        <v>7.1112827176978031E-3</v>
      </c>
      <c r="I17" s="15">
        <f>MEDIAN(I10:I14)</f>
        <v>7.0610694565033079E-3</v>
      </c>
      <c r="J17" s="17">
        <f>MEDIAN(J10:J14)</f>
        <v>0.80567125644197168</v>
      </c>
      <c r="K17" s="17">
        <f>AVERAGE(K11:K15)</f>
        <v>0.83707829293652225</v>
      </c>
    </row>
    <row r="20" spans="1:11" x14ac:dyDescent="0.3">
      <c r="B20" s="22" t="s">
        <v>19</v>
      </c>
      <c r="C20" s="22"/>
      <c r="D20" s="5"/>
      <c r="E20" s="5"/>
      <c r="G20" s="22" t="s">
        <v>22</v>
      </c>
      <c r="H20" s="5"/>
      <c r="I20" s="5"/>
      <c r="J20" s="5"/>
      <c r="K20" s="5"/>
    </row>
    <row r="22" spans="1:11" x14ac:dyDescent="0.3">
      <c r="B22" t="s">
        <v>20</v>
      </c>
      <c r="E22" s="13">
        <f>9986/107262.5</f>
        <v>9.3098706444470339E-2</v>
      </c>
      <c r="G22" t="s">
        <v>23</v>
      </c>
      <c r="K22" s="24">
        <v>7.0150000000000004E-2</v>
      </c>
    </row>
    <row r="23" spans="1:11" x14ac:dyDescent="0.3">
      <c r="B23" t="s">
        <v>7</v>
      </c>
      <c r="E23" s="24">
        <v>0.3</v>
      </c>
      <c r="G23" t="s">
        <v>24</v>
      </c>
      <c r="K23" s="24">
        <f>Rm!G8-WACC!K22</f>
        <v>9.7541666666666652E-2</v>
      </c>
    </row>
    <row r="24" spans="1:11" ht="16.2" x14ac:dyDescent="0.3">
      <c r="B24" s="20" t="s">
        <v>21</v>
      </c>
      <c r="C24" s="20"/>
      <c r="D24" s="20"/>
      <c r="E24" s="54">
        <f>E22*(1-E23)</f>
        <v>6.5169094511129233E-2</v>
      </c>
      <c r="G24" t="s">
        <v>25</v>
      </c>
      <c r="K24" s="11">
        <f>K33</f>
        <v>0.90014052148618551</v>
      </c>
    </row>
    <row r="25" spans="1:11" x14ac:dyDescent="0.3">
      <c r="G25" s="20" t="s">
        <v>22</v>
      </c>
      <c r="H25" s="20"/>
      <c r="I25" s="20"/>
      <c r="J25" s="20"/>
      <c r="K25" s="52">
        <f>K22+K23*K24</f>
        <v>0.15795120669996499</v>
      </c>
    </row>
    <row r="28" spans="1:11" x14ac:dyDescent="0.3">
      <c r="A28" s="22"/>
      <c r="B28" s="22" t="s">
        <v>26</v>
      </c>
      <c r="C28" s="5"/>
      <c r="D28" s="5"/>
      <c r="E28" s="5"/>
      <c r="G28" s="22" t="s">
        <v>31</v>
      </c>
      <c r="H28" s="5"/>
      <c r="I28" s="5"/>
      <c r="J28" s="5"/>
      <c r="K28" s="5"/>
    </row>
    <row r="29" spans="1:11" x14ac:dyDescent="0.3">
      <c r="A29" s="1"/>
    </row>
    <row r="30" spans="1:11" x14ac:dyDescent="0.3">
      <c r="D30" s="23" t="s">
        <v>27</v>
      </c>
      <c r="E30" s="23" t="s">
        <v>28</v>
      </c>
      <c r="G30" t="s">
        <v>32</v>
      </c>
      <c r="K30" s="11">
        <f>K17</f>
        <v>0.83707829293652225</v>
      </c>
    </row>
    <row r="31" spans="1:11" x14ac:dyDescent="0.3">
      <c r="B31" t="s">
        <v>5</v>
      </c>
      <c r="C31" s="27">
        <f>E11</f>
        <v>107262.5</v>
      </c>
      <c r="D31" s="9">
        <f>C31/$C$33</f>
        <v>0.23655694386843631</v>
      </c>
      <c r="E31" s="24">
        <f>I16</f>
        <v>9.7165752644978148E-2</v>
      </c>
      <c r="G31" t="s">
        <v>33</v>
      </c>
      <c r="K31" s="25">
        <f>E35</f>
        <v>0.10762302485715257</v>
      </c>
    </row>
    <row r="32" spans="1:11" x14ac:dyDescent="0.3">
      <c r="B32" t="s">
        <v>29</v>
      </c>
      <c r="C32" s="27">
        <f>F11</f>
        <v>346169.55</v>
      </c>
      <c r="D32" s="9">
        <f>C32/$C$33</f>
        <v>0.76344305613156371</v>
      </c>
      <c r="E32" s="18">
        <f>E33-E31</f>
        <v>0.90283424735502182</v>
      </c>
      <c r="G32" t="s">
        <v>7</v>
      </c>
      <c r="K32" s="19">
        <f>E23</f>
        <v>0.3</v>
      </c>
    </row>
    <row r="33" spans="2:11" x14ac:dyDescent="0.3">
      <c r="B33" s="20" t="s">
        <v>30</v>
      </c>
      <c r="C33" s="28">
        <f>SUM(C31:C32)</f>
        <v>453432.05</v>
      </c>
      <c r="D33" s="26">
        <f>C33/$C$33</f>
        <v>1</v>
      </c>
      <c r="E33" s="21">
        <f>D33</f>
        <v>1</v>
      </c>
      <c r="G33" s="20" t="s">
        <v>31</v>
      </c>
      <c r="H33" s="20"/>
      <c r="I33" s="20"/>
      <c r="J33" s="20"/>
      <c r="K33" s="51">
        <f>K30*(1+(1-K32)*K31)</f>
        <v>0.90014052148618551</v>
      </c>
    </row>
    <row r="35" spans="2:11" x14ac:dyDescent="0.3">
      <c r="B35" t="s">
        <v>34</v>
      </c>
      <c r="D35" s="53">
        <f>D31/D32</f>
        <v>0.3098553873383722</v>
      </c>
      <c r="E35" s="53">
        <f>E31/E32</f>
        <v>0.10762302485715257</v>
      </c>
      <c r="G35" s="22" t="s">
        <v>0</v>
      </c>
      <c r="H35" s="5"/>
      <c r="I35" s="5"/>
      <c r="J35" s="5"/>
      <c r="K35" s="5"/>
    </row>
    <row r="37" spans="2:11" x14ac:dyDescent="0.3">
      <c r="B37" s="29" t="s">
        <v>35</v>
      </c>
      <c r="G37" t="s">
        <v>22</v>
      </c>
      <c r="K37" s="18">
        <f>K25</f>
        <v>0.15795120669996499</v>
      </c>
    </row>
    <row r="38" spans="2:11" x14ac:dyDescent="0.3">
      <c r="B38" s="30" t="s">
        <v>36</v>
      </c>
      <c r="G38" t="s">
        <v>103</v>
      </c>
      <c r="K38" s="18">
        <f>E32</f>
        <v>0.90283424735502182</v>
      </c>
    </row>
    <row r="39" spans="2:11" x14ac:dyDescent="0.3">
      <c r="B39" s="30" t="s">
        <v>37</v>
      </c>
    </row>
    <row r="40" spans="2:11" x14ac:dyDescent="0.3">
      <c r="B40" s="30" t="s">
        <v>38</v>
      </c>
      <c r="G40" t="s">
        <v>19</v>
      </c>
      <c r="K40" s="18">
        <f>E24</f>
        <v>6.5169094511129233E-2</v>
      </c>
    </row>
    <row r="41" spans="2:11" x14ac:dyDescent="0.3">
      <c r="B41" s="30" t="s">
        <v>39</v>
      </c>
      <c r="G41" t="s">
        <v>104</v>
      </c>
      <c r="K41" s="18">
        <f>E31</f>
        <v>9.7165752644978148E-2</v>
      </c>
    </row>
    <row r="43" spans="2:11" x14ac:dyDescent="0.3">
      <c r="G43" s="49" t="s">
        <v>105</v>
      </c>
      <c r="H43" s="49"/>
      <c r="I43" s="49"/>
      <c r="J43" s="49"/>
      <c r="K43" s="50">
        <f>(K37*K38)+(K40*K41)</f>
        <v>0.14893596293714598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25A2A-BC10-4798-82BA-3DC137300239}">
  <dimension ref="B2:J41"/>
  <sheetViews>
    <sheetView showGridLines="0" tabSelected="1" topLeftCell="A31" workbookViewId="0">
      <selection activeCell="D38" sqref="D38"/>
    </sheetView>
  </sheetViews>
  <sheetFormatPr defaultRowHeight="14.4" outlineLevelRow="1" x14ac:dyDescent="0.3"/>
  <cols>
    <col min="1" max="1" width="1.88671875" customWidth="1"/>
    <col min="2" max="2" width="26" bestFit="1" customWidth="1"/>
    <col min="4" max="4" width="13.109375" bestFit="1" customWidth="1"/>
    <col min="5" max="5" width="10.88671875" customWidth="1"/>
    <col min="6" max="7" width="10.6640625" customWidth="1"/>
    <col min="8" max="8" width="11.44140625" customWidth="1"/>
    <col min="9" max="10" width="12" bestFit="1" customWidth="1"/>
  </cols>
  <sheetData>
    <row r="2" spans="2:10" x14ac:dyDescent="0.3">
      <c r="B2" s="82" t="s">
        <v>280</v>
      </c>
      <c r="C2" s="96"/>
      <c r="D2" s="96"/>
      <c r="E2" s="130">
        <f>'Intrinsic Growth'!K2</f>
        <v>45352</v>
      </c>
      <c r="F2" s="131">
        <f>E2+366</f>
        <v>45718</v>
      </c>
      <c r="G2" s="131">
        <f>F2+366</f>
        <v>46084</v>
      </c>
      <c r="H2" s="131">
        <f>G2+366</f>
        <v>46450</v>
      </c>
      <c r="I2" s="131">
        <f>H2+366</f>
        <v>46816</v>
      </c>
      <c r="J2" s="131">
        <f>I2+366</f>
        <v>47182</v>
      </c>
    </row>
    <row r="4" spans="2:10" x14ac:dyDescent="0.3">
      <c r="B4" s="97" t="s">
        <v>264</v>
      </c>
      <c r="C4" s="97"/>
      <c r="D4" s="97"/>
      <c r="E4" s="116">
        <f>'Intrinsic Growth'!K34</f>
        <v>86808.470000000059</v>
      </c>
      <c r="F4" s="149">
        <f>E4*(1+$D$14)</f>
        <v>108982.98243845018</v>
      </c>
      <c r="G4" s="149">
        <f t="shared" ref="G4:J4" si="0">F4*(1+$D$14)</f>
        <v>136821.79240320137</v>
      </c>
      <c r="H4" s="149">
        <f t="shared" si="0"/>
        <v>171771.79828967567</v>
      </c>
      <c r="I4" s="149">
        <f t="shared" si="0"/>
        <v>215649.49683394626</v>
      </c>
      <c r="J4" s="149">
        <f t="shared" si="0"/>
        <v>270735.39398073219</v>
      </c>
    </row>
    <row r="5" spans="2:10" x14ac:dyDescent="0.3">
      <c r="B5" s="97" t="s">
        <v>7</v>
      </c>
      <c r="C5" s="97"/>
      <c r="D5" s="97"/>
      <c r="E5" s="117">
        <v>0.25</v>
      </c>
      <c r="F5" s="107">
        <f>E5</f>
        <v>0.25</v>
      </c>
      <c r="G5" s="107">
        <f>F5</f>
        <v>0.25</v>
      </c>
      <c r="H5" s="107">
        <f>G5</f>
        <v>0.25</v>
      </c>
      <c r="I5" s="107">
        <f>H5</f>
        <v>0.25</v>
      </c>
      <c r="J5" s="107">
        <f>I5</f>
        <v>0.25</v>
      </c>
    </row>
    <row r="6" spans="2:10" x14ac:dyDescent="0.3">
      <c r="B6" s="97" t="s">
        <v>274</v>
      </c>
      <c r="C6" s="97"/>
      <c r="D6" s="97"/>
      <c r="E6" s="148">
        <f t="shared" ref="E6:J6" si="1">E4*(1-E5)</f>
        <v>65106.352500000045</v>
      </c>
      <c r="F6" s="148">
        <f t="shared" si="1"/>
        <v>81737.236828837631</v>
      </c>
      <c r="G6" s="148">
        <f t="shared" si="1"/>
        <v>102616.34430240103</v>
      </c>
      <c r="H6" s="148">
        <f t="shared" si="1"/>
        <v>128828.84871725675</v>
      </c>
      <c r="I6" s="148">
        <f t="shared" si="1"/>
        <v>161737.12262545968</v>
      </c>
      <c r="J6" s="148">
        <f t="shared" si="1"/>
        <v>203051.54548554914</v>
      </c>
    </row>
    <row r="7" spans="2:10" x14ac:dyDescent="0.3">
      <c r="B7" s="97" t="s">
        <v>332</v>
      </c>
      <c r="C7" s="97"/>
      <c r="D7" s="97"/>
      <c r="E7" s="118">
        <f>'Intrinsic Growth'!K53</f>
        <v>0.45397451979339765</v>
      </c>
      <c r="F7" s="114">
        <f>E7+(($J$7-$E$7)/4)</f>
        <v>0.5542308898450482</v>
      </c>
      <c r="G7" s="114">
        <f>F7+(($J$7-$E$7)/4)</f>
        <v>0.65448725989669876</v>
      </c>
      <c r="H7" s="114">
        <f>G7+(($J$7-$E$7)/4)</f>
        <v>0.75474362994834931</v>
      </c>
      <c r="I7" s="114">
        <f>H7+(($J$7-$E$7)/4)</f>
        <v>0.85499999999999987</v>
      </c>
      <c r="J7" s="113">
        <v>0.85499999999999998</v>
      </c>
    </row>
    <row r="8" spans="2:10" x14ac:dyDescent="0.3">
      <c r="B8" s="97" t="s">
        <v>281</v>
      </c>
      <c r="C8" s="97"/>
      <c r="D8" s="97"/>
      <c r="E8" s="148">
        <f t="shared" ref="E8:J8" si="2">E6*(1-E7)</f>
        <v>35549.727388312851</v>
      </c>
      <c r="F8" s="148">
        <f t="shared" si="2"/>
        <v>36435.935327715502</v>
      </c>
      <c r="G8" s="148">
        <f t="shared" si="2"/>
        <v>35455.254299306369</v>
      </c>
      <c r="H8" s="148">
        <f t="shared" si="2"/>
        <v>31596.095794327648</v>
      </c>
      <c r="I8" s="148">
        <f t="shared" si="2"/>
        <v>23451.882780691674</v>
      </c>
      <c r="J8" s="148">
        <f t="shared" si="2"/>
        <v>29442.474095404628</v>
      </c>
    </row>
    <row r="9" spans="2:10" x14ac:dyDescent="0.3">
      <c r="B9" s="97" t="s">
        <v>282</v>
      </c>
      <c r="C9" s="97"/>
      <c r="D9" s="97"/>
      <c r="E9" s="116"/>
      <c r="F9" s="115">
        <v>0.5</v>
      </c>
      <c r="G9" s="97">
        <f>F9+1</f>
        <v>1.5</v>
      </c>
      <c r="H9" s="97">
        <f>G9+1</f>
        <v>2.5</v>
      </c>
      <c r="I9" s="97">
        <f>H9+1</f>
        <v>3.5</v>
      </c>
      <c r="J9" s="97">
        <f>I9+1</f>
        <v>4.5</v>
      </c>
    </row>
    <row r="10" spans="2:10" x14ac:dyDescent="0.3">
      <c r="B10" s="97" t="s">
        <v>283</v>
      </c>
      <c r="C10" s="97"/>
      <c r="D10" s="97"/>
      <c r="E10" s="116"/>
      <c r="F10" s="119">
        <f>1/(1+$D$16)^F9</f>
        <v>0.93293650769541736</v>
      </c>
      <c r="G10" s="119">
        <f>1/(1+$D$16)^G9</f>
        <v>0.81200044022510487</v>
      </c>
      <c r="H10" s="119">
        <f>1/(1+$D$16)^H9</f>
        <v>0.70674125140038491</v>
      </c>
      <c r="I10" s="119">
        <f>1/(1+$D$16)^I9</f>
        <v>0.61512675571027275</v>
      </c>
      <c r="J10" s="119">
        <f>1/(1+$D$16)^J9</f>
        <v>0.53538819877981658</v>
      </c>
    </row>
    <row r="11" spans="2:10" ht="4.8" customHeight="1" x14ac:dyDescent="0.3">
      <c r="E11" s="39"/>
    </row>
    <row r="12" spans="2:10" ht="15" thickBot="1" x14ac:dyDescent="0.35">
      <c r="B12" s="108" t="s">
        <v>290</v>
      </c>
      <c r="C12" s="108"/>
      <c r="D12" s="108"/>
      <c r="E12" s="120"/>
      <c r="F12" s="121">
        <f>F8*F10</f>
        <v>33992.414259254983</v>
      </c>
      <c r="G12" s="121">
        <f t="shared" ref="G12:J12" si="3">G8*G10</f>
        <v>28789.682099329813</v>
      </c>
      <c r="H12" s="121">
        <f t="shared" si="3"/>
        <v>22330.26428104956</v>
      </c>
      <c r="I12" s="121">
        <f t="shared" si="3"/>
        <v>14425.880570184479</v>
      </c>
      <c r="J12" s="121">
        <f t="shared" si="3"/>
        <v>15763.153173560093</v>
      </c>
    </row>
    <row r="14" spans="2:10" outlineLevel="1" x14ac:dyDescent="0.3">
      <c r="B14" s="111" t="s">
        <v>284</v>
      </c>
      <c r="C14" s="111"/>
      <c r="D14" s="112">
        <f>'Intrinsic Growth'!K63</f>
        <v>0.25544180698554098</v>
      </c>
    </row>
    <row r="15" spans="2:10" outlineLevel="1" x14ac:dyDescent="0.3">
      <c r="B15" s="111" t="s">
        <v>285</v>
      </c>
      <c r="C15" s="111"/>
      <c r="D15" s="112">
        <v>7.1999999999999995E-2</v>
      </c>
    </row>
    <row r="16" spans="2:10" outlineLevel="1" x14ac:dyDescent="0.3">
      <c r="B16" s="111" t="s">
        <v>105</v>
      </c>
      <c r="C16" s="111"/>
      <c r="D16" s="112">
        <f>WACC!K43</f>
        <v>0.14893596293714598</v>
      </c>
    </row>
    <row r="18" spans="2:5" x14ac:dyDescent="0.3">
      <c r="B18" s="82" t="s">
        <v>286</v>
      </c>
      <c r="C18" s="96"/>
      <c r="D18" s="96"/>
    </row>
    <row r="20" spans="2:5" x14ac:dyDescent="0.3">
      <c r="B20" t="s">
        <v>287</v>
      </c>
      <c r="D20" s="11">
        <f>J8*(1+D14)</f>
        <v>36963.312880459765</v>
      </c>
    </row>
    <row r="21" spans="2:5" x14ac:dyDescent="0.3">
      <c r="B21" t="s">
        <v>105</v>
      </c>
      <c r="D21" s="18">
        <f>D16</f>
        <v>0.14893596293714598</v>
      </c>
    </row>
    <row r="22" spans="2:5" x14ac:dyDescent="0.3">
      <c r="B22" t="s">
        <v>288</v>
      </c>
      <c r="D22" s="18">
        <f>D15</f>
        <v>7.1999999999999995E-2</v>
      </c>
    </row>
    <row r="23" spans="2:5" ht="3.6" customHeight="1" x14ac:dyDescent="0.3"/>
    <row r="24" spans="2:5" ht="15" thickBot="1" x14ac:dyDescent="0.35">
      <c r="B24" s="108" t="s">
        <v>289</v>
      </c>
      <c r="C24" s="108"/>
      <c r="D24" s="121">
        <f>D20/(D21-D22)</f>
        <v>480442.58457722189</v>
      </c>
    </row>
    <row r="27" spans="2:5" x14ac:dyDescent="0.3">
      <c r="B27" s="82" t="s">
        <v>295</v>
      </c>
      <c r="C27" s="96"/>
      <c r="D27" s="96"/>
    </row>
    <row r="29" spans="2:5" x14ac:dyDescent="0.3">
      <c r="B29" t="s">
        <v>290</v>
      </c>
      <c r="D29" s="11">
        <f>SUM(F12:J12)</f>
        <v>115301.39438337892</v>
      </c>
    </row>
    <row r="30" spans="2:5" x14ac:dyDescent="0.3">
      <c r="B30" t="s">
        <v>291</v>
      </c>
      <c r="D30" s="11">
        <f>D24*J10</f>
        <v>257223.28997391852</v>
      </c>
    </row>
    <row r="31" spans="2:5" x14ac:dyDescent="0.3">
      <c r="B31" s="1" t="s">
        <v>292</v>
      </c>
      <c r="C31" s="1"/>
      <c r="D31" s="122">
        <f>SUM(D29,D30)</f>
        <v>372524.68435729743</v>
      </c>
      <c r="E31" s="1"/>
    </row>
    <row r="32" spans="2:5" x14ac:dyDescent="0.3">
      <c r="B32" s="1"/>
      <c r="C32" s="1"/>
      <c r="D32" s="122"/>
      <c r="E32" s="1"/>
    </row>
    <row r="33" spans="2:5" x14ac:dyDescent="0.3">
      <c r="B33" t="s">
        <v>293</v>
      </c>
      <c r="C33" s="1"/>
      <c r="D33" s="11">
        <f>'Data Sheet'!K69</f>
        <v>45806.69</v>
      </c>
      <c r="E33" s="1"/>
    </row>
    <row r="34" spans="2:5" x14ac:dyDescent="0.3">
      <c r="B34" t="s">
        <v>294</v>
      </c>
      <c r="C34" s="1"/>
      <c r="D34" s="11">
        <f>SUM('Raw FS'!N7:N8)</f>
        <v>98501</v>
      </c>
    </row>
    <row r="35" spans="2:5" x14ac:dyDescent="0.3">
      <c r="B35" s="1" t="s">
        <v>296</v>
      </c>
      <c r="C35" s="1"/>
      <c r="D35" s="122">
        <f>D31+D33-D34</f>
        <v>319830.37435729743</v>
      </c>
    </row>
    <row r="36" spans="2:5" x14ac:dyDescent="0.3">
      <c r="B36" t="s">
        <v>297</v>
      </c>
      <c r="C36" s="1"/>
      <c r="D36" s="123">
        <f>'Data Sheet'!B6</f>
        <v>366.44703141928494</v>
      </c>
    </row>
    <row r="37" spans="2:5" ht="4.2" customHeight="1" x14ac:dyDescent="0.3"/>
    <row r="38" spans="2:5" ht="15" thickBot="1" x14ac:dyDescent="0.35">
      <c r="B38" s="108" t="s">
        <v>298</v>
      </c>
      <c r="C38" s="108"/>
      <c r="D38" s="124">
        <f>D35/D36</f>
        <v>872.78746158363822</v>
      </c>
    </row>
    <row r="40" spans="2:5" x14ac:dyDescent="0.3">
      <c r="B40" t="s">
        <v>299</v>
      </c>
      <c r="D40">
        <v>970</v>
      </c>
    </row>
    <row r="41" spans="2:5" x14ac:dyDescent="0.3">
      <c r="B41" t="s">
        <v>300</v>
      </c>
      <c r="D41" s="9">
        <f>D40/D38-1</f>
        <v>0.11138168534178239</v>
      </c>
    </row>
  </sheetData>
  <pageMargins left="0.7" right="0.7" top="0.75" bottom="0.75" header="0.3" footer="0.3"/>
  <pageSetup orientation="portrait" r:id="rId1"/>
  <ignoredErrors>
    <ignoredError sqref="D34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49C55-6D0D-4D8F-8B26-EA77074FDA05}">
  <sheetPr>
    <tabColor rgb="FF002060"/>
  </sheetPr>
  <dimension ref="B2:F6"/>
  <sheetViews>
    <sheetView workbookViewId="0">
      <selection activeCell="C26" sqref="C26"/>
    </sheetView>
  </sheetViews>
  <sheetFormatPr defaultRowHeight="14.4" x14ac:dyDescent="0.3"/>
  <cols>
    <col min="2" max="2" width="15.21875" bestFit="1" customWidth="1"/>
  </cols>
  <sheetData>
    <row r="2" spans="2:6" x14ac:dyDescent="0.3">
      <c r="B2" s="6"/>
      <c r="C2" s="6"/>
      <c r="D2" s="7"/>
      <c r="E2" s="7"/>
      <c r="F2" s="8"/>
    </row>
    <row r="3" spans="2:6" x14ac:dyDescent="0.3">
      <c r="B3" s="6"/>
      <c r="C3" s="6"/>
      <c r="D3" s="7"/>
      <c r="E3" s="7"/>
      <c r="F3" s="8"/>
    </row>
    <row r="4" spans="2:6" x14ac:dyDescent="0.3">
      <c r="B4" s="6"/>
      <c r="C4" s="6"/>
      <c r="D4" s="7"/>
      <c r="E4" s="7"/>
      <c r="F4" s="8"/>
    </row>
    <row r="5" spans="2:6" x14ac:dyDescent="0.3">
      <c r="B5" s="6"/>
      <c r="C5" s="6"/>
      <c r="D5" s="7"/>
      <c r="E5" s="7"/>
      <c r="F5" s="8"/>
    </row>
    <row r="6" spans="2:6" x14ac:dyDescent="0.3">
      <c r="B6" s="6"/>
      <c r="C6" s="6"/>
      <c r="D6" s="7"/>
      <c r="E6" s="7"/>
      <c r="F6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9987F-4312-439F-851A-5B95B7B1984A}">
  <dimension ref="B2:T112"/>
  <sheetViews>
    <sheetView showGridLines="0" topLeftCell="A10" workbookViewId="0">
      <selection activeCell="J12" sqref="J12"/>
    </sheetView>
  </sheetViews>
  <sheetFormatPr defaultRowHeight="14.4" x14ac:dyDescent="0.3"/>
  <cols>
    <col min="1" max="1" width="1.88671875" customWidth="1"/>
    <col min="2" max="2" width="14.33203125" bestFit="1" customWidth="1"/>
    <col min="3" max="3" width="13.109375" customWidth="1"/>
    <col min="4" max="4" width="12" customWidth="1"/>
    <col min="6" max="6" width="12" bestFit="1" customWidth="1"/>
    <col min="9" max="9" width="17.21875" customWidth="1"/>
    <col min="12" max="12" width="17.44140625" bestFit="1" customWidth="1"/>
    <col min="13" max="13" width="20.21875" bestFit="1" customWidth="1"/>
    <col min="14" max="14" width="10.44140625" customWidth="1"/>
    <col min="15" max="15" width="10.6640625" customWidth="1"/>
    <col min="16" max="16" width="9.33203125" customWidth="1"/>
  </cols>
  <sheetData>
    <row r="2" spans="2:13" x14ac:dyDescent="0.3">
      <c r="B2" s="1" t="s">
        <v>79</v>
      </c>
    </row>
    <row r="4" spans="2:13" x14ac:dyDescent="0.3">
      <c r="B4" s="150" t="s">
        <v>42</v>
      </c>
      <c r="C4" s="150"/>
      <c r="D4" s="150"/>
      <c r="F4" s="150" t="s">
        <v>44</v>
      </c>
      <c r="G4" s="150"/>
      <c r="I4" s="150" t="s">
        <v>73</v>
      </c>
      <c r="J4" s="150"/>
    </row>
    <row r="6" spans="2:13" x14ac:dyDescent="0.3">
      <c r="B6" s="33" t="s">
        <v>40</v>
      </c>
      <c r="C6" s="34" t="s">
        <v>41</v>
      </c>
      <c r="D6" s="34" t="s">
        <v>43</v>
      </c>
      <c r="F6" s="34" t="s">
        <v>41</v>
      </c>
      <c r="G6" s="34" t="s">
        <v>43</v>
      </c>
      <c r="I6" s="1" t="s">
        <v>74</v>
      </c>
      <c r="J6" s="11">
        <f>M10</f>
        <v>1.1842921752604125</v>
      </c>
    </row>
    <row r="7" spans="2:13" x14ac:dyDescent="0.3">
      <c r="B7" s="31">
        <v>44718</v>
      </c>
      <c r="C7" s="32">
        <v>426.720032</v>
      </c>
      <c r="F7" s="32">
        <v>16201.799805000001</v>
      </c>
      <c r="I7" t="s">
        <v>75</v>
      </c>
      <c r="J7" s="18">
        <v>0.75</v>
      </c>
      <c r="L7" t="s">
        <v>45</v>
      </c>
      <c r="M7" s="11">
        <f>SLOPE(D8:D112,G8:G112)</f>
        <v>1.1842921752604134</v>
      </c>
    </row>
    <row r="8" spans="2:13" x14ac:dyDescent="0.3">
      <c r="B8" s="31">
        <v>44725</v>
      </c>
      <c r="C8" s="32">
        <v>387.74154700000003</v>
      </c>
      <c r="D8" s="9">
        <f>C8/C7-1</f>
        <v>-9.1344399318005198E-2</v>
      </c>
      <c r="F8" s="32">
        <v>15293.5</v>
      </c>
      <c r="G8" s="9">
        <f>F8/F7-1</f>
        <v>-5.606166079892505E-2</v>
      </c>
      <c r="J8" s="11"/>
      <c r="L8" t="s">
        <v>46</v>
      </c>
      <c r="M8" s="35">
        <f>_xlfn.COVARIANCE.S(D8:D112,G8:G112)/_xlfn.VAR.S(G8:G112)</f>
        <v>1.184292175260413</v>
      </c>
    </row>
    <row r="9" spans="2:13" x14ac:dyDescent="0.3">
      <c r="B9" s="31">
        <v>44732</v>
      </c>
      <c r="C9" s="32">
        <v>408.02829000000003</v>
      </c>
      <c r="D9" s="9">
        <f t="shared" ref="D9:D72" si="0">C9/C8-1</f>
        <v>5.232027147196594E-2</v>
      </c>
      <c r="F9" s="32">
        <v>15699.25</v>
      </c>
      <c r="G9" s="9">
        <f t="shared" ref="G9:G72" si="1">F9/F8-1</f>
        <v>2.6530879131657192E-2</v>
      </c>
      <c r="I9" t="s">
        <v>77</v>
      </c>
      <c r="J9" s="11">
        <v>1</v>
      </c>
    </row>
    <row r="10" spans="2:13" x14ac:dyDescent="0.3">
      <c r="B10" s="31">
        <v>44739</v>
      </c>
      <c r="C10" s="32">
        <v>411.417755</v>
      </c>
      <c r="D10" s="9">
        <f t="shared" si="0"/>
        <v>8.3069362666003954E-3</v>
      </c>
      <c r="F10" s="32">
        <v>15752.049805000001</v>
      </c>
      <c r="G10" s="9">
        <f t="shared" si="1"/>
        <v>3.3632055671448668E-3</v>
      </c>
      <c r="I10" t="s">
        <v>76</v>
      </c>
      <c r="J10" s="18">
        <v>0.25</v>
      </c>
      <c r="L10" t="s">
        <v>47</v>
      </c>
      <c r="M10" s="11">
        <f>M29</f>
        <v>1.1842921752604125</v>
      </c>
    </row>
    <row r="11" spans="2:13" x14ac:dyDescent="0.3">
      <c r="B11" s="31">
        <v>44746</v>
      </c>
      <c r="C11" s="32">
        <v>440.17810100000003</v>
      </c>
      <c r="D11" s="9">
        <f t="shared" si="0"/>
        <v>6.9905456559598456E-2</v>
      </c>
      <c r="F11" s="32">
        <v>16220.599609000001</v>
      </c>
      <c r="G11" s="9">
        <f t="shared" si="1"/>
        <v>2.9745322659611828E-2</v>
      </c>
    </row>
    <row r="12" spans="2:13" x14ac:dyDescent="0.3">
      <c r="B12" s="31">
        <v>44753</v>
      </c>
      <c r="C12" s="32">
        <v>438.83230600000002</v>
      </c>
      <c r="D12" s="9">
        <f t="shared" si="0"/>
        <v>-3.0573874459965955E-3</v>
      </c>
      <c r="F12" s="32">
        <v>16049.200194999999</v>
      </c>
      <c r="G12" s="9">
        <f t="shared" si="1"/>
        <v>-1.0566774233481513E-2</v>
      </c>
      <c r="I12" s="39" t="s">
        <v>78</v>
      </c>
      <c r="J12" s="39">
        <f>J6*J7 +J9*J10</f>
        <v>1.1382191314453094</v>
      </c>
      <c r="L12" t="s">
        <v>48</v>
      </c>
    </row>
    <row r="13" spans="2:13" ht="15" thickBot="1" x14ac:dyDescent="0.35">
      <c r="B13" s="31">
        <v>44760</v>
      </c>
      <c r="C13" s="32">
        <v>453.486603</v>
      </c>
      <c r="D13" s="9">
        <f t="shared" si="0"/>
        <v>3.3393842704005472E-2</v>
      </c>
      <c r="F13" s="32">
        <v>16719.449218999998</v>
      </c>
      <c r="G13" s="9">
        <f t="shared" si="1"/>
        <v>4.1762144895470144E-2</v>
      </c>
    </row>
    <row r="14" spans="2:13" x14ac:dyDescent="0.3">
      <c r="B14" s="31">
        <v>44767</v>
      </c>
      <c r="C14" s="32">
        <v>448.20309400000002</v>
      </c>
      <c r="D14" s="9">
        <f t="shared" si="0"/>
        <v>-1.1650860168850419E-2</v>
      </c>
      <c r="F14" s="32">
        <v>17158.25</v>
      </c>
      <c r="G14" s="9">
        <f t="shared" si="1"/>
        <v>2.6244930395275645E-2</v>
      </c>
      <c r="L14" s="38" t="s">
        <v>49</v>
      </c>
      <c r="M14" s="38"/>
    </row>
    <row r="15" spans="2:13" x14ac:dyDescent="0.3">
      <c r="B15" s="31">
        <v>44774</v>
      </c>
      <c r="C15" s="32">
        <v>463.80447400000003</v>
      </c>
      <c r="D15" s="9">
        <f t="shared" si="0"/>
        <v>3.4808728919662579E-2</v>
      </c>
      <c r="F15" s="32">
        <v>17397.5</v>
      </c>
      <c r="G15" s="9">
        <f t="shared" si="1"/>
        <v>1.3943729692713402E-2</v>
      </c>
      <c r="L15" t="s">
        <v>50</v>
      </c>
      <c r="M15">
        <v>0.53738437364026836</v>
      </c>
    </row>
    <row r="16" spans="2:13" x14ac:dyDescent="0.3">
      <c r="B16" s="31">
        <v>44781</v>
      </c>
      <c r="C16" s="32">
        <v>476.06622299999998</v>
      </c>
      <c r="D16" s="9">
        <f t="shared" si="0"/>
        <v>2.6437323672733548E-2</v>
      </c>
      <c r="F16" s="32">
        <v>17698.150390999999</v>
      </c>
      <c r="G16" s="9">
        <f t="shared" si="1"/>
        <v>1.7281241040379314E-2</v>
      </c>
      <c r="L16" t="s">
        <v>51</v>
      </c>
      <c r="M16">
        <v>0.2887819650327435</v>
      </c>
    </row>
    <row r="17" spans="2:20" x14ac:dyDescent="0.3">
      <c r="B17" s="31">
        <v>44788</v>
      </c>
      <c r="C17" s="32">
        <v>469.53659099999999</v>
      </c>
      <c r="D17" s="9">
        <f t="shared" si="0"/>
        <v>-1.3715806088599569E-2</v>
      </c>
      <c r="F17" s="32">
        <v>17758.449218999998</v>
      </c>
      <c r="G17" s="9">
        <f t="shared" si="1"/>
        <v>3.4070694771959342E-3</v>
      </c>
      <c r="L17" t="s">
        <v>52</v>
      </c>
      <c r="M17">
        <v>0.28187693556704196</v>
      </c>
    </row>
    <row r="18" spans="2:20" x14ac:dyDescent="0.3">
      <c r="B18" s="31">
        <v>44795</v>
      </c>
      <c r="C18" s="32">
        <v>463.60507200000001</v>
      </c>
      <c r="D18" s="9">
        <f t="shared" si="0"/>
        <v>-1.2632708746654342E-2</v>
      </c>
      <c r="F18" s="32">
        <v>17558.900390999999</v>
      </c>
      <c r="G18" s="9">
        <f t="shared" si="1"/>
        <v>-1.1236838619134604E-2</v>
      </c>
      <c r="L18" t="s">
        <v>53</v>
      </c>
      <c r="M18">
        <v>3.1915780204411555E-2</v>
      </c>
    </row>
    <row r="19" spans="2:20" ht="15" thickBot="1" x14ac:dyDescent="0.35">
      <c r="B19" s="31">
        <v>44802</v>
      </c>
      <c r="C19" s="32">
        <v>460.315338</v>
      </c>
      <c r="D19" s="9">
        <f t="shared" si="0"/>
        <v>-7.0959836263396747E-3</v>
      </c>
      <c r="F19" s="32">
        <v>17539.449218999998</v>
      </c>
      <c r="G19" s="9">
        <f t="shared" si="1"/>
        <v>-1.1077670905844661E-3</v>
      </c>
      <c r="L19" s="36" t="s">
        <v>54</v>
      </c>
      <c r="M19" s="36">
        <v>105</v>
      </c>
    </row>
    <row r="20" spans="2:20" x14ac:dyDescent="0.3">
      <c r="B20" s="31">
        <v>44809</v>
      </c>
      <c r="C20" s="32">
        <v>444.51458700000001</v>
      </c>
      <c r="D20" s="9">
        <f t="shared" si="0"/>
        <v>-3.4325927675258106E-2</v>
      </c>
      <c r="F20" s="32">
        <v>17833.349609000001</v>
      </c>
      <c r="G20" s="9">
        <f t="shared" si="1"/>
        <v>1.6756534730955508E-2</v>
      </c>
    </row>
    <row r="21" spans="2:20" ht="15" thickBot="1" x14ac:dyDescent="0.35">
      <c r="B21" s="31">
        <v>44816</v>
      </c>
      <c r="C21" s="32">
        <v>431.15621900000002</v>
      </c>
      <c r="D21" s="9">
        <f t="shared" si="0"/>
        <v>-3.0051585236279266E-2</v>
      </c>
      <c r="F21" s="32">
        <v>17530.849609000001</v>
      </c>
      <c r="G21" s="9">
        <f t="shared" si="1"/>
        <v>-1.6962601341440453E-2</v>
      </c>
      <c r="L21" t="s">
        <v>55</v>
      </c>
    </row>
    <row r="22" spans="2:20" x14ac:dyDescent="0.3">
      <c r="B22" s="31">
        <v>44823</v>
      </c>
      <c r="C22" s="32">
        <v>421.78543100000002</v>
      </c>
      <c r="D22" s="9">
        <f t="shared" si="0"/>
        <v>-2.1734089842735171E-2</v>
      </c>
      <c r="F22" s="32">
        <v>17327.349609000001</v>
      </c>
      <c r="G22" s="9">
        <f t="shared" si="1"/>
        <v>-1.1608108251383698E-2</v>
      </c>
      <c r="L22" s="37"/>
      <c r="M22" s="37" t="s">
        <v>60</v>
      </c>
      <c r="N22" s="37" t="s">
        <v>61</v>
      </c>
      <c r="O22" s="37" t="s">
        <v>62</v>
      </c>
      <c r="P22" s="37" t="s">
        <v>63</v>
      </c>
      <c r="Q22" s="37" t="s">
        <v>64</v>
      </c>
    </row>
    <row r="23" spans="2:20" x14ac:dyDescent="0.3">
      <c r="B23" s="31">
        <v>44830</v>
      </c>
      <c r="C23" s="32">
        <v>403.342896</v>
      </c>
      <c r="D23" s="9">
        <f t="shared" si="0"/>
        <v>-4.372492183116683E-2</v>
      </c>
      <c r="F23" s="32">
        <v>17094.349609000001</v>
      </c>
      <c r="G23" s="9">
        <f t="shared" si="1"/>
        <v>-1.3446949779265527E-2</v>
      </c>
      <c r="L23" t="s">
        <v>56</v>
      </c>
      <c r="M23">
        <v>1</v>
      </c>
      <c r="N23">
        <v>4.2600575111443773E-2</v>
      </c>
      <c r="O23">
        <v>4.2600575111443773E-2</v>
      </c>
      <c r="P23">
        <v>41.821974325696026</v>
      </c>
      <c r="Q23">
        <v>3.4093031801395796E-9</v>
      </c>
    </row>
    <row r="24" spans="2:20" x14ac:dyDescent="0.3">
      <c r="B24" s="31">
        <v>44837</v>
      </c>
      <c r="C24" s="32">
        <v>410.86944599999998</v>
      </c>
      <c r="D24" s="9">
        <f t="shared" si="0"/>
        <v>1.8660425346874066E-2</v>
      </c>
      <c r="F24" s="32">
        <v>17314.650390999999</v>
      </c>
      <c r="G24" s="9">
        <f t="shared" si="1"/>
        <v>1.2887345060733635E-2</v>
      </c>
      <c r="L24" t="s">
        <v>57</v>
      </c>
      <c r="M24">
        <v>103</v>
      </c>
      <c r="N24">
        <v>0.10491755368379976</v>
      </c>
      <c r="O24">
        <v>1.0186170260563085E-3</v>
      </c>
    </row>
    <row r="25" spans="2:20" ht="15" thickBot="1" x14ac:dyDescent="0.35">
      <c r="B25" s="31">
        <v>44844</v>
      </c>
      <c r="C25" s="32">
        <v>395.01886000000002</v>
      </c>
      <c r="D25" s="9">
        <f t="shared" si="0"/>
        <v>-3.8578157013894776E-2</v>
      </c>
      <c r="F25" s="32">
        <v>17185.699218999998</v>
      </c>
      <c r="G25" s="9">
        <f t="shared" si="1"/>
        <v>-7.4475180894804094E-3</v>
      </c>
      <c r="L25" s="36" t="s">
        <v>58</v>
      </c>
      <c r="M25" s="36">
        <v>104</v>
      </c>
      <c r="N25" s="36">
        <v>0.14751812879524354</v>
      </c>
      <c r="O25" s="36"/>
      <c r="P25" s="36"/>
      <c r="Q25" s="36"/>
    </row>
    <row r="26" spans="2:20" ht="15" thickBot="1" x14ac:dyDescent="0.35">
      <c r="B26" s="31">
        <v>44851</v>
      </c>
      <c r="C26" s="32">
        <v>396.81323200000003</v>
      </c>
      <c r="D26" s="9">
        <f t="shared" si="0"/>
        <v>4.5424970341922943E-3</v>
      </c>
      <c r="F26" s="32">
        <v>17576.300781000002</v>
      </c>
      <c r="G26" s="9">
        <f t="shared" si="1"/>
        <v>2.2728290366455628E-2</v>
      </c>
    </row>
    <row r="27" spans="2:20" x14ac:dyDescent="0.3">
      <c r="B27" s="31">
        <v>44858</v>
      </c>
      <c r="C27" s="32">
        <v>408.62643400000002</v>
      </c>
      <c r="D27" s="9">
        <f t="shared" si="0"/>
        <v>2.9770181655635941E-2</v>
      </c>
      <c r="F27" s="32">
        <v>17786.800781000002</v>
      </c>
      <c r="G27" s="9">
        <f t="shared" si="1"/>
        <v>1.197635399068453E-2</v>
      </c>
      <c r="L27" s="37"/>
      <c r="M27" s="37" t="s">
        <v>65</v>
      </c>
      <c r="N27" s="37" t="s">
        <v>53</v>
      </c>
      <c r="O27" s="37" t="s">
        <v>66</v>
      </c>
      <c r="P27" s="37" t="s">
        <v>67</v>
      </c>
      <c r="Q27" s="37" t="s">
        <v>68</v>
      </c>
      <c r="R27" s="37" t="s">
        <v>69</v>
      </c>
      <c r="S27" s="37" t="s">
        <v>70</v>
      </c>
      <c r="T27" s="37" t="s">
        <v>71</v>
      </c>
    </row>
    <row r="28" spans="2:20" x14ac:dyDescent="0.3">
      <c r="B28" s="31">
        <v>44865</v>
      </c>
      <c r="C28" s="32">
        <v>424.02844199999998</v>
      </c>
      <c r="D28" s="9">
        <f t="shared" si="0"/>
        <v>3.7692147933826359E-2</v>
      </c>
      <c r="F28" s="32">
        <v>18117.150390999999</v>
      </c>
      <c r="G28" s="9">
        <f t="shared" si="1"/>
        <v>1.8572739081492262E-2</v>
      </c>
      <c r="L28" t="s">
        <v>59</v>
      </c>
      <c r="M28">
        <v>4.3094069292100474E-3</v>
      </c>
      <c r="N28">
        <v>3.1631568278357842E-3</v>
      </c>
      <c r="O28">
        <v>1.3623753622606571</v>
      </c>
      <c r="P28">
        <v>0.17605115740912297</v>
      </c>
      <c r="Q28">
        <v>-1.963968591732021E-3</v>
      </c>
      <c r="R28">
        <v>1.0582782450152116E-2</v>
      </c>
      <c r="S28">
        <v>-1.963968591732021E-3</v>
      </c>
      <c r="T28">
        <v>1.0582782450152116E-2</v>
      </c>
    </row>
    <row r="29" spans="2:20" ht="15" thickBot="1" x14ac:dyDescent="0.35">
      <c r="B29" s="31">
        <v>44872</v>
      </c>
      <c r="C29" s="32">
        <v>422.18417399999998</v>
      </c>
      <c r="D29" s="9">
        <f t="shared" si="0"/>
        <v>-4.3493969208792116E-3</v>
      </c>
      <c r="F29" s="32">
        <v>18349.699218999998</v>
      </c>
      <c r="G29" s="9">
        <f t="shared" si="1"/>
        <v>1.2835839134808014E-2</v>
      </c>
      <c r="L29" s="36" t="s">
        <v>72</v>
      </c>
      <c r="M29" s="36">
        <v>1.1842921752604125</v>
      </c>
      <c r="N29" s="36">
        <v>0.18312877669737621</v>
      </c>
      <c r="O29" s="36">
        <v>6.4669911338810389</v>
      </c>
      <c r="P29" s="36">
        <v>3.4093031801396028E-9</v>
      </c>
      <c r="Q29" s="36">
        <v>0.82109943856028067</v>
      </c>
      <c r="R29" s="36">
        <v>1.5474849119605443</v>
      </c>
      <c r="S29" s="36">
        <v>0.82109943856028067</v>
      </c>
      <c r="T29" s="36">
        <v>1.5474849119605443</v>
      </c>
    </row>
    <row r="30" spans="2:20" x14ac:dyDescent="0.3">
      <c r="B30" s="31">
        <v>44879</v>
      </c>
      <c r="C30" s="32">
        <v>422.48324600000001</v>
      </c>
      <c r="D30" s="9">
        <f t="shared" si="0"/>
        <v>7.0839225726171406E-4</v>
      </c>
      <c r="F30" s="32">
        <v>18307.650390999999</v>
      </c>
      <c r="G30" s="9">
        <f t="shared" si="1"/>
        <v>-2.2915268254892762E-3</v>
      </c>
    </row>
    <row r="31" spans="2:20" x14ac:dyDescent="0.3">
      <c r="B31" s="31">
        <v>44886</v>
      </c>
      <c r="C31" s="32">
        <v>431.85406499999999</v>
      </c>
      <c r="D31" s="9">
        <f t="shared" si="0"/>
        <v>2.2180332803066971E-2</v>
      </c>
      <c r="F31" s="32">
        <v>18512.75</v>
      </c>
      <c r="G31" s="9">
        <f t="shared" si="1"/>
        <v>1.1202945469224623E-2</v>
      </c>
    </row>
    <row r="32" spans="2:20" x14ac:dyDescent="0.3">
      <c r="B32" s="31">
        <v>44893</v>
      </c>
      <c r="C32" s="32">
        <v>434.047211</v>
      </c>
      <c r="D32" s="9">
        <f t="shared" si="0"/>
        <v>5.0784424131795625E-3</v>
      </c>
      <c r="F32" s="32">
        <v>18696.099609000001</v>
      </c>
      <c r="G32" s="9">
        <f t="shared" si="1"/>
        <v>9.9039639707769744E-3</v>
      </c>
    </row>
    <row r="33" spans="2:7" x14ac:dyDescent="0.3">
      <c r="B33" s="31">
        <v>44900</v>
      </c>
      <c r="C33" s="32">
        <v>412.01586900000001</v>
      </c>
      <c r="D33" s="9">
        <f t="shared" si="0"/>
        <v>-5.0757939324715506E-2</v>
      </c>
      <c r="F33" s="32">
        <v>18496.599609000001</v>
      </c>
      <c r="G33" s="9">
        <f t="shared" si="1"/>
        <v>-1.0670674855838058E-2</v>
      </c>
    </row>
    <row r="34" spans="2:7" x14ac:dyDescent="0.3">
      <c r="B34" s="31">
        <v>44907</v>
      </c>
      <c r="C34" s="32">
        <v>420.2901</v>
      </c>
      <c r="D34" s="9">
        <f t="shared" si="0"/>
        <v>2.008231144126138E-2</v>
      </c>
      <c r="F34" s="32">
        <v>18269</v>
      </c>
      <c r="G34" s="9">
        <f t="shared" si="1"/>
        <v>-1.2304943276668867E-2</v>
      </c>
    </row>
    <row r="35" spans="2:7" x14ac:dyDescent="0.3">
      <c r="B35" s="31">
        <v>44914</v>
      </c>
      <c r="C35" s="32">
        <v>377.17446899999999</v>
      </c>
      <c r="D35" s="9">
        <f t="shared" si="0"/>
        <v>-0.10258540707953867</v>
      </c>
      <c r="F35" s="32">
        <v>17806.800781000002</v>
      </c>
      <c r="G35" s="9">
        <f t="shared" si="1"/>
        <v>-2.529964524604511E-2</v>
      </c>
    </row>
    <row r="36" spans="2:7" x14ac:dyDescent="0.3">
      <c r="B36" s="31">
        <v>44921</v>
      </c>
      <c r="C36" s="32">
        <v>386.74465900000001</v>
      </c>
      <c r="D36" s="9">
        <f t="shared" si="0"/>
        <v>2.5373377008718112E-2</v>
      </c>
      <c r="F36" s="32">
        <v>18105.300781000002</v>
      </c>
      <c r="G36" s="9">
        <f t="shared" si="1"/>
        <v>1.6763258244484991E-2</v>
      </c>
    </row>
    <row r="37" spans="2:7" x14ac:dyDescent="0.3">
      <c r="B37" s="31">
        <v>44928</v>
      </c>
      <c r="C37" s="32">
        <v>380.81310999999999</v>
      </c>
      <c r="D37" s="9">
        <f t="shared" si="0"/>
        <v>-1.5337119367949792E-2</v>
      </c>
      <c r="F37" s="32">
        <v>17859.449218999998</v>
      </c>
      <c r="G37" s="9">
        <f t="shared" si="1"/>
        <v>-1.3578982474458767E-2</v>
      </c>
    </row>
    <row r="38" spans="2:7" x14ac:dyDescent="0.3">
      <c r="B38" s="31">
        <v>44935</v>
      </c>
      <c r="C38" s="32">
        <v>410.22146600000002</v>
      </c>
      <c r="D38" s="9">
        <f t="shared" si="0"/>
        <v>7.7225166959194347E-2</v>
      </c>
      <c r="F38" s="32">
        <v>17956.599609000001</v>
      </c>
      <c r="G38" s="9">
        <f t="shared" si="1"/>
        <v>5.4397192661825855E-3</v>
      </c>
    </row>
    <row r="39" spans="2:7" x14ac:dyDescent="0.3">
      <c r="B39" s="31">
        <v>44942</v>
      </c>
      <c r="C39" s="32">
        <v>401.8974</v>
      </c>
      <c r="D39" s="9">
        <f t="shared" si="0"/>
        <v>-2.0291639248346982E-2</v>
      </c>
      <c r="F39" s="32">
        <v>18027.650390999999</v>
      </c>
      <c r="G39" s="9">
        <f t="shared" si="1"/>
        <v>3.9568060516528281E-3</v>
      </c>
    </row>
    <row r="40" spans="2:7" x14ac:dyDescent="0.3">
      <c r="B40" s="31">
        <v>44949</v>
      </c>
      <c r="C40" s="32">
        <v>444.21551499999998</v>
      </c>
      <c r="D40" s="9">
        <f t="shared" si="0"/>
        <v>0.10529581679304223</v>
      </c>
      <c r="F40" s="32">
        <v>17604.349609000001</v>
      </c>
      <c r="G40" s="9">
        <f t="shared" si="1"/>
        <v>-2.3480640727941093E-2</v>
      </c>
    </row>
    <row r="41" spans="2:7" x14ac:dyDescent="0.3">
      <c r="B41" s="31">
        <v>44956</v>
      </c>
      <c r="C41" s="32">
        <v>444.06597900000003</v>
      </c>
      <c r="D41" s="9">
        <f t="shared" si="0"/>
        <v>-3.3662939485568089E-4</v>
      </c>
      <c r="F41" s="32">
        <v>17854.050781000002</v>
      </c>
      <c r="G41" s="9">
        <f t="shared" si="1"/>
        <v>1.4184061186352848E-2</v>
      </c>
    </row>
    <row r="42" spans="2:7" x14ac:dyDescent="0.3">
      <c r="B42" s="31">
        <v>44963</v>
      </c>
      <c r="C42" s="32">
        <v>444.46475199999998</v>
      </c>
      <c r="D42" s="9">
        <f t="shared" si="0"/>
        <v>8.9800394278793938E-4</v>
      </c>
      <c r="F42" s="32">
        <v>17856.5</v>
      </c>
      <c r="G42" s="9">
        <f t="shared" si="1"/>
        <v>1.371800175793414E-4</v>
      </c>
    </row>
    <row r="43" spans="2:7" x14ac:dyDescent="0.3">
      <c r="B43" s="31">
        <v>44970</v>
      </c>
      <c r="C43" s="32">
        <v>438.53323399999999</v>
      </c>
      <c r="D43" s="9">
        <f t="shared" si="0"/>
        <v>-1.3345305726290668E-2</v>
      </c>
      <c r="F43" s="32">
        <v>17944.199218999998</v>
      </c>
      <c r="G43" s="9">
        <f t="shared" si="1"/>
        <v>4.9113330719905424E-3</v>
      </c>
    </row>
    <row r="44" spans="2:7" x14ac:dyDescent="0.3">
      <c r="B44" s="31">
        <v>44977</v>
      </c>
      <c r="C44" s="32">
        <v>426.42099000000002</v>
      </c>
      <c r="D44" s="9">
        <f t="shared" si="0"/>
        <v>-2.7619899840931939E-2</v>
      </c>
      <c r="F44" s="32">
        <v>17465.800781000002</v>
      </c>
      <c r="G44" s="9">
        <f t="shared" si="1"/>
        <v>-2.6660339208308015E-2</v>
      </c>
    </row>
    <row r="45" spans="2:7" x14ac:dyDescent="0.3">
      <c r="B45" s="31">
        <v>44984</v>
      </c>
      <c r="C45" s="32">
        <v>426.67019699999997</v>
      </c>
      <c r="D45" s="9">
        <f t="shared" si="0"/>
        <v>5.8441541538556407E-4</v>
      </c>
      <c r="F45" s="32">
        <v>17594.349609000001</v>
      </c>
      <c r="G45" s="9">
        <f t="shared" si="1"/>
        <v>7.3600305884538031E-3</v>
      </c>
    </row>
    <row r="46" spans="2:7" x14ac:dyDescent="0.3">
      <c r="B46" s="31">
        <v>44991</v>
      </c>
      <c r="C46" s="32">
        <v>434.49581899999998</v>
      </c>
      <c r="D46" s="9">
        <f t="shared" si="0"/>
        <v>1.8341149803814405E-2</v>
      </c>
      <c r="F46" s="32">
        <v>17412.900390999999</v>
      </c>
      <c r="G46" s="9">
        <f t="shared" si="1"/>
        <v>-1.0312925571695164E-2</v>
      </c>
    </row>
    <row r="47" spans="2:7" x14ac:dyDescent="0.3">
      <c r="B47" s="31">
        <v>44998</v>
      </c>
      <c r="C47" s="32">
        <v>417.698151</v>
      </c>
      <c r="D47" s="9">
        <f t="shared" si="0"/>
        <v>-3.8660137256694704E-2</v>
      </c>
      <c r="F47" s="32">
        <v>17100.050781000002</v>
      </c>
      <c r="G47" s="9">
        <f t="shared" si="1"/>
        <v>-1.7966542217268788E-2</v>
      </c>
    </row>
    <row r="48" spans="2:7" x14ac:dyDescent="0.3">
      <c r="B48" s="31">
        <v>45005</v>
      </c>
      <c r="C48" s="32">
        <v>415.20593300000002</v>
      </c>
      <c r="D48" s="9">
        <f t="shared" si="0"/>
        <v>-5.9665526266597935E-3</v>
      </c>
      <c r="F48" s="32">
        <v>16945.050781000002</v>
      </c>
      <c r="G48" s="9">
        <f t="shared" si="1"/>
        <v>-9.0643005675878907E-3</v>
      </c>
    </row>
    <row r="49" spans="2:7" x14ac:dyDescent="0.3">
      <c r="B49" s="31">
        <v>45012</v>
      </c>
      <c r="C49" s="32">
        <v>419.49255399999998</v>
      </c>
      <c r="D49" s="9">
        <f t="shared" si="0"/>
        <v>1.032408416957753E-2</v>
      </c>
      <c r="F49" s="32">
        <v>17359.75</v>
      </c>
      <c r="G49" s="9">
        <f t="shared" si="1"/>
        <v>2.4473176525678486E-2</v>
      </c>
    </row>
    <row r="50" spans="2:7" x14ac:dyDescent="0.3">
      <c r="B50" s="31">
        <v>45019</v>
      </c>
      <c r="C50" s="32">
        <v>436.29022200000003</v>
      </c>
      <c r="D50" s="9">
        <f t="shared" si="0"/>
        <v>4.0042827553978588E-2</v>
      </c>
      <c r="F50" s="32">
        <v>17599.150390999999</v>
      </c>
      <c r="G50" s="9">
        <f t="shared" si="1"/>
        <v>1.3790543700226143E-2</v>
      </c>
    </row>
    <row r="51" spans="2:7" x14ac:dyDescent="0.3">
      <c r="B51" s="31">
        <v>45026</v>
      </c>
      <c r="C51" s="32">
        <v>468.04126000000002</v>
      </c>
      <c r="D51" s="9">
        <f t="shared" si="0"/>
        <v>7.2775039180227097E-2</v>
      </c>
      <c r="F51" s="32">
        <v>17828</v>
      </c>
      <c r="G51" s="9">
        <f t="shared" si="1"/>
        <v>1.3003446411653519E-2</v>
      </c>
    </row>
    <row r="52" spans="2:7" x14ac:dyDescent="0.3">
      <c r="B52" s="31">
        <v>45033</v>
      </c>
      <c r="C52" s="32">
        <v>469.73599200000001</v>
      </c>
      <c r="D52" s="9">
        <f t="shared" si="0"/>
        <v>3.6209029947487092E-3</v>
      </c>
      <c r="F52" s="32">
        <v>17624.050781000002</v>
      </c>
      <c r="G52" s="9">
        <f t="shared" si="1"/>
        <v>-1.1439826060130054E-2</v>
      </c>
    </row>
    <row r="53" spans="2:7" x14ac:dyDescent="0.3">
      <c r="B53" s="31">
        <v>45040</v>
      </c>
      <c r="C53" s="32">
        <v>483.44326799999999</v>
      </c>
      <c r="D53" s="9">
        <f t="shared" si="0"/>
        <v>2.9180808440158801E-2</v>
      </c>
      <c r="F53" s="32">
        <v>18065</v>
      </c>
      <c r="G53" s="9">
        <f t="shared" si="1"/>
        <v>2.5019742877464557E-2</v>
      </c>
    </row>
    <row r="54" spans="2:7" x14ac:dyDescent="0.3">
      <c r="B54" s="31">
        <v>45047</v>
      </c>
      <c r="C54" s="32">
        <v>475.61764499999998</v>
      </c>
      <c r="D54" s="9">
        <f t="shared" si="0"/>
        <v>-1.6187262328368979E-2</v>
      </c>
      <c r="F54" s="32">
        <v>18069</v>
      </c>
      <c r="G54" s="9">
        <f t="shared" si="1"/>
        <v>2.2142264046509652E-4</v>
      </c>
    </row>
    <row r="55" spans="2:7" x14ac:dyDescent="0.3">
      <c r="B55" s="31">
        <v>45054</v>
      </c>
      <c r="C55" s="32">
        <v>514.34692399999994</v>
      </c>
      <c r="D55" s="9">
        <f t="shared" si="0"/>
        <v>8.1429441079714282E-2</v>
      </c>
      <c r="F55" s="32">
        <v>18314.800781000002</v>
      </c>
      <c r="G55" s="9">
        <f t="shared" si="1"/>
        <v>1.3603452376999448E-2</v>
      </c>
    </row>
    <row r="56" spans="2:7" x14ac:dyDescent="0.3">
      <c r="B56" s="31">
        <v>45061</v>
      </c>
      <c r="C56" s="32">
        <v>523.31897000000004</v>
      </c>
      <c r="D56" s="9">
        <f t="shared" si="0"/>
        <v>1.7443568885813221E-2</v>
      </c>
      <c r="F56" s="32">
        <v>18203.400390999999</v>
      </c>
      <c r="G56" s="9">
        <f t="shared" si="1"/>
        <v>-6.0825335384249168E-3</v>
      </c>
    </row>
    <row r="57" spans="2:7" x14ac:dyDescent="0.3">
      <c r="B57" s="31">
        <v>45068</v>
      </c>
      <c r="C57" s="32">
        <v>516.83917199999996</v>
      </c>
      <c r="D57" s="9">
        <f t="shared" si="0"/>
        <v>-1.2382119455750074E-2</v>
      </c>
      <c r="F57" s="32">
        <v>18499.349609000001</v>
      </c>
      <c r="G57" s="9">
        <f t="shared" si="1"/>
        <v>1.6257908502980811E-2</v>
      </c>
    </row>
    <row r="58" spans="2:7" x14ac:dyDescent="0.3">
      <c r="B58" s="31">
        <v>45075</v>
      </c>
      <c r="C58" s="32">
        <v>534.23498500000005</v>
      </c>
      <c r="D58" s="9">
        <f t="shared" si="0"/>
        <v>3.3658077681465004E-2</v>
      </c>
      <c r="F58" s="32">
        <v>18534.099609000001</v>
      </c>
      <c r="G58" s="9">
        <f t="shared" si="1"/>
        <v>1.8784444174779757E-3</v>
      </c>
    </row>
    <row r="59" spans="2:7" x14ac:dyDescent="0.3">
      <c r="B59" s="31">
        <v>45082</v>
      </c>
      <c r="C59" s="32">
        <v>560.55291699999998</v>
      </c>
      <c r="D59" s="9">
        <f t="shared" si="0"/>
        <v>4.9262838898504357E-2</v>
      </c>
      <c r="F59" s="32">
        <v>18563.400390999999</v>
      </c>
      <c r="G59" s="9">
        <f t="shared" si="1"/>
        <v>1.5809120819534339E-3</v>
      </c>
    </row>
    <row r="60" spans="2:7" x14ac:dyDescent="0.3">
      <c r="B60" s="31">
        <v>45089</v>
      </c>
      <c r="C60" s="32">
        <v>568.02960199999995</v>
      </c>
      <c r="D60" s="9">
        <f t="shared" si="0"/>
        <v>1.3338053862986143E-2</v>
      </c>
      <c r="F60" s="32">
        <v>18826</v>
      </c>
      <c r="G60" s="9">
        <f t="shared" si="1"/>
        <v>1.4146094113625551E-2</v>
      </c>
    </row>
    <row r="61" spans="2:7" x14ac:dyDescent="0.3">
      <c r="B61" s="31">
        <v>45096</v>
      </c>
      <c r="C61" s="32">
        <v>557.91119400000002</v>
      </c>
      <c r="D61" s="9">
        <f t="shared" si="0"/>
        <v>-1.781317023685669E-2</v>
      </c>
      <c r="F61" s="32">
        <v>18665.5</v>
      </c>
      <c r="G61" s="9">
        <f t="shared" si="1"/>
        <v>-8.5254435355359703E-3</v>
      </c>
    </row>
    <row r="62" spans="2:7" x14ac:dyDescent="0.3">
      <c r="B62" s="31">
        <v>45103</v>
      </c>
      <c r="C62" s="32">
        <v>593.69958499999996</v>
      </c>
      <c r="D62" s="9">
        <f t="shared" si="0"/>
        <v>6.4147110480812453E-2</v>
      </c>
      <c r="F62" s="32">
        <v>19189.050781000002</v>
      </c>
      <c r="G62" s="9">
        <f t="shared" si="1"/>
        <v>2.804911633762841E-2</v>
      </c>
    </row>
    <row r="63" spans="2:7" x14ac:dyDescent="0.3">
      <c r="B63" s="31">
        <v>45110</v>
      </c>
      <c r="C63" s="32">
        <v>616.27923599999997</v>
      </c>
      <c r="D63" s="9">
        <f t="shared" si="0"/>
        <v>3.8032115181620085E-2</v>
      </c>
      <c r="F63" s="32">
        <v>19331.800781000002</v>
      </c>
      <c r="G63" s="9">
        <f t="shared" si="1"/>
        <v>7.4391381642151533E-3</v>
      </c>
    </row>
    <row r="64" spans="2:7" x14ac:dyDescent="0.3">
      <c r="B64" s="31">
        <v>45117</v>
      </c>
      <c r="C64" s="32">
        <v>622.95843500000001</v>
      </c>
      <c r="D64" s="9">
        <f t="shared" si="0"/>
        <v>1.0837942623788122E-2</v>
      </c>
      <c r="F64" s="32">
        <v>19564.5</v>
      </c>
      <c r="G64" s="9">
        <f t="shared" si="1"/>
        <v>1.2037120681933855E-2</v>
      </c>
    </row>
    <row r="65" spans="2:7" x14ac:dyDescent="0.3">
      <c r="B65" s="31">
        <v>45124</v>
      </c>
      <c r="C65" s="32">
        <v>623.80578600000001</v>
      </c>
      <c r="D65" s="9">
        <f t="shared" si="0"/>
        <v>1.3602047141396678E-3</v>
      </c>
      <c r="F65" s="32">
        <v>19745</v>
      </c>
      <c r="G65" s="9">
        <f t="shared" si="1"/>
        <v>9.225893838329613E-3</v>
      </c>
    </row>
    <row r="66" spans="2:7" x14ac:dyDescent="0.3">
      <c r="B66" s="31">
        <v>45131</v>
      </c>
      <c r="C66" s="32">
        <v>633.32611099999997</v>
      </c>
      <c r="D66" s="9">
        <f t="shared" si="0"/>
        <v>1.5261681141251815E-2</v>
      </c>
      <c r="F66" s="32">
        <v>19646.050781000002</v>
      </c>
      <c r="G66" s="9">
        <f t="shared" si="1"/>
        <v>-5.0113557356291638E-3</v>
      </c>
    </row>
    <row r="67" spans="2:7" x14ac:dyDescent="0.3">
      <c r="B67" s="31">
        <v>45138</v>
      </c>
      <c r="C67" s="32">
        <v>615</v>
      </c>
      <c r="D67" s="9">
        <f t="shared" si="0"/>
        <v>-2.8936294717209265E-2</v>
      </c>
      <c r="F67" s="32">
        <v>19517</v>
      </c>
      <c r="G67" s="9">
        <f t="shared" si="1"/>
        <v>-6.568789953694365E-3</v>
      </c>
    </row>
    <row r="68" spans="2:7" x14ac:dyDescent="0.3">
      <c r="B68" s="31">
        <v>45145</v>
      </c>
      <c r="C68" s="32">
        <v>611.79998799999998</v>
      </c>
      <c r="D68" s="9">
        <f t="shared" si="0"/>
        <v>-5.2032715447154487E-3</v>
      </c>
      <c r="F68" s="32">
        <v>19428.300781000002</v>
      </c>
      <c r="G68" s="9">
        <f t="shared" si="1"/>
        <v>-4.5447158374749552E-3</v>
      </c>
    </row>
    <row r="69" spans="2:7" x14ac:dyDescent="0.3">
      <c r="B69" s="31">
        <v>45152</v>
      </c>
      <c r="C69" s="32">
        <v>615.79998799999998</v>
      </c>
      <c r="D69" s="9">
        <f t="shared" si="0"/>
        <v>6.5380844695277496E-3</v>
      </c>
      <c r="F69" s="32">
        <v>19310.150390999999</v>
      </c>
      <c r="G69" s="9">
        <f t="shared" si="1"/>
        <v>-6.0813547891717112E-3</v>
      </c>
    </row>
    <row r="70" spans="2:7" x14ac:dyDescent="0.3">
      <c r="B70" s="31">
        <v>45159</v>
      </c>
      <c r="C70" s="32">
        <v>605.09997599999997</v>
      </c>
      <c r="D70" s="9">
        <f t="shared" si="0"/>
        <v>-1.7375791179781608E-2</v>
      </c>
      <c r="F70" s="32">
        <v>19265.800781000002</v>
      </c>
      <c r="G70" s="9">
        <f t="shared" si="1"/>
        <v>-2.2966993576947203E-3</v>
      </c>
    </row>
    <row r="71" spans="2:7" x14ac:dyDescent="0.3">
      <c r="B71" s="31">
        <v>45166</v>
      </c>
      <c r="C71" s="32">
        <v>611.20001200000002</v>
      </c>
      <c r="D71" s="9">
        <f t="shared" si="0"/>
        <v>1.0081038244827312E-2</v>
      </c>
      <c r="F71" s="32">
        <v>19435.300781000002</v>
      </c>
      <c r="G71" s="9">
        <f t="shared" si="1"/>
        <v>8.797973254616176E-3</v>
      </c>
    </row>
    <row r="72" spans="2:7" x14ac:dyDescent="0.3">
      <c r="B72" s="31">
        <v>45173</v>
      </c>
      <c r="C72" s="32">
        <v>627.25</v>
      </c>
      <c r="D72" s="9">
        <f t="shared" si="0"/>
        <v>2.6259796604847008E-2</v>
      </c>
      <c r="F72" s="32">
        <v>19819.949218999998</v>
      </c>
      <c r="G72" s="9">
        <f t="shared" si="1"/>
        <v>1.9791226404688889E-2</v>
      </c>
    </row>
    <row r="73" spans="2:7" x14ac:dyDescent="0.3">
      <c r="B73" s="31">
        <v>45180</v>
      </c>
      <c r="C73" s="32">
        <v>634.25</v>
      </c>
      <c r="D73" s="9">
        <f t="shared" ref="D73:D112" si="2">C73/C72-1</f>
        <v>1.1159824631327142E-2</v>
      </c>
      <c r="F73" s="32">
        <v>20192.349609000001</v>
      </c>
      <c r="G73" s="9">
        <f t="shared" ref="G73:G112" si="3">F73/F72-1</f>
        <v>1.8789169734249711E-2</v>
      </c>
    </row>
    <row r="74" spans="2:7" x14ac:dyDescent="0.3">
      <c r="B74" s="31">
        <v>45187</v>
      </c>
      <c r="C74" s="32">
        <v>620.45001200000002</v>
      </c>
      <c r="D74" s="9">
        <f t="shared" si="2"/>
        <v>-2.1757962948364185E-2</v>
      </c>
      <c r="F74" s="32">
        <v>19674.25</v>
      </c>
      <c r="G74" s="9">
        <f t="shared" si="3"/>
        <v>-2.5658213087251469E-2</v>
      </c>
    </row>
    <row r="75" spans="2:7" x14ac:dyDescent="0.3">
      <c r="B75" s="31">
        <v>45194</v>
      </c>
      <c r="C75" s="32">
        <v>630.20001200000002</v>
      </c>
      <c r="D75" s="9">
        <f t="shared" si="2"/>
        <v>1.5714400534172279E-2</v>
      </c>
      <c r="F75" s="32">
        <v>19638.300781000002</v>
      </c>
      <c r="G75" s="9">
        <f t="shared" si="3"/>
        <v>-1.8272218254824502E-3</v>
      </c>
    </row>
    <row r="76" spans="2:7" x14ac:dyDescent="0.3">
      <c r="B76" s="31">
        <v>45201</v>
      </c>
      <c r="C76" s="32">
        <v>622.45001200000002</v>
      </c>
      <c r="D76" s="9">
        <f t="shared" si="2"/>
        <v>-1.2297683040983554E-2</v>
      </c>
      <c r="F76" s="32">
        <v>19653.5</v>
      </c>
      <c r="G76" s="9">
        <f t="shared" si="3"/>
        <v>7.7395794928980521E-4</v>
      </c>
    </row>
    <row r="77" spans="2:7" x14ac:dyDescent="0.3">
      <c r="B77" s="31">
        <v>45208</v>
      </c>
      <c r="C77" s="32">
        <v>667.09997599999997</v>
      </c>
      <c r="D77" s="9">
        <f t="shared" si="2"/>
        <v>7.1732610071826963E-2</v>
      </c>
      <c r="F77" s="32">
        <v>19751.050781000002</v>
      </c>
      <c r="G77" s="9">
        <f t="shared" si="3"/>
        <v>4.96353224616497E-3</v>
      </c>
    </row>
    <row r="78" spans="2:7" x14ac:dyDescent="0.3">
      <c r="B78" s="31">
        <v>45215</v>
      </c>
      <c r="C78" s="32">
        <v>663.20001200000002</v>
      </c>
      <c r="D78" s="9">
        <f t="shared" si="2"/>
        <v>-5.8461462154211219E-3</v>
      </c>
      <c r="F78" s="32">
        <v>19542.650390999999</v>
      </c>
      <c r="G78" s="9">
        <f t="shared" si="3"/>
        <v>-1.0551357105540893E-2</v>
      </c>
    </row>
    <row r="79" spans="2:7" x14ac:dyDescent="0.3">
      <c r="B79" s="31">
        <v>45222</v>
      </c>
      <c r="C79" s="32">
        <v>641.04998799999998</v>
      </c>
      <c r="D79" s="9">
        <f t="shared" si="2"/>
        <v>-3.3398708683979983E-2</v>
      </c>
      <c r="F79" s="32">
        <v>19047.25</v>
      </c>
      <c r="G79" s="9">
        <f t="shared" si="3"/>
        <v>-2.5349703396840506E-2</v>
      </c>
    </row>
    <row r="80" spans="2:7" x14ac:dyDescent="0.3">
      <c r="B80" s="31">
        <v>45229</v>
      </c>
      <c r="C80" s="32">
        <v>647.5</v>
      </c>
      <c r="D80" s="9">
        <f t="shared" si="2"/>
        <v>1.0061636566164323E-2</v>
      </c>
      <c r="F80" s="32">
        <v>19230.599609000001</v>
      </c>
      <c r="G80" s="9">
        <f t="shared" si="3"/>
        <v>9.6260409770438926E-3</v>
      </c>
    </row>
    <row r="81" spans="2:7" x14ac:dyDescent="0.3">
      <c r="B81" s="31">
        <v>45236</v>
      </c>
      <c r="C81" s="32">
        <v>651.04998799999998</v>
      </c>
      <c r="D81" s="9">
        <f t="shared" si="2"/>
        <v>5.4826069498068453E-3</v>
      </c>
      <c r="F81" s="32">
        <v>19425.349609000001</v>
      </c>
      <c r="G81" s="9">
        <f t="shared" si="3"/>
        <v>1.0127089324289962E-2</v>
      </c>
    </row>
    <row r="82" spans="2:7" x14ac:dyDescent="0.3">
      <c r="B82" s="31">
        <v>45243</v>
      </c>
      <c r="C82" s="32">
        <v>681.54998799999998</v>
      </c>
      <c r="D82" s="9">
        <f t="shared" si="2"/>
        <v>4.684740121675568E-2</v>
      </c>
      <c r="F82" s="32">
        <v>19731.800781000002</v>
      </c>
      <c r="G82" s="9">
        <f t="shared" si="3"/>
        <v>1.5775838178892609E-2</v>
      </c>
    </row>
    <row r="83" spans="2:7" x14ac:dyDescent="0.3">
      <c r="B83" s="31">
        <v>45250</v>
      </c>
      <c r="C83" s="32">
        <v>673.70001200000002</v>
      </c>
      <c r="D83" s="9">
        <f t="shared" si="2"/>
        <v>-1.1517828681995357E-2</v>
      </c>
      <c r="F83" s="32">
        <v>19794.699218999998</v>
      </c>
      <c r="G83" s="9">
        <f t="shared" si="3"/>
        <v>3.1876684088845142E-3</v>
      </c>
    </row>
    <row r="84" spans="2:7" x14ac:dyDescent="0.3">
      <c r="B84" s="31">
        <v>45257</v>
      </c>
      <c r="C84" s="32">
        <v>705.45001200000002</v>
      </c>
      <c r="D84" s="9">
        <f t="shared" si="2"/>
        <v>4.7127800852703627E-2</v>
      </c>
      <c r="F84" s="32">
        <v>20267.900390999999</v>
      </c>
      <c r="G84" s="9">
        <f t="shared" si="3"/>
        <v>2.390544896715574E-2</v>
      </c>
    </row>
    <row r="85" spans="2:7" x14ac:dyDescent="0.3">
      <c r="B85" s="31">
        <v>45264</v>
      </c>
      <c r="C85" s="32">
        <v>714.54998799999998</v>
      </c>
      <c r="D85" s="9">
        <f t="shared" si="2"/>
        <v>1.2899533411589115E-2</v>
      </c>
      <c r="F85" s="32">
        <v>20969.400390999999</v>
      </c>
      <c r="G85" s="9">
        <f t="shared" si="3"/>
        <v>3.4611379889724736E-2</v>
      </c>
    </row>
    <row r="86" spans="2:7" x14ac:dyDescent="0.3">
      <c r="B86" s="31">
        <v>45271</v>
      </c>
      <c r="C86" s="32">
        <v>732.40002400000003</v>
      </c>
      <c r="D86" s="9">
        <f t="shared" si="2"/>
        <v>2.4980807920746972E-2</v>
      </c>
      <c r="F86" s="32">
        <v>21456.650390999999</v>
      </c>
      <c r="G86" s="9">
        <f t="shared" si="3"/>
        <v>2.3236239039487572E-2</v>
      </c>
    </row>
    <row r="87" spans="2:7" x14ac:dyDescent="0.3">
      <c r="B87" s="31">
        <v>45278</v>
      </c>
      <c r="C87" s="32">
        <v>724.70001200000002</v>
      </c>
      <c r="D87" s="9">
        <f t="shared" si="2"/>
        <v>-1.051339670627871E-2</v>
      </c>
      <c r="F87" s="32">
        <v>21349.400390999999</v>
      </c>
      <c r="G87" s="9">
        <f t="shared" si="3"/>
        <v>-4.9984502727874469E-3</v>
      </c>
    </row>
    <row r="88" spans="2:7" x14ac:dyDescent="0.3">
      <c r="B88" s="31">
        <v>45285</v>
      </c>
      <c r="C88" s="32">
        <v>779.95001200000002</v>
      </c>
      <c r="D88" s="9">
        <f t="shared" si="2"/>
        <v>7.623844223145948E-2</v>
      </c>
      <c r="F88" s="32">
        <v>21731.400390999999</v>
      </c>
      <c r="G88" s="9">
        <f t="shared" si="3"/>
        <v>1.7892774176507364E-2</v>
      </c>
    </row>
    <row r="89" spans="2:7" x14ac:dyDescent="0.3">
      <c r="B89" s="31">
        <v>45292</v>
      </c>
      <c r="C89" s="32">
        <v>790.95001200000002</v>
      </c>
      <c r="D89" s="9">
        <f t="shared" si="2"/>
        <v>1.4103467954046156E-2</v>
      </c>
      <c r="F89" s="32">
        <v>21710.800781000002</v>
      </c>
      <c r="G89" s="9">
        <f t="shared" si="3"/>
        <v>-9.4791912299074799E-4</v>
      </c>
    </row>
    <row r="90" spans="2:7" x14ac:dyDescent="0.3">
      <c r="B90" s="31">
        <v>45299</v>
      </c>
      <c r="C90" s="32">
        <v>816.45001200000002</v>
      </c>
      <c r="D90" s="9">
        <f t="shared" si="2"/>
        <v>3.223971124991909E-2</v>
      </c>
      <c r="F90" s="32">
        <v>21894.550781000002</v>
      </c>
      <c r="G90" s="9">
        <f t="shared" si="3"/>
        <v>8.4635293674109047E-3</v>
      </c>
    </row>
    <row r="91" spans="2:7" x14ac:dyDescent="0.3">
      <c r="B91" s="31">
        <v>45306</v>
      </c>
      <c r="C91" s="32">
        <v>823.54998799999998</v>
      </c>
      <c r="D91" s="9">
        <f t="shared" si="2"/>
        <v>8.6961551786957081E-3</v>
      </c>
      <c r="F91" s="32">
        <v>21622.400390999999</v>
      </c>
      <c r="G91" s="9">
        <f t="shared" si="3"/>
        <v>-1.2430051327482539E-2</v>
      </c>
    </row>
    <row r="92" spans="2:7" x14ac:dyDescent="0.3">
      <c r="B92" s="31">
        <v>45313</v>
      </c>
      <c r="C92" s="32">
        <v>811.84997599999997</v>
      </c>
      <c r="D92" s="9">
        <f t="shared" si="2"/>
        <v>-1.4206802465523194E-2</v>
      </c>
      <c r="F92" s="32">
        <v>21352.599609000001</v>
      </c>
      <c r="G92" s="9">
        <f t="shared" si="3"/>
        <v>-1.2477836739731241E-2</v>
      </c>
    </row>
    <row r="93" spans="2:7" x14ac:dyDescent="0.3">
      <c r="B93" s="31">
        <v>45320</v>
      </c>
      <c r="C93" s="32">
        <v>878.75</v>
      </c>
      <c r="D93" s="9">
        <f t="shared" si="2"/>
        <v>8.2404417044658507E-2</v>
      </c>
      <c r="F93" s="32">
        <v>21853.800781000002</v>
      </c>
      <c r="G93" s="9">
        <f t="shared" si="3"/>
        <v>2.3472606669810325E-2</v>
      </c>
    </row>
    <row r="94" spans="2:7" x14ac:dyDescent="0.3">
      <c r="B94" s="31">
        <v>45327</v>
      </c>
      <c r="C94" s="32">
        <v>915</v>
      </c>
      <c r="D94" s="9">
        <f t="shared" si="2"/>
        <v>4.1251778093883251E-2</v>
      </c>
      <c r="F94" s="32">
        <v>21782.5</v>
      </c>
      <c r="G94" s="9">
        <f t="shared" si="3"/>
        <v>-3.2626261085894059E-3</v>
      </c>
    </row>
    <row r="95" spans="2:7" x14ac:dyDescent="0.3">
      <c r="B95" s="31">
        <v>45334</v>
      </c>
      <c r="C95" s="32">
        <v>938.59997599999997</v>
      </c>
      <c r="D95" s="9">
        <f t="shared" si="2"/>
        <v>2.5792323497267677E-2</v>
      </c>
      <c r="F95" s="32">
        <v>22040.699218999998</v>
      </c>
      <c r="G95" s="9">
        <f t="shared" si="3"/>
        <v>1.1853516308963474E-2</v>
      </c>
    </row>
    <row r="96" spans="2:7" x14ac:dyDescent="0.3">
      <c r="B96" s="31">
        <v>45341</v>
      </c>
      <c r="C96" s="32">
        <v>937.40002400000003</v>
      </c>
      <c r="D96" s="9">
        <f t="shared" si="2"/>
        <v>-1.278448786152464E-3</v>
      </c>
      <c r="F96" s="32">
        <v>22212.699218999998</v>
      </c>
      <c r="G96" s="9">
        <f t="shared" si="3"/>
        <v>7.803745166656384E-3</v>
      </c>
    </row>
    <row r="97" spans="2:7" x14ac:dyDescent="0.3">
      <c r="B97" s="31">
        <v>45348</v>
      </c>
      <c r="C97" s="32">
        <v>977.40002400000003</v>
      </c>
      <c r="D97" s="9">
        <f t="shared" si="2"/>
        <v>4.2671217170781706E-2</v>
      </c>
      <c r="F97" s="32">
        <v>22338.75</v>
      </c>
      <c r="G97" s="9">
        <f t="shared" si="3"/>
        <v>5.6747169606556902E-3</v>
      </c>
    </row>
    <row r="98" spans="2:7" x14ac:dyDescent="0.3">
      <c r="B98" s="31">
        <v>45355</v>
      </c>
      <c r="C98" s="32">
        <v>1039.3000489999999</v>
      </c>
      <c r="D98" s="9">
        <f t="shared" si="2"/>
        <v>6.3331311111160637E-2</v>
      </c>
      <c r="F98" s="32">
        <v>22493.550781000002</v>
      </c>
      <c r="G98" s="9">
        <f t="shared" si="3"/>
        <v>6.9296975435062524E-3</v>
      </c>
    </row>
    <row r="99" spans="2:7" x14ac:dyDescent="0.3">
      <c r="B99" s="31">
        <v>45362</v>
      </c>
      <c r="C99" s="32">
        <v>945.84997599999997</v>
      </c>
      <c r="D99" s="9">
        <f t="shared" si="2"/>
        <v>-8.9916355810736648E-2</v>
      </c>
      <c r="F99" s="32">
        <v>22023.349609000001</v>
      </c>
      <c r="G99" s="9">
        <f t="shared" si="3"/>
        <v>-2.0903821569921877E-2</v>
      </c>
    </row>
    <row r="100" spans="2:7" x14ac:dyDescent="0.3">
      <c r="B100" s="31">
        <v>45369</v>
      </c>
      <c r="C100" s="32">
        <v>979.79998799999998</v>
      </c>
      <c r="D100" s="9">
        <f t="shared" si="2"/>
        <v>3.5893654238460249E-2</v>
      </c>
      <c r="F100" s="32">
        <v>22096.75</v>
      </c>
      <c r="G100" s="9">
        <f t="shared" si="3"/>
        <v>3.3328441087818739E-3</v>
      </c>
    </row>
    <row r="101" spans="2:7" x14ac:dyDescent="0.3">
      <c r="B101" s="31">
        <v>45376</v>
      </c>
      <c r="C101" s="32">
        <v>992.79998799999998</v>
      </c>
      <c r="D101" s="9">
        <f t="shared" si="2"/>
        <v>1.326801404288247E-2</v>
      </c>
      <c r="F101" s="32">
        <v>22326.900390999999</v>
      </c>
      <c r="G101" s="9">
        <f t="shared" si="3"/>
        <v>1.0415576544061889E-2</v>
      </c>
    </row>
    <row r="102" spans="2:7" x14ac:dyDescent="0.3">
      <c r="B102" s="31">
        <v>45383</v>
      </c>
      <c r="C102" s="32">
        <v>1007.099976</v>
      </c>
      <c r="D102" s="9">
        <f t="shared" si="2"/>
        <v>1.4403694775225961E-2</v>
      </c>
      <c r="F102" s="32">
        <v>22513.699218999998</v>
      </c>
      <c r="G102" s="9">
        <f t="shared" si="3"/>
        <v>8.3665365424077098E-3</v>
      </c>
    </row>
    <row r="103" spans="2:7" x14ac:dyDescent="0.3">
      <c r="B103" s="31">
        <v>45390</v>
      </c>
      <c r="C103" s="32">
        <v>1018.5</v>
      </c>
      <c r="D103" s="9">
        <f t="shared" si="2"/>
        <v>1.1319654723137562E-2</v>
      </c>
      <c r="F103" s="32">
        <v>22519.400390999999</v>
      </c>
      <c r="G103" s="9">
        <f t="shared" si="3"/>
        <v>2.5323124132303754E-4</v>
      </c>
    </row>
    <row r="104" spans="2:7" x14ac:dyDescent="0.3">
      <c r="B104" s="31">
        <v>45397</v>
      </c>
      <c r="C104" s="32">
        <v>963.20001200000002</v>
      </c>
      <c r="D104" s="9">
        <f t="shared" si="2"/>
        <v>-5.4295520864015678E-2</v>
      </c>
      <c r="F104" s="32">
        <v>22147</v>
      </c>
      <c r="G104" s="9">
        <f t="shared" si="3"/>
        <v>-1.6536869744934735E-2</v>
      </c>
    </row>
    <row r="105" spans="2:7" x14ac:dyDescent="0.3">
      <c r="B105" s="31">
        <v>45404</v>
      </c>
      <c r="C105" s="32">
        <v>999.5</v>
      </c>
      <c r="D105" s="9">
        <f t="shared" si="2"/>
        <v>3.7686864148419374E-2</v>
      </c>
      <c r="F105" s="32">
        <v>22419.949218999998</v>
      </c>
      <c r="G105" s="9">
        <f t="shared" si="3"/>
        <v>1.2324433060911133E-2</v>
      </c>
    </row>
    <row r="106" spans="2:7" x14ac:dyDescent="0.3">
      <c r="B106" s="31">
        <v>45411</v>
      </c>
      <c r="C106" s="32">
        <v>1013.400024</v>
      </c>
      <c r="D106" s="9">
        <f t="shared" si="2"/>
        <v>1.3906977488744365E-2</v>
      </c>
      <c r="F106" s="32">
        <v>22475.849609000001</v>
      </c>
      <c r="G106" s="9">
        <f t="shared" si="3"/>
        <v>2.4933325875970969E-3</v>
      </c>
    </row>
    <row r="107" spans="2:7" x14ac:dyDescent="0.3">
      <c r="B107" s="31">
        <v>45418</v>
      </c>
      <c r="C107" s="32">
        <v>1046.650024</v>
      </c>
      <c r="D107" s="9">
        <f t="shared" si="2"/>
        <v>3.2810340647870362E-2</v>
      </c>
      <c r="F107" s="32">
        <v>22055.199218999998</v>
      </c>
      <c r="G107" s="9">
        <f t="shared" si="3"/>
        <v>-1.8715661357315838E-2</v>
      </c>
    </row>
    <row r="108" spans="2:7" x14ac:dyDescent="0.3">
      <c r="B108" s="31">
        <v>45425</v>
      </c>
      <c r="C108" s="32">
        <v>953.95001200000002</v>
      </c>
      <c r="D108" s="9">
        <f t="shared" si="2"/>
        <v>-8.8568298738222806E-2</v>
      </c>
      <c r="F108" s="32">
        <v>22466.099609000001</v>
      </c>
      <c r="G108" s="9">
        <f t="shared" si="3"/>
        <v>1.8630545383875763E-2</v>
      </c>
    </row>
    <row r="109" spans="2:7" x14ac:dyDescent="0.3">
      <c r="B109" s="31">
        <v>45432</v>
      </c>
      <c r="C109" s="32">
        <v>960.54998799999998</v>
      </c>
      <c r="D109" s="9">
        <f t="shared" si="2"/>
        <v>6.918576358275752E-3</v>
      </c>
      <c r="F109" s="32">
        <v>22957.099609000001</v>
      </c>
      <c r="G109" s="9">
        <f t="shared" si="3"/>
        <v>2.1855151029567477E-2</v>
      </c>
    </row>
    <row r="110" spans="2:7" x14ac:dyDescent="0.3">
      <c r="B110" s="31">
        <v>45439</v>
      </c>
      <c r="C110" s="32">
        <v>923</v>
      </c>
      <c r="D110" s="9">
        <f t="shared" si="2"/>
        <v>-3.9092174763527221E-2</v>
      </c>
      <c r="F110" s="32">
        <v>22530.699218999998</v>
      </c>
      <c r="G110" s="9">
        <f t="shared" si="3"/>
        <v>-1.8573791866671074E-2</v>
      </c>
    </row>
    <row r="111" spans="2:7" x14ac:dyDescent="0.3">
      <c r="B111" s="31">
        <v>45446</v>
      </c>
      <c r="C111" s="32">
        <v>950.45001200000002</v>
      </c>
      <c r="D111" s="9">
        <f t="shared" si="2"/>
        <v>2.9739991332611071E-2</v>
      </c>
      <c r="F111" s="32">
        <v>23263.900390999999</v>
      </c>
      <c r="G111" s="9">
        <f t="shared" si="3"/>
        <v>3.2542317700539725E-2</v>
      </c>
    </row>
    <row r="112" spans="2:7" x14ac:dyDescent="0.3">
      <c r="B112" s="31">
        <v>45447</v>
      </c>
      <c r="C112" s="32">
        <v>903.90002400000003</v>
      </c>
      <c r="D112" s="9">
        <f t="shared" si="2"/>
        <v>-4.8976787218978912E-2</v>
      </c>
      <c r="F112" s="32">
        <v>21884.5</v>
      </c>
      <c r="G112" s="9">
        <f t="shared" si="3"/>
        <v>-5.9293599431574306E-2</v>
      </c>
    </row>
  </sheetData>
  <mergeCells count="3">
    <mergeCell ref="B4:D4"/>
    <mergeCell ref="F4:G4"/>
    <mergeCell ref="I4:J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863E2-B14C-4DCA-A466-C5E7E53C90A1}">
  <dimension ref="B2:U112"/>
  <sheetViews>
    <sheetView showGridLines="0" workbookViewId="0">
      <selection activeCell="I4" sqref="I4:J4"/>
    </sheetView>
  </sheetViews>
  <sheetFormatPr defaultRowHeight="14.4" x14ac:dyDescent="0.3"/>
  <cols>
    <col min="1" max="1" width="1.88671875" customWidth="1"/>
    <col min="2" max="2" width="21.6640625" customWidth="1"/>
    <col min="3" max="3" width="11.5546875" bestFit="1" customWidth="1"/>
    <col min="5" max="5" width="9" customWidth="1"/>
    <col min="6" max="6" width="12" customWidth="1"/>
    <col min="7" max="7" width="10.21875" customWidth="1"/>
    <col min="9" max="9" width="16.77734375" customWidth="1"/>
    <col min="10" max="10" width="9.5546875" customWidth="1"/>
    <col min="13" max="13" width="9" customWidth="1"/>
    <col min="14" max="14" width="11.77734375" customWidth="1"/>
    <col min="15" max="15" width="12" customWidth="1"/>
    <col min="16" max="16" width="9.77734375" customWidth="1"/>
  </cols>
  <sheetData>
    <row r="2" spans="2:14" x14ac:dyDescent="0.3">
      <c r="B2" s="1" t="s">
        <v>79</v>
      </c>
    </row>
    <row r="4" spans="2:14" x14ac:dyDescent="0.3">
      <c r="B4" s="150" t="s">
        <v>80</v>
      </c>
      <c r="C4" s="150"/>
      <c r="D4" s="150"/>
      <c r="F4" s="150" t="s">
        <v>44</v>
      </c>
      <c r="G4" s="150"/>
      <c r="I4" s="150" t="s">
        <v>73</v>
      </c>
      <c r="J4" s="150"/>
    </row>
    <row r="6" spans="2:14" x14ac:dyDescent="0.3">
      <c r="B6" s="33" t="s">
        <v>40</v>
      </c>
      <c r="C6" s="34" t="s">
        <v>41</v>
      </c>
      <c r="D6" s="34" t="s">
        <v>43</v>
      </c>
      <c r="F6" s="34" t="s">
        <v>41</v>
      </c>
      <c r="G6" s="34" t="s">
        <v>43</v>
      </c>
      <c r="I6" s="1" t="s">
        <v>74</v>
      </c>
      <c r="J6" s="11">
        <f>N6</f>
        <v>1.052743274728611</v>
      </c>
      <c r="M6" t="s">
        <v>81</v>
      </c>
      <c r="N6" s="11">
        <f>N26</f>
        <v>1.052743274728611</v>
      </c>
    </row>
    <row r="7" spans="2:14" x14ac:dyDescent="0.3">
      <c r="B7" s="31">
        <v>44718</v>
      </c>
      <c r="C7" s="32">
        <v>1015.361389</v>
      </c>
      <c r="F7" s="32">
        <v>16201.799805000001</v>
      </c>
      <c r="I7" t="s">
        <v>75</v>
      </c>
      <c r="J7" s="40">
        <v>0.75</v>
      </c>
    </row>
    <row r="8" spans="2:14" x14ac:dyDescent="0.3">
      <c r="B8" s="31">
        <v>44725</v>
      </c>
      <c r="C8" s="32">
        <v>977.30371100000002</v>
      </c>
      <c r="D8" s="9">
        <f t="shared" ref="D8:D39" si="0">C8/C7-1</f>
        <v>-3.7481903893826329E-2</v>
      </c>
      <c r="F8" s="32">
        <v>15293.5</v>
      </c>
      <c r="G8" s="9">
        <f>F8/F7-1</f>
        <v>-5.606166079892505E-2</v>
      </c>
    </row>
    <row r="9" spans="2:14" x14ac:dyDescent="0.3">
      <c r="B9" s="31">
        <v>44732</v>
      </c>
      <c r="C9" s="32">
        <v>1050.1864009999999</v>
      </c>
      <c r="D9" s="9">
        <f t="shared" si="0"/>
        <v>7.4575271923836839E-2</v>
      </c>
      <c r="F9" s="32">
        <v>15699.25</v>
      </c>
      <c r="G9" s="9">
        <f t="shared" ref="G9:G72" si="1">F9/F8-1</f>
        <v>2.6530879131657192E-2</v>
      </c>
      <c r="I9" t="s">
        <v>77</v>
      </c>
      <c r="J9">
        <v>1</v>
      </c>
      <c r="M9" t="s">
        <v>48</v>
      </c>
    </row>
    <row r="10" spans="2:14" ht="15" thickBot="1" x14ac:dyDescent="0.35">
      <c r="B10" s="31">
        <v>44739</v>
      </c>
      <c r="C10" s="32">
        <v>1084.766357</v>
      </c>
      <c r="D10" s="9">
        <f t="shared" si="0"/>
        <v>3.292744599156161E-2</v>
      </c>
      <c r="F10" s="32">
        <v>15752.049805000001</v>
      </c>
      <c r="G10" s="9">
        <f t="shared" si="1"/>
        <v>3.3632055671448668E-3</v>
      </c>
      <c r="I10" t="s">
        <v>76</v>
      </c>
      <c r="J10" s="40">
        <v>0.25</v>
      </c>
    </row>
    <row r="11" spans="2:14" x14ac:dyDescent="0.3">
      <c r="B11" s="31">
        <v>44746</v>
      </c>
      <c r="C11" s="32">
        <v>1110.4810789999999</v>
      </c>
      <c r="D11" s="9">
        <f t="shared" si="0"/>
        <v>2.3705309289933973E-2</v>
      </c>
      <c r="F11" s="32">
        <v>16220.599609000001</v>
      </c>
      <c r="G11" s="9">
        <f t="shared" si="1"/>
        <v>2.9745322659611828E-2</v>
      </c>
      <c r="M11" s="38" t="s">
        <v>49</v>
      </c>
      <c r="N11" s="38"/>
    </row>
    <row r="12" spans="2:14" x14ac:dyDescent="0.3">
      <c r="B12" s="31">
        <v>44753</v>
      </c>
      <c r="C12" s="32">
        <v>1148.587769</v>
      </c>
      <c r="D12" s="9">
        <f t="shared" si="0"/>
        <v>3.4315478868235605E-2</v>
      </c>
      <c r="F12" s="32">
        <v>16049.200194999999</v>
      </c>
      <c r="G12" s="9">
        <f t="shared" si="1"/>
        <v>-1.0566774233481513E-2</v>
      </c>
      <c r="I12" s="39" t="s">
        <v>78</v>
      </c>
      <c r="J12" s="12">
        <f>J6*J7+J9*J10</f>
        <v>1.0395574560464582</v>
      </c>
      <c r="M12" t="s">
        <v>50</v>
      </c>
      <c r="N12">
        <v>0.47318679383988776</v>
      </c>
    </row>
    <row r="13" spans="2:14" x14ac:dyDescent="0.3">
      <c r="B13" s="31">
        <v>44760</v>
      </c>
      <c r="C13" s="32">
        <v>1168.8510739999999</v>
      </c>
      <c r="D13" s="9">
        <f t="shared" si="0"/>
        <v>1.7641929982975313E-2</v>
      </c>
      <c r="F13" s="32">
        <v>16719.449218999998</v>
      </c>
      <c r="G13" s="9">
        <f t="shared" si="1"/>
        <v>4.1762144895470144E-2</v>
      </c>
      <c r="M13" t="s">
        <v>51</v>
      </c>
      <c r="N13">
        <v>0.22390574186447246</v>
      </c>
    </row>
    <row r="14" spans="2:14" x14ac:dyDescent="0.3">
      <c r="B14" s="31">
        <v>44767</v>
      </c>
      <c r="C14" s="32">
        <v>1152.3736570000001</v>
      </c>
      <c r="D14" s="9">
        <f t="shared" si="0"/>
        <v>-1.4097105582160596E-2</v>
      </c>
      <c r="F14" s="32">
        <v>17158.25</v>
      </c>
      <c r="G14" s="9">
        <f t="shared" si="1"/>
        <v>2.6244930395275645E-2</v>
      </c>
      <c r="M14" t="s">
        <v>52</v>
      </c>
      <c r="N14">
        <v>0.21637084615441879</v>
      </c>
    </row>
    <row r="15" spans="2:14" x14ac:dyDescent="0.3">
      <c r="B15" s="31">
        <v>44774</v>
      </c>
      <c r="C15" s="32">
        <v>1223.082764</v>
      </c>
      <c r="D15" s="9">
        <f t="shared" si="0"/>
        <v>6.1359530886950786E-2</v>
      </c>
      <c r="F15" s="32">
        <v>17397.5</v>
      </c>
      <c r="G15" s="9">
        <f t="shared" si="1"/>
        <v>1.3943729692713402E-2</v>
      </c>
      <c r="M15" t="s">
        <v>53</v>
      </c>
      <c r="N15">
        <v>3.1980600613884892E-2</v>
      </c>
    </row>
    <row r="16" spans="2:14" ht="15" thickBot="1" x14ac:dyDescent="0.35">
      <c r="B16" s="31">
        <v>44781</v>
      </c>
      <c r="C16" s="32">
        <v>1246.388428</v>
      </c>
      <c r="D16" s="9">
        <f t="shared" si="0"/>
        <v>1.9054854410490263E-2</v>
      </c>
      <c r="F16" s="32">
        <v>17698.150390999999</v>
      </c>
      <c r="G16" s="9">
        <f t="shared" si="1"/>
        <v>1.7281241040379314E-2</v>
      </c>
      <c r="M16" s="36" t="s">
        <v>54</v>
      </c>
      <c r="N16" s="36">
        <v>105</v>
      </c>
    </row>
    <row r="17" spans="2:21" x14ac:dyDescent="0.3">
      <c r="B17" s="31">
        <v>44788</v>
      </c>
      <c r="C17" s="32">
        <v>1226.546509</v>
      </c>
      <c r="D17" s="9">
        <f t="shared" si="0"/>
        <v>-1.5919530825425743E-2</v>
      </c>
      <c r="F17" s="32">
        <v>17758.449218999998</v>
      </c>
      <c r="G17" s="9">
        <f t="shared" si="1"/>
        <v>3.4070694771959342E-3</v>
      </c>
    </row>
    <row r="18" spans="2:21" ht="15" thickBot="1" x14ac:dyDescent="0.35">
      <c r="B18" s="31">
        <v>44795</v>
      </c>
      <c r="C18" s="32">
        <v>1261.430908</v>
      </c>
      <c r="D18" s="9">
        <f t="shared" si="0"/>
        <v>2.8441154692487869E-2</v>
      </c>
      <c r="F18" s="32">
        <v>17558.900390999999</v>
      </c>
      <c r="G18" s="9">
        <f t="shared" si="1"/>
        <v>-1.1236838619134604E-2</v>
      </c>
      <c r="M18" t="s">
        <v>55</v>
      </c>
    </row>
    <row r="19" spans="2:21" x14ac:dyDescent="0.3">
      <c r="B19" s="31">
        <v>44802</v>
      </c>
      <c r="C19" s="32">
        <v>1302.30249</v>
      </c>
      <c r="D19" s="9">
        <f t="shared" si="0"/>
        <v>3.2400967616055931E-2</v>
      </c>
      <c r="F19" s="32">
        <v>17539.449218999998</v>
      </c>
      <c r="G19" s="9">
        <f t="shared" si="1"/>
        <v>-1.1077670905844661E-3</v>
      </c>
      <c r="M19" s="37"/>
      <c r="N19" s="37" t="s">
        <v>60</v>
      </c>
      <c r="O19" s="37" t="s">
        <v>61</v>
      </c>
      <c r="P19" s="37" t="s">
        <v>62</v>
      </c>
      <c r="Q19" s="37" t="s">
        <v>63</v>
      </c>
      <c r="R19" s="37" t="s">
        <v>64</v>
      </c>
    </row>
    <row r="20" spans="2:21" x14ac:dyDescent="0.3">
      <c r="B20" s="31">
        <v>44809</v>
      </c>
      <c r="C20" s="32">
        <v>1287.755005</v>
      </c>
      <c r="D20" s="9">
        <f t="shared" si="0"/>
        <v>-1.1170588332362064E-2</v>
      </c>
      <c r="F20" s="32">
        <v>17833.349609000001</v>
      </c>
      <c r="G20" s="9">
        <f t="shared" si="1"/>
        <v>1.6756534730955508E-2</v>
      </c>
      <c r="M20" t="s">
        <v>56</v>
      </c>
      <c r="N20">
        <v>1</v>
      </c>
      <c r="O20">
        <v>3.039213549503425E-2</v>
      </c>
      <c r="P20">
        <v>3.039213549503425E-2</v>
      </c>
      <c r="Q20">
        <v>29.715838212029844</v>
      </c>
      <c r="R20">
        <v>3.4411291882384846E-7</v>
      </c>
    </row>
    <row r="21" spans="2:21" x14ac:dyDescent="0.3">
      <c r="B21" s="31">
        <v>44816</v>
      </c>
      <c r="C21" s="32">
        <v>1237.1354980000001</v>
      </c>
      <c r="D21" s="9">
        <f t="shared" si="0"/>
        <v>-3.9308336448670933E-2</v>
      </c>
      <c r="F21" s="32">
        <v>17530.849609000001</v>
      </c>
      <c r="G21" s="9">
        <f t="shared" si="1"/>
        <v>-1.6962601341440453E-2</v>
      </c>
      <c r="M21" t="s">
        <v>57</v>
      </c>
      <c r="N21">
        <v>103</v>
      </c>
      <c r="O21">
        <v>0.1053441580093559</v>
      </c>
      <c r="P21">
        <v>1.0227588156248146E-3</v>
      </c>
    </row>
    <row r="22" spans="2:21" ht="15" thickBot="1" x14ac:dyDescent="0.35">
      <c r="B22" s="31">
        <v>44823</v>
      </c>
      <c r="C22" s="32">
        <v>1259.1053469999999</v>
      </c>
      <c r="D22" s="9">
        <f t="shared" si="0"/>
        <v>1.7758644089929554E-2</v>
      </c>
      <c r="F22" s="32">
        <v>17327.349609000001</v>
      </c>
      <c r="G22" s="9">
        <f t="shared" si="1"/>
        <v>-1.1608108251383698E-2</v>
      </c>
      <c r="M22" s="36" t="s">
        <v>58</v>
      </c>
      <c r="N22" s="36">
        <v>104</v>
      </c>
      <c r="O22" s="36">
        <v>0.13573629350439015</v>
      </c>
      <c r="P22" s="36"/>
      <c r="Q22" s="36"/>
      <c r="R22" s="36"/>
    </row>
    <row r="23" spans="2:21" ht="15" thickBot="1" x14ac:dyDescent="0.35">
      <c r="B23" s="31">
        <v>44830</v>
      </c>
      <c r="C23" s="32">
        <v>1255.0477289999999</v>
      </c>
      <c r="D23" s="9">
        <f t="shared" si="0"/>
        <v>-3.2226199417451085E-3</v>
      </c>
      <c r="F23" s="32">
        <v>17094.349609000001</v>
      </c>
      <c r="G23" s="9">
        <f t="shared" si="1"/>
        <v>-1.3446949779265527E-2</v>
      </c>
    </row>
    <row r="24" spans="2:21" x14ac:dyDescent="0.3">
      <c r="B24" s="31">
        <v>44837</v>
      </c>
      <c r="C24" s="32">
        <v>1226.0020750000001</v>
      </c>
      <c r="D24" s="9">
        <f t="shared" si="0"/>
        <v>-2.314306725461579E-2</v>
      </c>
      <c r="F24" s="32">
        <v>17314.650390999999</v>
      </c>
      <c r="G24" s="9">
        <f t="shared" si="1"/>
        <v>1.2887345060733635E-2</v>
      </c>
      <c r="M24" s="37"/>
      <c r="N24" s="37" t="s">
        <v>65</v>
      </c>
      <c r="O24" s="37" t="s">
        <v>53</v>
      </c>
      <c r="P24" s="37" t="s">
        <v>66</v>
      </c>
      <c r="Q24" s="37" t="s">
        <v>67</v>
      </c>
      <c r="R24" s="37" t="s">
        <v>68</v>
      </c>
      <c r="S24" s="37" t="s">
        <v>69</v>
      </c>
      <c r="T24" s="37" t="s">
        <v>70</v>
      </c>
      <c r="U24" s="37" t="s">
        <v>71</v>
      </c>
    </row>
    <row r="25" spans="2:21" x14ac:dyDescent="0.3">
      <c r="B25" s="31">
        <v>44844</v>
      </c>
      <c r="C25" s="32">
        <v>1217.540894</v>
      </c>
      <c r="D25" s="9">
        <f t="shared" si="0"/>
        <v>-6.9014410110196378E-3</v>
      </c>
      <c r="F25" s="32">
        <v>17185.699218999998</v>
      </c>
      <c r="G25" s="9">
        <f t="shared" si="1"/>
        <v>-7.4475180894804094E-3</v>
      </c>
      <c r="M25" t="s">
        <v>59</v>
      </c>
      <c r="N25">
        <v>6.6440185149306066E-3</v>
      </c>
      <c r="O25">
        <v>3.1859412924474398E-3</v>
      </c>
      <c r="P25">
        <v>2.0854177478664937</v>
      </c>
      <c r="Q25">
        <v>3.9503033349596553E-2</v>
      </c>
      <c r="R25">
        <v>3.2545538226638141E-4</v>
      </c>
      <c r="S25">
        <v>1.2962581647594833E-2</v>
      </c>
      <c r="T25">
        <v>3.2545538226638141E-4</v>
      </c>
      <c r="U25">
        <v>1.2962581647594833E-2</v>
      </c>
    </row>
    <row r="26" spans="2:21" ht="15" thickBot="1" x14ac:dyDescent="0.35">
      <c r="B26" s="31">
        <v>44851</v>
      </c>
      <c r="C26" s="32">
        <v>1243.716553</v>
      </c>
      <c r="D26" s="9">
        <f t="shared" si="0"/>
        <v>2.1498792466842609E-2</v>
      </c>
      <c r="F26" s="32">
        <v>17576.300781000002</v>
      </c>
      <c r="G26" s="9">
        <f t="shared" si="1"/>
        <v>2.2728290366455628E-2</v>
      </c>
      <c r="M26" s="36" t="s">
        <v>72</v>
      </c>
      <c r="N26" s="36">
        <v>1.052743274728611</v>
      </c>
      <c r="O26" s="36">
        <v>0.19312054710637083</v>
      </c>
      <c r="P26" s="36">
        <v>5.4512235518303482</v>
      </c>
      <c r="Q26" s="36">
        <v>3.4411291882384603E-7</v>
      </c>
      <c r="R26" s="36">
        <v>0.66973421803351163</v>
      </c>
      <c r="S26" s="36">
        <v>1.4357523314237102</v>
      </c>
      <c r="T26" s="36">
        <v>0.66973421803351163</v>
      </c>
      <c r="U26" s="36">
        <v>1.4357523314237102</v>
      </c>
    </row>
    <row r="27" spans="2:21" x14ac:dyDescent="0.3">
      <c r="B27" s="31">
        <v>44858</v>
      </c>
      <c r="C27" s="32">
        <v>1298.0471190000001</v>
      </c>
      <c r="D27" s="9">
        <f t="shared" si="0"/>
        <v>4.3684041889567204E-2</v>
      </c>
      <c r="F27" s="32">
        <v>17786.800781000002</v>
      </c>
      <c r="G27" s="9">
        <f t="shared" si="1"/>
        <v>1.197635399068453E-2</v>
      </c>
    </row>
    <row r="28" spans="2:21" x14ac:dyDescent="0.3">
      <c r="B28" s="31">
        <v>44865</v>
      </c>
      <c r="C28" s="32">
        <v>1324.4207759999999</v>
      </c>
      <c r="D28" s="9">
        <f t="shared" si="0"/>
        <v>2.0317950414864505E-2</v>
      </c>
      <c r="F28" s="32">
        <v>18117.150390999999</v>
      </c>
      <c r="G28" s="9">
        <f t="shared" si="1"/>
        <v>1.8572739081492262E-2</v>
      </c>
    </row>
    <row r="29" spans="2:21" x14ac:dyDescent="0.3">
      <c r="B29" s="31">
        <v>44872</v>
      </c>
      <c r="C29" s="32">
        <v>1273.7517089999999</v>
      </c>
      <c r="D29" s="9">
        <f t="shared" si="0"/>
        <v>-3.8257529569288518E-2</v>
      </c>
      <c r="F29" s="32">
        <v>18349.699218999998</v>
      </c>
      <c r="G29" s="9">
        <f t="shared" si="1"/>
        <v>1.2835839134808014E-2</v>
      </c>
    </row>
    <row r="30" spans="2:21" x14ac:dyDescent="0.3">
      <c r="B30" s="31">
        <v>44879</v>
      </c>
      <c r="C30" s="32">
        <v>1214.423462</v>
      </c>
      <c r="D30" s="9">
        <f t="shared" si="0"/>
        <v>-4.6577560273954433E-2</v>
      </c>
      <c r="F30" s="32">
        <v>18307.650390999999</v>
      </c>
      <c r="G30" s="9">
        <f t="shared" si="1"/>
        <v>-2.2915268254892762E-3</v>
      </c>
    </row>
    <row r="31" spans="2:21" x14ac:dyDescent="0.3">
      <c r="B31" s="31">
        <v>44886</v>
      </c>
      <c r="C31" s="32">
        <v>1247.7246090000001</v>
      </c>
      <c r="D31" s="9">
        <f t="shared" si="0"/>
        <v>2.7421363339898974E-2</v>
      </c>
      <c r="F31" s="32">
        <v>18512.75</v>
      </c>
      <c r="G31" s="9">
        <f t="shared" si="1"/>
        <v>1.1202945469224623E-2</v>
      </c>
    </row>
    <row r="32" spans="2:21" x14ac:dyDescent="0.3">
      <c r="B32" s="31">
        <v>44893</v>
      </c>
      <c r="C32" s="32">
        <v>1251.485107</v>
      </c>
      <c r="D32" s="9">
        <f t="shared" si="0"/>
        <v>3.0138846127381047E-3</v>
      </c>
      <c r="F32" s="32">
        <v>18696.099609000001</v>
      </c>
      <c r="G32" s="9">
        <f t="shared" si="1"/>
        <v>9.9039639707769744E-3</v>
      </c>
    </row>
    <row r="33" spans="2:7" x14ac:dyDescent="0.3">
      <c r="B33" s="31">
        <v>44900</v>
      </c>
      <c r="C33" s="32">
        <v>1252.2768550000001</v>
      </c>
      <c r="D33" s="9">
        <f t="shared" si="0"/>
        <v>6.3264676149277221E-4</v>
      </c>
      <c r="F33" s="32">
        <v>18496.599609000001</v>
      </c>
      <c r="G33" s="9">
        <f t="shared" si="1"/>
        <v>-1.0670674855838058E-2</v>
      </c>
    </row>
    <row r="34" spans="2:7" x14ac:dyDescent="0.3">
      <c r="B34" s="31">
        <v>44907</v>
      </c>
      <c r="C34" s="32">
        <v>1238.6198730000001</v>
      </c>
      <c r="D34" s="9">
        <f t="shared" si="0"/>
        <v>-1.0905721003683255E-2</v>
      </c>
      <c r="F34" s="32">
        <v>18269</v>
      </c>
      <c r="G34" s="9">
        <f t="shared" si="1"/>
        <v>-1.2304943276668867E-2</v>
      </c>
    </row>
    <row r="35" spans="2:7" x14ac:dyDescent="0.3">
      <c r="B35" s="31">
        <v>44914</v>
      </c>
      <c r="C35" s="32">
        <v>1211.8999020000001</v>
      </c>
      <c r="D35" s="9">
        <f t="shared" si="0"/>
        <v>-2.1572373883589346E-2</v>
      </c>
      <c r="F35" s="32">
        <v>17806.800781000002</v>
      </c>
      <c r="G35" s="9">
        <f t="shared" si="1"/>
        <v>-2.529964524604511E-2</v>
      </c>
    </row>
    <row r="36" spans="2:7" x14ac:dyDescent="0.3">
      <c r="B36" s="31">
        <v>44921</v>
      </c>
      <c r="C36" s="32">
        <v>1236.244751</v>
      </c>
      <c r="D36" s="9">
        <f t="shared" si="0"/>
        <v>2.0088168139813734E-2</v>
      </c>
      <c r="F36" s="32">
        <v>18105.300781000002</v>
      </c>
      <c r="G36" s="9">
        <f t="shared" si="1"/>
        <v>1.6763258244484991E-2</v>
      </c>
    </row>
    <row r="37" spans="2:7" x14ac:dyDescent="0.3">
      <c r="B37" s="31">
        <v>44928</v>
      </c>
      <c r="C37" s="32">
        <v>1251.781982</v>
      </c>
      <c r="D37" s="9">
        <f t="shared" si="0"/>
        <v>1.2568086527713795E-2</v>
      </c>
      <c r="F37" s="32">
        <v>17859.449218999998</v>
      </c>
      <c r="G37" s="9">
        <f t="shared" si="1"/>
        <v>-1.3578982474458767E-2</v>
      </c>
    </row>
    <row r="38" spans="2:7" x14ac:dyDescent="0.3">
      <c r="B38" s="31">
        <v>44935</v>
      </c>
      <c r="C38" s="32">
        <v>1314.3760990000001</v>
      </c>
      <c r="D38" s="9">
        <f t="shared" si="0"/>
        <v>5.0004008605389894E-2</v>
      </c>
      <c r="F38" s="32">
        <v>17956.599609000001</v>
      </c>
      <c r="G38" s="9">
        <f t="shared" si="1"/>
        <v>5.4397192661825855E-3</v>
      </c>
    </row>
    <row r="39" spans="2:7" x14ac:dyDescent="0.3">
      <c r="B39" s="31">
        <v>44942</v>
      </c>
      <c r="C39" s="32">
        <v>1301.11499</v>
      </c>
      <c r="D39" s="9">
        <f t="shared" si="0"/>
        <v>-1.0089280389448119E-2</v>
      </c>
      <c r="F39" s="32">
        <v>18027.650390999999</v>
      </c>
      <c r="G39" s="9">
        <f t="shared" si="1"/>
        <v>3.9568060516528281E-3</v>
      </c>
    </row>
    <row r="40" spans="2:7" x14ac:dyDescent="0.3">
      <c r="B40" s="31">
        <v>44949</v>
      </c>
      <c r="C40" s="32">
        <v>1306.508423</v>
      </c>
      <c r="D40" s="9">
        <f t="shared" ref="D40:D71" si="2">C40/C39-1</f>
        <v>4.1452393074035143E-3</v>
      </c>
      <c r="F40" s="32">
        <v>17604.349609000001</v>
      </c>
      <c r="G40" s="9">
        <f t="shared" si="1"/>
        <v>-2.3480640727941093E-2</v>
      </c>
    </row>
    <row r="41" spans="2:7" x14ac:dyDescent="0.3">
      <c r="B41" s="31">
        <v>44956</v>
      </c>
      <c r="C41" s="32">
        <v>1373.6053469999999</v>
      </c>
      <c r="D41" s="9">
        <f t="shared" si="2"/>
        <v>5.1355906183851552E-2</v>
      </c>
      <c r="F41" s="32">
        <v>17854.050781000002</v>
      </c>
      <c r="G41" s="9">
        <f t="shared" si="1"/>
        <v>1.4184061186352848E-2</v>
      </c>
    </row>
    <row r="42" spans="2:7" x14ac:dyDescent="0.3">
      <c r="B42" s="31">
        <v>44963</v>
      </c>
      <c r="C42" s="32">
        <v>1351.2891850000001</v>
      </c>
      <c r="D42" s="9">
        <f t="shared" si="2"/>
        <v>-1.6246414626107208E-2</v>
      </c>
      <c r="F42" s="32">
        <v>17856.5</v>
      </c>
      <c r="G42" s="9">
        <f t="shared" si="1"/>
        <v>1.371800175793414E-4</v>
      </c>
    </row>
    <row r="43" spans="2:7" x14ac:dyDescent="0.3">
      <c r="B43" s="31">
        <v>44970</v>
      </c>
      <c r="C43" s="32">
        <v>1327.587524</v>
      </c>
      <c r="D43" s="9">
        <f t="shared" si="2"/>
        <v>-1.7540036036031825E-2</v>
      </c>
      <c r="F43" s="32">
        <v>17944.199218999998</v>
      </c>
      <c r="G43" s="9">
        <f t="shared" si="1"/>
        <v>4.9113330719905424E-3</v>
      </c>
    </row>
    <row r="44" spans="2:7" x14ac:dyDescent="0.3">
      <c r="B44" s="31">
        <v>44977</v>
      </c>
      <c r="C44" s="32">
        <v>1266.9232179999999</v>
      </c>
      <c r="D44" s="9">
        <f t="shared" si="2"/>
        <v>-4.5695146198135084E-2</v>
      </c>
      <c r="F44" s="32">
        <v>17465.800781000002</v>
      </c>
      <c r="G44" s="9">
        <f t="shared" si="1"/>
        <v>-2.6660339208308015E-2</v>
      </c>
    </row>
    <row r="45" spans="2:7" x14ac:dyDescent="0.3">
      <c r="B45" s="31">
        <v>44984</v>
      </c>
      <c r="C45" s="32">
        <v>1255.4436040000001</v>
      </c>
      <c r="D45" s="9">
        <f t="shared" si="2"/>
        <v>-9.0610179345531616E-3</v>
      </c>
      <c r="F45" s="32">
        <v>17594.349609000001</v>
      </c>
      <c r="G45" s="9">
        <f t="shared" si="1"/>
        <v>7.3600305884538031E-3</v>
      </c>
    </row>
    <row r="46" spans="2:7" x14ac:dyDescent="0.3">
      <c r="B46" s="31">
        <v>44991</v>
      </c>
      <c r="C46" s="32">
        <v>1213.978149</v>
      </c>
      <c r="D46" s="9">
        <f t="shared" si="2"/>
        <v>-3.3028528615611119E-2</v>
      </c>
      <c r="F46" s="32">
        <v>17412.900390999999</v>
      </c>
      <c r="G46" s="9">
        <f t="shared" si="1"/>
        <v>-1.0312925571695164E-2</v>
      </c>
    </row>
    <row r="47" spans="2:7" x14ac:dyDescent="0.3">
      <c r="B47" s="31">
        <v>44998</v>
      </c>
      <c r="C47" s="32">
        <v>1159.350586</v>
      </c>
      <c r="D47" s="9">
        <f t="shared" si="2"/>
        <v>-4.4998802527869919E-2</v>
      </c>
      <c r="F47" s="32">
        <v>17100.050781000002</v>
      </c>
      <c r="G47" s="9">
        <f t="shared" si="1"/>
        <v>-1.7966542217268788E-2</v>
      </c>
    </row>
    <row r="48" spans="2:7" x14ac:dyDescent="0.3">
      <c r="B48" s="31">
        <v>45005</v>
      </c>
      <c r="C48" s="32">
        <v>1138.865356</v>
      </c>
      <c r="D48" s="9">
        <f t="shared" si="2"/>
        <v>-1.7669573162228946E-2</v>
      </c>
      <c r="F48" s="32">
        <v>16945.050781000002</v>
      </c>
      <c r="G48" s="9">
        <f t="shared" si="1"/>
        <v>-9.0643005675878907E-3</v>
      </c>
    </row>
    <row r="49" spans="2:7" x14ac:dyDescent="0.3">
      <c r="B49" s="31">
        <v>45012</v>
      </c>
      <c r="C49" s="32">
        <v>1146.68335</v>
      </c>
      <c r="D49" s="9">
        <f t="shared" si="2"/>
        <v>6.8647219434778695E-3</v>
      </c>
      <c r="F49" s="32">
        <v>17359.75</v>
      </c>
      <c r="G49" s="9">
        <f t="shared" si="1"/>
        <v>2.4473176525678486E-2</v>
      </c>
    </row>
    <row r="50" spans="2:7" x14ac:dyDescent="0.3">
      <c r="B50" s="31">
        <v>45019</v>
      </c>
      <c r="C50" s="32">
        <v>1159.1032709999999</v>
      </c>
      <c r="D50" s="9">
        <f t="shared" si="2"/>
        <v>1.0831168866278551E-2</v>
      </c>
      <c r="F50" s="32">
        <v>17599.150390999999</v>
      </c>
      <c r="G50" s="9">
        <f t="shared" si="1"/>
        <v>1.3790543700226143E-2</v>
      </c>
    </row>
    <row r="51" spans="2:7" x14ac:dyDescent="0.3">
      <c r="B51" s="31">
        <v>45026</v>
      </c>
      <c r="C51" s="32">
        <v>1192.057861</v>
      </c>
      <c r="D51" s="9">
        <f t="shared" si="2"/>
        <v>2.8431107757610707E-2</v>
      </c>
      <c r="F51" s="32">
        <v>17828</v>
      </c>
      <c r="G51" s="9">
        <f t="shared" si="1"/>
        <v>1.3003446411653519E-2</v>
      </c>
    </row>
    <row r="52" spans="2:7" x14ac:dyDescent="0.3">
      <c r="B52" s="31">
        <v>45033</v>
      </c>
      <c r="C52" s="32">
        <v>1200.1728519999999</v>
      </c>
      <c r="D52" s="9">
        <f t="shared" si="2"/>
        <v>6.8075479097904346E-3</v>
      </c>
      <c r="F52" s="32">
        <v>17624.050781000002</v>
      </c>
      <c r="G52" s="9">
        <f t="shared" si="1"/>
        <v>-1.1439826060130054E-2</v>
      </c>
    </row>
    <row r="53" spans="2:7" x14ac:dyDescent="0.3">
      <c r="B53" s="31">
        <v>45040</v>
      </c>
      <c r="C53" s="32">
        <v>1214.1761469999999</v>
      </c>
      <c r="D53" s="9">
        <f t="shared" si="2"/>
        <v>1.1667731841013218E-2</v>
      </c>
      <c r="F53" s="32">
        <v>18065</v>
      </c>
      <c r="G53" s="9">
        <f t="shared" si="1"/>
        <v>2.5019742877464557E-2</v>
      </c>
    </row>
    <row r="54" spans="2:7" x14ac:dyDescent="0.3">
      <c r="B54" s="31">
        <v>45047</v>
      </c>
      <c r="C54" s="32">
        <v>1198.638794</v>
      </c>
      <c r="D54" s="9">
        <f t="shared" si="2"/>
        <v>-1.2796621839746947E-2</v>
      </c>
      <c r="F54" s="32">
        <v>18069</v>
      </c>
      <c r="G54" s="9">
        <f t="shared" si="1"/>
        <v>2.2142264046509652E-4</v>
      </c>
    </row>
    <row r="55" spans="2:7" x14ac:dyDescent="0.3">
      <c r="B55" s="31">
        <v>45054</v>
      </c>
      <c r="C55" s="32">
        <v>1262.7172849999999</v>
      </c>
      <c r="D55" s="9">
        <f t="shared" si="2"/>
        <v>5.3459383528012161E-2</v>
      </c>
      <c r="F55" s="32">
        <v>18314.800781000002</v>
      </c>
      <c r="G55" s="9">
        <f t="shared" si="1"/>
        <v>1.3603452376999448E-2</v>
      </c>
    </row>
    <row r="56" spans="2:7" x14ac:dyDescent="0.3">
      <c r="B56" s="31">
        <v>45061</v>
      </c>
      <c r="C56" s="32">
        <v>1247.3287350000001</v>
      </c>
      <c r="D56" s="9">
        <f t="shared" si="2"/>
        <v>-1.2186853053175684E-2</v>
      </c>
      <c r="F56" s="32">
        <v>18203.400390999999</v>
      </c>
      <c r="G56" s="9">
        <f t="shared" si="1"/>
        <v>-6.0825335384249168E-3</v>
      </c>
    </row>
    <row r="57" spans="2:7" x14ac:dyDescent="0.3">
      <c r="B57" s="31">
        <v>45068</v>
      </c>
      <c r="C57" s="32">
        <v>1268.5561520000001</v>
      </c>
      <c r="D57" s="9">
        <f t="shared" si="2"/>
        <v>1.701830191541287E-2</v>
      </c>
      <c r="F57" s="32">
        <v>18499.349609000001</v>
      </c>
      <c r="G57" s="9">
        <f t="shared" si="1"/>
        <v>1.6257908502980811E-2</v>
      </c>
    </row>
    <row r="58" spans="2:7" x14ac:dyDescent="0.3">
      <c r="B58" s="31">
        <v>45075</v>
      </c>
      <c r="C58" s="32">
        <v>1327.4886469999999</v>
      </c>
      <c r="D58" s="9">
        <f t="shared" si="2"/>
        <v>4.6456355051439413E-2</v>
      </c>
      <c r="F58" s="32">
        <v>18534.099609000001</v>
      </c>
      <c r="G58" s="9">
        <f t="shared" si="1"/>
        <v>1.8784444174779757E-3</v>
      </c>
    </row>
    <row r="59" spans="2:7" x14ac:dyDescent="0.3">
      <c r="B59" s="31">
        <v>45082</v>
      </c>
      <c r="C59" s="32">
        <v>1356.435303</v>
      </c>
      <c r="D59" s="9">
        <f t="shared" si="2"/>
        <v>2.1805577068713111E-2</v>
      </c>
      <c r="F59" s="32">
        <v>18563.400390999999</v>
      </c>
      <c r="G59" s="9">
        <f t="shared" si="1"/>
        <v>1.5809120819534339E-3</v>
      </c>
    </row>
    <row r="60" spans="2:7" x14ac:dyDescent="0.3">
      <c r="B60" s="31">
        <v>45089</v>
      </c>
      <c r="C60" s="32">
        <v>1389.290894</v>
      </c>
      <c r="D60" s="9">
        <f t="shared" si="2"/>
        <v>2.4222011125288434E-2</v>
      </c>
      <c r="F60" s="32">
        <v>18826</v>
      </c>
      <c r="G60" s="9">
        <f t="shared" si="1"/>
        <v>1.4146094113625551E-2</v>
      </c>
    </row>
    <row r="61" spans="2:7" x14ac:dyDescent="0.3">
      <c r="B61" s="31">
        <v>45096</v>
      </c>
      <c r="C61" s="32">
        <v>1359.0083010000001</v>
      </c>
      <c r="D61" s="9">
        <f t="shared" si="2"/>
        <v>-2.1797157910400822E-2</v>
      </c>
      <c r="F61" s="32">
        <v>18665.5</v>
      </c>
      <c r="G61" s="9">
        <f t="shared" si="1"/>
        <v>-8.5254435355359703E-3</v>
      </c>
    </row>
    <row r="62" spans="2:7" x14ac:dyDescent="0.3">
      <c r="B62" s="31">
        <v>45103</v>
      </c>
      <c r="C62" s="32">
        <v>1438.525024</v>
      </c>
      <c r="D62" s="9">
        <f t="shared" si="2"/>
        <v>5.8510844224784364E-2</v>
      </c>
      <c r="F62" s="32">
        <v>19189.050781000002</v>
      </c>
      <c r="G62" s="9">
        <f t="shared" si="1"/>
        <v>2.804911633762841E-2</v>
      </c>
    </row>
    <row r="63" spans="2:7" x14ac:dyDescent="0.3">
      <c r="B63" s="31">
        <v>45110</v>
      </c>
      <c r="C63" s="32">
        <v>1547.9285890000001</v>
      </c>
      <c r="D63" s="9">
        <f t="shared" si="2"/>
        <v>7.6052597747510609E-2</v>
      </c>
      <c r="F63" s="32">
        <v>19331.800781000002</v>
      </c>
      <c r="G63" s="9">
        <f t="shared" si="1"/>
        <v>7.4391381642151533E-3</v>
      </c>
    </row>
    <row r="64" spans="2:7" x14ac:dyDescent="0.3">
      <c r="B64" s="31">
        <v>45117</v>
      </c>
      <c r="C64" s="32">
        <v>1530.5111079999999</v>
      </c>
      <c r="D64" s="9">
        <f t="shared" si="2"/>
        <v>-1.1252121786349489E-2</v>
      </c>
      <c r="F64" s="32">
        <v>19564.5</v>
      </c>
      <c r="G64" s="9">
        <f t="shared" si="1"/>
        <v>1.2037120681933855E-2</v>
      </c>
    </row>
    <row r="65" spans="2:7" x14ac:dyDescent="0.3">
      <c r="B65" s="31">
        <v>45124</v>
      </c>
      <c r="C65" s="32">
        <v>1523.5</v>
      </c>
      <c r="D65" s="9">
        <f t="shared" si="2"/>
        <v>-4.5808932475908115E-3</v>
      </c>
      <c r="F65" s="32">
        <v>19745</v>
      </c>
      <c r="G65" s="9">
        <f t="shared" si="1"/>
        <v>9.225893838329613E-3</v>
      </c>
    </row>
    <row r="66" spans="2:7" x14ac:dyDescent="0.3">
      <c r="B66" s="31">
        <v>45131</v>
      </c>
      <c r="C66" s="32">
        <v>1467.8000489999999</v>
      </c>
      <c r="D66" s="9">
        <f t="shared" si="2"/>
        <v>-3.6560519199212327E-2</v>
      </c>
      <c r="F66" s="32">
        <v>19646.050781000002</v>
      </c>
      <c r="G66" s="9">
        <f t="shared" si="1"/>
        <v>-5.0113557356291638E-3</v>
      </c>
    </row>
    <row r="67" spans="2:7" x14ac:dyDescent="0.3">
      <c r="B67" s="31">
        <v>45138</v>
      </c>
      <c r="C67" s="32">
        <v>1464.650024</v>
      </c>
      <c r="D67" s="9">
        <f t="shared" si="2"/>
        <v>-2.1460859073727523E-3</v>
      </c>
      <c r="F67" s="32">
        <v>19517</v>
      </c>
      <c r="G67" s="9">
        <f t="shared" si="1"/>
        <v>-6.568789953694365E-3</v>
      </c>
    </row>
    <row r="68" spans="2:7" x14ac:dyDescent="0.3">
      <c r="B68" s="31">
        <v>45145</v>
      </c>
      <c r="C68" s="32">
        <v>1546.4499510000001</v>
      </c>
      <c r="D68" s="9">
        <f t="shared" si="2"/>
        <v>5.5849469606809032E-2</v>
      </c>
      <c r="F68" s="32">
        <v>19428.300781000002</v>
      </c>
      <c r="G68" s="9">
        <f t="shared" si="1"/>
        <v>-4.5447158374749552E-3</v>
      </c>
    </row>
    <row r="69" spans="2:7" x14ac:dyDescent="0.3">
      <c r="B69" s="31">
        <v>45152</v>
      </c>
      <c r="C69" s="32">
        <v>1552.650024</v>
      </c>
      <c r="D69" s="9">
        <f t="shared" si="2"/>
        <v>4.0092296527221016E-3</v>
      </c>
      <c r="F69" s="32">
        <v>19310.150390999999</v>
      </c>
      <c r="G69" s="9">
        <f t="shared" si="1"/>
        <v>-6.0813547891717112E-3</v>
      </c>
    </row>
    <row r="70" spans="2:7" x14ac:dyDescent="0.3">
      <c r="B70" s="31">
        <v>45159</v>
      </c>
      <c r="C70" s="32">
        <v>1520.0500489999999</v>
      </c>
      <c r="D70" s="9">
        <f t="shared" si="2"/>
        <v>-2.0996344634069408E-2</v>
      </c>
      <c r="F70" s="32">
        <v>19265.800781000002</v>
      </c>
      <c r="G70" s="9">
        <f t="shared" si="1"/>
        <v>-2.2966993576947203E-3</v>
      </c>
    </row>
    <row r="71" spans="2:7" x14ac:dyDescent="0.3">
      <c r="B71" s="31">
        <v>45166</v>
      </c>
      <c r="C71" s="32">
        <v>1591.9499510000001</v>
      </c>
      <c r="D71" s="9">
        <f t="shared" si="2"/>
        <v>4.7301009626164126E-2</v>
      </c>
      <c r="F71" s="32">
        <v>19435.300781000002</v>
      </c>
      <c r="G71" s="9">
        <f t="shared" si="1"/>
        <v>8.797973254616176E-3</v>
      </c>
    </row>
    <row r="72" spans="2:7" x14ac:dyDescent="0.3">
      <c r="B72" s="31">
        <v>45173</v>
      </c>
      <c r="C72" s="32">
        <v>1567.5500489999999</v>
      </c>
      <c r="D72" s="9">
        <f t="shared" ref="D72:D103" si="3">C72/C71-1</f>
        <v>-1.5327053457097062E-2</v>
      </c>
      <c r="F72" s="32">
        <v>19819.949218999998</v>
      </c>
      <c r="G72" s="9">
        <f t="shared" si="1"/>
        <v>1.9791226404688889E-2</v>
      </c>
    </row>
    <row r="73" spans="2:7" x14ac:dyDescent="0.3">
      <c r="B73" s="31">
        <v>45180</v>
      </c>
      <c r="C73" s="32">
        <v>1601.099976</v>
      </c>
      <c r="D73" s="9">
        <f t="shared" si="3"/>
        <v>2.1402778827637858E-2</v>
      </c>
      <c r="F73" s="32">
        <v>20192.349609000001</v>
      </c>
      <c r="G73" s="9">
        <f t="shared" ref="G73:G112" si="4">F73/F72-1</f>
        <v>1.8789169734249711E-2</v>
      </c>
    </row>
    <row r="74" spans="2:7" x14ac:dyDescent="0.3">
      <c r="B74" s="31">
        <v>45187</v>
      </c>
      <c r="C74" s="32">
        <v>1607.150024</v>
      </c>
      <c r="D74" s="9">
        <f t="shared" si="3"/>
        <v>3.7786822126590902E-3</v>
      </c>
      <c r="F74" s="32">
        <v>19674.25</v>
      </c>
      <c r="G74" s="9">
        <f t="shared" si="4"/>
        <v>-2.5658213087251469E-2</v>
      </c>
    </row>
    <row r="75" spans="2:7" x14ac:dyDescent="0.3">
      <c r="B75" s="31">
        <v>45194</v>
      </c>
      <c r="C75" s="32">
        <v>1554.25</v>
      </c>
      <c r="D75" s="9">
        <f t="shared" si="3"/>
        <v>-3.2915423706579849E-2</v>
      </c>
      <c r="F75" s="32">
        <v>19638.300781000002</v>
      </c>
      <c r="G75" s="9">
        <f t="shared" si="4"/>
        <v>-1.8272218254824502E-3</v>
      </c>
    </row>
    <row r="76" spans="2:7" x14ac:dyDescent="0.3">
      <c r="B76" s="31">
        <v>45201</v>
      </c>
      <c r="C76" s="32">
        <v>1548.849976</v>
      </c>
      <c r="D76" s="9">
        <f t="shared" si="3"/>
        <v>-3.4743599806981162E-3</v>
      </c>
      <c r="F76" s="32">
        <v>19653.5</v>
      </c>
      <c r="G76" s="9">
        <f t="shared" si="4"/>
        <v>7.7395794928980521E-4</v>
      </c>
    </row>
    <row r="77" spans="2:7" x14ac:dyDescent="0.3">
      <c r="B77" s="31">
        <v>45208</v>
      </c>
      <c r="C77" s="32">
        <v>1562.4499510000001</v>
      </c>
      <c r="D77" s="9">
        <f t="shared" si="3"/>
        <v>8.7806922624764638E-3</v>
      </c>
      <c r="F77" s="32">
        <v>19751.050781000002</v>
      </c>
      <c r="G77" s="9">
        <f t="shared" si="4"/>
        <v>4.96353224616497E-3</v>
      </c>
    </row>
    <row r="78" spans="2:7" x14ac:dyDescent="0.3">
      <c r="B78" s="31">
        <v>45215</v>
      </c>
      <c r="C78" s="32">
        <v>1558.25</v>
      </c>
      <c r="D78" s="9">
        <f t="shared" si="3"/>
        <v>-2.6880547420491396E-3</v>
      </c>
      <c r="F78" s="32">
        <v>19542.650390999999</v>
      </c>
      <c r="G78" s="9">
        <f t="shared" si="4"/>
        <v>-1.0551357105540893E-2</v>
      </c>
    </row>
    <row r="79" spans="2:7" x14ac:dyDescent="0.3">
      <c r="B79" s="31">
        <v>45222</v>
      </c>
      <c r="C79" s="32">
        <v>1510.8000489999999</v>
      </c>
      <c r="D79" s="9">
        <f t="shared" si="3"/>
        <v>-3.0450794801861081E-2</v>
      </c>
      <c r="F79" s="32">
        <v>19047.25</v>
      </c>
      <c r="G79" s="9">
        <f t="shared" si="4"/>
        <v>-2.5349703396840506E-2</v>
      </c>
    </row>
    <row r="80" spans="2:7" x14ac:dyDescent="0.3">
      <c r="B80" s="31">
        <v>45229</v>
      </c>
      <c r="C80" s="32">
        <v>1469</v>
      </c>
      <c r="D80" s="9">
        <f t="shared" si="3"/>
        <v>-2.7667492483646305E-2</v>
      </c>
      <c r="F80" s="32">
        <v>19230.599609000001</v>
      </c>
      <c r="G80" s="9">
        <f t="shared" si="4"/>
        <v>9.6260409770438926E-3</v>
      </c>
    </row>
    <row r="81" spans="2:7" x14ac:dyDescent="0.3">
      <c r="B81" s="31">
        <v>45236</v>
      </c>
      <c r="C81" s="32">
        <v>1524.099976</v>
      </c>
      <c r="D81" s="9">
        <f t="shared" si="3"/>
        <v>3.7508492852280417E-2</v>
      </c>
      <c r="F81" s="32">
        <v>19425.349609000001</v>
      </c>
      <c r="G81" s="9">
        <f t="shared" si="4"/>
        <v>1.0127089324289962E-2</v>
      </c>
    </row>
    <row r="82" spans="2:7" x14ac:dyDescent="0.3">
      <c r="B82" s="31">
        <v>45243</v>
      </c>
      <c r="C82" s="32">
        <v>1584.5500489999999</v>
      </c>
      <c r="D82" s="9">
        <f t="shared" si="3"/>
        <v>3.9662800309629986E-2</v>
      </c>
      <c r="F82" s="32">
        <v>19731.800781000002</v>
      </c>
      <c r="G82" s="9">
        <f t="shared" si="4"/>
        <v>1.5775838178892609E-2</v>
      </c>
    </row>
    <row r="83" spans="2:7" x14ac:dyDescent="0.3">
      <c r="B83" s="31">
        <v>45250</v>
      </c>
      <c r="C83" s="32">
        <v>1553.1999510000001</v>
      </c>
      <c r="D83" s="9">
        <f t="shared" si="3"/>
        <v>-1.9784858180897924E-2</v>
      </c>
      <c r="F83" s="32">
        <v>19794.699218999998</v>
      </c>
      <c r="G83" s="9">
        <f t="shared" si="4"/>
        <v>3.1876684088845142E-3</v>
      </c>
    </row>
    <row r="84" spans="2:7" x14ac:dyDescent="0.3">
      <c r="B84" s="31">
        <v>45257</v>
      </c>
      <c r="C84" s="32">
        <v>1625.5</v>
      </c>
      <c r="D84" s="9">
        <f t="shared" si="3"/>
        <v>4.6549093021443166E-2</v>
      </c>
      <c r="F84" s="32">
        <v>20267.900390999999</v>
      </c>
      <c r="G84" s="9">
        <f t="shared" si="4"/>
        <v>2.390544896715574E-2</v>
      </c>
    </row>
    <row r="85" spans="2:7" x14ac:dyDescent="0.3">
      <c r="B85" s="31">
        <v>45264</v>
      </c>
      <c r="C85" s="32">
        <v>1668.5500489999999</v>
      </c>
      <c r="D85" s="9">
        <f t="shared" si="3"/>
        <v>2.6484188864964509E-2</v>
      </c>
      <c r="F85" s="32">
        <v>20969.400390999999</v>
      </c>
      <c r="G85" s="9">
        <f t="shared" si="4"/>
        <v>3.4611379889724736E-2</v>
      </c>
    </row>
    <row r="86" spans="2:7" x14ac:dyDescent="0.3">
      <c r="B86" s="31">
        <v>45271</v>
      </c>
      <c r="C86" s="32">
        <v>1724.9499510000001</v>
      </c>
      <c r="D86" s="9">
        <f t="shared" si="3"/>
        <v>3.3801744235242959E-2</v>
      </c>
      <c r="F86" s="32">
        <v>21456.650390999999</v>
      </c>
      <c r="G86" s="9">
        <f t="shared" si="4"/>
        <v>2.3236239039487572E-2</v>
      </c>
    </row>
    <row r="87" spans="2:7" x14ac:dyDescent="0.3">
      <c r="B87" s="31">
        <v>45278</v>
      </c>
      <c r="C87" s="32">
        <v>1634.25</v>
      </c>
      <c r="D87" s="9">
        <f t="shared" si="3"/>
        <v>-5.258120732570748E-2</v>
      </c>
      <c r="F87" s="32">
        <v>21349.400390999999</v>
      </c>
      <c r="G87" s="9">
        <f t="shared" si="4"/>
        <v>-4.9984502727874469E-3</v>
      </c>
    </row>
    <row r="88" spans="2:7" x14ac:dyDescent="0.3">
      <c r="B88" s="31">
        <v>45285</v>
      </c>
      <c r="C88" s="32">
        <v>1729.400024</v>
      </c>
      <c r="D88" s="9">
        <f t="shared" si="3"/>
        <v>5.8222440875019155E-2</v>
      </c>
      <c r="F88" s="32">
        <v>21731.400390999999</v>
      </c>
      <c r="G88" s="9">
        <f t="shared" si="4"/>
        <v>1.7892774176507364E-2</v>
      </c>
    </row>
    <row r="89" spans="2:7" x14ac:dyDescent="0.3">
      <c r="B89" s="31">
        <v>45292</v>
      </c>
      <c r="C89" s="32">
        <v>1642</v>
      </c>
      <c r="D89" s="9">
        <f t="shared" si="3"/>
        <v>-5.0537771936563836E-2</v>
      </c>
      <c r="F89" s="32">
        <v>21710.800781000002</v>
      </c>
      <c r="G89" s="9">
        <f t="shared" si="4"/>
        <v>-9.4791912299074799E-4</v>
      </c>
    </row>
    <row r="90" spans="2:7" x14ac:dyDescent="0.3">
      <c r="B90" s="31">
        <v>45299</v>
      </c>
      <c r="C90" s="32">
        <v>1624.4499510000001</v>
      </c>
      <c r="D90" s="9">
        <f t="shared" si="3"/>
        <v>-1.068821498172956E-2</v>
      </c>
      <c r="F90" s="32">
        <v>21894.550781000002</v>
      </c>
      <c r="G90" s="9">
        <f t="shared" si="4"/>
        <v>8.4635293674109047E-3</v>
      </c>
    </row>
    <row r="91" spans="2:7" x14ac:dyDescent="0.3">
      <c r="B91" s="31">
        <v>45306</v>
      </c>
      <c r="C91" s="32">
        <v>1655.5500489999999</v>
      </c>
      <c r="D91" s="9">
        <f t="shared" si="3"/>
        <v>1.9145002270371414E-2</v>
      </c>
      <c r="F91" s="32">
        <v>21622.400390999999</v>
      </c>
      <c r="G91" s="9">
        <f t="shared" si="4"/>
        <v>-1.2430051327482539E-2</v>
      </c>
    </row>
    <row r="92" spans="2:7" x14ac:dyDescent="0.3">
      <c r="B92" s="31">
        <v>45313</v>
      </c>
      <c r="C92" s="32">
        <v>1635.5</v>
      </c>
      <c r="D92" s="9">
        <f t="shared" si="3"/>
        <v>-1.2110808134197293E-2</v>
      </c>
      <c r="F92" s="32">
        <v>21352.599609000001</v>
      </c>
      <c r="G92" s="9">
        <f t="shared" si="4"/>
        <v>-1.2477836739731241E-2</v>
      </c>
    </row>
    <row r="93" spans="2:7" x14ac:dyDescent="0.3">
      <c r="B93" s="31">
        <v>45320</v>
      </c>
      <c r="C93" s="32">
        <v>1660.75</v>
      </c>
      <c r="D93" s="9">
        <f t="shared" si="3"/>
        <v>1.5438703760317862E-2</v>
      </c>
      <c r="F93" s="32">
        <v>21853.800781000002</v>
      </c>
      <c r="G93" s="9">
        <f t="shared" si="4"/>
        <v>2.3472606669810325E-2</v>
      </c>
    </row>
    <row r="94" spans="2:7" x14ac:dyDescent="0.3">
      <c r="B94" s="31">
        <v>45327</v>
      </c>
      <c r="C94" s="32">
        <v>1646.400024</v>
      </c>
      <c r="D94" s="9">
        <f t="shared" si="3"/>
        <v>-8.6406599427969466E-3</v>
      </c>
      <c r="F94" s="32">
        <v>21782.5</v>
      </c>
      <c r="G94" s="9">
        <f t="shared" si="4"/>
        <v>-3.2626261085894059E-3</v>
      </c>
    </row>
    <row r="95" spans="2:7" x14ac:dyDescent="0.3">
      <c r="B95" s="31">
        <v>45334</v>
      </c>
      <c r="C95" s="32">
        <v>1835.5500489999999</v>
      </c>
      <c r="D95" s="9">
        <f t="shared" si="3"/>
        <v>0.11488703974897407</v>
      </c>
      <c r="F95" s="32">
        <v>22040.699218999998</v>
      </c>
      <c r="G95" s="9">
        <f t="shared" si="4"/>
        <v>1.1853516308963474E-2</v>
      </c>
    </row>
    <row r="96" spans="2:7" x14ac:dyDescent="0.3">
      <c r="B96" s="31">
        <v>45341</v>
      </c>
      <c r="C96" s="32">
        <v>1929.9499510000001</v>
      </c>
      <c r="D96" s="9">
        <f t="shared" si="3"/>
        <v>5.142867232164483E-2</v>
      </c>
      <c r="F96" s="32">
        <v>22212.699218999998</v>
      </c>
      <c r="G96" s="9">
        <f t="shared" si="4"/>
        <v>7.803745166656384E-3</v>
      </c>
    </row>
    <row r="97" spans="2:7" x14ac:dyDescent="0.3">
      <c r="B97" s="31">
        <v>45348</v>
      </c>
      <c r="C97" s="32">
        <v>1972.9499510000001</v>
      </c>
      <c r="D97" s="9">
        <f t="shared" si="3"/>
        <v>2.2280370523453108E-2</v>
      </c>
      <c r="F97" s="32">
        <v>22338.75</v>
      </c>
      <c r="G97" s="9">
        <f t="shared" si="4"/>
        <v>5.6747169606556902E-3</v>
      </c>
    </row>
    <row r="98" spans="2:7" x14ac:dyDescent="0.3">
      <c r="B98" s="31">
        <v>45355</v>
      </c>
      <c r="C98" s="32">
        <v>1897.5500489999999</v>
      </c>
      <c r="D98" s="9">
        <f t="shared" si="3"/>
        <v>-3.8216834624610341E-2</v>
      </c>
      <c r="F98" s="32">
        <v>22493.550781000002</v>
      </c>
      <c r="G98" s="9">
        <f t="shared" si="4"/>
        <v>6.9296975435062524E-3</v>
      </c>
    </row>
    <row r="99" spans="2:7" x14ac:dyDescent="0.3">
      <c r="B99" s="31">
        <v>45362</v>
      </c>
      <c r="C99" s="32">
        <v>1799.5</v>
      </c>
      <c r="D99" s="9">
        <f t="shared" si="3"/>
        <v>-5.1671917192208872E-2</v>
      </c>
      <c r="F99" s="32">
        <v>22023.349609000001</v>
      </c>
      <c r="G99" s="9">
        <f t="shared" si="4"/>
        <v>-2.0903821569921877E-2</v>
      </c>
    </row>
    <row r="100" spans="2:7" x14ac:dyDescent="0.3">
      <c r="B100" s="31">
        <v>45369</v>
      </c>
      <c r="C100" s="32">
        <v>1878.8000489999999</v>
      </c>
      <c r="D100" s="9">
        <f t="shared" si="3"/>
        <v>4.4067823839955444E-2</v>
      </c>
      <c r="F100" s="32">
        <v>22096.75</v>
      </c>
      <c r="G100" s="9">
        <f t="shared" si="4"/>
        <v>3.3328441087818739E-3</v>
      </c>
    </row>
    <row r="101" spans="2:7" x14ac:dyDescent="0.3">
      <c r="B101" s="31">
        <v>45376</v>
      </c>
      <c r="C101" s="32">
        <v>1921.349976</v>
      </c>
      <c r="D101" s="9">
        <f t="shared" si="3"/>
        <v>2.2647395087437516E-2</v>
      </c>
      <c r="F101" s="32">
        <v>22326.900390999999</v>
      </c>
      <c r="G101" s="9">
        <f t="shared" si="4"/>
        <v>1.0415576544061889E-2</v>
      </c>
    </row>
    <row r="102" spans="2:7" x14ac:dyDescent="0.3">
      <c r="B102" s="31">
        <v>45383</v>
      </c>
      <c r="C102" s="32">
        <v>2013.3000489999999</v>
      </c>
      <c r="D102" s="9">
        <f t="shared" si="3"/>
        <v>4.7857014155967548E-2</v>
      </c>
      <c r="F102" s="32">
        <v>22513.699218999998</v>
      </c>
      <c r="G102" s="9">
        <f t="shared" si="4"/>
        <v>8.3665365424077098E-3</v>
      </c>
    </row>
    <row r="103" spans="2:7" x14ac:dyDescent="0.3">
      <c r="B103" s="31">
        <v>45390</v>
      </c>
      <c r="C103" s="32">
        <v>2070.9499510000001</v>
      </c>
      <c r="D103" s="9">
        <f t="shared" si="3"/>
        <v>2.8634530669501945E-2</v>
      </c>
      <c r="F103" s="32">
        <v>22519.400390999999</v>
      </c>
      <c r="G103" s="9">
        <f t="shared" si="4"/>
        <v>2.5323124132303754E-4</v>
      </c>
    </row>
    <row r="104" spans="2:7" x14ac:dyDescent="0.3">
      <c r="B104" s="31">
        <v>45397</v>
      </c>
      <c r="C104" s="32">
        <v>2082.8999020000001</v>
      </c>
      <c r="D104" s="9">
        <f t="shared" ref="D104:D112" si="5">C104/C103-1</f>
        <v>5.7702751310961808E-3</v>
      </c>
      <c r="F104" s="32">
        <v>22147</v>
      </c>
      <c r="G104" s="9">
        <f t="shared" si="4"/>
        <v>-1.6536869744934735E-2</v>
      </c>
    </row>
    <row r="105" spans="2:7" x14ac:dyDescent="0.3">
      <c r="B105" s="31">
        <v>45404</v>
      </c>
      <c r="C105" s="32">
        <v>2044.900024</v>
      </c>
      <c r="D105" s="9">
        <f t="shared" si="5"/>
        <v>-1.8243736995480431E-2</v>
      </c>
      <c r="F105" s="32">
        <v>22419.949218999998</v>
      </c>
      <c r="G105" s="9">
        <f t="shared" si="4"/>
        <v>1.2324433060911133E-2</v>
      </c>
    </row>
    <row r="106" spans="2:7" x14ac:dyDescent="0.3">
      <c r="B106" s="31">
        <v>45411</v>
      </c>
      <c r="C106" s="32">
        <v>2193</v>
      </c>
      <c r="D106" s="9">
        <f t="shared" si="5"/>
        <v>7.2424066830564904E-2</v>
      </c>
      <c r="F106" s="32">
        <v>22475.849609000001</v>
      </c>
      <c r="G106" s="9">
        <f t="shared" si="4"/>
        <v>2.4933325875970969E-3</v>
      </c>
    </row>
    <row r="107" spans="2:7" x14ac:dyDescent="0.3">
      <c r="B107" s="31">
        <v>45418</v>
      </c>
      <c r="C107" s="32">
        <v>2193.0500489999999</v>
      </c>
      <c r="D107" s="9">
        <f t="shared" si="5"/>
        <v>2.2822161422686449E-5</v>
      </c>
      <c r="F107" s="32">
        <v>22055.199218999998</v>
      </c>
      <c r="G107" s="9">
        <f t="shared" si="4"/>
        <v>-1.8715661357315838E-2</v>
      </c>
    </row>
    <row r="108" spans="2:7" x14ac:dyDescent="0.3">
      <c r="B108" s="31">
        <v>45425</v>
      </c>
      <c r="C108" s="32">
        <v>2503.6999510000001</v>
      </c>
      <c r="D108" s="9">
        <f t="shared" si="5"/>
        <v>0.1416519892656587</v>
      </c>
      <c r="F108" s="32">
        <v>22466.099609000001</v>
      </c>
      <c r="G108" s="9">
        <f t="shared" si="4"/>
        <v>1.8630545383875763E-2</v>
      </c>
    </row>
    <row r="109" spans="2:7" x14ac:dyDescent="0.3">
      <c r="B109" s="31">
        <v>45432</v>
      </c>
      <c r="C109" s="32">
        <v>2579.75</v>
      </c>
      <c r="D109" s="9">
        <f t="shared" si="5"/>
        <v>3.0375065099004672E-2</v>
      </c>
      <c r="F109" s="32">
        <v>22957.099609000001</v>
      </c>
      <c r="G109" s="9">
        <f t="shared" si="4"/>
        <v>2.1855151029567477E-2</v>
      </c>
    </row>
    <row r="110" spans="2:7" x14ac:dyDescent="0.3">
      <c r="B110" s="31">
        <v>45439</v>
      </c>
      <c r="C110" s="32">
        <v>2506.25</v>
      </c>
      <c r="D110" s="9">
        <f t="shared" si="5"/>
        <v>-2.8491132861711455E-2</v>
      </c>
      <c r="F110" s="32">
        <v>22530.699218999998</v>
      </c>
      <c r="G110" s="9">
        <f t="shared" si="4"/>
        <v>-1.8573791866671074E-2</v>
      </c>
    </row>
    <row r="111" spans="2:7" x14ac:dyDescent="0.3">
      <c r="B111" s="31">
        <v>45446</v>
      </c>
      <c r="C111" s="32">
        <v>2740.9499510000001</v>
      </c>
      <c r="D111" s="9">
        <f t="shared" si="5"/>
        <v>9.3645865735660916E-2</v>
      </c>
      <c r="F111" s="32">
        <v>23263.900390999999</v>
      </c>
      <c r="G111" s="9">
        <f t="shared" si="4"/>
        <v>3.2542317700539725E-2</v>
      </c>
    </row>
    <row r="112" spans="2:7" x14ac:dyDescent="0.3">
      <c r="B112" s="31">
        <v>45448</v>
      </c>
      <c r="C112" s="32">
        <v>2740.9499510000001</v>
      </c>
      <c r="D112" s="9">
        <f t="shared" si="5"/>
        <v>0</v>
      </c>
      <c r="F112" s="32">
        <v>22620.35</v>
      </c>
      <c r="G112" s="9">
        <f t="shared" si="4"/>
        <v>-2.7663047906144267E-2</v>
      </c>
    </row>
  </sheetData>
  <mergeCells count="3">
    <mergeCell ref="B4:D4"/>
    <mergeCell ref="F4:G4"/>
    <mergeCell ref="I4:J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72225-FD44-482D-AE7F-DC664D849FC5}">
  <dimension ref="B2:U112"/>
  <sheetViews>
    <sheetView showGridLines="0" topLeftCell="A4" workbookViewId="0">
      <selection activeCell="I4" sqref="I4:J4"/>
    </sheetView>
  </sheetViews>
  <sheetFormatPr defaultRowHeight="14.4" x14ac:dyDescent="0.3"/>
  <cols>
    <col min="1" max="1" width="1.88671875" customWidth="1"/>
    <col min="2" max="2" width="11.21875" customWidth="1"/>
    <col min="3" max="3" width="12.77734375" customWidth="1"/>
    <col min="9" max="9" width="17.109375" customWidth="1"/>
    <col min="13" max="13" width="9.21875" customWidth="1"/>
    <col min="14" max="14" width="11.21875" customWidth="1"/>
    <col min="15" max="15" width="12.33203125" customWidth="1"/>
    <col min="18" max="18" width="10.44140625" customWidth="1"/>
  </cols>
  <sheetData>
    <row r="2" spans="2:14" x14ac:dyDescent="0.3">
      <c r="B2" s="1" t="s">
        <v>79</v>
      </c>
    </row>
    <row r="4" spans="2:14" x14ac:dyDescent="0.3">
      <c r="B4" s="150" t="s">
        <v>96</v>
      </c>
      <c r="C4" s="150"/>
      <c r="D4" s="150"/>
      <c r="F4" s="150" t="s">
        <v>44</v>
      </c>
      <c r="G4" s="150"/>
      <c r="I4" s="150" t="s">
        <v>73</v>
      </c>
      <c r="J4" s="150"/>
    </row>
    <row r="6" spans="2:14" x14ac:dyDescent="0.3">
      <c r="B6" s="33" t="s">
        <v>40</v>
      </c>
      <c r="C6" s="34" t="s">
        <v>41</v>
      </c>
      <c r="D6" s="34" t="s">
        <v>43</v>
      </c>
      <c r="F6" s="34" t="s">
        <v>41</v>
      </c>
      <c r="G6" s="34" t="s">
        <v>43</v>
      </c>
      <c r="I6" s="1" t="s">
        <v>74</v>
      </c>
      <c r="J6" s="11">
        <f>N7</f>
        <v>0.71147592582196129</v>
      </c>
    </row>
    <row r="7" spans="2:14" x14ac:dyDescent="0.3">
      <c r="B7" s="41">
        <v>44718</v>
      </c>
      <c r="C7" s="32">
        <v>3769.7658689999998</v>
      </c>
      <c r="F7" s="32">
        <v>16201.799805000001</v>
      </c>
      <c r="I7" t="s">
        <v>75</v>
      </c>
      <c r="J7" s="40">
        <v>0.75</v>
      </c>
      <c r="M7" t="s">
        <v>82</v>
      </c>
      <c r="N7">
        <f>N27</f>
        <v>0.71147592582196129</v>
      </c>
    </row>
    <row r="8" spans="2:14" x14ac:dyDescent="0.3">
      <c r="B8" s="41">
        <v>44725</v>
      </c>
      <c r="C8" s="32">
        <v>3524.6740719999998</v>
      </c>
      <c r="D8" s="9">
        <f t="shared" ref="D8:D39" si="0">IFERROR(C8/C7-1,0)</f>
        <v>-6.5015124418062342E-2</v>
      </c>
      <c r="F8" s="32">
        <v>15293.5</v>
      </c>
      <c r="G8" s="9">
        <f>F8/F7-1</f>
        <v>-5.606166079892505E-2</v>
      </c>
    </row>
    <row r="9" spans="2:14" x14ac:dyDescent="0.3">
      <c r="B9" s="41">
        <v>44732</v>
      </c>
      <c r="C9" s="32">
        <v>3699.469482</v>
      </c>
      <c r="D9" s="9">
        <f t="shared" si="0"/>
        <v>4.95919357164325E-2</v>
      </c>
      <c r="F9" s="32">
        <v>15699.25</v>
      </c>
      <c r="G9" s="9">
        <f t="shared" ref="G9:G72" si="1">F9/F8-1</f>
        <v>2.6530879131657192E-2</v>
      </c>
      <c r="I9" t="s">
        <v>77</v>
      </c>
      <c r="J9">
        <v>1</v>
      </c>
    </row>
    <row r="10" spans="2:14" x14ac:dyDescent="0.3">
      <c r="B10" s="41">
        <v>44739</v>
      </c>
      <c r="C10" s="32">
        <v>3515.8447270000001</v>
      </c>
      <c r="D10" s="9">
        <f t="shared" si="0"/>
        <v>-4.963542905095919E-2</v>
      </c>
      <c r="F10" s="32">
        <v>15752.049805000001</v>
      </c>
      <c r="G10" s="9">
        <f t="shared" si="1"/>
        <v>3.3632055671448668E-3</v>
      </c>
      <c r="I10" t="s">
        <v>76</v>
      </c>
      <c r="J10" s="40">
        <v>0.25</v>
      </c>
      <c r="M10" t="s">
        <v>48</v>
      </c>
    </row>
    <row r="11" spans="2:14" ht="15" thickBot="1" x14ac:dyDescent="0.35">
      <c r="B11" s="41">
        <v>44746</v>
      </c>
      <c r="C11" s="32">
        <v>3710.7246089999999</v>
      </c>
      <c r="D11" s="9">
        <f t="shared" si="0"/>
        <v>5.542903544727551E-2</v>
      </c>
      <c r="F11" s="32">
        <v>16220.599609000001</v>
      </c>
      <c r="G11" s="9">
        <f t="shared" si="1"/>
        <v>2.9745322659611828E-2</v>
      </c>
    </row>
    <row r="12" spans="2:14" x14ac:dyDescent="0.3">
      <c r="B12" s="41">
        <v>44753</v>
      </c>
      <c r="C12" s="32">
        <v>3796.7397460000002</v>
      </c>
      <c r="D12" s="9">
        <f t="shared" si="0"/>
        <v>2.3180145675962827E-2</v>
      </c>
      <c r="F12" s="32">
        <v>16049.200194999999</v>
      </c>
      <c r="G12" s="9">
        <f t="shared" si="1"/>
        <v>-1.0566774233481513E-2</v>
      </c>
      <c r="I12" s="39" t="s">
        <v>78</v>
      </c>
      <c r="J12" s="12">
        <f>J6*J7+J9*J10</f>
        <v>0.78360694436647094</v>
      </c>
      <c r="M12" s="38" t="s">
        <v>49</v>
      </c>
      <c r="N12" s="38"/>
    </row>
    <row r="13" spans="2:14" x14ac:dyDescent="0.3">
      <c r="B13" s="41">
        <v>44760</v>
      </c>
      <c r="C13" s="32">
        <v>3934.2763669999999</v>
      </c>
      <c r="D13" s="9">
        <f t="shared" si="0"/>
        <v>3.6224927227340054E-2</v>
      </c>
      <c r="F13" s="32">
        <v>16719.449218999998</v>
      </c>
      <c r="G13" s="9">
        <f t="shared" si="1"/>
        <v>4.1762144895470144E-2</v>
      </c>
      <c r="M13" t="s">
        <v>50</v>
      </c>
      <c r="N13">
        <v>0.35186119472387123</v>
      </c>
    </row>
    <row r="14" spans="2:14" x14ac:dyDescent="0.3">
      <c r="B14" s="41">
        <v>44767</v>
      </c>
      <c r="C14" s="32">
        <v>3797.0791020000001</v>
      </c>
      <c r="D14" s="9">
        <f t="shared" si="0"/>
        <v>-3.4872299808621943E-2</v>
      </c>
      <c r="F14" s="32">
        <v>17158.25</v>
      </c>
      <c r="G14" s="9">
        <f t="shared" si="1"/>
        <v>2.6244930395275645E-2</v>
      </c>
      <c r="M14" t="s">
        <v>51</v>
      </c>
      <c r="N14">
        <v>0.12380630035251002</v>
      </c>
    </row>
    <row r="15" spans="2:14" x14ac:dyDescent="0.3">
      <c r="B15" s="41">
        <v>44774</v>
      </c>
      <c r="C15" s="32">
        <v>3895.6108399999998</v>
      </c>
      <c r="D15" s="9">
        <f t="shared" si="0"/>
        <v>2.5949350896614432E-2</v>
      </c>
      <c r="F15" s="32">
        <v>17397.5</v>
      </c>
      <c r="G15" s="9">
        <f t="shared" si="1"/>
        <v>1.3943729692713402E-2</v>
      </c>
      <c r="M15" t="s">
        <v>52</v>
      </c>
      <c r="N15">
        <v>0.11529956540447614</v>
      </c>
    </row>
    <row r="16" spans="2:14" x14ac:dyDescent="0.3">
      <c r="B16" s="41">
        <v>44781</v>
      </c>
      <c r="C16" s="32">
        <v>3916.326172</v>
      </c>
      <c r="D16" s="9">
        <f t="shared" si="0"/>
        <v>5.3176081623185212E-3</v>
      </c>
      <c r="F16" s="32">
        <v>17698.150390999999</v>
      </c>
      <c r="G16" s="9">
        <f t="shared" si="1"/>
        <v>1.7281241040379314E-2</v>
      </c>
      <c r="M16" t="s">
        <v>53</v>
      </c>
      <c r="N16">
        <v>3.088363562180171E-2</v>
      </c>
    </row>
    <row r="17" spans="2:21" ht="15" thickBot="1" x14ac:dyDescent="0.35">
      <c r="B17" s="41">
        <v>44788</v>
      </c>
      <c r="C17" s="32">
        <v>3950.5771479999999</v>
      </c>
      <c r="D17" s="9">
        <f t="shared" si="0"/>
        <v>8.7456903474687486E-3</v>
      </c>
      <c r="F17" s="32">
        <v>17758.449218999998</v>
      </c>
      <c r="G17" s="9">
        <f t="shared" si="1"/>
        <v>3.4070694771959342E-3</v>
      </c>
      <c r="M17" s="36" t="s">
        <v>54</v>
      </c>
      <c r="N17" s="36">
        <v>105</v>
      </c>
    </row>
    <row r="18" spans="2:21" x14ac:dyDescent="0.3">
      <c r="B18" s="41">
        <v>44795</v>
      </c>
      <c r="C18" s="32">
        <v>3932.0932619999999</v>
      </c>
      <c r="D18" s="9">
        <f t="shared" si="0"/>
        <v>-4.6787811774179344E-3</v>
      </c>
      <c r="F18" s="32">
        <v>17558.900390999999</v>
      </c>
      <c r="G18" s="9">
        <f t="shared" si="1"/>
        <v>-1.1236838619134604E-2</v>
      </c>
    </row>
    <row r="19" spans="2:21" ht="15" thickBot="1" x14ac:dyDescent="0.35">
      <c r="B19" s="41">
        <v>44802</v>
      </c>
      <c r="C19" s="32">
        <v>3911.959961</v>
      </c>
      <c r="D19" s="9">
        <f t="shared" si="0"/>
        <v>-5.1202501208629236E-3</v>
      </c>
      <c r="F19" s="32">
        <v>17539.449218999998</v>
      </c>
      <c r="G19" s="9">
        <f t="shared" si="1"/>
        <v>-1.1077670905844661E-3</v>
      </c>
      <c r="M19" t="s">
        <v>55</v>
      </c>
    </row>
    <row r="20" spans="2:21" x14ac:dyDescent="0.3">
      <c r="B20" s="41">
        <v>44809</v>
      </c>
      <c r="C20" s="32">
        <v>3735.5151369999999</v>
      </c>
      <c r="D20" s="9">
        <f t="shared" si="0"/>
        <v>-4.510394425276687E-2</v>
      </c>
      <c r="F20" s="32">
        <v>17833.349609000001</v>
      </c>
      <c r="G20" s="9">
        <f t="shared" si="1"/>
        <v>1.6756534730955508E-2</v>
      </c>
      <c r="M20" s="37"/>
      <c r="N20" s="37" t="s">
        <v>60</v>
      </c>
      <c r="O20" s="37" t="s">
        <v>61</v>
      </c>
      <c r="P20" s="37" t="s">
        <v>62</v>
      </c>
      <c r="Q20" s="37" t="s">
        <v>63</v>
      </c>
      <c r="R20" s="37" t="s">
        <v>64</v>
      </c>
    </row>
    <row r="21" spans="2:21" x14ac:dyDescent="0.3">
      <c r="B21" s="41">
        <v>44816</v>
      </c>
      <c r="C21" s="32">
        <v>3584.8798830000001</v>
      </c>
      <c r="D21" s="9">
        <f t="shared" si="0"/>
        <v>-4.0325162253518565E-2</v>
      </c>
      <c r="F21" s="32">
        <v>17530.849609000001</v>
      </c>
      <c r="G21" s="9">
        <f t="shared" si="1"/>
        <v>-1.6962601341440453E-2</v>
      </c>
      <c r="M21" t="s">
        <v>56</v>
      </c>
      <c r="N21">
        <v>1</v>
      </c>
      <c r="O21">
        <v>1.3881509169432815E-2</v>
      </c>
      <c r="P21">
        <v>1.3881509169432815E-2</v>
      </c>
      <c r="Q21">
        <v>14.553915351638494</v>
      </c>
      <c r="R21">
        <v>2.325244056137731E-4</v>
      </c>
    </row>
    <row r="22" spans="2:21" x14ac:dyDescent="0.3">
      <c r="B22" s="41">
        <v>44823</v>
      </c>
      <c r="C22" s="32">
        <v>3588.3728030000002</v>
      </c>
      <c r="D22" s="9">
        <f t="shared" si="0"/>
        <v>9.743478481842871E-4</v>
      </c>
      <c r="F22" s="32">
        <v>17327.349609000001</v>
      </c>
      <c r="G22" s="9">
        <f t="shared" si="1"/>
        <v>-1.1608108251383698E-2</v>
      </c>
      <c r="M22" t="s">
        <v>57</v>
      </c>
      <c r="N22">
        <v>103</v>
      </c>
      <c r="O22">
        <v>9.8241291769682604E-2</v>
      </c>
      <c r="P22">
        <v>9.5379894922021941E-4</v>
      </c>
    </row>
    <row r="23" spans="2:21" ht="15" thickBot="1" x14ac:dyDescent="0.35">
      <c r="B23" s="41">
        <v>44830</v>
      </c>
      <c r="C23" s="32">
        <v>3422.2617190000001</v>
      </c>
      <c r="D23" s="9">
        <f t="shared" si="0"/>
        <v>-4.6291478929147423E-2</v>
      </c>
      <c r="F23" s="32">
        <v>17094.349609000001</v>
      </c>
      <c r="G23" s="9">
        <f t="shared" si="1"/>
        <v>-1.3446949779265527E-2</v>
      </c>
      <c r="M23" s="36" t="s">
        <v>58</v>
      </c>
      <c r="N23" s="36">
        <v>104</v>
      </c>
      <c r="O23" s="36">
        <v>0.11212280093911542</v>
      </c>
      <c r="P23" s="36"/>
      <c r="Q23" s="36"/>
      <c r="R23" s="36"/>
    </row>
    <row r="24" spans="2:21" ht="15" thickBot="1" x14ac:dyDescent="0.35">
      <c r="B24" s="41">
        <v>44837</v>
      </c>
      <c r="C24" s="32">
        <v>3494.6926269999999</v>
      </c>
      <c r="D24" s="9">
        <f t="shared" si="0"/>
        <v>2.116463144763947E-2</v>
      </c>
      <c r="F24" s="32">
        <v>17314.650390999999</v>
      </c>
      <c r="G24" s="9">
        <f t="shared" si="1"/>
        <v>1.2887345060733635E-2</v>
      </c>
    </row>
    <row r="25" spans="2:21" x14ac:dyDescent="0.3">
      <c r="B25" s="41">
        <v>44844</v>
      </c>
      <c r="C25" s="32">
        <v>3462.9160160000001</v>
      </c>
      <c r="D25" s="9">
        <f t="shared" si="0"/>
        <v>-9.092819996383561E-3</v>
      </c>
      <c r="F25" s="32">
        <v>17185.699218999998</v>
      </c>
      <c r="G25" s="9">
        <f t="shared" si="1"/>
        <v>-7.4475180894804094E-3</v>
      </c>
      <c r="M25" s="37"/>
      <c r="N25" s="37" t="s">
        <v>65</v>
      </c>
      <c r="O25" s="37" t="s">
        <v>53</v>
      </c>
      <c r="P25" s="37" t="s">
        <v>66</v>
      </c>
      <c r="Q25" s="37" t="s">
        <v>67</v>
      </c>
      <c r="R25" s="37" t="s">
        <v>68</v>
      </c>
      <c r="S25" s="37" t="s">
        <v>69</v>
      </c>
      <c r="T25" s="37" t="s">
        <v>70</v>
      </c>
      <c r="U25" s="37" t="s">
        <v>71</v>
      </c>
    </row>
    <row r="26" spans="2:21" x14ac:dyDescent="0.3">
      <c r="B26" s="41">
        <v>44851</v>
      </c>
      <c r="C26" s="32">
        <v>3560.1376949999999</v>
      </c>
      <c r="D26" s="9">
        <f t="shared" si="0"/>
        <v>2.8075090054392904E-2</v>
      </c>
      <c r="F26" s="32">
        <v>17576.300781000002</v>
      </c>
      <c r="G26" s="9">
        <f t="shared" si="1"/>
        <v>2.2728290366455628E-2</v>
      </c>
      <c r="M26" t="s">
        <v>59</v>
      </c>
      <c r="N26">
        <v>7.1383165289173817E-3</v>
      </c>
      <c r="O26">
        <v>3.0766604785302134E-3</v>
      </c>
      <c r="P26">
        <v>2.320150883963481</v>
      </c>
      <c r="Q26">
        <v>2.2304851366011184E-2</v>
      </c>
      <c r="R26">
        <v>1.036486116206852E-3</v>
      </c>
      <c r="S26">
        <v>1.3240146941627912E-2</v>
      </c>
      <c r="T26">
        <v>1.036486116206852E-3</v>
      </c>
      <c r="U26">
        <v>1.3240146941627912E-2</v>
      </c>
    </row>
    <row r="27" spans="2:21" ht="15" thickBot="1" x14ac:dyDescent="0.35">
      <c r="B27" s="41">
        <v>44858</v>
      </c>
      <c r="C27" s="32">
        <v>3559.4584960000002</v>
      </c>
      <c r="D27" s="9">
        <f t="shared" si="0"/>
        <v>-1.9077885693963292E-4</v>
      </c>
      <c r="F27" s="32">
        <v>17786.800781000002</v>
      </c>
      <c r="G27" s="9">
        <f t="shared" si="1"/>
        <v>1.197635399068453E-2</v>
      </c>
      <c r="M27" s="36" t="s">
        <v>72</v>
      </c>
      <c r="N27" s="36">
        <v>0.71147592582196129</v>
      </c>
      <c r="O27" s="36">
        <v>0.18649632881899872</v>
      </c>
      <c r="P27" s="36">
        <v>3.8149594167747605</v>
      </c>
      <c r="Q27" s="36">
        <v>2.3252440561378107E-4</v>
      </c>
      <c r="R27" s="36">
        <v>0.34160444374335974</v>
      </c>
      <c r="S27" s="36">
        <v>1.0813474079005627</v>
      </c>
      <c r="T27" s="36">
        <v>0.34160444374335974</v>
      </c>
      <c r="U27" s="36">
        <v>1.0813474079005627</v>
      </c>
    </row>
    <row r="28" spans="2:21" x14ac:dyDescent="0.3">
      <c r="B28" s="41">
        <v>44865</v>
      </c>
      <c r="C28" s="32">
        <v>3658.9604490000002</v>
      </c>
      <c r="D28" s="9">
        <f t="shared" si="0"/>
        <v>2.7954238857347713E-2</v>
      </c>
      <c r="F28" s="32">
        <v>18117.150390999999</v>
      </c>
      <c r="G28" s="9">
        <f t="shared" si="1"/>
        <v>1.8572739081492262E-2</v>
      </c>
    </row>
    <row r="29" spans="2:21" x14ac:dyDescent="0.3">
      <c r="B29" s="41">
        <v>44872</v>
      </c>
      <c r="C29" s="32">
        <v>3615.6860350000002</v>
      </c>
      <c r="D29" s="9">
        <f t="shared" si="0"/>
        <v>-1.182696960056695E-2</v>
      </c>
      <c r="F29" s="32">
        <v>18349.699218999998</v>
      </c>
      <c r="G29" s="9">
        <f t="shared" si="1"/>
        <v>1.2835839134808014E-2</v>
      </c>
    </row>
    <row r="30" spans="2:21" x14ac:dyDescent="0.3">
      <c r="B30" s="41">
        <v>44879</v>
      </c>
      <c r="C30" s="32">
        <v>3523.2673340000001</v>
      </c>
      <c r="D30" s="9">
        <f t="shared" si="0"/>
        <v>-2.5560488412263438E-2</v>
      </c>
      <c r="F30" s="32">
        <v>18307.650390999999</v>
      </c>
      <c r="G30" s="9">
        <f t="shared" si="1"/>
        <v>-2.2915268254892762E-3</v>
      </c>
    </row>
    <row r="31" spans="2:21" x14ac:dyDescent="0.3">
      <c r="B31" s="41">
        <v>44886</v>
      </c>
      <c r="C31" s="32">
        <v>3529.671143</v>
      </c>
      <c r="D31" s="9">
        <f t="shared" si="0"/>
        <v>1.817576809514998E-3</v>
      </c>
      <c r="F31" s="32">
        <v>18512.75</v>
      </c>
      <c r="G31" s="9">
        <f t="shared" si="1"/>
        <v>1.1202945469224623E-2</v>
      </c>
    </row>
    <row r="32" spans="2:21" x14ac:dyDescent="0.3">
      <c r="B32" s="41">
        <v>44893</v>
      </c>
      <c r="C32" s="32">
        <v>3550.4350589999999</v>
      </c>
      <c r="D32" s="9">
        <f t="shared" si="0"/>
        <v>5.8826772123454774E-3</v>
      </c>
      <c r="F32" s="32">
        <v>18696.099609000001</v>
      </c>
      <c r="G32" s="9">
        <f t="shared" si="1"/>
        <v>9.9039639707769744E-3</v>
      </c>
    </row>
    <row r="33" spans="2:7" x14ac:dyDescent="0.3">
      <c r="B33" s="41">
        <v>44900</v>
      </c>
      <c r="C33" s="32">
        <v>3510.3142090000001</v>
      </c>
      <c r="D33" s="9">
        <f t="shared" si="0"/>
        <v>-1.1300263019400236E-2</v>
      </c>
      <c r="F33" s="32">
        <v>18496.599609000001</v>
      </c>
      <c r="G33" s="9">
        <f t="shared" si="1"/>
        <v>-1.0670674855838058E-2</v>
      </c>
    </row>
    <row r="34" spans="2:7" x14ac:dyDescent="0.3">
      <c r="B34" s="41">
        <v>44907</v>
      </c>
      <c r="C34" s="32">
        <v>3442.6857909999999</v>
      </c>
      <c r="D34" s="9">
        <f t="shared" si="0"/>
        <v>-1.92656309303052E-2</v>
      </c>
      <c r="F34" s="32">
        <v>18269</v>
      </c>
      <c r="G34" s="9">
        <f t="shared" si="1"/>
        <v>-1.2304943276668867E-2</v>
      </c>
    </row>
    <row r="35" spans="2:7" x14ac:dyDescent="0.3">
      <c r="B35" s="41">
        <v>44914</v>
      </c>
      <c r="C35" s="32">
        <v>3437.9799800000001</v>
      </c>
      <c r="D35" s="9">
        <f t="shared" si="0"/>
        <v>-1.3669011015474686E-3</v>
      </c>
      <c r="F35" s="32">
        <v>17806.800781000002</v>
      </c>
      <c r="G35" s="9">
        <f t="shared" si="1"/>
        <v>-2.529964524604511E-2</v>
      </c>
    </row>
    <row r="36" spans="2:7" x14ac:dyDescent="0.3">
      <c r="B36" s="41">
        <v>44921</v>
      </c>
      <c r="C36" s="32">
        <v>3508.421875</v>
      </c>
      <c r="D36" s="9">
        <f t="shared" si="0"/>
        <v>2.048932670050041E-2</v>
      </c>
      <c r="F36" s="32">
        <v>18105.300781000002</v>
      </c>
      <c r="G36" s="9">
        <f t="shared" si="1"/>
        <v>1.6763258244484991E-2</v>
      </c>
    </row>
    <row r="37" spans="2:7" x14ac:dyDescent="0.3">
      <c r="B37" s="41">
        <v>44928</v>
      </c>
      <c r="C37" s="32">
        <v>3531.4660640000002</v>
      </c>
      <c r="D37" s="9">
        <f t="shared" si="0"/>
        <v>6.5682491504817087E-3</v>
      </c>
      <c r="F37" s="32">
        <v>17859.449218999998</v>
      </c>
      <c r="G37" s="9">
        <f t="shared" si="1"/>
        <v>-1.3578982474458767E-2</v>
      </c>
    </row>
    <row r="38" spans="2:7" x14ac:dyDescent="0.3">
      <c r="B38" s="41">
        <v>44935</v>
      </c>
      <c r="C38" s="32">
        <v>3497.4094239999999</v>
      </c>
      <c r="D38" s="9">
        <f t="shared" si="0"/>
        <v>-9.6437681639294226E-3</v>
      </c>
      <c r="F38" s="32">
        <v>17956.599609000001</v>
      </c>
      <c r="G38" s="9">
        <f t="shared" si="1"/>
        <v>5.4397192661825855E-3</v>
      </c>
    </row>
    <row r="39" spans="2:7" x14ac:dyDescent="0.3">
      <c r="B39" s="41">
        <v>44942</v>
      </c>
      <c r="C39" s="32">
        <v>3466.7971189999998</v>
      </c>
      <c r="D39" s="9">
        <f t="shared" si="0"/>
        <v>-8.7528514076538055E-3</v>
      </c>
      <c r="F39" s="32">
        <v>18027.650390999999</v>
      </c>
      <c r="G39" s="9">
        <f t="shared" si="1"/>
        <v>3.9568060516528281E-3</v>
      </c>
    </row>
    <row r="40" spans="2:7" x14ac:dyDescent="0.3">
      <c r="B40" s="41">
        <v>44949</v>
      </c>
      <c r="C40" s="32">
        <v>3820.656982</v>
      </c>
      <c r="D40" s="9">
        <f t="shared" ref="D40:D71" si="2">IFERROR(C40/C39-1,0)</f>
        <v>0.10207111949546999</v>
      </c>
      <c r="F40" s="32">
        <v>17604.349609000001</v>
      </c>
      <c r="G40" s="9">
        <f t="shared" si="1"/>
        <v>-2.3480640727941093E-2</v>
      </c>
    </row>
    <row r="41" spans="2:7" x14ac:dyDescent="0.3">
      <c r="B41" s="41">
        <v>44956</v>
      </c>
      <c r="C41" s="32">
        <v>3737.7954100000002</v>
      </c>
      <c r="D41" s="9">
        <f t="shared" si="2"/>
        <v>-2.1687781025718889E-2</v>
      </c>
      <c r="F41" s="32">
        <v>17854.050781000002</v>
      </c>
      <c r="G41" s="9">
        <f t="shared" si="1"/>
        <v>1.4184061186352848E-2</v>
      </c>
    </row>
    <row r="42" spans="2:7" x14ac:dyDescent="0.3">
      <c r="B42" s="41">
        <v>44963</v>
      </c>
      <c r="C42" s="32">
        <v>3718.1958009999998</v>
      </c>
      <c r="D42" s="9">
        <f t="shared" si="2"/>
        <v>-5.2436280882479647E-3</v>
      </c>
      <c r="F42" s="32">
        <v>17856.5</v>
      </c>
      <c r="G42" s="9">
        <f t="shared" si="1"/>
        <v>1.371800175793414E-4</v>
      </c>
    </row>
    <row r="43" spans="2:7" x14ac:dyDescent="0.3">
      <c r="B43" s="41">
        <v>44970</v>
      </c>
      <c r="C43" s="32">
        <v>3778.1586910000001</v>
      </c>
      <c r="D43" s="9">
        <f t="shared" si="2"/>
        <v>1.6126877983099641E-2</v>
      </c>
      <c r="F43" s="32">
        <v>17944.199218999998</v>
      </c>
      <c r="G43" s="9">
        <f t="shared" si="1"/>
        <v>4.9113330719905424E-3</v>
      </c>
    </row>
    <row r="44" spans="2:7" x14ac:dyDescent="0.3">
      <c r="B44" s="41">
        <v>44977</v>
      </c>
      <c r="C44" s="32">
        <v>3736.194336</v>
      </c>
      <c r="D44" s="9">
        <f t="shared" si="2"/>
        <v>-1.1107091689918636E-2</v>
      </c>
      <c r="F44" s="32">
        <v>17465.800781000002</v>
      </c>
      <c r="G44" s="9">
        <f t="shared" si="1"/>
        <v>-2.6660339208308015E-2</v>
      </c>
    </row>
    <row r="45" spans="2:7" x14ac:dyDescent="0.3">
      <c r="B45" s="41">
        <v>44984</v>
      </c>
      <c r="C45" s="32">
        <v>3622.866211</v>
      </c>
      <c r="D45" s="9">
        <f t="shared" si="2"/>
        <v>-3.0332502757693836E-2</v>
      </c>
      <c r="F45" s="32">
        <v>17594.349609000001</v>
      </c>
      <c r="G45" s="9">
        <f t="shared" si="1"/>
        <v>7.3600305884538031E-3</v>
      </c>
    </row>
    <row r="46" spans="2:7" x14ac:dyDescent="0.3">
      <c r="B46" s="41">
        <v>44991</v>
      </c>
      <c r="C46" s="32">
        <v>3708.3959960000002</v>
      </c>
      <c r="D46" s="9">
        <f t="shared" si="2"/>
        <v>2.3608320047897147E-2</v>
      </c>
      <c r="F46" s="32">
        <v>17412.900390999999</v>
      </c>
      <c r="G46" s="9">
        <f t="shared" si="1"/>
        <v>-1.0312925571695164E-2</v>
      </c>
    </row>
    <row r="47" spans="2:7" x14ac:dyDescent="0.3">
      <c r="B47" s="41">
        <v>44998</v>
      </c>
      <c r="C47" s="32">
        <v>3707.0375979999999</v>
      </c>
      <c r="D47" s="9">
        <f t="shared" si="2"/>
        <v>-3.6630338331333778E-4</v>
      </c>
      <c r="F47" s="32">
        <v>17100.050781000002</v>
      </c>
      <c r="G47" s="9">
        <f t="shared" si="1"/>
        <v>-1.7966542217268788E-2</v>
      </c>
    </row>
    <row r="48" spans="2:7" x14ac:dyDescent="0.3">
      <c r="B48" s="41">
        <v>45005</v>
      </c>
      <c r="C48" s="32">
        <v>3711.9375</v>
      </c>
      <c r="D48" s="9">
        <f t="shared" si="2"/>
        <v>1.3217837344416949E-3</v>
      </c>
      <c r="F48" s="32">
        <v>16945.050781000002</v>
      </c>
      <c r="G48" s="9">
        <f t="shared" si="1"/>
        <v>-9.0643005675878907E-3</v>
      </c>
    </row>
    <row r="49" spans="2:7" x14ac:dyDescent="0.3">
      <c r="B49" s="41">
        <v>45012</v>
      </c>
      <c r="C49" s="32">
        <v>3768.4077149999998</v>
      </c>
      <c r="D49" s="9">
        <f t="shared" si="2"/>
        <v>1.521313734404206E-2</v>
      </c>
      <c r="F49" s="32">
        <v>17359.75</v>
      </c>
      <c r="G49" s="9">
        <f t="shared" si="1"/>
        <v>2.4473176525678486E-2</v>
      </c>
    </row>
    <row r="50" spans="2:7" x14ac:dyDescent="0.3">
      <c r="B50" s="41">
        <v>45019</v>
      </c>
      <c r="C50" s="32">
        <v>3912.97876</v>
      </c>
      <c r="D50" s="9">
        <f t="shared" si="2"/>
        <v>3.8363960572668665E-2</v>
      </c>
      <c r="F50" s="32">
        <v>17599.150390999999</v>
      </c>
      <c r="G50" s="9">
        <f t="shared" si="1"/>
        <v>1.3790543700226143E-2</v>
      </c>
    </row>
    <row r="51" spans="2:7" x14ac:dyDescent="0.3">
      <c r="B51" s="41">
        <v>45026</v>
      </c>
      <c r="C51" s="32">
        <v>4161.3208009999998</v>
      </c>
      <c r="D51" s="9">
        <f t="shared" si="2"/>
        <v>6.3466237930716485E-2</v>
      </c>
      <c r="F51" s="32">
        <v>17828</v>
      </c>
      <c r="G51" s="9">
        <f t="shared" si="1"/>
        <v>1.3003446411653519E-2</v>
      </c>
    </row>
    <row r="52" spans="2:7" x14ac:dyDescent="0.3">
      <c r="B52" s="41">
        <v>45033</v>
      </c>
      <c r="C52" s="32">
        <v>4181.017578</v>
      </c>
      <c r="D52" s="9">
        <f t="shared" si="2"/>
        <v>4.7332993397832812E-3</v>
      </c>
      <c r="F52" s="32">
        <v>17624.050781000002</v>
      </c>
      <c r="G52" s="9">
        <f t="shared" si="1"/>
        <v>-1.1439826060130054E-2</v>
      </c>
    </row>
    <row r="53" spans="2:7" x14ac:dyDescent="0.3">
      <c r="B53" s="41">
        <v>45040</v>
      </c>
      <c r="C53" s="32">
        <v>4297.7905270000001</v>
      </c>
      <c r="D53" s="9">
        <f t="shared" si="2"/>
        <v>2.7929313096994646E-2</v>
      </c>
      <c r="F53" s="32">
        <v>18065</v>
      </c>
      <c r="G53" s="9">
        <f t="shared" si="1"/>
        <v>2.5019742877464557E-2</v>
      </c>
    </row>
    <row r="54" spans="2:7" x14ac:dyDescent="0.3">
      <c r="B54" s="41">
        <v>45047</v>
      </c>
      <c r="C54" s="32">
        <v>4326.7529299999997</v>
      </c>
      <c r="D54" s="9">
        <f t="shared" si="2"/>
        <v>6.7389052160753415E-3</v>
      </c>
      <c r="F54" s="32">
        <v>18069</v>
      </c>
      <c r="G54" s="9">
        <f t="shared" si="1"/>
        <v>2.2142264046509652E-4</v>
      </c>
    </row>
    <row r="55" spans="2:7" x14ac:dyDescent="0.3">
      <c r="B55" s="41">
        <v>45054</v>
      </c>
      <c r="C55" s="32">
        <v>4404.9091799999997</v>
      </c>
      <c r="D55" s="9">
        <f t="shared" si="2"/>
        <v>1.8063488085509949E-2</v>
      </c>
      <c r="F55" s="32">
        <v>18314.800781000002</v>
      </c>
      <c r="G55" s="9">
        <f t="shared" si="1"/>
        <v>1.3603452376999448E-2</v>
      </c>
    </row>
    <row r="56" spans="2:7" x14ac:dyDescent="0.3">
      <c r="B56" s="41">
        <v>45061</v>
      </c>
      <c r="C56" s="32">
        <v>4348.6811520000001</v>
      </c>
      <c r="D56" s="9">
        <f t="shared" si="2"/>
        <v>-1.2764855233632688E-2</v>
      </c>
      <c r="F56" s="32">
        <v>18203.400390999999</v>
      </c>
      <c r="G56" s="9">
        <f t="shared" si="1"/>
        <v>-6.0825335384249168E-3</v>
      </c>
    </row>
    <row r="57" spans="2:7" x14ac:dyDescent="0.3">
      <c r="B57" s="41">
        <v>45068</v>
      </c>
      <c r="C57" s="32">
        <v>4473.9438479999999</v>
      </c>
      <c r="D57" s="9">
        <f t="shared" si="2"/>
        <v>2.8804755193971854E-2</v>
      </c>
      <c r="F57" s="32">
        <v>18499.349609000001</v>
      </c>
      <c r="G57" s="9">
        <f t="shared" si="1"/>
        <v>1.6257908502980811E-2</v>
      </c>
    </row>
    <row r="58" spans="2:7" x14ac:dyDescent="0.3">
      <c r="B58" s="41">
        <v>45075</v>
      </c>
      <c r="C58" s="32">
        <v>4527.9887699999999</v>
      </c>
      <c r="D58" s="9">
        <f t="shared" si="2"/>
        <v>1.2079928545406293E-2</v>
      </c>
      <c r="F58" s="32">
        <v>18534.099609000001</v>
      </c>
      <c r="G58" s="9">
        <f t="shared" si="1"/>
        <v>1.8784444174779757E-3</v>
      </c>
    </row>
    <row r="59" spans="2:7" x14ac:dyDescent="0.3">
      <c r="B59" s="41">
        <v>45082</v>
      </c>
      <c r="C59" s="32">
        <v>4602.6025390000004</v>
      </c>
      <c r="D59" s="9">
        <f t="shared" si="2"/>
        <v>1.6478346742896388E-2</v>
      </c>
      <c r="F59" s="32">
        <v>18563.400390999999</v>
      </c>
      <c r="G59" s="9">
        <f t="shared" si="1"/>
        <v>1.5809120819534339E-3</v>
      </c>
    </row>
    <row r="60" spans="2:7" x14ac:dyDescent="0.3">
      <c r="B60" s="41">
        <v>45089</v>
      </c>
      <c r="C60" s="32">
        <v>4504.7504879999997</v>
      </c>
      <c r="D60" s="9">
        <f t="shared" si="2"/>
        <v>-2.1260156655034779E-2</v>
      </c>
      <c r="F60" s="32">
        <v>18826</v>
      </c>
      <c r="G60" s="9">
        <f t="shared" si="1"/>
        <v>1.4146094113625551E-2</v>
      </c>
    </row>
    <row r="61" spans="2:7" x14ac:dyDescent="0.3">
      <c r="B61" s="41">
        <v>45096</v>
      </c>
      <c r="C61" s="32">
        <v>4481.9003910000001</v>
      </c>
      <c r="D61" s="9">
        <f t="shared" si="2"/>
        <v>-5.072444536244336E-3</v>
      </c>
      <c r="F61" s="32">
        <v>18665.5</v>
      </c>
      <c r="G61" s="9">
        <f t="shared" si="1"/>
        <v>-8.5254435355359703E-3</v>
      </c>
    </row>
    <row r="62" spans="2:7" x14ac:dyDescent="0.3">
      <c r="B62" s="41">
        <v>45103</v>
      </c>
      <c r="C62" s="32">
        <v>4552.7304690000001</v>
      </c>
      <c r="D62" s="9">
        <f t="shared" si="2"/>
        <v>1.580358147678429E-2</v>
      </c>
      <c r="F62" s="32">
        <v>19189.050781000002</v>
      </c>
      <c r="G62" s="9">
        <f t="shared" si="1"/>
        <v>2.804911633762841E-2</v>
      </c>
    </row>
    <row r="63" spans="2:7" x14ac:dyDescent="0.3">
      <c r="B63" s="41">
        <v>45110</v>
      </c>
      <c r="C63" s="32">
        <v>4829.1000979999999</v>
      </c>
      <c r="D63" s="9">
        <f t="shared" si="2"/>
        <v>6.0704149055567536E-2</v>
      </c>
      <c r="F63" s="32">
        <v>19331.800781000002</v>
      </c>
      <c r="G63" s="9">
        <f t="shared" si="1"/>
        <v>7.4391381642151533E-3</v>
      </c>
    </row>
    <row r="64" spans="2:7" x14ac:dyDescent="0.3">
      <c r="B64" s="41">
        <v>45117</v>
      </c>
      <c r="C64" s="32">
        <v>4858.8999020000001</v>
      </c>
      <c r="D64" s="9">
        <f t="shared" si="2"/>
        <v>6.1708814054903804E-3</v>
      </c>
      <c r="F64" s="32">
        <v>19564.5</v>
      </c>
      <c r="G64" s="9">
        <f t="shared" si="1"/>
        <v>1.2037120681933855E-2</v>
      </c>
    </row>
    <row r="65" spans="2:7" x14ac:dyDescent="0.3">
      <c r="B65" s="41">
        <v>45124</v>
      </c>
      <c r="C65" s="32">
        <v>4862.6000979999999</v>
      </c>
      <c r="D65" s="9">
        <f t="shared" si="2"/>
        <v>7.6152957966413304E-4</v>
      </c>
      <c r="F65" s="32">
        <v>19745</v>
      </c>
      <c r="G65" s="9">
        <f t="shared" si="1"/>
        <v>9.225893838329613E-3</v>
      </c>
    </row>
    <row r="66" spans="2:7" x14ac:dyDescent="0.3">
      <c r="B66" s="41">
        <v>45131</v>
      </c>
      <c r="C66" s="32">
        <v>4895.0498049999997</v>
      </c>
      <c r="D66" s="9">
        <f t="shared" si="2"/>
        <v>6.6733242187335673E-3</v>
      </c>
      <c r="F66" s="32">
        <v>19646.050781000002</v>
      </c>
      <c r="G66" s="9">
        <f t="shared" si="1"/>
        <v>-5.0113557356291638E-3</v>
      </c>
    </row>
    <row r="67" spans="2:7" x14ac:dyDescent="0.3">
      <c r="B67" s="41">
        <v>45138</v>
      </c>
      <c r="C67" s="32">
        <v>4709.2001950000003</v>
      </c>
      <c r="D67" s="9">
        <f t="shared" si="2"/>
        <v>-3.7966847612084575E-2</v>
      </c>
      <c r="F67" s="32">
        <v>19517</v>
      </c>
      <c r="G67" s="9">
        <f t="shared" si="1"/>
        <v>-6.568789953694365E-3</v>
      </c>
    </row>
    <row r="68" spans="2:7" x14ac:dyDescent="0.3">
      <c r="B68" s="41">
        <v>45145</v>
      </c>
      <c r="C68" s="32">
        <v>4596.4501950000003</v>
      </c>
      <c r="D68" s="9">
        <f t="shared" si="2"/>
        <v>-2.3942494549225701E-2</v>
      </c>
      <c r="F68" s="32">
        <v>19428.300781000002</v>
      </c>
      <c r="G68" s="9">
        <f t="shared" si="1"/>
        <v>-4.5447158374749552E-3</v>
      </c>
    </row>
    <row r="69" spans="2:7" x14ac:dyDescent="0.3">
      <c r="B69" s="41">
        <v>45152</v>
      </c>
      <c r="C69" s="32">
        <v>4613.75</v>
      </c>
      <c r="D69" s="9">
        <f t="shared" si="2"/>
        <v>3.7637316333414272E-3</v>
      </c>
      <c r="F69" s="32">
        <v>19310.150390999999</v>
      </c>
      <c r="G69" s="9">
        <f t="shared" si="1"/>
        <v>-6.0813547891717112E-3</v>
      </c>
    </row>
    <row r="70" spans="2:7" x14ac:dyDescent="0.3">
      <c r="B70" s="41">
        <v>45159</v>
      </c>
      <c r="C70" s="32">
        <v>4588.6000979999999</v>
      </c>
      <c r="D70" s="9">
        <f t="shared" si="2"/>
        <v>-5.4510760227580723E-3</v>
      </c>
      <c r="F70" s="32">
        <v>19265.800781000002</v>
      </c>
      <c r="G70" s="9">
        <f t="shared" si="1"/>
        <v>-2.2966993576947203E-3</v>
      </c>
    </row>
    <row r="71" spans="2:7" x14ac:dyDescent="0.3">
      <c r="B71" s="41">
        <v>45166</v>
      </c>
      <c r="C71" s="32">
        <v>4662.6499020000001</v>
      </c>
      <c r="D71" s="9">
        <f t="shared" si="2"/>
        <v>1.6137776755110078E-2</v>
      </c>
      <c r="F71" s="32">
        <v>19435.300781000002</v>
      </c>
      <c r="G71" s="9">
        <f t="shared" si="1"/>
        <v>8.797973254616176E-3</v>
      </c>
    </row>
    <row r="72" spans="2:7" x14ac:dyDescent="0.3">
      <c r="B72" s="41">
        <v>45173</v>
      </c>
      <c r="C72" s="32">
        <v>4760</v>
      </c>
      <c r="D72" s="9">
        <f t="shared" ref="D72:D103" si="3">IFERROR(C72/C71-1,0)</f>
        <v>2.0878706324968244E-2</v>
      </c>
      <c r="F72" s="32">
        <v>19819.949218999998</v>
      </c>
      <c r="G72" s="9">
        <f t="shared" si="1"/>
        <v>1.9791226404688889E-2</v>
      </c>
    </row>
    <row r="73" spans="2:7" x14ac:dyDescent="0.3">
      <c r="B73" s="41">
        <v>45180</v>
      </c>
      <c r="C73" s="32">
        <v>5132.1000979999999</v>
      </c>
      <c r="D73" s="9">
        <f t="shared" si="3"/>
        <v>7.8172289495798353E-2</v>
      </c>
      <c r="F73" s="32">
        <v>20192.349609000001</v>
      </c>
      <c r="G73" s="9">
        <f t="shared" ref="G73:G112" si="4">F73/F72-1</f>
        <v>1.8789169734249711E-2</v>
      </c>
    </row>
    <row r="74" spans="2:7" x14ac:dyDescent="0.3">
      <c r="B74" s="41">
        <v>45187</v>
      </c>
      <c r="C74" s="32">
        <v>5000.0498049999997</v>
      </c>
      <c r="D74" s="9">
        <f t="shared" si="3"/>
        <v>-2.5730264507401346E-2</v>
      </c>
      <c r="F74" s="32">
        <v>19674.25</v>
      </c>
      <c r="G74" s="9">
        <f t="shared" si="4"/>
        <v>-2.5658213087251469E-2</v>
      </c>
    </row>
    <row r="75" spans="2:7" x14ac:dyDescent="0.3">
      <c r="B75" s="41">
        <v>45194</v>
      </c>
      <c r="C75" s="32">
        <v>5062.4501950000003</v>
      </c>
      <c r="D75" s="9">
        <f t="shared" si="3"/>
        <v>1.2479953687181355E-2</v>
      </c>
      <c r="F75" s="32">
        <v>19638.300781000002</v>
      </c>
      <c r="G75" s="9">
        <f t="shared" si="4"/>
        <v>-1.8272218254824502E-3</v>
      </c>
    </row>
    <row r="76" spans="2:7" x14ac:dyDescent="0.3">
      <c r="B76" s="41">
        <v>45201</v>
      </c>
      <c r="C76" s="32">
        <v>5018.25</v>
      </c>
      <c r="D76" s="9">
        <f t="shared" si="3"/>
        <v>-8.7309886117309388E-3</v>
      </c>
      <c r="F76" s="32">
        <v>19653.5</v>
      </c>
      <c r="G76" s="9">
        <f t="shared" si="4"/>
        <v>7.7395794928980521E-4</v>
      </c>
    </row>
    <row r="77" spans="2:7" x14ac:dyDescent="0.3">
      <c r="B77" s="41">
        <v>45208</v>
      </c>
      <c r="C77" s="32">
        <v>5053.0498049999997</v>
      </c>
      <c r="D77" s="9">
        <f t="shared" si="3"/>
        <v>6.9346495292181842E-3</v>
      </c>
      <c r="F77" s="32">
        <v>19751.050781000002</v>
      </c>
      <c r="G77" s="9">
        <f t="shared" si="4"/>
        <v>4.96353224616497E-3</v>
      </c>
    </row>
    <row r="78" spans="2:7" x14ac:dyDescent="0.3">
      <c r="B78" s="41">
        <v>45215</v>
      </c>
      <c r="C78" s="32">
        <v>5488.1000979999999</v>
      </c>
      <c r="D78" s="9">
        <f t="shared" si="3"/>
        <v>8.6096577272900987E-2</v>
      </c>
      <c r="F78" s="32">
        <v>19542.650390999999</v>
      </c>
      <c r="G78" s="9">
        <f t="shared" si="4"/>
        <v>-1.0551357105540893E-2</v>
      </c>
    </row>
    <row r="79" spans="2:7" x14ac:dyDescent="0.3">
      <c r="B79" s="41">
        <v>45222</v>
      </c>
      <c r="C79" s="32">
        <v>5373.7001950000003</v>
      </c>
      <c r="D79" s="9">
        <f t="shared" si="3"/>
        <v>-2.0845083172169154E-2</v>
      </c>
      <c r="F79" s="32">
        <v>19047.25</v>
      </c>
      <c r="G79" s="9">
        <f t="shared" si="4"/>
        <v>-2.5349703396840506E-2</v>
      </c>
    </row>
    <row r="80" spans="2:7" x14ac:dyDescent="0.3">
      <c r="B80" s="41">
        <v>45229</v>
      </c>
      <c r="C80" s="32">
        <v>5359.1499020000001</v>
      </c>
      <c r="D80" s="9">
        <f t="shared" si="3"/>
        <v>-2.7076860397866609E-3</v>
      </c>
      <c r="F80" s="32">
        <v>19230.599609000001</v>
      </c>
      <c r="G80" s="9">
        <f t="shared" si="4"/>
        <v>9.6260409770438926E-3</v>
      </c>
    </row>
    <row r="81" spans="2:7" x14ac:dyDescent="0.3">
      <c r="B81" s="41">
        <v>45236</v>
      </c>
      <c r="C81" s="32">
        <v>5428.2998049999997</v>
      </c>
      <c r="D81" s="9">
        <f t="shared" si="3"/>
        <v>1.2903147750017885E-2</v>
      </c>
      <c r="F81" s="32">
        <v>19425.349609000001</v>
      </c>
      <c r="G81" s="9">
        <f t="shared" si="4"/>
        <v>1.0127089324289962E-2</v>
      </c>
    </row>
    <row r="82" spans="2:7" x14ac:dyDescent="0.3">
      <c r="B82" s="41">
        <v>45243</v>
      </c>
      <c r="C82" s="32">
        <v>5629.7998049999997</v>
      </c>
      <c r="D82" s="9">
        <f t="shared" si="3"/>
        <v>3.7120278399951134E-2</v>
      </c>
      <c r="F82" s="32">
        <v>19731.800781000002</v>
      </c>
      <c r="G82" s="9">
        <f t="shared" si="4"/>
        <v>1.5775838178892609E-2</v>
      </c>
    </row>
    <row r="83" spans="2:7" x14ac:dyDescent="0.3">
      <c r="B83" s="41">
        <v>45250</v>
      </c>
      <c r="C83" s="32">
        <v>5929.7998049999997</v>
      </c>
      <c r="D83" s="9">
        <f t="shared" si="3"/>
        <v>5.3287862870996072E-2</v>
      </c>
      <c r="F83" s="32">
        <v>19794.699218999998</v>
      </c>
      <c r="G83" s="9">
        <f t="shared" si="4"/>
        <v>3.1876684088845142E-3</v>
      </c>
    </row>
    <row r="84" spans="2:7" x14ac:dyDescent="0.3">
      <c r="B84" s="41">
        <v>45257</v>
      </c>
      <c r="C84" s="32">
        <v>6046.6000979999999</v>
      </c>
      <c r="D84" s="9">
        <f t="shared" si="3"/>
        <v>1.9697173065018836E-2</v>
      </c>
      <c r="F84" s="32">
        <v>20267.900390999999</v>
      </c>
      <c r="G84" s="9">
        <f t="shared" si="4"/>
        <v>2.390544896715574E-2</v>
      </c>
    </row>
    <row r="85" spans="2:7" x14ac:dyDescent="0.3">
      <c r="B85" s="41">
        <v>45264</v>
      </c>
      <c r="C85" s="32">
        <v>6073.3500979999999</v>
      </c>
      <c r="D85" s="9">
        <f t="shared" si="3"/>
        <v>4.4239737317584016E-3</v>
      </c>
      <c r="F85" s="32">
        <v>20969.400390999999</v>
      </c>
      <c r="G85" s="9">
        <f t="shared" si="4"/>
        <v>3.4611379889724736E-2</v>
      </c>
    </row>
    <row r="86" spans="2:7" x14ac:dyDescent="0.3">
      <c r="B86" s="41">
        <v>45271</v>
      </c>
      <c r="C86" s="32">
        <v>6269.8999020000001</v>
      </c>
      <c r="D86" s="9">
        <f t="shared" si="3"/>
        <v>3.2362666539629492E-2</v>
      </c>
      <c r="F86" s="32">
        <v>21456.650390999999</v>
      </c>
      <c r="G86" s="9">
        <f t="shared" si="4"/>
        <v>2.3236239039487572E-2</v>
      </c>
    </row>
    <row r="87" spans="2:7" x14ac:dyDescent="0.3">
      <c r="B87" s="41">
        <v>45278</v>
      </c>
      <c r="C87" s="32">
        <v>6365.7998049999997</v>
      </c>
      <c r="D87" s="9">
        <f t="shared" si="3"/>
        <v>1.5295284533874076E-2</v>
      </c>
      <c r="F87" s="32">
        <v>21349.400390999999</v>
      </c>
      <c r="G87" s="9">
        <f t="shared" si="4"/>
        <v>-4.9984502727874469E-3</v>
      </c>
    </row>
    <row r="88" spans="2:7" x14ac:dyDescent="0.3">
      <c r="B88" s="41">
        <v>45285</v>
      </c>
      <c r="C88" s="32">
        <v>6801</v>
      </c>
      <c r="D88" s="9">
        <f t="shared" si="3"/>
        <v>6.8365359943957538E-2</v>
      </c>
      <c r="F88" s="32">
        <v>21731.400390999999</v>
      </c>
      <c r="G88" s="9">
        <f t="shared" si="4"/>
        <v>1.7892774176507364E-2</v>
      </c>
    </row>
    <row r="89" spans="2:7" x14ac:dyDescent="0.3">
      <c r="B89" s="41">
        <v>45292</v>
      </c>
      <c r="C89" s="32">
        <v>6968.1499020000001</v>
      </c>
      <c r="D89" s="9">
        <f t="shared" si="3"/>
        <v>2.4577253639170626E-2</v>
      </c>
      <c r="F89" s="32">
        <v>21710.800781000002</v>
      </c>
      <c r="G89" s="9">
        <f t="shared" si="4"/>
        <v>-9.4791912299074799E-4</v>
      </c>
    </row>
    <row r="90" spans="2:7" x14ac:dyDescent="0.3">
      <c r="B90" s="41">
        <v>45299</v>
      </c>
      <c r="C90" s="32">
        <v>7300.2001950000003</v>
      </c>
      <c r="D90" s="9">
        <f t="shared" si="3"/>
        <v>4.7652576030934091E-2</v>
      </c>
      <c r="F90" s="32">
        <v>21894.550781000002</v>
      </c>
      <c r="G90" s="9">
        <f t="shared" si="4"/>
        <v>8.4635293674109047E-3</v>
      </c>
    </row>
    <row r="91" spans="2:7" x14ac:dyDescent="0.3">
      <c r="B91" s="41">
        <v>45306</v>
      </c>
      <c r="C91" s="32">
        <v>7114</v>
      </c>
      <c r="D91" s="9">
        <f t="shared" si="3"/>
        <v>-2.5506176546710502E-2</v>
      </c>
      <c r="F91" s="32">
        <v>21622.400390999999</v>
      </c>
      <c r="G91" s="9">
        <f t="shared" si="4"/>
        <v>-1.2430051327482539E-2</v>
      </c>
    </row>
    <row r="92" spans="2:7" x14ac:dyDescent="0.3">
      <c r="B92" s="41">
        <v>45313</v>
      </c>
      <c r="C92" s="32">
        <v>7596.8500979999999</v>
      </c>
      <c r="D92" s="9">
        <f t="shared" si="3"/>
        <v>6.7873221535001305E-2</v>
      </c>
      <c r="F92" s="32">
        <v>21352.599609000001</v>
      </c>
      <c r="G92" s="9">
        <f t="shared" si="4"/>
        <v>-1.2477836739731241E-2</v>
      </c>
    </row>
    <row r="93" spans="2:7" x14ac:dyDescent="0.3">
      <c r="B93" s="41">
        <v>45320</v>
      </c>
      <c r="C93" s="32">
        <v>7736.7998049999997</v>
      </c>
      <c r="D93" s="9">
        <f t="shared" si="3"/>
        <v>1.8422070357402953E-2</v>
      </c>
      <c r="F93" s="32">
        <v>21853.800781000002</v>
      </c>
      <c r="G93" s="9">
        <f t="shared" si="4"/>
        <v>2.3472606669810325E-2</v>
      </c>
    </row>
    <row r="94" spans="2:7" x14ac:dyDescent="0.3">
      <c r="B94" s="41">
        <v>45327</v>
      </c>
      <c r="C94" s="32">
        <v>7782.5498049999997</v>
      </c>
      <c r="D94" s="9">
        <f t="shared" si="3"/>
        <v>5.9132976363733825E-3</v>
      </c>
      <c r="F94" s="32">
        <v>21782.5</v>
      </c>
      <c r="G94" s="9">
        <f t="shared" si="4"/>
        <v>-3.2626261085894059E-3</v>
      </c>
    </row>
    <row r="95" spans="2:7" x14ac:dyDescent="0.3">
      <c r="B95" s="41">
        <v>45334</v>
      </c>
      <c r="C95" s="32">
        <v>8325.7998050000006</v>
      </c>
      <c r="D95" s="9">
        <f t="shared" si="3"/>
        <v>6.9803600826426226E-2</v>
      </c>
      <c r="F95" s="32">
        <v>22040.699218999998</v>
      </c>
      <c r="G95" s="9">
        <f t="shared" si="4"/>
        <v>1.1853516308963474E-2</v>
      </c>
    </row>
    <row r="96" spans="2:7" x14ac:dyDescent="0.3">
      <c r="B96" s="41">
        <v>45341</v>
      </c>
      <c r="C96" s="32">
        <v>8430.0498050000006</v>
      </c>
      <c r="D96" s="9">
        <f t="shared" si="3"/>
        <v>1.2521319565886424E-2</v>
      </c>
      <c r="F96" s="32">
        <v>22212.699218999998</v>
      </c>
      <c r="G96" s="9">
        <f t="shared" si="4"/>
        <v>7.803745166656384E-3</v>
      </c>
    </row>
    <row r="97" spans="2:7" x14ac:dyDescent="0.3">
      <c r="B97" s="41">
        <v>45348</v>
      </c>
      <c r="C97" s="32">
        <v>8042.75</v>
      </c>
      <c r="D97" s="9">
        <f t="shared" si="3"/>
        <v>-4.5942765933634999E-2</v>
      </c>
      <c r="F97" s="32">
        <v>22338.75</v>
      </c>
      <c r="G97" s="9">
        <f t="shared" si="4"/>
        <v>5.6747169606556902E-3</v>
      </c>
    </row>
    <row r="98" spans="2:7" x14ac:dyDescent="0.3">
      <c r="B98" s="41">
        <v>45355</v>
      </c>
      <c r="C98" s="32">
        <v>8878.6503909999992</v>
      </c>
      <c r="D98" s="9">
        <f t="shared" si="3"/>
        <v>0.10393216138758499</v>
      </c>
      <c r="F98" s="32">
        <v>22493.550781000002</v>
      </c>
      <c r="G98" s="9">
        <f t="shared" si="4"/>
        <v>6.9296975435062524E-3</v>
      </c>
    </row>
    <row r="99" spans="2:7" x14ac:dyDescent="0.3">
      <c r="B99" s="41">
        <v>45362</v>
      </c>
      <c r="C99" s="32">
        <v>8346.2001949999994</v>
      </c>
      <c r="D99" s="9">
        <f t="shared" si="3"/>
        <v>-5.9969722035651651E-2</v>
      </c>
      <c r="F99" s="32">
        <v>22023.349609000001</v>
      </c>
      <c r="G99" s="9">
        <f t="shared" si="4"/>
        <v>-2.0903821569921877E-2</v>
      </c>
    </row>
    <row r="100" spans="2:7" x14ac:dyDescent="0.3">
      <c r="B100" s="41">
        <v>45369</v>
      </c>
      <c r="C100" s="32">
        <v>8935.5996090000008</v>
      </c>
      <c r="D100" s="9">
        <f t="shared" si="3"/>
        <v>7.0618892457563698E-2</v>
      </c>
      <c r="F100" s="32">
        <v>22096.75</v>
      </c>
      <c r="G100" s="9">
        <f t="shared" si="4"/>
        <v>3.3328441087818739E-3</v>
      </c>
    </row>
    <row r="101" spans="2:7" x14ac:dyDescent="0.3">
      <c r="B101" s="41">
        <v>45376</v>
      </c>
      <c r="C101" s="32">
        <v>9144.9003909999992</v>
      </c>
      <c r="D101" s="9">
        <f t="shared" si="3"/>
        <v>2.342324982748667E-2</v>
      </c>
      <c r="F101" s="32">
        <v>22326.900390999999</v>
      </c>
      <c r="G101" s="9">
        <f t="shared" si="4"/>
        <v>1.0415576544061889E-2</v>
      </c>
    </row>
    <row r="102" spans="2:7" x14ac:dyDescent="0.3">
      <c r="B102" s="41">
        <v>45383</v>
      </c>
      <c r="C102" s="32">
        <v>9008.6503909999992</v>
      </c>
      <c r="D102" s="9">
        <f t="shared" si="3"/>
        <v>-1.4899014114368225E-2</v>
      </c>
      <c r="F102" s="32">
        <v>22513.699218999998</v>
      </c>
      <c r="G102" s="9">
        <f t="shared" si="4"/>
        <v>8.3665365424077098E-3</v>
      </c>
    </row>
    <row r="103" spans="2:7" x14ac:dyDescent="0.3">
      <c r="B103" s="41">
        <v>45390</v>
      </c>
      <c r="C103" s="32">
        <v>9070.7001949999994</v>
      </c>
      <c r="D103" s="9">
        <f t="shared" si="3"/>
        <v>6.88780242398912E-3</v>
      </c>
      <c r="F103" s="32">
        <v>22519.400390999999</v>
      </c>
      <c r="G103" s="9">
        <f t="shared" si="4"/>
        <v>2.5323124132303754E-4</v>
      </c>
    </row>
    <row r="104" spans="2:7" x14ac:dyDescent="0.3">
      <c r="B104" s="41">
        <v>45397</v>
      </c>
      <c r="C104" s="32">
        <v>8795.4501949999994</v>
      </c>
      <c r="D104" s="9">
        <f t="shared" ref="D104:D112" si="5">IFERROR(C104/C103-1,0)</f>
        <v>-3.0344956186703742E-2</v>
      </c>
      <c r="F104" s="32">
        <v>22147</v>
      </c>
      <c r="G104" s="9">
        <f t="shared" si="4"/>
        <v>-1.6536869744934735E-2</v>
      </c>
    </row>
    <row r="105" spans="2:7" x14ac:dyDescent="0.3">
      <c r="B105" s="41">
        <v>45404</v>
      </c>
      <c r="C105" s="32">
        <v>8965.5</v>
      </c>
      <c r="D105" s="9">
        <f t="shared" si="5"/>
        <v>1.9333837521662067E-2</v>
      </c>
      <c r="F105" s="32">
        <v>22419.949218999998</v>
      </c>
      <c r="G105" s="9">
        <f t="shared" si="4"/>
        <v>1.2324433060911133E-2</v>
      </c>
    </row>
    <row r="106" spans="2:7" x14ac:dyDescent="0.3">
      <c r="B106" s="41">
        <v>45411</v>
      </c>
      <c r="C106" s="32">
        <v>9098.75</v>
      </c>
      <c r="D106" s="9">
        <f t="shared" si="5"/>
        <v>1.4862528581785828E-2</v>
      </c>
      <c r="F106" s="32">
        <v>22475.849609000001</v>
      </c>
      <c r="G106" s="9">
        <f t="shared" si="4"/>
        <v>2.4933325875970969E-3</v>
      </c>
    </row>
    <row r="107" spans="2:7" x14ac:dyDescent="0.3">
      <c r="B107" s="41">
        <v>45418</v>
      </c>
      <c r="C107" s="32">
        <v>8983.1503909999992</v>
      </c>
      <c r="D107" s="9">
        <f t="shared" si="5"/>
        <v>-1.270499892842436E-2</v>
      </c>
      <c r="F107" s="32">
        <v>22055.199218999998</v>
      </c>
      <c r="G107" s="9">
        <f t="shared" si="4"/>
        <v>-1.8715661357315838E-2</v>
      </c>
    </row>
    <row r="108" spans="2:7" x14ac:dyDescent="0.3">
      <c r="B108" s="41">
        <v>45425</v>
      </c>
      <c r="C108" s="32">
        <v>8812.9003909999992</v>
      </c>
      <c r="D108" s="9">
        <f t="shared" si="5"/>
        <v>-1.8952148476838349E-2</v>
      </c>
      <c r="F108" s="32">
        <v>22466.099609000001</v>
      </c>
      <c r="G108" s="9">
        <f t="shared" si="4"/>
        <v>1.8630545383875763E-2</v>
      </c>
    </row>
    <row r="109" spans="2:7" x14ac:dyDescent="0.3">
      <c r="B109" s="41">
        <v>45432</v>
      </c>
      <c r="C109" s="32">
        <v>8951.5996090000008</v>
      </c>
      <c r="D109" s="9">
        <f t="shared" si="5"/>
        <v>1.5738203298161224E-2</v>
      </c>
      <c r="F109" s="32">
        <v>22957.099609000001</v>
      </c>
      <c r="G109" s="9">
        <f t="shared" si="4"/>
        <v>2.1855151029567477E-2</v>
      </c>
    </row>
    <row r="110" spans="2:7" x14ac:dyDescent="0.3">
      <c r="B110" s="41">
        <v>45439</v>
      </c>
      <c r="C110" s="32">
        <v>9082.4501949999994</v>
      </c>
      <c r="D110" s="9">
        <f t="shared" si="5"/>
        <v>1.4617564649388459E-2</v>
      </c>
      <c r="F110" s="32">
        <v>22530.699218999998</v>
      </c>
      <c r="G110" s="9">
        <f t="shared" si="4"/>
        <v>-1.8573791866671074E-2</v>
      </c>
    </row>
    <row r="111" spans="2:7" x14ac:dyDescent="0.3">
      <c r="B111" s="41">
        <v>45446</v>
      </c>
      <c r="C111" s="32">
        <v>9600.4003909999992</v>
      </c>
      <c r="D111" s="9">
        <f t="shared" si="5"/>
        <v>5.7027584504139472E-2</v>
      </c>
      <c r="F111" s="32">
        <v>23263.900390999999</v>
      </c>
      <c r="G111" s="9">
        <f t="shared" si="4"/>
        <v>3.2542317700539725E-2</v>
      </c>
    </row>
    <row r="112" spans="2:7" x14ac:dyDescent="0.3">
      <c r="B112" s="41">
        <v>45448</v>
      </c>
      <c r="C112" s="32">
        <v>9630</v>
      </c>
      <c r="D112" s="9">
        <f t="shared" si="5"/>
        <v>3.0831640134247884E-3</v>
      </c>
      <c r="F112" s="32">
        <v>22620.35</v>
      </c>
      <c r="G112" s="9">
        <f t="shared" si="4"/>
        <v>-2.7663047906144267E-2</v>
      </c>
    </row>
  </sheetData>
  <mergeCells count="3">
    <mergeCell ref="B4:D4"/>
    <mergeCell ref="F4:G4"/>
    <mergeCell ref="I4:J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D1943-2892-465D-95B6-3C185EA30C20}">
  <dimension ref="B2:U112"/>
  <sheetViews>
    <sheetView showGridLines="0" topLeftCell="A2" workbookViewId="0">
      <selection activeCell="I4" sqref="I4:J4"/>
    </sheetView>
  </sheetViews>
  <sheetFormatPr defaultRowHeight="14.4" x14ac:dyDescent="0.3"/>
  <cols>
    <col min="1" max="1" width="1.88671875" customWidth="1"/>
    <col min="2" max="2" width="11.77734375" customWidth="1"/>
    <col min="3" max="3" width="14.21875" customWidth="1"/>
    <col min="6" max="6" width="12.44140625" customWidth="1"/>
    <col min="7" max="7" width="10.5546875" customWidth="1"/>
    <col min="9" max="9" width="18" customWidth="1"/>
    <col min="14" max="14" width="9.5546875" customWidth="1"/>
    <col min="15" max="15" width="13.6640625" customWidth="1"/>
  </cols>
  <sheetData>
    <row r="2" spans="2:14" x14ac:dyDescent="0.3">
      <c r="B2" s="1" t="s">
        <v>79</v>
      </c>
    </row>
    <row r="4" spans="2:14" x14ac:dyDescent="0.3">
      <c r="B4" s="150" t="s">
        <v>95</v>
      </c>
      <c r="C4" s="150"/>
      <c r="D4" s="150"/>
      <c r="F4" s="150" t="s">
        <v>44</v>
      </c>
      <c r="G4" s="150"/>
      <c r="I4" s="150" t="s">
        <v>73</v>
      </c>
      <c r="J4" s="150"/>
    </row>
    <row r="6" spans="2:14" x14ac:dyDescent="0.3">
      <c r="B6" s="33" t="s">
        <v>40</v>
      </c>
      <c r="C6" s="34" t="s">
        <v>41</v>
      </c>
      <c r="D6" s="34" t="s">
        <v>43</v>
      </c>
      <c r="F6" s="34" t="s">
        <v>41</v>
      </c>
      <c r="G6" s="34" t="s">
        <v>43</v>
      </c>
      <c r="I6" s="1" t="s">
        <v>74</v>
      </c>
      <c r="J6" s="11">
        <f>N6</f>
        <v>0.80567125644197168</v>
      </c>
      <c r="M6" t="s">
        <v>82</v>
      </c>
      <c r="N6">
        <f>N26</f>
        <v>0.80567125644197168</v>
      </c>
    </row>
    <row r="7" spans="2:14" x14ac:dyDescent="0.3">
      <c r="B7" s="41">
        <v>44718</v>
      </c>
      <c r="C7" s="32">
        <v>2665.4946289999998</v>
      </c>
      <c r="F7" s="32">
        <v>16201.799805000001</v>
      </c>
      <c r="I7" t="s">
        <v>75</v>
      </c>
      <c r="J7" s="40">
        <v>0.75</v>
      </c>
    </row>
    <row r="8" spans="2:14" x14ac:dyDescent="0.3">
      <c r="B8" s="41">
        <v>44725</v>
      </c>
      <c r="C8" s="32">
        <v>2559.3308109999998</v>
      </c>
      <c r="D8" s="9">
        <f>IFERROR(C8/C7-1,0)</f>
        <v>-3.9828937130452546E-2</v>
      </c>
      <c r="F8" s="32">
        <v>15293.5</v>
      </c>
      <c r="G8" s="9">
        <f>F8/F7-1</f>
        <v>-5.606166079892505E-2</v>
      </c>
    </row>
    <row r="9" spans="2:14" x14ac:dyDescent="0.3">
      <c r="B9" s="41">
        <v>44732</v>
      </c>
      <c r="C9" s="32">
        <v>2827.6633299999999</v>
      </c>
      <c r="D9" s="9">
        <f>IFERROR(C9/C8-1,0)</f>
        <v>0.10484479686905157</v>
      </c>
      <c r="F9" s="32">
        <v>15699.25</v>
      </c>
      <c r="G9" s="9">
        <f t="shared" ref="G9:G72" si="0">F9/F8-1</f>
        <v>2.6530879131657192E-2</v>
      </c>
      <c r="I9" t="s">
        <v>77</v>
      </c>
      <c r="J9">
        <v>1</v>
      </c>
      <c r="M9" t="s">
        <v>48</v>
      </c>
    </row>
    <row r="10" spans="2:14" ht="15" thickBot="1" x14ac:dyDescent="0.35">
      <c r="B10" s="41">
        <v>44739</v>
      </c>
      <c r="C10" s="32">
        <v>2734.2233890000002</v>
      </c>
      <c r="D10" s="9">
        <f>IFERROR(C10/C9-1,0)</f>
        <v>-3.3044931484116802E-2</v>
      </c>
      <c r="F10" s="32">
        <v>15752.049805000001</v>
      </c>
      <c r="G10" s="9">
        <f t="shared" si="0"/>
        <v>3.3632055671448668E-3</v>
      </c>
      <c r="I10" t="s">
        <v>76</v>
      </c>
      <c r="J10" s="40">
        <v>0.25</v>
      </c>
    </row>
    <row r="11" spans="2:14" x14ac:dyDescent="0.3">
      <c r="B11" s="41">
        <v>44746</v>
      </c>
      <c r="C11" s="32">
        <v>2880.4260250000002</v>
      </c>
      <c r="D11" s="9">
        <f>IFERROR(C11/C10-1,0)</f>
        <v>5.3471357383666929E-2</v>
      </c>
      <c r="F11" s="32">
        <v>16220.599609000001</v>
      </c>
      <c r="G11" s="9">
        <f t="shared" si="0"/>
        <v>2.9745322659611828E-2</v>
      </c>
      <c r="M11" s="38" t="s">
        <v>49</v>
      </c>
      <c r="N11" s="38"/>
    </row>
    <row r="12" spans="2:14" x14ac:dyDescent="0.3">
      <c r="B12" s="41">
        <v>44753</v>
      </c>
      <c r="C12" s="32">
        <v>2981.0383299999999</v>
      </c>
      <c r="D12" s="9">
        <f>IFERROR(C12/C11-1,0)</f>
        <v>3.4929661142746982E-2</v>
      </c>
      <c r="F12" s="32">
        <v>16049.200194999999</v>
      </c>
      <c r="G12" s="9">
        <f t="shared" si="0"/>
        <v>-1.0566774233481513E-2</v>
      </c>
      <c r="I12" s="39" t="s">
        <v>78</v>
      </c>
      <c r="J12" s="12">
        <f>J6*J7+J9*J10</f>
        <v>0.85425344233147871</v>
      </c>
      <c r="M12" t="s">
        <v>50</v>
      </c>
      <c r="N12">
        <v>0.3799379502025933</v>
      </c>
    </row>
    <row r="13" spans="2:14" x14ac:dyDescent="0.3">
      <c r="B13" s="41">
        <v>44760</v>
      </c>
      <c r="C13" s="32">
        <v>3092.6557619999999</v>
      </c>
      <c r="D13" s="9">
        <f t="shared" ref="D13:D76" si="1">IFERROR(C13/C12-1,0)</f>
        <v>3.7442467906811494E-2</v>
      </c>
      <c r="F13" s="32">
        <v>16719.449218999998</v>
      </c>
      <c r="G13" s="9">
        <f t="shared" si="0"/>
        <v>4.1762144895470144E-2</v>
      </c>
      <c r="M13" t="s">
        <v>51</v>
      </c>
      <c r="N13">
        <v>0.14435284600414827</v>
      </c>
    </row>
    <row r="14" spans="2:14" x14ac:dyDescent="0.3">
      <c r="B14" s="41">
        <v>44767</v>
      </c>
      <c r="C14" s="32">
        <v>3039.4506839999999</v>
      </c>
      <c r="D14" s="9">
        <f t="shared" si="1"/>
        <v>-1.7203685794500601E-2</v>
      </c>
      <c r="F14" s="32">
        <v>17158.25</v>
      </c>
      <c r="G14" s="9">
        <f t="shared" si="0"/>
        <v>2.6244930395275645E-2</v>
      </c>
      <c r="M14" t="s">
        <v>52</v>
      </c>
      <c r="N14">
        <v>0.13604559208185846</v>
      </c>
    </row>
    <row r="15" spans="2:14" x14ac:dyDescent="0.3">
      <c r="B15" s="41">
        <v>44774</v>
      </c>
      <c r="C15" s="32">
        <v>3035.6679690000001</v>
      </c>
      <c r="D15" s="9">
        <f t="shared" si="1"/>
        <v>-1.244539028026459E-3</v>
      </c>
      <c r="F15" s="32">
        <v>17397.5</v>
      </c>
      <c r="G15" s="9">
        <f t="shared" si="0"/>
        <v>1.3943729692713402E-2</v>
      </c>
      <c r="M15" t="s">
        <v>53</v>
      </c>
      <c r="N15">
        <v>3.2006049300612155E-2</v>
      </c>
    </row>
    <row r="16" spans="2:14" ht="15" thickBot="1" x14ac:dyDescent="0.35">
      <c r="B16" s="41">
        <v>44781</v>
      </c>
      <c r="C16" s="32">
        <v>3154.1135250000002</v>
      </c>
      <c r="D16" s="9">
        <f t="shared" si="1"/>
        <v>3.9017954931025667E-2</v>
      </c>
      <c r="F16" s="32">
        <v>17698.150390999999</v>
      </c>
      <c r="G16" s="9">
        <f t="shared" si="0"/>
        <v>1.7281241040379314E-2</v>
      </c>
      <c r="M16" s="36" t="s">
        <v>54</v>
      </c>
      <c r="N16" s="36">
        <v>105</v>
      </c>
    </row>
    <row r="17" spans="2:21" x14ac:dyDescent="0.3">
      <c r="B17" s="41">
        <v>44788</v>
      </c>
      <c r="C17" s="32">
        <v>3386.7192380000001</v>
      </c>
      <c r="D17" s="9">
        <f t="shared" si="1"/>
        <v>7.3746778978096561E-2</v>
      </c>
      <c r="F17" s="32">
        <v>17758.449218999998</v>
      </c>
      <c r="G17" s="9">
        <f t="shared" si="0"/>
        <v>3.4070694771959342E-3</v>
      </c>
    </row>
    <row r="18" spans="2:21" ht="15" thickBot="1" x14ac:dyDescent="0.35">
      <c r="B18" s="41">
        <v>44795</v>
      </c>
      <c r="C18" s="32">
        <v>3318.4724120000001</v>
      </c>
      <c r="D18" s="9">
        <f t="shared" si="1"/>
        <v>-2.015130904098883E-2</v>
      </c>
      <c r="F18" s="32">
        <v>17558.900390999999</v>
      </c>
      <c r="G18" s="9">
        <f t="shared" si="0"/>
        <v>-1.1236838619134604E-2</v>
      </c>
      <c r="M18" t="s">
        <v>55</v>
      </c>
    </row>
    <row r="19" spans="2:21" x14ac:dyDescent="0.3">
      <c r="B19" s="41">
        <v>44802</v>
      </c>
      <c r="C19" s="32">
        <v>3384.7409670000002</v>
      </c>
      <c r="D19" s="9">
        <f t="shared" si="1"/>
        <v>1.9969596480707397E-2</v>
      </c>
      <c r="F19" s="32">
        <v>17539.449218999998</v>
      </c>
      <c r="G19" s="9">
        <f t="shared" si="0"/>
        <v>-1.1077670905844661E-3</v>
      </c>
      <c r="M19" s="37"/>
      <c r="N19" s="37" t="s">
        <v>60</v>
      </c>
      <c r="O19" s="37" t="s">
        <v>61</v>
      </c>
      <c r="P19" s="37" t="s">
        <v>62</v>
      </c>
      <c r="Q19" s="37" t="s">
        <v>63</v>
      </c>
      <c r="R19" s="37" t="s">
        <v>64</v>
      </c>
    </row>
    <row r="20" spans="2:21" x14ac:dyDescent="0.3">
      <c r="B20" s="41">
        <v>44809</v>
      </c>
      <c r="C20" s="32">
        <v>3435.2333979999999</v>
      </c>
      <c r="D20" s="9">
        <f t="shared" si="1"/>
        <v>1.4917664746662229E-2</v>
      </c>
      <c r="F20" s="32">
        <v>17833.349609000001</v>
      </c>
      <c r="G20" s="9">
        <f t="shared" si="0"/>
        <v>1.6756534730955508E-2</v>
      </c>
      <c r="M20" t="s">
        <v>56</v>
      </c>
      <c r="N20">
        <v>1</v>
      </c>
      <c r="O20">
        <v>1.7800491947712382E-2</v>
      </c>
      <c r="P20">
        <v>1.7800491947712382E-2</v>
      </c>
      <c r="Q20">
        <v>17.376722483084841</v>
      </c>
      <c r="R20">
        <v>6.3992735537079899E-5</v>
      </c>
    </row>
    <row r="21" spans="2:21" x14ac:dyDescent="0.3">
      <c r="B21" s="41">
        <v>44816</v>
      </c>
      <c r="C21" s="32">
        <v>3510.255615</v>
      </c>
      <c r="D21" s="9">
        <f t="shared" si="1"/>
        <v>2.1839045068576146E-2</v>
      </c>
      <c r="F21" s="32">
        <v>17530.849609000001</v>
      </c>
      <c r="G21" s="9">
        <f t="shared" si="0"/>
        <v>-1.6962601341440453E-2</v>
      </c>
      <c r="M21" t="s">
        <v>57</v>
      </c>
      <c r="N21">
        <v>103</v>
      </c>
      <c r="O21">
        <v>0.10551188075882122</v>
      </c>
      <c r="P21">
        <v>1.0243871918332156E-3</v>
      </c>
    </row>
    <row r="22" spans="2:21" ht="15" thickBot="1" x14ac:dyDescent="0.35">
      <c r="B22" s="41">
        <v>44823</v>
      </c>
      <c r="C22" s="32">
        <v>3648.1831050000001</v>
      </c>
      <c r="D22" s="9">
        <f t="shared" si="1"/>
        <v>3.9292719712664015E-2</v>
      </c>
      <c r="F22" s="32">
        <v>17327.349609000001</v>
      </c>
      <c r="G22" s="9">
        <f t="shared" si="0"/>
        <v>-1.1608108251383698E-2</v>
      </c>
      <c r="M22" s="36" t="s">
        <v>58</v>
      </c>
      <c r="N22" s="36">
        <v>104</v>
      </c>
      <c r="O22" s="36">
        <v>0.1233123727065336</v>
      </c>
      <c r="P22" s="36"/>
      <c r="Q22" s="36"/>
      <c r="R22" s="36"/>
    </row>
    <row r="23" spans="2:21" ht="15" thickBot="1" x14ac:dyDescent="0.35">
      <c r="B23" s="41">
        <v>44830</v>
      </c>
      <c r="C23" s="32">
        <v>3631.5170899999998</v>
      </c>
      <c r="D23" s="9">
        <f t="shared" si="1"/>
        <v>-4.5683055154657204E-3</v>
      </c>
      <c r="F23" s="32">
        <v>17094.349609000001</v>
      </c>
      <c r="G23" s="9">
        <f t="shared" si="0"/>
        <v>-1.3446949779265527E-2</v>
      </c>
    </row>
    <row r="24" spans="2:21" x14ac:dyDescent="0.3">
      <c r="B24" s="41">
        <v>44837</v>
      </c>
      <c r="C24" s="32">
        <v>3460.3564449999999</v>
      </c>
      <c r="D24" s="9">
        <f t="shared" si="1"/>
        <v>-4.7131994909598518E-2</v>
      </c>
      <c r="F24" s="32">
        <v>17314.650390999999</v>
      </c>
      <c r="G24" s="9">
        <f t="shared" si="0"/>
        <v>1.2887345060733635E-2</v>
      </c>
      <c r="M24" s="37"/>
      <c r="N24" s="37" t="s">
        <v>65</v>
      </c>
      <c r="O24" s="37" t="s">
        <v>53</v>
      </c>
      <c r="P24" s="37" t="s">
        <v>66</v>
      </c>
      <c r="Q24" s="37" t="s">
        <v>67</v>
      </c>
      <c r="R24" s="37" t="s">
        <v>68</v>
      </c>
      <c r="S24" s="37" t="s">
        <v>69</v>
      </c>
      <c r="T24" s="37" t="s">
        <v>70</v>
      </c>
      <c r="U24" s="37" t="s">
        <v>71</v>
      </c>
    </row>
    <row r="25" spans="2:21" x14ac:dyDescent="0.3">
      <c r="B25" s="41">
        <v>44844</v>
      </c>
      <c r="C25" s="32">
        <v>3439.2392580000001</v>
      </c>
      <c r="D25" s="9">
        <f t="shared" si="1"/>
        <v>-6.1026045540808482E-3</v>
      </c>
      <c r="F25" s="32">
        <v>17185.699218999998</v>
      </c>
      <c r="G25" s="9">
        <f t="shared" si="0"/>
        <v>-7.4475180894804094E-3</v>
      </c>
      <c r="M25" t="s">
        <v>59</v>
      </c>
      <c r="N25">
        <v>3.2122280184507636E-3</v>
      </c>
      <c r="O25">
        <v>3.1884765175628723E-3</v>
      </c>
      <c r="P25">
        <v>1.0074491691430256</v>
      </c>
      <c r="Q25">
        <v>0.31607985580376252</v>
      </c>
      <c r="R25">
        <v>-3.1113631352838282E-3</v>
      </c>
      <c r="S25">
        <v>9.5358191721853554E-3</v>
      </c>
      <c r="T25">
        <v>-3.1113631352838282E-3</v>
      </c>
      <c r="U25">
        <v>9.5358191721853554E-3</v>
      </c>
    </row>
    <row r="26" spans="2:21" ht="15" thickBot="1" x14ac:dyDescent="0.35">
      <c r="B26" s="41">
        <v>44851</v>
      </c>
      <c r="C26" s="32">
        <v>3589.8767090000001</v>
      </c>
      <c r="D26" s="9">
        <f t="shared" si="1"/>
        <v>4.3799642798797223E-2</v>
      </c>
      <c r="F26" s="32">
        <v>17576.300781000002</v>
      </c>
      <c r="G26" s="9">
        <f t="shared" si="0"/>
        <v>2.2728290366455628E-2</v>
      </c>
      <c r="M26" s="36" t="s">
        <v>72</v>
      </c>
      <c r="N26" s="36">
        <v>0.80567125644197168</v>
      </c>
      <c r="O26" s="36">
        <v>0.19327422352925119</v>
      </c>
      <c r="P26" s="36">
        <v>4.1685396103533536</v>
      </c>
      <c r="Q26" s="36">
        <v>6.3992735537078544E-5</v>
      </c>
      <c r="R26" s="36">
        <v>0.42235741880747668</v>
      </c>
      <c r="S26" s="36">
        <v>1.1889850940764668</v>
      </c>
      <c r="T26" s="36">
        <v>0.42235741880747668</v>
      </c>
      <c r="U26" s="36">
        <v>1.1889850940764668</v>
      </c>
    </row>
    <row r="27" spans="2:21" x14ac:dyDescent="0.3">
      <c r="B27" s="41">
        <v>44858</v>
      </c>
      <c r="C27" s="32">
        <v>3704.8576659999999</v>
      </c>
      <c r="D27" s="9">
        <f t="shared" si="1"/>
        <v>3.2029221703279376E-2</v>
      </c>
      <c r="F27" s="32">
        <v>17786.800781000002</v>
      </c>
      <c r="G27" s="9">
        <f t="shared" si="0"/>
        <v>1.197635399068453E-2</v>
      </c>
    </row>
    <row r="28" spans="2:21" x14ac:dyDescent="0.3">
      <c r="B28" s="41">
        <v>44865</v>
      </c>
      <c r="C28" s="32">
        <v>3626.8684079999998</v>
      </c>
      <c r="D28" s="9">
        <f t="shared" si="1"/>
        <v>-2.1050540946746299E-2</v>
      </c>
      <c r="F28" s="32">
        <v>18117.150390999999</v>
      </c>
      <c r="G28" s="9">
        <f t="shared" si="0"/>
        <v>1.8572739081492262E-2</v>
      </c>
    </row>
    <row r="29" spans="2:21" x14ac:dyDescent="0.3">
      <c r="B29" s="41">
        <v>44872</v>
      </c>
      <c r="C29" s="32">
        <v>3481.2258299999999</v>
      </c>
      <c r="D29" s="9">
        <f t="shared" si="1"/>
        <v>-4.0156565283357759E-2</v>
      </c>
      <c r="F29" s="32">
        <v>18349.699218999998</v>
      </c>
      <c r="G29" s="9">
        <f t="shared" si="0"/>
        <v>1.2835839134808014E-2</v>
      </c>
    </row>
    <row r="30" spans="2:21" x14ac:dyDescent="0.3">
      <c r="B30" s="41">
        <v>44879</v>
      </c>
      <c r="C30" s="32">
        <v>3353.2385250000002</v>
      </c>
      <c r="D30" s="9">
        <f t="shared" si="1"/>
        <v>-3.676501073186611E-2</v>
      </c>
      <c r="F30" s="32">
        <v>18307.650390999999</v>
      </c>
      <c r="G30" s="9">
        <f t="shared" si="0"/>
        <v>-2.2915268254892762E-3</v>
      </c>
    </row>
    <row r="31" spans="2:21" x14ac:dyDescent="0.3">
      <c r="B31" s="41">
        <v>44886</v>
      </c>
      <c r="C31" s="32">
        <v>3376.8283689999998</v>
      </c>
      <c r="D31" s="9">
        <f t="shared" si="1"/>
        <v>7.0349436296064383E-3</v>
      </c>
      <c r="F31" s="32">
        <v>18512.75</v>
      </c>
      <c r="G31" s="9">
        <f t="shared" si="0"/>
        <v>1.1202945469224623E-2</v>
      </c>
    </row>
    <row r="32" spans="2:21" x14ac:dyDescent="0.3">
      <c r="B32" s="41">
        <v>44893</v>
      </c>
      <c r="C32" s="32">
        <v>3295.476318</v>
      </c>
      <c r="D32" s="9">
        <f t="shared" si="1"/>
        <v>-2.4091260233072176E-2</v>
      </c>
      <c r="F32" s="32">
        <v>18696.099609000001</v>
      </c>
      <c r="G32" s="9">
        <f t="shared" si="0"/>
        <v>9.9039639707769744E-3</v>
      </c>
    </row>
    <row r="33" spans="2:7" x14ac:dyDescent="0.3">
      <c r="B33" s="41">
        <v>44900</v>
      </c>
      <c r="C33" s="32">
        <v>3321.5385740000002</v>
      </c>
      <c r="D33" s="9">
        <f t="shared" si="1"/>
        <v>7.9084943981078126E-3</v>
      </c>
      <c r="F33" s="32">
        <v>18496.599609000001</v>
      </c>
      <c r="G33" s="9">
        <f t="shared" si="0"/>
        <v>-1.0670674855838058E-2</v>
      </c>
    </row>
    <row r="34" spans="2:7" x14ac:dyDescent="0.3">
      <c r="B34" s="41">
        <v>44907</v>
      </c>
      <c r="C34" s="32">
        <v>3255.5170899999998</v>
      </c>
      <c r="D34" s="9">
        <f t="shared" si="1"/>
        <v>-1.9876777742940166E-2</v>
      </c>
      <c r="F34" s="32">
        <v>18269</v>
      </c>
      <c r="G34" s="9">
        <f t="shared" si="0"/>
        <v>-1.2304943276668867E-2</v>
      </c>
    </row>
    <row r="35" spans="2:7" x14ac:dyDescent="0.3">
      <c r="B35" s="41">
        <v>44914</v>
      </c>
      <c r="C35" s="32">
        <v>3079.658203</v>
      </c>
      <c r="D35" s="9">
        <f t="shared" si="1"/>
        <v>-5.4018726407607298E-2</v>
      </c>
      <c r="F35" s="32">
        <v>17806.800781000002</v>
      </c>
      <c r="G35" s="9">
        <f t="shared" si="0"/>
        <v>-2.529964524604511E-2</v>
      </c>
    </row>
    <row r="36" spans="2:7" x14ac:dyDescent="0.3">
      <c r="B36" s="41">
        <v>44921</v>
      </c>
      <c r="C36" s="32">
        <v>3192.5126949999999</v>
      </c>
      <c r="D36" s="9">
        <f t="shared" si="1"/>
        <v>3.6645135453689193E-2</v>
      </c>
      <c r="F36" s="32">
        <v>18105.300781000002</v>
      </c>
      <c r="G36" s="9">
        <f t="shared" si="0"/>
        <v>1.6763258244484991E-2</v>
      </c>
    </row>
    <row r="37" spans="2:7" x14ac:dyDescent="0.3">
      <c r="B37" s="41">
        <v>44928</v>
      </c>
      <c r="C37" s="32">
        <v>3215.1132809999999</v>
      </c>
      <c r="D37" s="9">
        <f t="shared" si="1"/>
        <v>7.0792470255156559E-3</v>
      </c>
      <c r="F37" s="32">
        <v>17859.449218999998</v>
      </c>
      <c r="G37" s="9">
        <f t="shared" si="0"/>
        <v>-1.3578982474458767E-2</v>
      </c>
    </row>
    <row r="38" spans="2:7" x14ac:dyDescent="0.3">
      <c r="B38" s="41">
        <v>44935</v>
      </c>
      <c r="C38" s="32">
        <v>3127.530029</v>
      </c>
      <c r="D38" s="9">
        <f t="shared" si="1"/>
        <v>-2.7241109206814218E-2</v>
      </c>
      <c r="F38" s="32">
        <v>17956.599609000001</v>
      </c>
      <c r="G38" s="9">
        <f t="shared" si="0"/>
        <v>5.4397192661825855E-3</v>
      </c>
    </row>
    <row r="39" spans="2:7" x14ac:dyDescent="0.3">
      <c r="B39" s="41">
        <v>44942</v>
      </c>
      <c r="C39" s="32">
        <v>3116.1059570000002</v>
      </c>
      <c r="D39" s="9">
        <f t="shared" si="1"/>
        <v>-3.6527457431487775E-3</v>
      </c>
      <c r="F39" s="32">
        <v>18027.650390999999</v>
      </c>
      <c r="G39" s="9">
        <f t="shared" si="0"/>
        <v>3.9568060516528281E-3</v>
      </c>
    </row>
    <row r="40" spans="2:7" x14ac:dyDescent="0.3">
      <c r="B40" s="41">
        <v>44949</v>
      </c>
      <c r="C40" s="32">
        <v>3135.1457519999999</v>
      </c>
      <c r="D40" s="9">
        <f t="shared" si="1"/>
        <v>6.1101243868901811E-3</v>
      </c>
      <c r="F40" s="32">
        <v>17604.349609000001</v>
      </c>
      <c r="G40" s="9">
        <f t="shared" si="0"/>
        <v>-2.3480640727941093E-2</v>
      </c>
    </row>
    <row r="41" spans="2:7" x14ac:dyDescent="0.3">
      <c r="B41" s="41">
        <v>44956</v>
      </c>
      <c r="C41" s="32">
        <v>3280.4914549999999</v>
      </c>
      <c r="D41" s="9">
        <f t="shared" si="1"/>
        <v>4.6360110341689742E-2</v>
      </c>
      <c r="F41" s="32">
        <v>17854.050781000002</v>
      </c>
      <c r="G41" s="9">
        <f t="shared" si="0"/>
        <v>1.4184061186352848E-2</v>
      </c>
    </row>
    <row r="42" spans="2:7" x14ac:dyDescent="0.3">
      <c r="B42" s="41">
        <v>44963</v>
      </c>
      <c r="C42" s="32">
        <v>3177.2807619999999</v>
      </c>
      <c r="D42" s="9">
        <f t="shared" si="1"/>
        <v>-3.1461960628700991E-2</v>
      </c>
      <c r="F42" s="32">
        <v>17856.5</v>
      </c>
      <c r="G42" s="9">
        <f t="shared" si="0"/>
        <v>1.371800175793414E-4</v>
      </c>
    </row>
    <row r="43" spans="2:7" x14ac:dyDescent="0.3">
      <c r="B43" s="41">
        <v>44970</v>
      </c>
      <c r="C43" s="32">
        <v>3249.1376949999999</v>
      </c>
      <c r="D43" s="9">
        <f t="shared" si="1"/>
        <v>2.2615858774396758E-2</v>
      </c>
      <c r="F43" s="32">
        <v>17944.199218999998</v>
      </c>
      <c r="G43" s="9">
        <f t="shared" si="0"/>
        <v>4.9113330719905424E-3</v>
      </c>
    </row>
    <row r="44" spans="2:7" x14ac:dyDescent="0.3">
      <c r="B44" s="41">
        <v>44977</v>
      </c>
      <c r="C44" s="32">
        <v>3170.6044919999999</v>
      </c>
      <c r="D44" s="9">
        <f t="shared" si="1"/>
        <v>-2.4170475483649811E-2</v>
      </c>
      <c r="F44" s="32">
        <v>17465.800781000002</v>
      </c>
      <c r="G44" s="9">
        <f t="shared" si="0"/>
        <v>-2.6660339208308015E-2</v>
      </c>
    </row>
    <row r="45" spans="2:7" x14ac:dyDescent="0.3">
      <c r="B45" s="41">
        <v>44984</v>
      </c>
      <c r="C45" s="32">
        <v>3093.1591800000001</v>
      </c>
      <c r="D45" s="9">
        <f t="shared" si="1"/>
        <v>-2.4426039954023926E-2</v>
      </c>
      <c r="F45" s="32">
        <v>17594.349609000001</v>
      </c>
      <c r="G45" s="9">
        <f t="shared" si="0"/>
        <v>7.3600305884538031E-3</v>
      </c>
    </row>
    <row r="46" spans="2:7" x14ac:dyDescent="0.3">
      <c r="B46" s="41">
        <v>44991</v>
      </c>
      <c r="C46" s="32">
        <v>3082.0815429999998</v>
      </c>
      <c r="D46" s="9">
        <f t="shared" si="1"/>
        <v>-3.5813342784383195E-3</v>
      </c>
      <c r="F46" s="32">
        <v>17412.900390999999</v>
      </c>
      <c r="G46" s="9">
        <f t="shared" si="0"/>
        <v>-1.0312925571695164E-2</v>
      </c>
    </row>
    <row r="47" spans="2:7" x14ac:dyDescent="0.3">
      <c r="B47" s="41">
        <v>44998</v>
      </c>
      <c r="C47" s="32">
        <v>2942.1264649999998</v>
      </c>
      <c r="D47" s="9">
        <f t="shared" si="1"/>
        <v>-4.5409271639118343E-2</v>
      </c>
      <c r="F47" s="32">
        <v>17100.050781000002</v>
      </c>
      <c r="G47" s="9">
        <f t="shared" si="0"/>
        <v>-1.7966542217268788E-2</v>
      </c>
    </row>
    <row r="48" spans="2:7" x14ac:dyDescent="0.3">
      <c r="B48" s="41">
        <v>45005</v>
      </c>
      <c r="C48" s="32">
        <v>2877.8359380000002</v>
      </c>
      <c r="D48" s="9">
        <f t="shared" si="1"/>
        <v>-2.1851721115597855E-2</v>
      </c>
      <c r="F48" s="32">
        <v>16945.050781000002</v>
      </c>
      <c r="G48" s="9">
        <f t="shared" si="0"/>
        <v>-9.0643005675878907E-3</v>
      </c>
    </row>
    <row r="49" spans="2:7" x14ac:dyDescent="0.3">
      <c r="B49" s="41">
        <v>45012</v>
      </c>
      <c r="C49" s="32">
        <v>2916.657471</v>
      </c>
      <c r="D49" s="9">
        <f t="shared" si="1"/>
        <v>1.3489835361142788E-2</v>
      </c>
      <c r="F49" s="32">
        <v>17359.75</v>
      </c>
      <c r="G49" s="9">
        <f t="shared" si="0"/>
        <v>2.4473176525678486E-2</v>
      </c>
    </row>
    <row r="50" spans="2:7" x14ac:dyDescent="0.3">
      <c r="B50" s="41">
        <v>45019</v>
      </c>
      <c r="C50" s="32">
        <v>2929.366943</v>
      </c>
      <c r="D50" s="9">
        <f t="shared" si="1"/>
        <v>4.3575469956169677E-3</v>
      </c>
      <c r="F50" s="32">
        <v>17599.150390999999</v>
      </c>
      <c r="G50" s="9">
        <f t="shared" si="0"/>
        <v>1.3790543700226143E-2</v>
      </c>
    </row>
    <row r="51" spans="2:7" x14ac:dyDescent="0.3">
      <c r="B51" s="41">
        <v>45026</v>
      </c>
      <c r="C51" s="32">
        <v>3177.9731449999999</v>
      </c>
      <c r="D51" s="9">
        <f t="shared" si="1"/>
        <v>8.4866869476378781E-2</v>
      </c>
      <c r="F51" s="32">
        <v>17828</v>
      </c>
      <c r="G51" s="9">
        <f t="shared" si="0"/>
        <v>1.3003446411653519E-2</v>
      </c>
    </row>
    <row r="52" spans="2:7" x14ac:dyDescent="0.3">
      <c r="B52" s="41">
        <v>45033</v>
      </c>
      <c r="C52" s="32">
        <v>3165.7578130000002</v>
      </c>
      <c r="D52" s="9">
        <f t="shared" si="1"/>
        <v>-3.8437492837907206E-3</v>
      </c>
      <c r="F52" s="32">
        <v>17624.050781000002</v>
      </c>
      <c r="G52" s="9">
        <f t="shared" si="0"/>
        <v>-1.1439826060130054E-2</v>
      </c>
    </row>
    <row r="53" spans="2:7" x14ac:dyDescent="0.3">
      <c r="B53" s="41">
        <v>45040</v>
      </c>
      <c r="C53" s="32">
        <v>3265.0620119999999</v>
      </c>
      <c r="D53" s="9">
        <f t="shared" si="1"/>
        <v>3.1368223618437607E-2</v>
      </c>
      <c r="F53" s="32">
        <v>18065</v>
      </c>
      <c r="G53" s="9">
        <f t="shared" si="0"/>
        <v>2.5019742877464557E-2</v>
      </c>
    </row>
    <row r="54" spans="2:7" x14ac:dyDescent="0.3">
      <c r="B54" s="41">
        <v>45047</v>
      </c>
      <c r="C54" s="32">
        <v>3318.4724120000001</v>
      </c>
      <c r="D54" s="9">
        <f t="shared" si="1"/>
        <v>1.6358157916665172E-2</v>
      </c>
      <c r="F54" s="32">
        <v>18069</v>
      </c>
      <c r="G54" s="9">
        <f t="shared" si="0"/>
        <v>2.2142264046509652E-4</v>
      </c>
    </row>
    <row r="55" spans="2:7" x14ac:dyDescent="0.3">
      <c r="B55" s="41">
        <v>45054</v>
      </c>
      <c r="C55" s="32">
        <v>3586.7612300000001</v>
      </c>
      <c r="D55" s="9">
        <f t="shared" si="1"/>
        <v>8.0847084046814732E-2</v>
      </c>
      <c r="F55" s="32">
        <v>18314.800781000002</v>
      </c>
      <c r="G55" s="9">
        <f t="shared" si="0"/>
        <v>1.3603452376999448E-2</v>
      </c>
    </row>
    <row r="56" spans="2:7" x14ac:dyDescent="0.3">
      <c r="B56" s="41">
        <v>45061</v>
      </c>
      <c r="C56" s="32">
        <v>3531.91626</v>
      </c>
      <c r="D56" s="9">
        <f t="shared" si="1"/>
        <v>-1.5290945363541808E-2</v>
      </c>
      <c r="F56" s="32">
        <v>18203.400390999999</v>
      </c>
      <c r="G56" s="9">
        <f t="shared" si="0"/>
        <v>-6.0825335384249168E-3</v>
      </c>
    </row>
    <row r="57" spans="2:7" x14ac:dyDescent="0.3">
      <c r="B57" s="41">
        <v>45068</v>
      </c>
      <c r="C57" s="32">
        <v>3650.0625</v>
      </c>
      <c r="D57" s="9">
        <f t="shared" si="1"/>
        <v>3.3451030914305901E-2</v>
      </c>
      <c r="F57" s="32">
        <v>18499.349609000001</v>
      </c>
      <c r="G57" s="9">
        <f t="shared" si="0"/>
        <v>1.6257908502980811E-2</v>
      </c>
    </row>
    <row r="58" spans="2:7" x14ac:dyDescent="0.3">
      <c r="B58" s="41">
        <v>45075</v>
      </c>
      <c r="C58" s="32">
        <v>3659.0134280000002</v>
      </c>
      <c r="D58" s="9">
        <f t="shared" si="1"/>
        <v>2.4522670502218347E-3</v>
      </c>
      <c r="F58" s="32">
        <v>18534.099609000001</v>
      </c>
      <c r="G58" s="9">
        <f t="shared" si="0"/>
        <v>1.8784444174779757E-3</v>
      </c>
    </row>
    <row r="59" spans="2:7" x14ac:dyDescent="0.3">
      <c r="B59" s="41">
        <v>45082</v>
      </c>
      <c r="C59" s="32">
        <v>3542.2028810000002</v>
      </c>
      <c r="D59" s="9">
        <f t="shared" si="1"/>
        <v>-3.1924055294830667E-2</v>
      </c>
      <c r="F59" s="32">
        <v>18563.400390999999</v>
      </c>
      <c r="G59" s="9">
        <f t="shared" si="0"/>
        <v>1.5809120819534339E-3</v>
      </c>
    </row>
    <row r="60" spans="2:7" x14ac:dyDescent="0.3">
      <c r="B60" s="41">
        <v>45089</v>
      </c>
      <c r="C60" s="32">
        <v>3500.265625</v>
      </c>
      <c r="D60" s="9">
        <f t="shared" si="1"/>
        <v>-1.1839315084109736E-2</v>
      </c>
      <c r="F60" s="32">
        <v>18826</v>
      </c>
      <c r="G60" s="9">
        <f t="shared" si="0"/>
        <v>1.4146094113625551E-2</v>
      </c>
    </row>
    <row r="61" spans="2:7" x14ac:dyDescent="0.3">
      <c r="B61" s="41">
        <v>45096</v>
      </c>
      <c r="C61" s="32">
        <v>3500.5625</v>
      </c>
      <c r="D61" s="9">
        <f t="shared" si="1"/>
        <v>8.4814991719417421E-5</v>
      </c>
      <c r="F61" s="32">
        <v>18665.5</v>
      </c>
      <c r="G61" s="9">
        <f t="shared" si="0"/>
        <v>-8.5254435355359703E-3</v>
      </c>
    </row>
    <row r="62" spans="2:7" x14ac:dyDescent="0.3">
      <c r="B62" s="41">
        <v>45103</v>
      </c>
      <c r="C62" s="32">
        <v>3541.0161130000001</v>
      </c>
      <c r="D62" s="9">
        <f t="shared" si="1"/>
        <v>1.1556317877484013E-2</v>
      </c>
      <c r="F62" s="32">
        <v>19189.050781000002</v>
      </c>
      <c r="G62" s="9">
        <f t="shared" si="0"/>
        <v>2.804911633762841E-2</v>
      </c>
    </row>
    <row r="63" spans="2:7" x14ac:dyDescent="0.3">
      <c r="B63" s="41">
        <v>45110</v>
      </c>
      <c r="C63" s="32">
        <v>3150.0314939999998</v>
      </c>
      <c r="D63" s="9">
        <f t="shared" si="1"/>
        <v>-0.11041593896299795</v>
      </c>
      <c r="F63" s="32">
        <v>19331.800781000002</v>
      </c>
      <c r="G63" s="9">
        <f t="shared" si="0"/>
        <v>7.4391381642151533E-3</v>
      </c>
    </row>
    <row r="64" spans="2:7" x14ac:dyDescent="0.3">
      <c r="B64" s="41">
        <v>45117</v>
      </c>
      <c r="C64" s="32">
        <v>3310.5598140000002</v>
      </c>
      <c r="D64" s="9">
        <f t="shared" si="1"/>
        <v>5.0960861917020761E-2</v>
      </c>
      <c r="F64" s="32">
        <v>19564.5</v>
      </c>
      <c r="G64" s="9">
        <f t="shared" si="0"/>
        <v>1.2037120681933855E-2</v>
      </c>
    </row>
    <row r="65" spans="2:7" x14ac:dyDescent="0.3">
      <c r="B65" s="41">
        <v>45124</v>
      </c>
      <c r="C65" s="32">
        <v>3279.3046880000002</v>
      </c>
      <c r="D65" s="9">
        <f t="shared" si="1"/>
        <v>-9.4410395087336507E-3</v>
      </c>
      <c r="F65" s="32">
        <v>19745</v>
      </c>
      <c r="G65" s="9">
        <f t="shared" si="0"/>
        <v>9.225893838329613E-3</v>
      </c>
    </row>
    <row r="66" spans="2:7" x14ac:dyDescent="0.3">
      <c r="B66" s="41">
        <v>45131</v>
      </c>
      <c r="C66" s="32">
        <v>3318.571289</v>
      </c>
      <c r="D66" s="9">
        <f t="shared" si="1"/>
        <v>1.1974063021252146E-2</v>
      </c>
      <c r="F66" s="32">
        <v>19646.050781000002</v>
      </c>
      <c r="G66" s="9">
        <f t="shared" si="0"/>
        <v>-5.0113557356291638E-3</v>
      </c>
    </row>
    <row r="67" spans="2:7" x14ac:dyDescent="0.3">
      <c r="B67" s="41">
        <v>45138</v>
      </c>
      <c r="C67" s="32">
        <v>3322.873779</v>
      </c>
      <c r="D67" s="9">
        <f t="shared" si="1"/>
        <v>1.296488646864713E-3</v>
      </c>
      <c r="F67" s="32">
        <v>19517</v>
      </c>
      <c r="G67" s="9">
        <f t="shared" si="0"/>
        <v>-6.568789953694365E-3</v>
      </c>
    </row>
    <row r="68" spans="2:7" x14ac:dyDescent="0.3">
      <c r="B68" s="41">
        <v>45145</v>
      </c>
      <c r="C68" s="32">
        <v>3352.1999510000001</v>
      </c>
      <c r="D68" s="9">
        <f t="shared" si="1"/>
        <v>8.8255449801724062E-3</v>
      </c>
      <c r="F68" s="32">
        <v>19428.300781000002</v>
      </c>
      <c r="G68" s="9">
        <f t="shared" si="0"/>
        <v>-4.5447158374749552E-3</v>
      </c>
    </row>
    <row r="69" spans="2:7" x14ac:dyDescent="0.3">
      <c r="B69" s="41">
        <v>45152</v>
      </c>
      <c r="C69" s="32">
        <v>3313.032471</v>
      </c>
      <c r="D69" s="9">
        <f t="shared" si="1"/>
        <v>-1.1684112097285815E-2</v>
      </c>
      <c r="F69" s="32">
        <v>19310.150390999999</v>
      </c>
      <c r="G69" s="9">
        <f t="shared" si="0"/>
        <v>-6.0813547891717112E-3</v>
      </c>
    </row>
    <row r="70" spans="2:7" x14ac:dyDescent="0.3">
      <c r="B70" s="41">
        <v>45159</v>
      </c>
      <c r="C70" s="32">
        <v>3341.1499020000001</v>
      </c>
      <c r="D70" s="9">
        <f t="shared" si="1"/>
        <v>8.4869168189931621E-3</v>
      </c>
      <c r="F70" s="32">
        <v>19265.800781000002</v>
      </c>
      <c r="G70" s="9">
        <f t="shared" si="0"/>
        <v>-2.2966993576947203E-3</v>
      </c>
    </row>
    <row r="71" spans="2:7" x14ac:dyDescent="0.3">
      <c r="B71" s="41">
        <v>45166</v>
      </c>
      <c r="C71" s="32">
        <v>3400.3999020000001</v>
      </c>
      <c r="D71" s="9">
        <f t="shared" si="1"/>
        <v>1.7733415661635776E-2</v>
      </c>
      <c r="F71" s="32">
        <v>19435.300781000002</v>
      </c>
      <c r="G71" s="9">
        <f t="shared" si="0"/>
        <v>8.797973254616176E-3</v>
      </c>
    </row>
    <row r="72" spans="2:7" x14ac:dyDescent="0.3">
      <c r="B72" s="41">
        <v>45173</v>
      </c>
      <c r="C72" s="32">
        <v>3370.8999020000001</v>
      </c>
      <c r="D72" s="9">
        <f t="shared" si="1"/>
        <v>-8.6754501970927045E-3</v>
      </c>
      <c r="F72" s="32">
        <v>19819.949218999998</v>
      </c>
      <c r="G72" s="9">
        <f t="shared" si="0"/>
        <v>1.9791226404688889E-2</v>
      </c>
    </row>
    <row r="73" spans="2:7" x14ac:dyDescent="0.3">
      <c r="B73" s="41">
        <v>45180</v>
      </c>
      <c r="C73" s="32">
        <v>3427.1999510000001</v>
      </c>
      <c r="D73" s="9">
        <f t="shared" si="1"/>
        <v>1.6701786062112589E-2</v>
      </c>
      <c r="F73" s="32">
        <v>20192.349609000001</v>
      </c>
      <c r="G73" s="9">
        <f t="shared" ref="G73:G112" si="2">F73/F72-1</f>
        <v>1.8789169734249711E-2</v>
      </c>
    </row>
    <row r="74" spans="2:7" x14ac:dyDescent="0.3">
      <c r="B74" s="41">
        <v>45187</v>
      </c>
      <c r="C74" s="32">
        <v>3409.4499510000001</v>
      </c>
      <c r="D74" s="9">
        <f t="shared" si="1"/>
        <v>-5.1791550693798261E-3</v>
      </c>
      <c r="F74" s="32">
        <v>19674.25</v>
      </c>
      <c r="G74" s="9">
        <f t="shared" si="2"/>
        <v>-2.5658213087251469E-2</v>
      </c>
    </row>
    <row r="75" spans="2:7" x14ac:dyDescent="0.3">
      <c r="B75" s="41">
        <v>45194</v>
      </c>
      <c r="C75" s="32">
        <v>3446.9499510000001</v>
      </c>
      <c r="D75" s="9">
        <f t="shared" si="1"/>
        <v>1.0998841613440113E-2</v>
      </c>
      <c r="F75" s="32">
        <v>19638.300781000002</v>
      </c>
      <c r="G75" s="9">
        <f t="shared" si="2"/>
        <v>-1.8272218254824502E-3</v>
      </c>
    </row>
    <row r="76" spans="2:7" x14ac:dyDescent="0.3">
      <c r="B76" s="41">
        <v>45201</v>
      </c>
      <c r="C76" s="32">
        <v>3450.3999020000001</v>
      </c>
      <c r="D76" s="9">
        <f t="shared" si="1"/>
        <v>1.0008706389830202E-3</v>
      </c>
      <c r="F76" s="32">
        <v>19653.5</v>
      </c>
      <c r="G76" s="9">
        <f t="shared" si="2"/>
        <v>7.7395794928980521E-4</v>
      </c>
    </row>
    <row r="77" spans="2:7" x14ac:dyDescent="0.3">
      <c r="B77" s="41">
        <v>45208</v>
      </c>
      <c r="C77" s="32">
        <v>3476.3999020000001</v>
      </c>
      <c r="D77" s="9">
        <f t="shared" ref="D77:D112" si="3">IFERROR(C77/C76-1,0)</f>
        <v>7.535358433359951E-3</v>
      </c>
      <c r="F77" s="32">
        <v>19751.050781000002</v>
      </c>
      <c r="G77" s="9">
        <f t="shared" si="2"/>
        <v>4.96353224616497E-3</v>
      </c>
    </row>
    <row r="78" spans="2:7" x14ac:dyDescent="0.3">
      <c r="B78" s="41">
        <v>45215</v>
      </c>
      <c r="C78" s="32">
        <v>3480.8999020000001</v>
      </c>
      <c r="D78" s="9">
        <f t="shared" si="3"/>
        <v>1.2944425632421819E-3</v>
      </c>
      <c r="F78" s="32">
        <v>19542.650390999999</v>
      </c>
      <c r="G78" s="9">
        <f t="shared" si="2"/>
        <v>-1.0551357105540893E-2</v>
      </c>
    </row>
    <row r="79" spans="2:7" x14ac:dyDescent="0.3">
      <c r="B79" s="41">
        <v>45222</v>
      </c>
      <c r="C79" s="32">
        <v>3394.8500979999999</v>
      </c>
      <c r="D79" s="9">
        <f t="shared" si="3"/>
        <v>-2.4720562619614306E-2</v>
      </c>
      <c r="F79" s="32">
        <v>19047.25</v>
      </c>
      <c r="G79" s="9">
        <f t="shared" si="2"/>
        <v>-2.5349703396840506E-2</v>
      </c>
    </row>
    <row r="80" spans="2:7" x14ac:dyDescent="0.3">
      <c r="B80" s="41">
        <v>45229</v>
      </c>
      <c r="C80" s="32">
        <v>3428</v>
      </c>
      <c r="D80" s="9">
        <f t="shared" si="3"/>
        <v>9.7647616369069823E-3</v>
      </c>
      <c r="F80" s="32">
        <v>19230.599609000001</v>
      </c>
      <c r="G80" s="9">
        <f t="shared" si="2"/>
        <v>9.6260409770438926E-3</v>
      </c>
    </row>
    <row r="81" spans="2:7" x14ac:dyDescent="0.3">
      <c r="B81" s="41">
        <v>45236</v>
      </c>
      <c r="C81" s="32">
        <v>3540.75</v>
      </c>
      <c r="D81" s="9">
        <f t="shared" si="3"/>
        <v>3.2890898483080466E-2</v>
      </c>
      <c r="F81" s="32">
        <v>19425.349609000001</v>
      </c>
      <c r="G81" s="9">
        <f t="shared" si="2"/>
        <v>1.0127089324289962E-2</v>
      </c>
    </row>
    <row r="82" spans="2:7" x14ac:dyDescent="0.3">
      <c r="B82" s="41">
        <v>45243</v>
      </c>
      <c r="C82" s="32">
        <v>3865.3000489999999</v>
      </c>
      <c r="D82" s="9">
        <f t="shared" si="3"/>
        <v>9.166138501729848E-2</v>
      </c>
      <c r="F82" s="32">
        <v>19731.800781000002</v>
      </c>
      <c r="G82" s="9">
        <f t="shared" si="2"/>
        <v>1.5775838178892609E-2</v>
      </c>
    </row>
    <row r="83" spans="2:7" x14ac:dyDescent="0.3">
      <c r="B83" s="41">
        <v>45250</v>
      </c>
      <c r="C83" s="32">
        <v>3849.0500489999999</v>
      </c>
      <c r="D83" s="9">
        <f t="shared" si="3"/>
        <v>-4.2040720756475469E-3</v>
      </c>
      <c r="F83" s="32">
        <v>19794.699218999998</v>
      </c>
      <c r="G83" s="9">
        <f t="shared" si="2"/>
        <v>3.1876684088845142E-3</v>
      </c>
    </row>
    <row r="84" spans="2:7" x14ac:dyDescent="0.3">
      <c r="B84" s="41">
        <v>45257</v>
      </c>
      <c r="C84" s="32">
        <v>3891.1999510000001</v>
      </c>
      <c r="D84" s="9">
        <f t="shared" si="3"/>
        <v>1.0950728481940786E-2</v>
      </c>
      <c r="F84" s="32">
        <v>20267.900390999999</v>
      </c>
      <c r="G84" s="9">
        <f t="shared" si="2"/>
        <v>2.390544896715574E-2</v>
      </c>
    </row>
    <row r="85" spans="2:7" x14ac:dyDescent="0.3">
      <c r="B85" s="41">
        <v>45264</v>
      </c>
      <c r="C85" s="32">
        <v>4055</v>
      </c>
      <c r="D85" s="9">
        <f t="shared" si="3"/>
        <v>4.2094996675229979E-2</v>
      </c>
      <c r="F85" s="32">
        <v>20969.400390999999</v>
      </c>
      <c r="G85" s="9">
        <f t="shared" si="2"/>
        <v>3.4611379889724736E-2</v>
      </c>
    </row>
    <row r="86" spans="2:7" x14ac:dyDescent="0.3">
      <c r="B86" s="41">
        <v>45271</v>
      </c>
      <c r="C86" s="32">
        <v>4059.8999020000001</v>
      </c>
      <c r="D86" s="9">
        <f t="shared" si="3"/>
        <v>1.2083605425401434E-3</v>
      </c>
      <c r="F86" s="32">
        <v>21456.650390999999</v>
      </c>
      <c r="G86" s="9">
        <f t="shared" si="2"/>
        <v>2.3236239039487572E-2</v>
      </c>
    </row>
    <row r="87" spans="2:7" x14ac:dyDescent="0.3">
      <c r="B87" s="41">
        <v>45278</v>
      </c>
      <c r="C87" s="32">
        <v>4006.0500489999999</v>
      </c>
      <c r="D87" s="9">
        <f t="shared" si="3"/>
        <v>-1.3263837606802165E-2</v>
      </c>
      <c r="F87" s="32">
        <v>21349.400390999999</v>
      </c>
      <c r="G87" s="9">
        <f t="shared" si="2"/>
        <v>-4.9984502727874469E-3</v>
      </c>
    </row>
    <row r="88" spans="2:7" x14ac:dyDescent="0.3">
      <c r="B88" s="41">
        <v>45285</v>
      </c>
      <c r="C88" s="32">
        <v>4143.5</v>
      </c>
      <c r="D88" s="9">
        <f t="shared" si="3"/>
        <v>3.4310592558450592E-2</v>
      </c>
      <c r="F88" s="32">
        <v>21731.400390999999</v>
      </c>
      <c r="G88" s="9">
        <f t="shared" si="2"/>
        <v>1.7892774176507364E-2</v>
      </c>
    </row>
    <row r="89" spans="2:7" x14ac:dyDescent="0.3">
      <c r="B89" s="41">
        <v>45292</v>
      </c>
      <c r="C89" s="32">
        <v>3877.0500489999999</v>
      </c>
      <c r="D89" s="9">
        <f t="shared" si="3"/>
        <v>-6.4305526969952953E-2</v>
      </c>
      <c r="F89" s="32">
        <v>21710.800781000002</v>
      </c>
      <c r="G89" s="9">
        <f t="shared" si="2"/>
        <v>-9.4791912299074799E-4</v>
      </c>
    </row>
    <row r="90" spans="2:7" x14ac:dyDescent="0.3">
      <c r="B90" s="41">
        <v>45299</v>
      </c>
      <c r="C90" s="32">
        <v>3870.8500979999999</v>
      </c>
      <c r="D90" s="9">
        <f t="shared" si="3"/>
        <v>-1.5991413372646868E-3</v>
      </c>
      <c r="F90" s="32">
        <v>21894.550781000002</v>
      </c>
      <c r="G90" s="9">
        <f t="shared" si="2"/>
        <v>8.4635293674109047E-3</v>
      </c>
    </row>
    <row r="91" spans="2:7" x14ac:dyDescent="0.3">
      <c r="B91" s="41">
        <v>45306</v>
      </c>
      <c r="C91" s="32">
        <v>3699.4499510000001</v>
      </c>
      <c r="D91" s="9">
        <f t="shared" si="3"/>
        <v>-4.4279717028711363E-2</v>
      </c>
      <c r="F91" s="32">
        <v>21622.400390999999</v>
      </c>
      <c r="G91" s="9">
        <f t="shared" si="2"/>
        <v>-1.2430051327482539E-2</v>
      </c>
    </row>
    <row r="92" spans="2:7" x14ac:dyDescent="0.3">
      <c r="B92" s="41">
        <v>45313</v>
      </c>
      <c r="C92" s="32">
        <v>3616.4499510000001</v>
      </c>
      <c r="D92" s="9">
        <f t="shared" si="3"/>
        <v>-2.2435767776116111E-2</v>
      </c>
      <c r="F92" s="32">
        <v>21352.599609000001</v>
      </c>
      <c r="G92" s="9">
        <f t="shared" si="2"/>
        <v>-1.2477836739731241E-2</v>
      </c>
    </row>
    <row r="93" spans="2:7" x14ac:dyDescent="0.3">
      <c r="B93" s="41">
        <v>45320</v>
      </c>
      <c r="C93" s="32">
        <v>3825.5500489999999</v>
      </c>
      <c r="D93" s="9">
        <f t="shared" si="3"/>
        <v>5.7819159903534922E-2</v>
      </c>
      <c r="F93" s="32">
        <v>21853.800781000002</v>
      </c>
      <c r="G93" s="9">
        <f t="shared" si="2"/>
        <v>2.3472606669810325E-2</v>
      </c>
    </row>
    <row r="94" spans="2:7" x14ac:dyDescent="0.3">
      <c r="B94" s="41">
        <v>45327</v>
      </c>
      <c r="C94" s="32">
        <v>3840.9499510000001</v>
      </c>
      <c r="D94" s="9">
        <f t="shared" si="3"/>
        <v>4.0255392826518133E-3</v>
      </c>
      <c r="F94" s="32">
        <v>21782.5</v>
      </c>
      <c r="G94" s="9">
        <f t="shared" si="2"/>
        <v>-3.2626261085894059E-3</v>
      </c>
    </row>
    <row r="95" spans="2:7" x14ac:dyDescent="0.3">
      <c r="B95" s="41">
        <v>45334</v>
      </c>
      <c r="C95" s="32">
        <v>3928.6499020000001</v>
      </c>
      <c r="D95" s="9">
        <f t="shared" si="3"/>
        <v>2.2832880438123704E-2</v>
      </c>
      <c r="F95" s="32">
        <v>22040.699218999998</v>
      </c>
      <c r="G95" s="9">
        <f t="shared" si="2"/>
        <v>1.1853516308963474E-2</v>
      </c>
    </row>
    <row r="96" spans="2:7" x14ac:dyDescent="0.3">
      <c r="B96" s="41">
        <v>45341</v>
      </c>
      <c r="C96" s="32">
        <v>3927.0500489999999</v>
      </c>
      <c r="D96" s="9">
        <f t="shared" si="3"/>
        <v>-4.0722717470587089E-4</v>
      </c>
      <c r="F96" s="32">
        <v>22212.699218999998</v>
      </c>
      <c r="G96" s="9">
        <f t="shared" si="2"/>
        <v>7.803745166656384E-3</v>
      </c>
    </row>
    <row r="97" spans="2:7" x14ac:dyDescent="0.3">
      <c r="B97" s="41">
        <v>45348</v>
      </c>
      <c r="C97" s="32">
        <v>3843.5500489999999</v>
      </c>
      <c r="D97" s="9">
        <f t="shared" si="3"/>
        <v>-2.126277968401824E-2</v>
      </c>
      <c r="F97" s="32">
        <v>22338.75</v>
      </c>
      <c r="G97" s="9">
        <f t="shared" si="2"/>
        <v>5.6747169606556902E-3</v>
      </c>
    </row>
    <row r="98" spans="2:7" x14ac:dyDescent="0.3">
      <c r="B98" s="41">
        <v>45355</v>
      </c>
      <c r="C98" s="32">
        <v>3785.25</v>
      </c>
      <c r="D98" s="9">
        <f t="shared" si="3"/>
        <v>-1.5168281473313505E-2</v>
      </c>
      <c r="F98" s="32">
        <v>22493.550781000002</v>
      </c>
      <c r="G98" s="9">
        <f t="shared" si="2"/>
        <v>6.9296975435062524E-3</v>
      </c>
    </row>
    <row r="99" spans="2:7" x14ac:dyDescent="0.3">
      <c r="B99" s="41">
        <v>45362</v>
      </c>
      <c r="C99" s="32">
        <v>3745.6499020000001</v>
      </c>
      <c r="D99" s="9">
        <f t="shared" si="3"/>
        <v>-1.0461686282279836E-2</v>
      </c>
      <c r="F99" s="32">
        <v>22023.349609000001</v>
      </c>
      <c r="G99" s="9">
        <f t="shared" si="2"/>
        <v>-2.0903821569921877E-2</v>
      </c>
    </row>
    <row r="100" spans="2:7" x14ac:dyDescent="0.3">
      <c r="B100" s="41">
        <v>45369</v>
      </c>
      <c r="C100" s="32">
        <v>3988.3999020000001</v>
      </c>
      <c r="D100" s="9">
        <f t="shared" si="3"/>
        <v>6.480851290196199E-2</v>
      </c>
      <c r="F100" s="32">
        <v>22096.75</v>
      </c>
      <c r="G100" s="9">
        <f t="shared" si="2"/>
        <v>3.3328441087818739E-3</v>
      </c>
    </row>
    <row r="101" spans="2:7" x14ac:dyDescent="0.3">
      <c r="B101" s="41">
        <v>45376</v>
      </c>
      <c r="C101" s="32">
        <v>4019.3000489999999</v>
      </c>
      <c r="D101" s="9">
        <f t="shared" si="3"/>
        <v>7.7475047034538669E-3</v>
      </c>
      <c r="F101" s="32">
        <v>22326.900390999999</v>
      </c>
      <c r="G101" s="9">
        <f t="shared" si="2"/>
        <v>1.0415576544061889E-2</v>
      </c>
    </row>
    <row r="102" spans="2:7" x14ac:dyDescent="0.3">
      <c r="B102" s="41">
        <v>45383</v>
      </c>
      <c r="C102" s="32">
        <v>4031.25</v>
      </c>
      <c r="D102" s="9">
        <f t="shared" si="3"/>
        <v>2.9731423019720982E-3</v>
      </c>
      <c r="F102" s="32">
        <v>22513.699218999998</v>
      </c>
      <c r="G102" s="9">
        <f t="shared" si="2"/>
        <v>8.3665365424077098E-3</v>
      </c>
    </row>
    <row r="103" spans="2:7" x14ac:dyDescent="0.3">
      <c r="B103" s="41">
        <v>45390</v>
      </c>
      <c r="C103" s="32">
        <v>4302.25</v>
      </c>
      <c r="D103" s="9">
        <f t="shared" si="3"/>
        <v>6.7224806201550358E-2</v>
      </c>
      <c r="F103" s="32">
        <v>22519.400390999999</v>
      </c>
      <c r="G103" s="9">
        <f t="shared" si="2"/>
        <v>2.5323124132303754E-4</v>
      </c>
    </row>
    <row r="104" spans="2:7" x14ac:dyDescent="0.3">
      <c r="B104" s="41">
        <v>45397</v>
      </c>
      <c r="C104" s="32">
        <v>4344.1499020000001</v>
      </c>
      <c r="D104" s="9">
        <f t="shared" si="3"/>
        <v>9.7390672322621441E-3</v>
      </c>
      <c r="F104" s="32">
        <v>22147</v>
      </c>
      <c r="G104" s="9">
        <f t="shared" si="2"/>
        <v>-1.6536869744934735E-2</v>
      </c>
    </row>
    <row r="105" spans="2:7" x14ac:dyDescent="0.3">
      <c r="B105" s="41">
        <v>45404</v>
      </c>
      <c r="C105" s="32">
        <v>4601</v>
      </c>
      <c r="D105" s="9">
        <f t="shared" si="3"/>
        <v>5.9125514495194764E-2</v>
      </c>
      <c r="F105" s="32">
        <v>22419.949218999998</v>
      </c>
      <c r="G105" s="9">
        <f t="shared" si="2"/>
        <v>1.2324433060911133E-2</v>
      </c>
    </row>
    <row r="106" spans="2:7" x14ac:dyDescent="0.3">
      <c r="B106" s="41">
        <v>45411</v>
      </c>
      <c r="C106" s="32">
        <v>4599.25</v>
      </c>
      <c r="D106" s="9">
        <f t="shared" si="3"/>
        <v>-3.8035209737008469E-4</v>
      </c>
      <c r="F106" s="32">
        <v>22475.849609000001</v>
      </c>
      <c r="G106" s="9">
        <f t="shared" si="2"/>
        <v>2.4933325875970969E-3</v>
      </c>
    </row>
    <row r="107" spans="2:7" x14ac:dyDescent="0.3">
      <c r="B107" s="41">
        <v>45418</v>
      </c>
      <c r="C107" s="32">
        <v>4657.8500979999999</v>
      </c>
      <c r="D107" s="9">
        <f t="shared" si="3"/>
        <v>1.2741229113442332E-2</v>
      </c>
      <c r="F107" s="32">
        <v>22055.199218999998</v>
      </c>
      <c r="G107" s="9">
        <f t="shared" si="2"/>
        <v>-1.8715661357315838E-2</v>
      </c>
    </row>
    <row r="108" spans="2:7" x14ac:dyDescent="0.3">
      <c r="B108" s="41">
        <v>45425</v>
      </c>
      <c r="C108" s="32">
        <v>4684.3999020000001</v>
      </c>
      <c r="D108" s="9">
        <f t="shared" si="3"/>
        <v>5.7000125468615881E-3</v>
      </c>
      <c r="F108" s="32">
        <v>22466.099609000001</v>
      </c>
      <c r="G108" s="9">
        <f t="shared" si="2"/>
        <v>1.8630545383875763E-2</v>
      </c>
    </row>
    <row r="109" spans="2:7" x14ac:dyDescent="0.3">
      <c r="B109" s="41">
        <v>45432</v>
      </c>
      <c r="C109" s="32">
        <v>4880.9501950000003</v>
      </c>
      <c r="D109" s="9">
        <f t="shared" si="3"/>
        <v>4.1958478591053616E-2</v>
      </c>
      <c r="F109" s="32">
        <v>22957.099609000001</v>
      </c>
      <c r="G109" s="9">
        <f t="shared" si="2"/>
        <v>2.1855151029567477E-2</v>
      </c>
    </row>
    <row r="110" spans="2:7" x14ac:dyDescent="0.3">
      <c r="B110" s="41">
        <v>45439</v>
      </c>
      <c r="C110" s="32">
        <v>4733.4501950000003</v>
      </c>
      <c r="D110" s="9">
        <f t="shared" si="3"/>
        <v>-3.021952572904707E-2</v>
      </c>
      <c r="F110" s="32">
        <v>22530.699218999998</v>
      </c>
      <c r="G110" s="9">
        <f t="shared" si="2"/>
        <v>-1.8573791866671074E-2</v>
      </c>
    </row>
    <row r="111" spans="2:7" x14ac:dyDescent="0.3">
      <c r="B111" s="41">
        <v>45446</v>
      </c>
      <c r="C111" s="32">
        <v>4579</v>
      </c>
      <c r="D111" s="9">
        <f t="shared" si="3"/>
        <v>-3.2629517294414101E-2</v>
      </c>
      <c r="F111" s="32">
        <v>23263.900390999999</v>
      </c>
      <c r="G111" s="9">
        <f t="shared" si="2"/>
        <v>3.2542317700539725E-2</v>
      </c>
    </row>
    <row r="112" spans="2:7" x14ac:dyDescent="0.3">
      <c r="B112" s="41">
        <v>45448</v>
      </c>
      <c r="C112" s="32">
        <v>4643.2998049999997</v>
      </c>
      <c r="D112" s="9">
        <f t="shared" si="3"/>
        <v>1.4042324743393619E-2</v>
      </c>
      <c r="F112" s="32">
        <v>22620.35</v>
      </c>
      <c r="G112" s="9">
        <f t="shared" si="2"/>
        <v>-2.7663047906144267E-2</v>
      </c>
    </row>
  </sheetData>
  <mergeCells count="3">
    <mergeCell ref="B4:D4"/>
    <mergeCell ref="F4:G4"/>
    <mergeCell ref="I4:J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48761-3E64-4FBC-B2ED-6A2FC267351C}">
  <dimension ref="B2:U112"/>
  <sheetViews>
    <sheetView showGridLines="0" workbookViewId="0">
      <selection activeCell="I4" sqref="I4:J4"/>
    </sheetView>
  </sheetViews>
  <sheetFormatPr defaultRowHeight="14.4" x14ac:dyDescent="0.3"/>
  <cols>
    <col min="1" max="1" width="1.88671875" customWidth="1"/>
    <col min="2" max="2" width="10.21875" customWidth="1"/>
    <col min="3" max="3" width="12.88671875" customWidth="1"/>
    <col min="4" max="4" width="11.88671875" customWidth="1"/>
    <col min="6" max="6" width="11.33203125" customWidth="1"/>
    <col min="7" max="7" width="10.5546875" customWidth="1"/>
    <col min="9" max="9" width="17.5546875" customWidth="1"/>
    <col min="10" max="10" width="9.88671875" customWidth="1"/>
    <col min="14" max="14" width="9.44140625" customWidth="1"/>
    <col min="15" max="15" width="14.109375" customWidth="1"/>
    <col min="18" max="18" width="10.21875" customWidth="1"/>
  </cols>
  <sheetData>
    <row r="2" spans="2:14" x14ac:dyDescent="0.3">
      <c r="B2" s="1" t="s">
        <v>79</v>
      </c>
    </row>
    <row r="4" spans="2:14" x14ac:dyDescent="0.3">
      <c r="B4" s="150" t="s">
        <v>83</v>
      </c>
      <c r="C4" s="150"/>
      <c r="D4" s="150"/>
      <c r="F4" s="150" t="s">
        <v>44</v>
      </c>
      <c r="G4" s="150"/>
      <c r="I4" s="150" t="s">
        <v>73</v>
      </c>
      <c r="J4" s="150"/>
    </row>
    <row r="6" spans="2:14" x14ac:dyDescent="0.3">
      <c r="B6" s="33" t="s">
        <v>40</v>
      </c>
      <c r="C6" s="34" t="s">
        <v>41</v>
      </c>
      <c r="D6" s="34" t="s">
        <v>43</v>
      </c>
      <c r="F6" s="34" t="s">
        <v>41</v>
      </c>
      <c r="G6" s="34" t="s">
        <v>43</v>
      </c>
      <c r="I6" s="1" t="s">
        <v>74</v>
      </c>
      <c r="J6" s="11">
        <f>N6</f>
        <v>0.54651721104428919</v>
      </c>
      <c r="M6" t="s">
        <v>81</v>
      </c>
      <c r="N6">
        <f>N26</f>
        <v>0.54651721104428919</v>
      </c>
    </row>
    <row r="7" spans="2:14" x14ac:dyDescent="0.3">
      <c r="B7" s="41">
        <v>44718</v>
      </c>
      <c r="C7" s="32">
        <v>7934.7998049999997</v>
      </c>
      <c r="F7" s="32">
        <v>16201.799805000001</v>
      </c>
      <c r="I7" t="s">
        <v>75</v>
      </c>
      <c r="J7" s="40">
        <v>0.75</v>
      </c>
    </row>
    <row r="8" spans="2:14" x14ac:dyDescent="0.3">
      <c r="B8" s="41">
        <v>44725</v>
      </c>
      <c r="C8" s="32">
        <v>7690.9501950000003</v>
      </c>
      <c r="D8" s="9">
        <f>IFERROR(C8/C7-1,0)</f>
        <v>-3.0731665069399838E-2</v>
      </c>
      <c r="F8" s="32">
        <v>15293.5</v>
      </c>
      <c r="G8" s="9">
        <f>F8/F7-1</f>
        <v>-5.606166079892505E-2</v>
      </c>
    </row>
    <row r="9" spans="2:14" x14ac:dyDescent="0.3">
      <c r="B9" s="41">
        <v>44732</v>
      </c>
      <c r="C9" s="32">
        <v>8355.2001949999994</v>
      </c>
      <c r="D9" s="9">
        <f>IFERROR(C9/C8-1,0)</f>
        <v>8.6367741716990576E-2</v>
      </c>
      <c r="F9" s="32">
        <v>15699.25</v>
      </c>
      <c r="G9" s="9">
        <f t="shared" ref="G9:G72" si="0">F9/F8-1</f>
        <v>2.6530879131657192E-2</v>
      </c>
      <c r="I9" t="s">
        <v>77</v>
      </c>
      <c r="J9">
        <v>1</v>
      </c>
      <c r="M9" t="s">
        <v>48</v>
      </c>
    </row>
    <row r="10" spans="2:14" ht="15" thickBot="1" x14ac:dyDescent="0.35">
      <c r="B10" s="41">
        <v>44739</v>
      </c>
      <c r="C10" s="32">
        <v>8396.5996090000008</v>
      </c>
      <c r="D10" s="9">
        <f>IFERROR(C10/C9-1,0)</f>
        <v>4.9549278334199975E-3</v>
      </c>
      <c r="F10" s="32">
        <v>15752.049805000001</v>
      </c>
      <c r="G10" s="9">
        <f t="shared" si="0"/>
        <v>3.3632055671448668E-3</v>
      </c>
      <c r="I10" t="s">
        <v>76</v>
      </c>
      <c r="J10" s="40">
        <v>0.25</v>
      </c>
    </row>
    <row r="11" spans="2:14" x14ac:dyDescent="0.3">
      <c r="B11" s="41">
        <v>44746</v>
      </c>
      <c r="C11" s="32">
        <v>8475.4501949999994</v>
      </c>
      <c r="D11" s="9">
        <f>IFERROR(C11/C10-1,0)</f>
        <v>9.3907759893041565E-3</v>
      </c>
      <c r="F11" s="32">
        <v>16220.599609000001</v>
      </c>
      <c r="G11" s="9">
        <f t="shared" si="0"/>
        <v>2.9745322659611828E-2</v>
      </c>
      <c r="M11" s="38" t="s">
        <v>49</v>
      </c>
      <c r="N11" s="38"/>
    </row>
    <row r="12" spans="2:14" x14ac:dyDescent="0.3">
      <c r="B12" s="41">
        <v>44753</v>
      </c>
      <c r="C12" s="32">
        <v>8780.75</v>
      </c>
      <c r="D12" s="9">
        <f>IFERROR(C12/C11-1,0)</f>
        <v>3.602166232775561E-2</v>
      </c>
      <c r="F12" s="32">
        <v>16049.200194999999</v>
      </c>
      <c r="G12" s="9">
        <f t="shared" si="0"/>
        <v>-1.0566774233481513E-2</v>
      </c>
      <c r="I12" s="39" t="s">
        <v>78</v>
      </c>
      <c r="J12" s="12">
        <f>J6*J7+J9*J10</f>
        <v>0.65988790828321686</v>
      </c>
      <c r="M12" t="s">
        <v>50</v>
      </c>
      <c r="N12">
        <v>0.32532074121624299</v>
      </c>
    </row>
    <row r="13" spans="2:14" x14ac:dyDescent="0.3">
      <c r="B13" s="41">
        <v>44760</v>
      </c>
      <c r="C13" s="32">
        <v>8826.0498050000006</v>
      </c>
      <c r="D13" s="9">
        <f t="shared" ref="D13:D76" si="1">IFERROR(C13/C12-1,0)</f>
        <v>5.1589904051476676E-3</v>
      </c>
      <c r="F13" s="32">
        <v>16719.449218999998</v>
      </c>
      <c r="G13" s="9">
        <f t="shared" si="0"/>
        <v>4.1762144895470144E-2</v>
      </c>
      <c r="M13" t="s">
        <v>51</v>
      </c>
      <c r="N13">
        <v>0.10583358466548576</v>
      </c>
    </row>
    <row r="14" spans="2:14" x14ac:dyDescent="0.3">
      <c r="B14" s="41">
        <v>44767</v>
      </c>
      <c r="C14" s="32">
        <v>8772.4501949999994</v>
      </c>
      <c r="D14" s="9">
        <f t="shared" si="1"/>
        <v>-6.0728877792686209E-3</v>
      </c>
      <c r="F14" s="32">
        <v>17158.25</v>
      </c>
      <c r="G14" s="9">
        <f t="shared" si="0"/>
        <v>2.6244930395275645E-2</v>
      </c>
      <c r="M14" t="s">
        <v>52</v>
      </c>
      <c r="N14">
        <v>9.7152357332140962E-2</v>
      </c>
    </row>
    <row r="15" spans="2:14" x14ac:dyDescent="0.3">
      <c r="B15" s="41">
        <v>44774</v>
      </c>
      <c r="C15" s="32">
        <v>8836.0498050000006</v>
      </c>
      <c r="D15" s="9">
        <f t="shared" si="1"/>
        <v>7.2499254582545358E-3</v>
      </c>
      <c r="F15" s="32">
        <v>17397.5</v>
      </c>
      <c r="G15" s="9">
        <f t="shared" si="0"/>
        <v>1.3943729692713402E-2</v>
      </c>
      <c r="M15" t="s">
        <v>53</v>
      </c>
      <c r="N15">
        <v>2.5920345586203666E-2</v>
      </c>
    </row>
    <row r="16" spans="2:14" ht="15" thickBot="1" x14ac:dyDescent="0.35">
      <c r="B16" s="41">
        <v>44781</v>
      </c>
      <c r="C16" s="32">
        <v>8699.1503909999992</v>
      </c>
      <c r="D16" s="9">
        <f t="shared" si="1"/>
        <v>-1.5493282294825383E-2</v>
      </c>
      <c r="F16" s="32">
        <v>17698.150390999999</v>
      </c>
      <c r="G16" s="9">
        <f t="shared" si="0"/>
        <v>1.7281241040379314E-2</v>
      </c>
      <c r="M16" s="36" t="s">
        <v>54</v>
      </c>
      <c r="N16" s="36">
        <v>105</v>
      </c>
    </row>
    <row r="17" spans="2:21" x14ac:dyDescent="0.3">
      <c r="B17" s="41">
        <v>44788</v>
      </c>
      <c r="C17" s="32">
        <v>8777.5</v>
      </c>
      <c r="D17" s="9">
        <f t="shared" si="1"/>
        <v>9.0065817325173381E-3</v>
      </c>
      <c r="F17" s="32">
        <v>17758.449218999998</v>
      </c>
      <c r="G17" s="9">
        <f t="shared" si="0"/>
        <v>3.4070694771959342E-3</v>
      </c>
    </row>
    <row r="18" spans="2:21" ht="15" thickBot="1" x14ac:dyDescent="0.35">
      <c r="B18" s="41">
        <v>44795</v>
      </c>
      <c r="C18" s="32">
        <v>8719.2001949999994</v>
      </c>
      <c r="D18" s="9">
        <f t="shared" si="1"/>
        <v>-6.6419601253204785E-3</v>
      </c>
      <c r="F18" s="32">
        <v>17558.900390999999</v>
      </c>
      <c r="G18" s="9">
        <f t="shared" si="0"/>
        <v>-1.1236838619134604E-2</v>
      </c>
      <c r="M18" t="s">
        <v>55</v>
      </c>
    </row>
    <row r="19" spans="2:21" x14ac:dyDescent="0.3">
      <c r="B19" s="41">
        <v>44802</v>
      </c>
      <c r="C19" s="32">
        <v>8920.0996090000008</v>
      </c>
      <c r="D19" s="9">
        <f t="shared" si="1"/>
        <v>2.304103696520321E-2</v>
      </c>
      <c r="F19" s="32">
        <v>17539.449218999998</v>
      </c>
      <c r="G19" s="9">
        <f t="shared" si="0"/>
        <v>-1.1077670905844661E-3</v>
      </c>
      <c r="M19" s="37"/>
      <c r="N19" s="37" t="s">
        <v>60</v>
      </c>
      <c r="O19" s="37" t="s">
        <v>61</v>
      </c>
      <c r="P19" s="37" t="s">
        <v>62</v>
      </c>
      <c r="Q19" s="37" t="s">
        <v>63</v>
      </c>
      <c r="R19" s="37" t="s">
        <v>64</v>
      </c>
    </row>
    <row r="20" spans="2:21" x14ac:dyDescent="0.3">
      <c r="B20" s="41">
        <v>44809</v>
      </c>
      <c r="C20" s="32">
        <v>8945.7001949999994</v>
      </c>
      <c r="D20" s="9">
        <f t="shared" si="1"/>
        <v>2.8699888030587761E-3</v>
      </c>
      <c r="F20" s="32">
        <v>17833.349609000001</v>
      </c>
      <c r="G20" s="9">
        <f t="shared" si="0"/>
        <v>1.6756534730955508E-2</v>
      </c>
      <c r="M20" t="s">
        <v>56</v>
      </c>
      <c r="N20">
        <v>1</v>
      </c>
      <c r="O20">
        <v>8.190755312301623E-3</v>
      </c>
      <c r="P20">
        <v>8.190755312301623E-3</v>
      </c>
      <c r="Q20">
        <v>12.191085499970319</v>
      </c>
      <c r="R20">
        <v>7.0856156640744094E-4</v>
      </c>
    </row>
    <row r="21" spans="2:21" x14ac:dyDescent="0.3">
      <c r="B21" s="41">
        <v>44816</v>
      </c>
      <c r="C21" s="32">
        <v>9225.5996090000008</v>
      </c>
      <c r="D21" s="9">
        <f t="shared" si="1"/>
        <v>3.1288709424494687E-2</v>
      </c>
      <c r="F21" s="32">
        <v>17530.849609000001</v>
      </c>
      <c r="G21" s="9">
        <f t="shared" si="0"/>
        <v>-1.6962601341440453E-2</v>
      </c>
      <c r="M21" t="s">
        <v>57</v>
      </c>
      <c r="N21">
        <v>103</v>
      </c>
      <c r="O21">
        <v>6.9202024476747476E-2</v>
      </c>
      <c r="P21">
        <v>6.7186431530822787E-4</v>
      </c>
    </row>
    <row r="22" spans="2:21" ht="15" thickBot="1" x14ac:dyDescent="0.35">
      <c r="B22" s="41">
        <v>44823</v>
      </c>
      <c r="C22" s="32">
        <v>9343.9003909999992</v>
      </c>
      <c r="D22" s="9">
        <f t="shared" si="1"/>
        <v>1.282309952890115E-2</v>
      </c>
      <c r="F22" s="32">
        <v>17327.349609000001</v>
      </c>
      <c r="G22" s="9">
        <f t="shared" si="0"/>
        <v>-1.1608108251383698E-2</v>
      </c>
      <c r="M22" s="36" t="s">
        <v>58</v>
      </c>
      <c r="N22" s="36">
        <v>104</v>
      </c>
      <c r="O22" s="36">
        <v>7.7392779789049099E-2</v>
      </c>
      <c r="P22" s="36"/>
      <c r="Q22" s="36"/>
      <c r="R22" s="36"/>
    </row>
    <row r="23" spans="2:21" ht="15" thickBot="1" x14ac:dyDescent="0.35">
      <c r="B23" s="41">
        <v>44830</v>
      </c>
      <c r="C23" s="32">
        <v>8823.5498050000006</v>
      </c>
      <c r="D23" s="9">
        <f t="shared" si="1"/>
        <v>-5.5688798491601799E-2</v>
      </c>
      <c r="F23" s="32">
        <v>17094.349609000001</v>
      </c>
      <c r="G23" s="9">
        <f t="shared" si="0"/>
        <v>-1.3446949779265527E-2</v>
      </c>
    </row>
    <row r="24" spans="2:21" x14ac:dyDescent="0.3">
      <c r="B24" s="41">
        <v>44837</v>
      </c>
      <c r="C24" s="32">
        <v>8782.9501949999994</v>
      </c>
      <c r="D24" s="9">
        <f t="shared" si="1"/>
        <v>-4.6012784987051747E-3</v>
      </c>
      <c r="F24" s="32">
        <v>17314.650390999999</v>
      </c>
      <c r="G24" s="9">
        <f t="shared" si="0"/>
        <v>1.2887345060733635E-2</v>
      </c>
      <c r="M24" s="37"/>
      <c r="N24" s="37" t="s">
        <v>65</v>
      </c>
      <c r="O24" s="37" t="s">
        <v>53</v>
      </c>
      <c r="P24" s="37" t="s">
        <v>66</v>
      </c>
      <c r="Q24" s="37" t="s">
        <v>67</v>
      </c>
      <c r="R24" s="37" t="s">
        <v>68</v>
      </c>
      <c r="S24" s="37" t="s">
        <v>69</v>
      </c>
      <c r="T24" s="37" t="s">
        <v>70</v>
      </c>
      <c r="U24" s="37" t="s">
        <v>71</v>
      </c>
    </row>
    <row r="25" spans="2:21" x14ac:dyDescent="0.3">
      <c r="B25" s="41">
        <v>44844</v>
      </c>
      <c r="C25" s="32">
        <v>8617.2998050000006</v>
      </c>
      <c r="D25" s="9">
        <f t="shared" si="1"/>
        <v>-1.8860449657826961E-2</v>
      </c>
      <c r="F25" s="32">
        <v>17185.699218999998</v>
      </c>
      <c r="G25" s="9">
        <f t="shared" si="0"/>
        <v>-7.4475180894804094E-3</v>
      </c>
      <c r="M25" t="s">
        <v>59</v>
      </c>
      <c r="N25">
        <v>2.8920565443495477E-3</v>
      </c>
      <c r="O25">
        <v>2.5822122703267887E-3</v>
      </c>
      <c r="P25">
        <v>1.1199917905988213</v>
      </c>
      <c r="Q25">
        <v>0.26532207967448207</v>
      </c>
      <c r="R25">
        <v>-2.229152465583647E-3</v>
      </c>
      <c r="S25">
        <v>8.0132655542827433E-3</v>
      </c>
      <c r="T25">
        <v>-2.229152465583647E-3</v>
      </c>
      <c r="U25">
        <v>8.0132655542827433E-3</v>
      </c>
    </row>
    <row r="26" spans="2:21" ht="15" thickBot="1" x14ac:dyDescent="0.35">
      <c r="B26" s="41">
        <v>44851</v>
      </c>
      <c r="C26" s="32">
        <v>8699.8496090000008</v>
      </c>
      <c r="D26" s="9">
        <f t="shared" si="1"/>
        <v>9.5795441574519913E-3</v>
      </c>
      <c r="F26" s="32">
        <v>17576.300781000002</v>
      </c>
      <c r="G26" s="9">
        <f t="shared" si="0"/>
        <v>2.2728290366455628E-2</v>
      </c>
      <c r="M26" s="36" t="s">
        <v>72</v>
      </c>
      <c r="N26" s="36">
        <v>0.54651721104428919</v>
      </c>
      <c r="O26" s="36">
        <v>0.15652461882221591</v>
      </c>
      <c r="P26" s="36">
        <v>3.491573499150542</v>
      </c>
      <c r="Q26" s="36">
        <v>7.0856156640742641E-4</v>
      </c>
      <c r="R26" s="36">
        <v>0.23608754675985527</v>
      </c>
      <c r="S26" s="36">
        <v>0.85694687532872305</v>
      </c>
      <c r="T26" s="36">
        <v>0.23608754675985527</v>
      </c>
      <c r="U26" s="36">
        <v>0.85694687532872305</v>
      </c>
    </row>
    <row r="27" spans="2:21" x14ac:dyDescent="0.3">
      <c r="B27" s="41">
        <v>44858</v>
      </c>
      <c r="C27" s="32">
        <v>9494.0996090000008</v>
      </c>
      <c r="D27" s="9">
        <f t="shared" si="1"/>
        <v>9.1294681597524185E-2</v>
      </c>
      <c r="F27" s="32">
        <v>17786.800781000002</v>
      </c>
      <c r="G27" s="9">
        <f t="shared" si="0"/>
        <v>1.197635399068453E-2</v>
      </c>
    </row>
    <row r="28" spans="2:21" x14ac:dyDescent="0.3">
      <c r="B28" s="41">
        <v>44865</v>
      </c>
      <c r="C28" s="32">
        <v>9226.5498050000006</v>
      </c>
      <c r="D28" s="9">
        <f t="shared" si="1"/>
        <v>-2.818064008369725E-2</v>
      </c>
      <c r="F28" s="32">
        <v>18117.150390999999</v>
      </c>
      <c r="G28" s="9">
        <f t="shared" si="0"/>
        <v>1.8572739081492262E-2</v>
      </c>
    </row>
    <row r="29" spans="2:21" x14ac:dyDescent="0.3">
      <c r="B29" s="41">
        <v>44872</v>
      </c>
      <c r="C29" s="32">
        <v>9088.2998050000006</v>
      </c>
      <c r="D29" s="9">
        <f t="shared" si="1"/>
        <v>-1.4983932555707957E-2</v>
      </c>
      <c r="F29" s="32">
        <v>18349.699218999998</v>
      </c>
      <c r="G29" s="9">
        <f t="shared" si="0"/>
        <v>1.2835839134808014E-2</v>
      </c>
    </row>
    <row r="30" spans="2:21" x14ac:dyDescent="0.3">
      <c r="B30" s="41">
        <v>44879</v>
      </c>
      <c r="C30" s="32">
        <v>8844.9501949999994</v>
      </c>
      <c r="D30" s="9">
        <f t="shared" si="1"/>
        <v>-2.6776142427225036E-2</v>
      </c>
      <c r="F30" s="32">
        <v>18307.650390999999</v>
      </c>
      <c r="G30" s="9">
        <f t="shared" si="0"/>
        <v>-2.2915268254892762E-3</v>
      </c>
    </row>
    <row r="31" spans="2:21" x14ac:dyDescent="0.3">
      <c r="B31" s="41">
        <v>44886</v>
      </c>
      <c r="C31" s="32">
        <v>9016.5996090000008</v>
      </c>
      <c r="D31" s="9">
        <f t="shared" si="1"/>
        <v>1.9406487342012779E-2</v>
      </c>
      <c r="F31" s="32">
        <v>18512.75</v>
      </c>
      <c r="G31" s="9">
        <f t="shared" si="0"/>
        <v>1.1202945469224623E-2</v>
      </c>
    </row>
    <row r="32" spans="2:21" x14ac:dyDescent="0.3">
      <c r="B32" s="41">
        <v>44893</v>
      </c>
      <c r="C32" s="32">
        <v>8815.0996090000008</v>
      </c>
      <c r="D32" s="9">
        <f t="shared" si="1"/>
        <v>-2.234767082247624E-2</v>
      </c>
      <c r="F32" s="32">
        <v>18696.099609000001</v>
      </c>
      <c r="G32" s="9">
        <f t="shared" si="0"/>
        <v>9.9039639707769744E-3</v>
      </c>
    </row>
    <row r="33" spans="2:7" x14ac:dyDescent="0.3">
      <c r="B33" s="41">
        <v>44900</v>
      </c>
      <c r="C33" s="32">
        <v>8614.7998050000006</v>
      </c>
      <c r="D33" s="9">
        <f t="shared" si="1"/>
        <v>-2.2722352881355823E-2</v>
      </c>
      <c r="F33" s="32">
        <v>18496.599609000001</v>
      </c>
      <c r="G33" s="9">
        <f t="shared" si="0"/>
        <v>-1.0670674855838058E-2</v>
      </c>
    </row>
    <row r="34" spans="2:7" x14ac:dyDescent="0.3">
      <c r="B34" s="41">
        <v>44907</v>
      </c>
      <c r="C34" s="32">
        <v>8484.6503909999992</v>
      </c>
      <c r="D34" s="9">
        <f t="shared" si="1"/>
        <v>-1.5107653914889885E-2</v>
      </c>
      <c r="F34" s="32">
        <v>18269</v>
      </c>
      <c r="G34" s="9">
        <f t="shared" si="0"/>
        <v>-1.2304943276668867E-2</v>
      </c>
    </row>
    <row r="35" spans="2:7" x14ac:dyDescent="0.3">
      <c r="B35" s="41">
        <v>44914</v>
      </c>
      <c r="C35" s="32">
        <v>8143.2998049999997</v>
      </c>
      <c r="D35" s="9">
        <f t="shared" si="1"/>
        <v>-4.0231544055378321E-2</v>
      </c>
      <c r="F35" s="32">
        <v>17806.800781000002</v>
      </c>
      <c r="G35" s="9">
        <f t="shared" si="0"/>
        <v>-2.529964524604511E-2</v>
      </c>
    </row>
    <row r="36" spans="2:7" x14ac:dyDescent="0.3">
      <c r="B36" s="41">
        <v>44921</v>
      </c>
      <c r="C36" s="32">
        <v>8402.6503909999992</v>
      </c>
      <c r="D36" s="9">
        <f t="shared" si="1"/>
        <v>3.1848340624860416E-2</v>
      </c>
      <c r="F36" s="32">
        <v>18105.300781000002</v>
      </c>
      <c r="G36" s="9">
        <f t="shared" si="0"/>
        <v>1.6763258244484991E-2</v>
      </c>
    </row>
    <row r="37" spans="2:7" x14ac:dyDescent="0.3">
      <c r="B37" s="41">
        <v>44928</v>
      </c>
      <c r="C37" s="32">
        <v>8384.9501949999994</v>
      </c>
      <c r="D37" s="9">
        <f t="shared" si="1"/>
        <v>-2.1065015413420651E-3</v>
      </c>
      <c r="F37" s="32">
        <v>17859.449218999998</v>
      </c>
      <c r="G37" s="9">
        <f t="shared" si="0"/>
        <v>-1.3578982474458767E-2</v>
      </c>
    </row>
    <row r="38" spans="2:7" x14ac:dyDescent="0.3">
      <c r="B38" s="41">
        <v>44935</v>
      </c>
      <c r="C38" s="32">
        <v>8452.6503909999992</v>
      </c>
      <c r="D38" s="9">
        <f t="shared" si="1"/>
        <v>8.0740128951952705E-3</v>
      </c>
      <c r="F38" s="32">
        <v>17956.599609000001</v>
      </c>
      <c r="G38" s="9">
        <f t="shared" si="0"/>
        <v>5.4397192661825855E-3</v>
      </c>
    </row>
    <row r="39" spans="2:7" x14ac:dyDescent="0.3">
      <c r="B39" s="41">
        <v>44942</v>
      </c>
      <c r="C39" s="32">
        <v>8443.5996090000008</v>
      </c>
      <c r="D39" s="9">
        <f t="shared" si="1"/>
        <v>-1.0707626106996049E-3</v>
      </c>
      <c r="F39" s="32">
        <v>18027.650390999999</v>
      </c>
      <c r="G39" s="9">
        <f t="shared" si="0"/>
        <v>3.9568060516528281E-3</v>
      </c>
    </row>
    <row r="40" spans="2:7" x14ac:dyDescent="0.3">
      <c r="B40" s="41">
        <v>44949</v>
      </c>
      <c r="C40" s="32">
        <v>8734.8496090000008</v>
      </c>
      <c r="D40" s="9">
        <f t="shared" si="1"/>
        <v>3.4493582534344425E-2</v>
      </c>
      <c r="F40" s="32">
        <v>17604.349609000001</v>
      </c>
      <c r="G40" s="9">
        <f t="shared" si="0"/>
        <v>-2.3480640727941093E-2</v>
      </c>
    </row>
    <row r="41" spans="2:7" x14ac:dyDescent="0.3">
      <c r="B41" s="41">
        <v>44956</v>
      </c>
      <c r="C41" s="32">
        <v>8943.0996090000008</v>
      </c>
      <c r="D41" s="9">
        <f t="shared" si="1"/>
        <v>2.3841280539670384E-2</v>
      </c>
      <c r="F41" s="32">
        <v>17854.050781000002</v>
      </c>
      <c r="G41" s="9">
        <f t="shared" si="0"/>
        <v>1.4184061186352848E-2</v>
      </c>
    </row>
    <row r="42" spans="2:7" x14ac:dyDescent="0.3">
      <c r="B42" s="41">
        <v>44963</v>
      </c>
      <c r="C42" s="32">
        <v>8814.25</v>
      </c>
      <c r="D42" s="9">
        <f t="shared" si="1"/>
        <v>-1.4407712608985324E-2</v>
      </c>
      <c r="F42" s="32">
        <v>17856.5</v>
      </c>
      <c r="G42" s="9">
        <f t="shared" si="0"/>
        <v>1.371800175793414E-4</v>
      </c>
    </row>
    <row r="43" spans="2:7" x14ac:dyDescent="0.3">
      <c r="B43" s="41">
        <v>44970</v>
      </c>
      <c r="C43" s="32">
        <v>8807.0498050000006</v>
      </c>
      <c r="D43" s="9">
        <f t="shared" si="1"/>
        <v>-8.1688118671463528E-4</v>
      </c>
      <c r="F43" s="32">
        <v>17944.199218999998</v>
      </c>
      <c r="G43" s="9">
        <f t="shared" si="0"/>
        <v>4.9113330719905424E-3</v>
      </c>
    </row>
    <row r="44" spans="2:7" x14ac:dyDescent="0.3">
      <c r="B44" s="41">
        <v>44977</v>
      </c>
      <c r="C44" s="32">
        <v>8659.5</v>
      </c>
      <c r="D44" s="9">
        <f t="shared" si="1"/>
        <v>-1.6753601747117708E-2</v>
      </c>
      <c r="F44" s="32">
        <v>17465.800781000002</v>
      </c>
      <c r="G44" s="9">
        <f t="shared" si="0"/>
        <v>-2.6660339208308015E-2</v>
      </c>
    </row>
    <row r="45" spans="2:7" x14ac:dyDescent="0.3">
      <c r="B45" s="41">
        <v>44984</v>
      </c>
      <c r="C45" s="32">
        <v>8596.5996090000008</v>
      </c>
      <c r="D45" s="9">
        <f t="shared" si="1"/>
        <v>-7.2637439805992576E-3</v>
      </c>
      <c r="F45" s="32">
        <v>17594.349609000001</v>
      </c>
      <c r="G45" s="9">
        <f t="shared" si="0"/>
        <v>7.3600305884538031E-3</v>
      </c>
    </row>
    <row r="46" spans="2:7" x14ac:dyDescent="0.3">
      <c r="B46" s="41">
        <v>44991</v>
      </c>
      <c r="C46" s="32">
        <v>8598.0498050000006</v>
      </c>
      <c r="D46" s="9">
        <f t="shared" si="1"/>
        <v>1.6869414256315274E-4</v>
      </c>
      <c r="F46" s="32">
        <v>17412.900390999999</v>
      </c>
      <c r="G46" s="9">
        <f t="shared" si="0"/>
        <v>-1.0312925571695164E-2</v>
      </c>
    </row>
    <row r="47" spans="2:7" x14ac:dyDescent="0.3">
      <c r="B47" s="41">
        <v>44998</v>
      </c>
      <c r="C47" s="32">
        <v>8310.75</v>
      </c>
      <c r="D47" s="9">
        <f t="shared" si="1"/>
        <v>-3.3414531378141987E-2</v>
      </c>
      <c r="F47" s="32">
        <v>17100.050781000002</v>
      </c>
      <c r="G47" s="9">
        <f t="shared" si="0"/>
        <v>-1.7966542217268788E-2</v>
      </c>
    </row>
    <row r="48" spans="2:7" x14ac:dyDescent="0.3">
      <c r="B48" s="41">
        <v>45005</v>
      </c>
      <c r="C48" s="32">
        <v>8236.25</v>
      </c>
      <c r="D48" s="9">
        <f t="shared" si="1"/>
        <v>-8.9642932346659654E-3</v>
      </c>
      <c r="F48" s="32">
        <v>16945.050781000002</v>
      </c>
      <c r="G48" s="9">
        <f t="shared" si="0"/>
        <v>-9.0643005675878907E-3</v>
      </c>
    </row>
    <row r="49" spans="2:7" x14ac:dyDescent="0.3">
      <c r="B49" s="41">
        <v>45012</v>
      </c>
      <c r="C49" s="32">
        <v>8292.6503909999992</v>
      </c>
      <c r="D49" s="9">
        <f t="shared" si="1"/>
        <v>6.8478240704203941E-3</v>
      </c>
      <c r="F49" s="32">
        <v>17359.75</v>
      </c>
      <c r="G49" s="9">
        <f t="shared" si="0"/>
        <v>2.4473176525678486E-2</v>
      </c>
    </row>
    <row r="50" spans="2:7" x14ac:dyDescent="0.3">
      <c r="B50" s="41">
        <v>45019</v>
      </c>
      <c r="C50" s="32">
        <v>8514.3496090000008</v>
      </c>
      <c r="D50" s="9">
        <f t="shared" si="1"/>
        <v>2.6734422355561005E-2</v>
      </c>
      <c r="F50" s="32">
        <v>17599.150390999999</v>
      </c>
      <c r="G50" s="9">
        <f t="shared" si="0"/>
        <v>1.3790543700226143E-2</v>
      </c>
    </row>
    <row r="51" spans="2:7" x14ac:dyDescent="0.3">
      <c r="B51" s="41">
        <v>45026</v>
      </c>
      <c r="C51" s="32">
        <v>8672.75</v>
      </c>
      <c r="D51" s="9">
        <f t="shared" si="1"/>
        <v>1.8603933156863039E-2</v>
      </c>
      <c r="F51" s="32">
        <v>17828</v>
      </c>
      <c r="G51" s="9">
        <f t="shared" si="0"/>
        <v>1.3003446411653519E-2</v>
      </c>
    </row>
    <row r="52" spans="2:7" x14ac:dyDescent="0.3">
      <c r="B52" s="41">
        <v>45033</v>
      </c>
      <c r="C52" s="32">
        <v>8557.7998050000006</v>
      </c>
      <c r="D52" s="9">
        <f t="shared" si="1"/>
        <v>-1.3254180623216372E-2</v>
      </c>
      <c r="F52" s="32">
        <v>17624.050781000002</v>
      </c>
      <c r="G52" s="9">
        <f t="shared" si="0"/>
        <v>-1.1439826060130054E-2</v>
      </c>
    </row>
    <row r="53" spans="2:7" x14ac:dyDescent="0.3">
      <c r="B53" s="41">
        <v>45040</v>
      </c>
      <c r="C53" s="32">
        <v>8589.9003909999992</v>
      </c>
      <c r="D53" s="9">
        <f t="shared" si="1"/>
        <v>3.7510325938265865E-3</v>
      </c>
      <c r="F53" s="32">
        <v>18065</v>
      </c>
      <c r="G53" s="9">
        <f t="shared" si="0"/>
        <v>2.5019742877464557E-2</v>
      </c>
    </row>
    <row r="54" spans="2:7" x14ac:dyDescent="0.3">
      <c r="B54" s="41">
        <v>45047</v>
      </c>
      <c r="C54" s="32">
        <v>8927.1503909999992</v>
      </c>
      <c r="D54" s="9">
        <f t="shared" si="1"/>
        <v>3.9261223605497442E-2</v>
      </c>
      <c r="F54" s="32">
        <v>18069</v>
      </c>
      <c r="G54" s="9">
        <f t="shared" si="0"/>
        <v>2.2142264046509652E-4</v>
      </c>
    </row>
    <row r="55" spans="2:7" x14ac:dyDescent="0.3">
      <c r="B55" s="41">
        <v>45054</v>
      </c>
      <c r="C55" s="32">
        <v>9296.2998050000006</v>
      </c>
      <c r="D55" s="9">
        <f t="shared" si="1"/>
        <v>4.1351315686600554E-2</v>
      </c>
      <c r="F55" s="32">
        <v>18314.800781000002</v>
      </c>
      <c r="G55" s="9">
        <f t="shared" si="0"/>
        <v>1.3603452376999448E-2</v>
      </c>
    </row>
    <row r="56" spans="2:7" x14ac:dyDescent="0.3">
      <c r="B56" s="41">
        <v>45061</v>
      </c>
      <c r="C56" s="32">
        <v>9106.7001949999994</v>
      </c>
      <c r="D56" s="9">
        <f t="shared" si="1"/>
        <v>-2.0395169473560348E-2</v>
      </c>
      <c r="F56" s="32">
        <v>18203.400390999999</v>
      </c>
      <c r="G56" s="9">
        <f t="shared" si="0"/>
        <v>-6.0825335384249168E-3</v>
      </c>
    </row>
    <row r="57" spans="2:7" x14ac:dyDescent="0.3">
      <c r="B57" s="41">
        <v>45068</v>
      </c>
      <c r="C57" s="32">
        <v>9397.1503909999992</v>
      </c>
      <c r="D57" s="9">
        <f t="shared" si="1"/>
        <v>3.1894120788062308E-2</v>
      </c>
      <c r="F57" s="32">
        <v>18499.349609000001</v>
      </c>
      <c r="G57" s="9">
        <f t="shared" si="0"/>
        <v>1.6257908502980811E-2</v>
      </c>
    </row>
    <row r="58" spans="2:7" x14ac:dyDescent="0.3">
      <c r="B58" s="41">
        <v>45075</v>
      </c>
      <c r="C58" s="32">
        <v>9488.7998050000006</v>
      </c>
      <c r="D58" s="9">
        <f t="shared" si="1"/>
        <v>9.7528942484284009E-3</v>
      </c>
      <c r="F58" s="32">
        <v>18534.099609000001</v>
      </c>
      <c r="G58" s="9">
        <f t="shared" si="0"/>
        <v>1.8784444174779757E-3</v>
      </c>
    </row>
    <row r="59" spans="2:7" x14ac:dyDescent="0.3">
      <c r="B59" s="41">
        <v>45082</v>
      </c>
      <c r="C59" s="32">
        <v>9626.8496090000008</v>
      </c>
      <c r="D59" s="9">
        <f t="shared" si="1"/>
        <v>1.4548710778707452E-2</v>
      </c>
      <c r="F59" s="32">
        <v>18563.400390999999</v>
      </c>
      <c r="G59" s="9">
        <f t="shared" si="0"/>
        <v>1.5809120819534339E-3</v>
      </c>
    </row>
    <row r="60" spans="2:7" x14ac:dyDescent="0.3">
      <c r="B60" s="41">
        <v>45089</v>
      </c>
      <c r="C60" s="32">
        <v>9602.5996090000008</v>
      </c>
      <c r="D60" s="9">
        <f t="shared" si="1"/>
        <v>-2.5189964510642371E-3</v>
      </c>
      <c r="F60" s="32">
        <v>18826</v>
      </c>
      <c r="G60" s="9">
        <f t="shared" si="0"/>
        <v>1.4146094113625551E-2</v>
      </c>
    </row>
    <row r="61" spans="2:7" x14ac:dyDescent="0.3">
      <c r="B61" s="41">
        <v>45096</v>
      </c>
      <c r="C61" s="32">
        <v>9323.5498050000006</v>
      </c>
      <c r="D61" s="9">
        <f t="shared" si="1"/>
        <v>-2.9059818732675491E-2</v>
      </c>
      <c r="F61" s="32">
        <v>18665.5</v>
      </c>
      <c r="G61" s="9">
        <f t="shared" si="0"/>
        <v>-8.5254435355359703E-3</v>
      </c>
    </row>
    <row r="62" spans="2:7" x14ac:dyDescent="0.3">
      <c r="B62" s="41">
        <v>45103</v>
      </c>
      <c r="C62" s="32">
        <v>9786.75</v>
      </c>
      <c r="D62" s="9">
        <f t="shared" si="1"/>
        <v>4.9680669346732653E-2</v>
      </c>
      <c r="F62" s="32">
        <v>19189.050781000002</v>
      </c>
      <c r="G62" s="9">
        <f t="shared" si="0"/>
        <v>2.804911633762841E-2</v>
      </c>
    </row>
    <row r="63" spans="2:7" x14ac:dyDescent="0.3">
      <c r="B63" s="41">
        <v>45110</v>
      </c>
      <c r="C63" s="32">
        <v>9850.5</v>
      </c>
      <c r="D63" s="9">
        <f t="shared" si="1"/>
        <v>6.5139091118093795E-3</v>
      </c>
      <c r="F63" s="32">
        <v>19331.800781000002</v>
      </c>
      <c r="G63" s="9">
        <f t="shared" si="0"/>
        <v>7.4391381642151533E-3</v>
      </c>
    </row>
    <row r="64" spans="2:7" x14ac:dyDescent="0.3">
      <c r="B64" s="41">
        <v>45117</v>
      </c>
      <c r="C64" s="32">
        <v>9603.7998050000006</v>
      </c>
      <c r="D64" s="9">
        <f t="shared" si="1"/>
        <v>-2.5044433785087028E-2</v>
      </c>
      <c r="F64" s="32">
        <v>19564.5</v>
      </c>
      <c r="G64" s="9">
        <f t="shared" si="0"/>
        <v>1.2037120681933855E-2</v>
      </c>
    </row>
    <row r="65" spans="2:7" x14ac:dyDescent="0.3">
      <c r="B65" s="41">
        <v>45124</v>
      </c>
      <c r="C65" s="32">
        <v>9768.0996090000008</v>
      </c>
      <c r="D65" s="9">
        <f t="shared" si="1"/>
        <v>1.7107791430061026E-2</v>
      </c>
      <c r="F65" s="32">
        <v>19745</v>
      </c>
      <c r="G65" s="9">
        <f t="shared" si="0"/>
        <v>9.225893838329613E-3</v>
      </c>
    </row>
    <row r="66" spans="2:7" x14ac:dyDescent="0.3">
      <c r="B66" s="41">
        <v>45131</v>
      </c>
      <c r="C66" s="32">
        <v>9668.9003909999992</v>
      </c>
      <c r="D66" s="9">
        <f t="shared" si="1"/>
        <v>-1.0155426538505319E-2</v>
      </c>
      <c r="F66" s="32">
        <v>19646.050781000002</v>
      </c>
      <c r="G66" s="9">
        <f t="shared" si="0"/>
        <v>-5.0113557356291638E-3</v>
      </c>
    </row>
    <row r="67" spans="2:7" x14ac:dyDescent="0.3">
      <c r="B67" s="41">
        <v>45138</v>
      </c>
      <c r="C67" s="32">
        <v>9463.2998050000006</v>
      </c>
      <c r="D67" s="9">
        <f t="shared" si="1"/>
        <v>-2.1264112534593482E-2</v>
      </c>
      <c r="F67" s="32">
        <v>19517</v>
      </c>
      <c r="G67" s="9">
        <f t="shared" si="0"/>
        <v>-6.568789953694365E-3</v>
      </c>
    </row>
    <row r="68" spans="2:7" x14ac:dyDescent="0.3">
      <c r="B68" s="41">
        <v>45145</v>
      </c>
      <c r="C68" s="32">
        <v>9355.25</v>
      </c>
      <c r="D68" s="9">
        <f t="shared" si="1"/>
        <v>-1.1417772576845953E-2</v>
      </c>
      <c r="F68" s="32">
        <v>19428.300781000002</v>
      </c>
      <c r="G68" s="9">
        <f t="shared" si="0"/>
        <v>-4.5447158374749552E-3</v>
      </c>
    </row>
    <row r="69" spans="2:7" x14ac:dyDescent="0.3">
      <c r="B69" s="41">
        <v>45152</v>
      </c>
      <c r="C69" s="32">
        <v>9464.0996090000008</v>
      </c>
      <c r="D69" s="9">
        <f t="shared" si="1"/>
        <v>1.1635136313834504E-2</v>
      </c>
      <c r="F69" s="32">
        <v>19310.150390999999</v>
      </c>
      <c r="G69" s="9">
        <f t="shared" si="0"/>
        <v>-6.0813547891717112E-3</v>
      </c>
    </row>
    <row r="70" spans="2:7" x14ac:dyDescent="0.3">
      <c r="B70" s="41">
        <v>45159</v>
      </c>
      <c r="C70" s="32">
        <v>9508.5</v>
      </c>
      <c r="D70" s="9">
        <f t="shared" si="1"/>
        <v>4.6914543204696901E-3</v>
      </c>
      <c r="F70" s="32">
        <v>19265.800781000002</v>
      </c>
      <c r="G70" s="9">
        <f t="shared" si="0"/>
        <v>-2.2966993576947203E-3</v>
      </c>
    </row>
    <row r="71" spans="2:7" x14ac:dyDescent="0.3">
      <c r="B71" s="41">
        <v>45166</v>
      </c>
      <c r="C71" s="32">
        <v>10331.799805000001</v>
      </c>
      <c r="D71" s="9">
        <f t="shared" si="1"/>
        <v>8.6585665983067939E-2</v>
      </c>
      <c r="F71" s="32">
        <v>19435.300781000002</v>
      </c>
      <c r="G71" s="9">
        <f t="shared" si="0"/>
        <v>8.797973254616176E-3</v>
      </c>
    </row>
    <row r="72" spans="2:7" x14ac:dyDescent="0.3">
      <c r="B72" s="41">
        <v>45173</v>
      </c>
      <c r="C72" s="32">
        <v>10332.549805000001</v>
      </c>
      <c r="D72" s="9">
        <f t="shared" si="1"/>
        <v>7.2591418160961041E-5</v>
      </c>
      <c r="F72" s="32">
        <v>19819.949218999998</v>
      </c>
      <c r="G72" s="9">
        <f t="shared" si="0"/>
        <v>1.9791226404688889E-2</v>
      </c>
    </row>
    <row r="73" spans="2:7" x14ac:dyDescent="0.3">
      <c r="B73" s="41">
        <v>45180</v>
      </c>
      <c r="C73" s="32">
        <v>10527.849609000001</v>
      </c>
      <c r="D73" s="9">
        <f t="shared" si="1"/>
        <v>1.8901414238089886E-2</v>
      </c>
      <c r="F73" s="32">
        <v>20192.349609000001</v>
      </c>
      <c r="G73" s="9">
        <f t="shared" ref="G73:G112" si="2">F73/F72-1</f>
        <v>1.8789169734249711E-2</v>
      </c>
    </row>
    <row r="74" spans="2:7" x14ac:dyDescent="0.3">
      <c r="B74" s="41">
        <v>45187</v>
      </c>
      <c r="C74" s="32">
        <v>10536.450194999999</v>
      </c>
      <c r="D74" s="9">
        <f t="shared" si="1"/>
        <v>8.1693663183091125E-4</v>
      </c>
      <c r="F74" s="32">
        <v>19674.25</v>
      </c>
      <c r="G74" s="9">
        <f t="shared" si="2"/>
        <v>-2.5658213087251469E-2</v>
      </c>
    </row>
    <row r="75" spans="2:7" x14ac:dyDescent="0.3">
      <c r="B75" s="41">
        <v>45194</v>
      </c>
      <c r="C75" s="32">
        <v>10601.700194999999</v>
      </c>
      <c r="D75" s="9">
        <f t="shared" si="1"/>
        <v>6.1927877788445773E-3</v>
      </c>
      <c r="F75" s="32">
        <v>19638.300781000002</v>
      </c>
      <c r="G75" s="9">
        <f t="shared" si="2"/>
        <v>-1.8272218254824502E-3</v>
      </c>
    </row>
    <row r="76" spans="2:7" x14ac:dyDescent="0.3">
      <c r="B76" s="41">
        <v>45201</v>
      </c>
      <c r="C76" s="32">
        <v>10300.650390999999</v>
      </c>
      <c r="D76" s="9">
        <f t="shared" si="1"/>
        <v>-2.8396370248423231E-2</v>
      </c>
      <c r="F76" s="32">
        <v>19653.5</v>
      </c>
      <c r="G76" s="9">
        <f t="shared" si="2"/>
        <v>7.7395794928980521E-4</v>
      </c>
    </row>
    <row r="77" spans="2:7" x14ac:dyDescent="0.3">
      <c r="B77" s="41">
        <v>45208</v>
      </c>
      <c r="C77" s="32">
        <v>10725.650390999999</v>
      </c>
      <c r="D77" s="9">
        <f t="shared" ref="D77:D112" si="3">IFERROR(C77/C76-1,0)</f>
        <v>4.1259530599284888E-2</v>
      </c>
      <c r="F77" s="32">
        <v>19751.050781000002</v>
      </c>
      <c r="G77" s="9">
        <f t="shared" si="2"/>
        <v>4.96353224616497E-3</v>
      </c>
    </row>
    <row r="78" spans="2:7" x14ac:dyDescent="0.3">
      <c r="B78" s="41">
        <v>45215</v>
      </c>
      <c r="C78" s="32">
        <v>10727</v>
      </c>
      <c r="D78" s="9">
        <f t="shared" si="3"/>
        <v>1.2583003834754081E-4</v>
      </c>
      <c r="F78" s="32">
        <v>19542.650390999999</v>
      </c>
      <c r="G78" s="9">
        <f t="shared" si="2"/>
        <v>-1.0551357105540893E-2</v>
      </c>
    </row>
    <row r="79" spans="2:7" x14ac:dyDescent="0.3">
      <c r="B79" s="41">
        <v>45222</v>
      </c>
      <c r="C79" s="32">
        <v>10552.900390999999</v>
      </c>
      <c r="D79" s="9">
        <f t="shared" si="3"/>
        <v>-1.6230037195861025E-2</v>
      </c>
      <c r="F79" s="32">
        <v>19047.25</v>
      </c>
      <c r="G79" s="9">
        <f t="shared" si="2"/>
        <v>-2.5349703396840506E-2</v>
      </c>
    </row>
    <row r="80" spans="2:7" x14ac:dyDescent="0.3">
      <c r="B80" s="41">
        <v>45229</v>
      </c>
      <c r="C80" s="32">
        <v>10272.200194999999</v>
      </c>
      <c r="D80" s="9">
        <f t="shared" si="3"/>
        <v>-2.6599340996281362E-2</v>
      </c>
      <c r="F80" s="32">
        <v>19230.599609000001</v>
      </c>
      <c r="G80" s="9">
        <f t="shared" si="2"/>
        <v>9.6260409770438926E-3</v>
      </c>
    </row>
    <row r="81" spans="2:7" x14ac:dyDescent="0.3">
      <c r="B81" s="41">
        <v>45236</v>
      </c>
      <c r="C81" s="32">
        <v>10431.25</v>
      </c>
      <c r="D81" s="9">
        <f t="shared" si="3"/>
        <v>1.5483518815902597E-2</v>
      </c>
      <c r="F81" s="32">
        <v>19425.349609000001</v>
      </c>
      <c r="G81" s="9">
        <f t="shared" si="2"/>
        <v>1.0127089324289962E-2</v>
      </c>
    </row>
    <row r="82" spans="2:7" x14ac:dyDescent="0.3">
      <c r="B82" s="41">
        <v>45243</v>
      </c>
      <c r="C82" s="32">
        <v>10524.099609000001</v>
      </c>
      <c r="D82" s="9">
        <f t="shared" si="3"/>
        <v>8.9011009227082383E-3</v>
      </c>
      <c r="F82" s="32">
        <v>19731.800781000002</v>
      </c>
      <c r="G82" s="9">
        <f t="shared" si="2"/>
        <v>1.5775838178892609E-2</v>
      </c>
    </row>
    <row r="83" spans="2:7" x14ac:dyDescent="0.3">
      <c r="B83" s="41">
        <v>45250</v>
      </c>
      <c r="C83" s="32">
        <v>10518.099609000001</v>
      </c>
      <c r="D83" s="9">
        <f t="shared" si="3"/>
        <v>-5.7012003144374379E-4</v>
      </c>
      <c r="F83" s="32">
        <v>19794.699218999998</v>
      </c>
      <c r="G83" s="9">
        <f t="shared" si="2"/>
        <v>3.1876684088845142E-3</v>
      </c>
    </row>
    <row r="84" spans="2:7" x14ac:dyDescent="0.3">
      <c r="B84" s="41">
        <v>45257</v>
      </c>
      <c r="C84" s="32">
        <v>10584.049805000001</v>
      </c>
      <c r="D84" s="9">
        <f t="shared" si="3"/>
        <v>6.270162714904215E-3</v>
      </c>
      <c r="F84" s="32">
        <v>20267.900390999999</v>
      </c>
      <c r="G84" s="9">
        <f t="shared" si="2"/>
        <v>2.390544896715574E-2</v>
      </c>
    </row>
    <row r="85" spans="2:7" x14ac:dyDescent="0.3">
      <c r="B85" s="41">
        <v>45264</v>
      </c>
      <c r="C85" s="32">
        <v>10600.900390999999</v>
      </c>
      <c r="D85" s="9">
        <f t="shared" si="3"/>
        <v>1.592073573958297E-3</v>
      </c>
      <c r="F85" s="32">
        <v>20969.400390999999</v>
      </c>
      <c r="G85" s="9">
        <f t="shared" si="2"/>
        <v>3.4611379889724736E-2</v>
      </c>
    </row>
    <row r="86" spans="2:7" x14ac:dyDescent="0.3">
      <c r="B86" s="41">
        <v>45271</v>
      </c>
      <c r="C86" s="32">
        <v>10286.650390999999</v>
      </c>
      <c r="D86" s="9">
        <f t="shared" si="3"/>
        <v>-2.9643708402995017E-2</v>
      </c>
      <c r="F86" s="32">
        <v>21456.650390999999</v>
      </c>
      <c r="G86" s="9">
        <f t="shared" si="2"/>
        <v>2.3236239039487572E-2</v>
      </c>
    </row>
    <row r="87" spans="2:7" x14ac:dyDescent="0.3">
      <c r="B87" s="41">
        <v>45278</v>
      </c>
      <c r="C87" s="32">
        <v>10214.900390999999</v>
      </c>
      <c r="D87" s="9">
        <f t="shared" si="3"/>
        <v>-6.9750596426194633E-3</v>
      </c>
      <c r="F87" s="32">
        <v>21349.400390999999</v>
      </c>
      <c r="G87" s="9">
        <f t="shared" si="2"/>
        <v>-4.9984502727874469E-3</v>
      </c>
    </row>
    <row r="88" spans="2:7" x14ac:dyDescent="0.3">
      <c r="B88" s="41">
        <v>45285</v>
      </c>
      <c r="C88" s="32">
        <v>10299.400390999999</v>
      </c>
      <c r="D88" s="9">
        <f t="shared" si="3"/>
        <v>8.2722294653454487E-3</v>
      </c>
      <c r="F88" s="32">
        <v>21731.400390999999</v>
      </c>
      <c r="G88" s="9">
        <f t="shared" si="2"/>
        <v>1.7892774176507364E-2</v>
      </c>
    </row>
    <row r="89" spans="2:7" x14ac:dyDescent="0.3">
      <c r="B89" s="41">
        <v>45292</v>
      </c>
      <c r="C89" s="32">
        <v>10018.799805000001</v>
      </c>
      <c r="D89" s="9">
        <f t="shared" si="3"/>
        <v>-2.7244361355754032E-2</v>
      </c>
      <c r="F89" s="32">
        <v>21710.800781000002</v>
      </c>
      <c r="G89" s="9">
        <f t="shared" si="2"/>
        <v>-9.4791912299074799E-4</v>
      </c>
    </row>
    <row r="90" spans="2:7" x14ac:dyDescent="0.3">
      <c r="B90" s="41">
        <v>45299</v>
      </c>
      <c r="C90" s="32">
        <v>9962.2998050000006</v>
      </c>
      <c r="D90" s="9">
        <f t="shared" si="3"/>
        <v>-5.6393980416499234E-3</v>
      </c>
      <c r="F90" s="32">
        <v>21894.550781000002</v>
      </c>
      <c r="G90" s="9">
        <f t="shared" si="2"/>
        <v>8.4635293674109047E-3</v>
      </c>
    </row>
    <row r="91" spans="2:7" x14ac:dyDescent="0.3">
      <c r="B91" s="41">
        <v>45306</v>
      </c>
      <c r="C91" s="32">
        <v>9974.0996090000008</v>
      </c>
      <c r="D91" s="9">
        <f t="shared" si="3"/>
        <v>1.18444578370136E-3</v>
      </c>
      <c r="F91" s="32">
        <v>21622.400390999999</v>
      </c>
      <c r="G91" s="9">
        <f t="shared" si="2"/>
        <v>-1.2430051327482539E-2</v>
      </c>
    </row>
    <row r="92" spans="2:7" x14ac:dyDescent="0.3">
      <c r="B92" s="41">
        <v>45313</v>
      </c>
      <c r="C92" s="32">
        <v>9886.7998050000006</v>
      </c>
      <c r="D92" s="9">
        <f t="shared" si="3"/>
        <v>-8.7526501060032347E-3</v>
      </c>
      <c r="F92" s="32">
        <v>21352.599609000001</v>
      </c>
      <c r="G92" s="9">
        <f t="shared" si="2"/>
        <v>-1.2477836739731241E-2</v>
      </c>
    </row>
    <row r="93" spans="2:7" x14ac:dyDescent="0.3">
      <c r="B93" s="41">
        <v>45320</v>
      </c>
      <c r="C93" s="32">
        <v>10652.049805000001</v>
      </c>
      <c r="D93" s="9">
        <f t="shared" si="3"/>
        <v>7.7401182899748289E-2</v>
      </c>
      <c r="F93" s="32">
        <v>21853.800781000002</v>
      </c>
      <c r="G93" s="9">
        <f t="shared" si="2"/>
        <v>2.3472606669810325E-2</v>
      </c>
    </row>
    <row r="94" spans="2:7" x14ac:dyDescent="0.3">
      <c r="B94" s="41">
        <v>45327</v>
      </c>
      <c r="C94" s="32">
        <v>10730.349609000001</v>
      </c>
      <c r="D94" s="9">
        <f t="shared" si="3"/>
        <v>7.3506794873645642E-3</v>
      </c>
      <c r="F94" s="32">
        <v>21782.5</v>
      </c>
      <c r="G94" s="9">
        <f t="shared" si="2"/>
        <v>-3.2626261085894059E-3</v>
      </c>
    </row>
    <row r="95" spans="2:7" x14ac:dyDescent="0.3">
      <c r="B95" s="41">
        <v>45334</v>
      </c>
      <c r="C95" s="32">
        <v>11367.650390999999</v>
      </c>
      <c r="D95" s="9">
        <f t="shared" si="3"/>
        <v>5.9392359543016804E-2</v>
      </c>
      <c r="F95" s="32">
        <v>22040.699218999998</v>
      </c>
      <c r="G95" s="9">
        <f t="shared" si="2"/>
        <v>1.1853516308963474E-2</v>
      </c>
    </row>
    <row r="96" spans="2:7" x14ac:dyDescent="0.3">
      <c r="B96" s="41">
        <v>45341</v>
      </c>
      <c r="C96" s="32">
        <v>11539.150390999999</v>
      </c>
      <c r="D96" s="9">
        <f t="shared" si="3"/>
        <v>1.5086670868746932E-2</v>
      </c>
      <c r="F96" s="32">
        <v>22212.699218999998</v>
      </c>
      <c r="G96" s="9">
        <f t="shared" si="2"/>
        <v>7.803745166656384E-3</v>
      </c>
    </row>
    <row r="97" spans="2:7" x14ac:dyDescent="0.3">
      <c r="B97" s="41">
        <v>45348</v>
      </c>
      <c r="C97" s="32">
        <v>11570.900390999999</v>
      </c>
      <c r="D97" s="9">
        <f t="shared" si="3"/>
        <v>2.7515024004509669E-3</v>
      </c>
      <c r="F97" s="32">
        <v>22338.75</v>
      </c>
      <c r="G97" s="9">
        <f t="shared" si="2"/>
        <v>5.6747169606556902E-3</v>
      </c>
    </row>
    <row r="98" spans="2:7" x14ac:dyDescent="0.3">
      <c r="B98" s="41">
        <v>45355</v>
      </c>
      <c r="C98" s="32">
        <v>11502.900390999999</v>
      </c>
      <c r="D98" s="9">
        <f t="shared" si="3"/>
        <v>-5.8768114582414821E-3</v>
      </c>
      <c r="F98" s="32">
        <v>22493.550781000002</v>
      </c>
      <c r="G98" s="9">
        <f t="shared" si="2"/>
        <v>6.9296975435062524E-3</v>
      </c>
    </row>
    <row r="99" spans="2:7" x14ac:dyDescent="0.3">
      <c r="B99" s="41">
        <v>45362</v>
      </c>
      <c r="C99" s="32">
        <v>11477.799805000001</v>
      </c>
      <c r="D99" s="9">
        <f t="shared" si="3"/>
        <v>-2.182109306939406E-3</v>
      </c>
      <c r="F99" s="32">
        <v>22023.349609000001</v>
      </c>
      <c r="G99" s="9">
        <f t="shared" si="2"/>
        <v>-2.0903821569921877E-2</v>
      </c>
    </row>
    <row r="100" spans="2:7" x14ac:dyDescent="0.3">
      <c r="B100" s="41">
        <v>45369</v>
      </c>
      <c r="C100" s="32">
        <v>12336.200194999999</v>
      </c>
      <c r="D100" s="9">
        <f t="shared" si="3"/>
        <v>7.4787886579626539E-2</v>
      </c>
      <c r="F100" s="32">
        <v>22096.75</v>
      </c>
      <c r="G100" s="9">
        <f t="shared" si="2"/>
        <v>3.3328441087818739E-3</v>
      </c>
    </row>
    <row r="101" spans="2:7" x14ac:dyDescent="0.3">
      <c r="B101" s="41">
        <v>45376</v>
      </c>
      <c r="C101" s="32">
        <v>12613.099609000001</v>
      </c>
      <c r="D101" s="9">
        <f t="shared" si="3"/>
        <v>2.24460862845135E-2</v>
      </c>
      <c r="F101" s="32">
        <v>22326.900390999999</v>
      </c>
      <c r="G101" s="9">
        <f t="shared" si="2"/>
        <v>1.0415576544061889E-2</v>
      </c>
    </row>
    <row r="102" spans="2:7" x14ac:dyDescent="0.3">
      <c r="B102" s="41">
        <v>45383</v>
      </c>
      <c r="C102" s="32">
        <v>12424.650390999999</v>
      </c>
      <c r="D102" s="9">
        <f t="shared" si="3"/>
        <v>-1.4940753965467346E-2</v>
      </c>
      <c r="F102" s="32">
        <v>22513.699218999998</v>
      </c>
      <c r="G102" s="9">
        <f t="shared" si="2"/>
        <v>8.3665365424077098E-3</v>
      </c>
    </row>
    <row r="103" spans="2:7" x14ac:dyDescent="0.3">
      <c r="B103" s="41">
        <v>45390</v>
      </c>
      <c r="C103" s="32">
        <v>12274.599609000001</v>
      </c>
      <c r="D103" s="9">
        <f t="shared" si="3"/>
        <v>-1.2076861503378056E-2</v>
      </c>
      <c r="F103" s="32">
        <v>22519.400390999999</v>
      </c>
      <c r="G103" s="9">
        <f t="shared" si="2"/>
        <v>2.5323124132303754E-4</v>
      </c>
    </row>
    <row r="104" spans="2:7" x14ac:dyDescent="0.3">
      <c r="B104" s="41">
        <v>45397</v>
      </c>
      <c r="C104" s="32">
        <v>12710.650390999999</v>
      </c>
      <c r="D104" s="9">
        <f t="shared" si="3"/>
        <v>3.5524644052770338E-2</v>
      </c>
      <c r="F104" s="32">
        <v>22147</v>
      </c>
      <c r="G104" s="9">
        <f t="shared" si="2"/>
        <v>-1.6536869744934735E-2</v>
      </c>
    </row>
    <row r="105" spans="2:7" x14ac:dyDescent="0.3">
      <c r="B105" s="41">
        <v>45404</v>
      </c>
      <c r="C105" s="32">
        <v>12687.049805000001</v>
      </c>
      <c r="D105" s="9">
        <f t="shared" si="3"/>
        <v>-1.8567567570507704E-3</v>
      </c>
      <c r="F105" s="32">
        <v>22419.949218999998</v>
      </c>
      <c r="G105" s="9">
        <f t="shared" si="2"/>
        <v>1.2324433060911133E-2</v>
      </c>
    </row>
    <row r="106" spans="2:7" x14ac:dyDescent="0.3">
      <c r="B106" s="41">
        <v>45411</v>
      </c>
      <c r="C106" s="32">
        <v>12491.150390999999</v>
      </c>
      <c r="D106" s="9">
        <f t="shared" si="3"/>
        <v>-1.5440895796184018E-2</v>
      </c>
      <c r="F106" s="32">
        <v>22475.849609000001</v>
      </c>
      <c r="G106" s="9">
        <f t="shared" si="2"/>
        <v>2.4933325875970969E-3</v>
      </c>
    </row>
    <row r="107" spans="2:7" x14ac:dyDescent="0.3">
      <c r="B107" s="41">
        <v>45418</v>
      </c>
      <c r="C107" s="32">
        <v>12676.299805000001</v>
      </c>
      <c r="D107" s="9">
        <f t="shared" si="3"/>
        <v>1.4822446948793644E-2</v>
      </c>
      <c r="F107" s="32">
        <v>22055.199218999998</v>
      </c>
      <c r="G107" s="9">
        <f t="shared" si="2"/>
        <v>-1.8715661357315838E-2</v>
      </c>
    </row>
    <row r="108" spans="2:7" x14ac:dyDescent="0.3">
      <c r="B108" s="41">
        <v>45425</v>
      </c>
      <c r="C108" s="32">
        <v>12603.349609000001</v>
      </c>
      <c r="D108" s="9">
        <f t="shared" si="3"/>
        <v>-5.754849374201898E-3</v>
      </c>
      <c r="F108" s="32">
        <v>22466.099609000001</v>
      </c>
      <c r="G108" s="9">
        <f t="shared" si="2"/>
        <v>1.8630545383875763E-2</v>
      </c>
    </row>
    <row r="109" spans="2:7" x14ac:dyDescent="0.3">
      <c r="B109" s="41">
        <v>45432</v>
      </c>
      <c r="C109" s="32">
        <v>12999.599609000001</v>
      </c>
      <c r="D109" s="9">
        <f t="shared" si="3"/>
        <v>3.144005461191357E-2</v>
      </c>
      <c r="F109" s="32">
        <v>22957.099609000001</v>
      </c>
      <c r="G109" s="9">
        <f t="shared" si="2"/>
        <v>2.1855151029567477E-2</v>
      </c>
    </row>
    <row r="110" spans="2:7" x14ac:dyDescent="0.3">
      <c r="B110" s="41">
        <v>45439</v>
      </c>
      <c r="C110" s="32">
        <v>12397.450194999999</v>
      </c>
      <c r="D110" s="9">
        <f t="shared" si="3"/>
        <v>-4.6320612335099542E-2</v>
      </c>
      <c r="F110" s="32">
        <v>22530.699218999998</v>
      </c>
      <c r="G110" s="9">
        <f t="shared" si="2"/>
        <v>-1.8573791866671074E-2</v>
      </c>
    </row>
    <row r="111" spans="2:7" x14ac:dyDescent="0.3">
      <c r="B111" s="41">
        <v>45446</v>
      </c>
      <c r="C111" s="32">
        <v>12506.349609000001</v>
      </c>
      <c r="D111" s="9">
        <f t="shared" si="3"/>
        <v>8.7840170589208455E-3</v>
      </c>
      <c r="F111" s="32">
        <v>23263.900390999999</v>
      </c>
      <c r="G111" s="9">
        <f t="shared" si="2"/>
        <v>3.2542317700539725E-2</v>
      </c>
    </row>
    <row r="112" spans="2:7" x14ac:dyDescent="0.3">
      <c r="B112" s="41">
        <v>45448</v>
      </c>
      <c r="C112" s="32">
        <v>12506.349609000001</v>
      </c>
      <c r="D112" s="9">
        <f t="shared" si="3"/>
        <v>0</v>
      </c>
      <c r="F112" s="32">
        <v>22620.35</v>
      </c>
      <c r="G112" s="9">
        <f t="shared" si="2"/>
        <v>-2.7663047906144267E-2</v>
      </c>
    </row>
  </sheetData>
  <mergeCells count="3">
    <mergeCell ref="B4:D4"/>
    <mergeCell ref="F4:G4"/>
    <mergeCell ref="I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DCF&gt;</vt:lpstr>
      <vt:lpstr>WACC</vt:lpstr>
      <vt:lpstr>DCF</vt:lpstr>
      <vt:lpstr>Data&gt;</vt:lpstr>
      <vt:lpstr>Beta-Regression</vt:lpstr>
      <vt:lpstr>M&amp;M Beta</vt:lpstr>
      <vt:lpstr>BajajA-Beta</vt:lpstr>
      <vt:lpstr>EicherM Beta</vt:lpstr>
      <vt:lpstr>Maruti Beta</vt:lpstr>
      <vt:lpstr>Beta Comps</vt:lpstr>
      <vt:lpstr>Ratio Analysis </vt:lpstr>
      <vt:lpstr>Rm</vt:lpstr>
      <vt:lpstr>Intrinsic Growth</vt:lpstr>
      <vt:lpstr>Data Room&gt;</vt:lpstr>
      <vt:lpstr>Data Sheet</vt:lpstr>
      <vt:lpstr>Raw FS</vt:lpstr>
      <vt:lpstr>Historical FS</vt:lpstr>
      <vt:lpstr>Cash Flow</vt:lpstr>
      <vt:lpstr>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nainesh</dc:creator>
  <cp:lastModifiedBy>nainesh</cp:lastModifiedBy>
  <cp:lastPrinted>2024-06-08T08:38:22Z</cp:lastPrinted>
  <dcterms:created xsi:type="dcterms:W3CDTF">2024-06-03T20:59:03Z</dcterms:created>
  <dcterms:modified xsi:type="dcterms:W3CDTF">2024-09-19T13:53:07Z</dcterms:modified>
</cp:coreProperties>
</file>