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NLP_Project_1\"/>
    </mc:Choice>
  </mc:AlternateContent>
  <xr:revisionPtr revIDLastSave="0" documentId="13_ncr:1_{6105CE60-E9EE-4BBF-AD82-B68482330F3B}" xr6:coauthVersionLast="47" xr6:coauthVersionMax="47" xr10:uidLastSave="{00000000-0000-0000-0000-000000000000}"/>
  <bookViews>
    <workbookView xWindow="-110" yWindow="-110" windowWidth="19420" windowHeight="10300" tabRatio="599" firstSheet="1" activeTab="3" xr2:uid="{00000000-000D-0000-FFFF-FFFF00000000}"/>
  </bookViews>
  <sheets>
    <sheet name="Performance Metrics" sheetId="1" r:id="rId1"/>
    <sheet name="Sheet1" sheetId="3" r:id="rId2"/>
    <sheet name="Sheet12" sheetId="14" r:id="rId3"/>
    <sheet name="Clusters" sheetId="2" r:id="rId4"/>
  </sheets>
  <definedNames>
    <definedName name="_xlnm._FilterDatabase" localSheetId="3" hidden="1">Clusters!$E$1:$E$552</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52" i="2" l="1"/>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alcChain>
</file>

<file path=xl/sharedStrings.xml><?xml version="1.0" encoding="utf-8"?>
<sst xmlns="http://schemas.openxmlformats.org/spreadsheetml/2006/main" count="2225" uniqueCount="480">
  <si>
    <t>Model Name</t>
  </si>
  <si>
    <t>calinski_harabasz_score</t>
  </si>
  <si>
    <t>silhouette_score</t>
  </si>
  <si>
    <t>davies_bouldin_score</t>
  </si>
  <si>
    <t>calinski_harabasz_score_Normalized</t>
  </si>
  <si>
    <t>Model_Rank</t>
  </si>
  <si>
    <t>agglomerativeClustering_LocallyLinearEmbedding_BERT11</t>
  </si>
  <si>
    <t>kmeans_LocallyLinearEmbedding_BERT11</t>
  </si>
  <si>
    <t>kmeans_SpectralEmbedding_BERT4</t>
  </si>
  <si>
    <t>Failure Tags</t>
  </si>
  <si>
    <t>Errors</t>
  </si>
  <si>
    <t>HW.CFG.ERR, HW.CORR, HW.ERR, HW.KNOWN_ISSUE, SW.FW</t>
  </si>
  <si>
    <t>['BIOS Post Code: 0x58\nBIOS Minor Code: 0x00\nError Code: 0x00\nError Minor Code: 0x00Error Post Code: 0x00\nError Post Minor Code: 0x00'],['Merge Bank6-Punit signaled an MCA to Ubox; Check mc_status of MCA BANKID:6 and  MCA BANK_INDEX:0x9', 'LOCK hang, due to incorrect uboxivctl reg programming'],['PUNIT ERROR ( mcacod:0x402 desc:S3M_or_ISCLK Error)( mscod:0x80 desc: IERR_NON_PM)'],['msm_global_status_ctrl_reg.global_viral: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ierr'],[],nan,nan,nan,nan,nan,nan</t>
  </si>
  <si>
    <t>['BIOS Post Code: 0x58\nBIOS Minor Code: 0x00\nError Code: 0x00\nError Minor Code: 0x00Error Post Code: 0x00\nError Post Minor Code: 0x00'],['Merge Bank6-Punit signaled an MCA to Ubox; Check mc_status of MCA BANKID:6 and  MCA BANK_INDEX:0x9', 'LOCK hang, due to incorrect uboxivctl reg programming'],['PUNIT ERROR ( mcacod:0x402 desc:S3M_or_ISCLK Error)( mscod:0x80 desc: IERR_NON_PM)'],['msm_global_status_ctrl_reg.global_viral: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ierr'],[],nan,nan,nan,nan,nan,nan</t>
  </si>
  <si>
    <t>HW.CFG.ERR, HW.CORR, HW.ERR, HW.KNOWN_ISSUE, HW.MCE.IIO, SW.FW</t>
  </si>
  <si>
    <t>['BIOS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BANK_INDEX:0x4', 'LOCK hang, due to incorrect uboxivctl reg programming'],['UBOX ERROR ( mcacod:0x40c desc:Shutdown suppression)( mscod:0x2 desc: Error signaled by the core and logged in Ubox. Check the core for more details.)', 'PUNIT ERROR ( mcacod:0x402 desc:Pcode Error)( mscod:0x5300 desc: PROBE_MODE_PREP_TIMEOUT)', 'PUNIT ERROR ( mcacod:0x402 desc:Pcode Error)( mscod:0x5300 desc: PROBE_MODE_PREP_TIMEOUT)'],['msm_global_status_ctrl_reg.global_viral: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ierr'],[],nan,nan,nan,nan,nan,nan</t>
  </si>
  <si>
    <t>['BIOS Post Code: 0x58\nBIOS Minor Code: 0x00\nError Code: 0x00\nError Minor Code: 0x00Error Post Code: 0x00\nError Post Minor Code: 0x00'],['Merge Bank6-Punit signaled an MCA to Ubox; Check mc_status of MCA BANKID:6 and  MCA BANK_INDEX:0x9', 'LOCK hang, due to incorrect uboxivctl reg programming'],['PUNIT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ierr'],[],nan,nan,nan,nan,nan,nan</t>
  </si>
  <si>
    <t>['Jumpers J5562 and J5563 set to 1-2 which enables a0_debug_strap. This is not POR and could cause issues with DRNG. Uninstall the jumpers if this is an issue.'],['BIOS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BANK_INDEX:0x9', 'LOCK hang, due to incorrect uboxivctl reg programming'],['UBOX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t>
  </si>
  <si>
    <t>['BIOS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BANK_INDEX:0x9', 'LOCK hang, due to incorrect uboxivctl reg programming'],['UBOX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ierr'],[],nan,nan,nan,nan,nan,nan</t>
  </si>
  <si>
    <t>['Jumpers J5562 and J5563 set to 1-2 which enables a0_debug_strap. This is not POR and could cause issues with DRNG. Uninstall the jumpers if this is an issue.'],['BIOS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BANK_INDEX:0x9', 'LOCK hang, due to incorrect uboxivctl reg programming'],['UBOX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t>
  </si>
  <si>
    <t>['BIOS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BANK_INDEX:0x9', 'LOCK hang, due to incorrect uboxivctl reg programming'],['UBOX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ierr'],[],nan,nan,nan,nan,nan,nan</t>
  </si>
  <si>
    <t>HW.CFG.ERR, HW.CORR, HW.ERR</t>
  </si>
  <si>
    <t>[],[],['Jumpers J5562 and J5563 set to 1-2 which enables a0_debug_strap. This is not POR and could cause issues with DRNG. Uninstall the jumpers if this is an issue.'],[],[],['uncersts_oob.received_an_unsupported_request', 'corerrsts_oob.advisory_non_fatal_error_status', 'msm_mbx_error_sts.mbx_overflow'],[],[],nan,nan,nan</t>
  </si>
  <si>
    <t>HW.CFG.ERR, HW.CORR, HW.ERR, HW.MCE.IIO</t>
  </si>
  <si>
    <t>['Jumpers J5562 and J5563 set to 1-2 which enables a0_debug_strap. This is not POR and could cause issues with DRNG. Uninstall the jumpers if this is an issue.'],[],[],['mscod: RSM consistency check failures-Error signaled by the core and logged in Ubox. Check the core for more details.', 'Merge Bank6-Punit signaled an MCA to Ubox; Check mc_status of MCA BANKID:6 and  MCA BANK_INDEX:0x0'],['UBOX ERROR ( mcacod:0x40c desc:Shutdown suppression)( mscod:0x7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t>
  </si>
  <si>
    <t>['Jumpers J5562 and J5563 set to 1-2 which enables a0_debug_strap. This is not POR and could cause issues with DRNG. Uninstall the jumpers if this is an issue.'],[],[],['mscod: RSM consistency check failures-Error signaled by the core and logged in Ubox. Check the core for more details.', 'Merge Bank6-Punit signaled an MCA to Ubox; Check mc_status of MCA BANKID:6 and  MCA BANK_INDEX:0x4'],['UBOX ERROR ( mcacod:0x40c desc:Shutdown suppression)( mscod:0x7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t>
  </si>
  <si>
    <t>[],['Jumpers J5562 and J5563 set to 1-2 which enables a0_debug_strap. This is not POR and could cause issues with DRNG. Uninstall the jumpers if this is an issue.'],[],[],['mscod: IOMCA error from Global IEH-IOMCA (from BUS=0x4c, DEV=0x2, FUNC=0x0) signaled to ubox via global IEH. Check the global and satellite IEHs for more info', 'Merge Bank6-Punit signaled an MCA to Ubox; Check mc_status of MCA BANKID:6 and  MCA BANK_INDEX:0x0'],['UBOX ERROR ( mcacod:0xe0b desc:IOSF error)( mscod:0x0 desc: IOMCA (from BUS=0x4c,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ierr'],['Fatal global error dev2_fa_sts from uncore.pi5.pxp1.rp0', 'Non-fatal global error dev2_nf_sts from uncore.pi5.pxp1.rp0'],[],nan,nan</t>
  </si>
  <si>
    <t>['Jumpers J5562 and J5563 set to 1-2 which enables a0_debug_strap. This is not POR and could cause issues with DRNG. Uninstall the jumpers if this is an issue.'],[],[],['mscod: IOMCA error from Global IEH-IOMCA (from BUS=0x6f, DEV=0x6, FUNC=0x0) signaled to ubox via global IEH. Check the global and satellite IEHs for more info', 'Merge Bank6-Punit signaled an MCA to Ubox; Check mc_status of MCA BANKID:6 and  MCA BANK_INDEX:0x0', 'LOCK Hard Hang, did not return to idle in 1s'],['UBOX ERROR ( mcacod:0xe0b desc:IOSF error)( mscod:0x0 desc: IOMCA (from BUS=0x6f, DEV=0x6,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dev5_nf_sts from uncore.pi5.pxp2.rp3', 'Non-fatal global error dev4_nf_sts from uncore.pi5.pxp2.rp2', 'Non-fatal global error dev3_nf_sts from uncore.pi5.pxp2.rp1', 'Non-fatal global error dev2_nf_sts from uncore.pi5.pxp2.rp0', 'Corrected global error dev5_co_sts from uncore.pi5.pxp2.rp3', 'Corrected global error dev4_co_sts from uncore.pi5.pxp2.rp2', 'Corrected global error dev3_co_sts from uncore.pi5.pxp2.rp1', 'Corrected global error dev2_co_sts from uncore.pi5.pxp2.rp0', 'Corrected global error dev2_co_sts from uncore.pi5.pxp1.rp0', 'Non-fatal global error dev4_nf_sts from uncore.pi5.pxp3.rp2', 'Non-fatal global error dev2_nf_sts from uncore.pi5.pxp3.rp0', 'Corrected global error dev4_co_sts from uncore.pi5.pxp3.rp2', 'Corrected global error dev2_co_sts from uncore.pi5.pxp3.rp0', 'Non-fatal global error dev5_nf_sts from uncore.pi5.pxp0.rp3', 'Non-fatal global error dev4_nf_sts from uncore.pi5.pxp0.rp2', 'Non-fatal global error dev3_nf_sts from uncore.pi5.pxp0.rp1', 'Non-fatal global error dev2_nf_sts from uncore.pi5.pxp0.rp0', 'Corrected global error dev5_co_sts from uncore.pi5.pxp0.rp3', 'Corrected global error dev4_co_sts from uncore.pi5.pxp0.rp2', 'Corrected global error dev3_co_sts from uncore.pi5.pxp0.rp1', 'Corrected global error dev2_co_sts from uncore.pi5.pxp0.rp0', 'Non-fatal global error dev4_nf_sts from uncore.pi5.pxp1.rp2', 'Non-fatal global error dev2_nf_sts from uncore.pi5.pxp1.rp0', 'Corrected global error dev4_co_sts from uncore.pi5.pxp1.rp2', 'Corrected global error dev2_co_sts from uncore.pi5.pxp1.rp0'],[],nan,nan,nan</t>
  </si>
  <si>
    <t>HW.CFG.ERR, HW.CORR, HW.ERR, HW.MCE.IIO, HW.MCE.PCU</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</si>
  <si>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MCE when MCIP bit is set-Error signaled by the core and logged in Ubox. Check the core for more details.', 'mscod: MCE when MCIP bit is set-Error signaled by the core and logged in Ubox. Check the core for more details.'],['UBOX ERROR ( mcacod:0x40c desc:Shutdown suppression)( mscod:0x2 desc: Error signaled by the core and logged in Ubox. Check the core for more details.)', 'UBOX ERROR ( mcacod:0x40c desc:Shutdown suppression)( mscod:0x2 desc: Error signaled by the core and logged in Ubox. Check the core for more details.)',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</si>
  <si>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[],['PRIMECODE_WATCHDOG_TIMER_EXPIRED', 'PRIMECODE_WATCHDOG_TIMER_EXPIRED', 'PRIMECODE_WATCHDOG_TIMER_EXPIRED', 'PRIMECODE_WATCHDOG_TIMER_EXPIRED', 'PRIMECODE_WATCHDOG_TIMER_EXPIRED', 'Probe Mode prep phase timeout'],[],[],['Jumpers J5562 and J5563 set to 1-2 which enables a0_debug_strap. This is not POR and could cause issues with DRNG. Uninstall the jumpers if this is an issue.'],[],[],['mscod: MCE when MCIP bit is set-Error signaled by the core and logged in Ubox. Check the core for more details.', 'mscod: IOMCA error from Global IEH-IOMCA (from BUS=0xea, DEV=0x2, FUNC=0x0) signaled to ubox via global IEH. Check the global and satellite IEHs for more info'],['UBOX ERROR ( mcacod:0x40c desc:Shutdown suppression)( mscod:0x2 desc: Error signaled by the core and logged in Ubox. Check the core for more details.)', 'UBOX ERROR ( mcacod:0xe0b desc:IOSF error)( mscod:0x0 desc: IOMCA (from BUS=0xea,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mscod:0x5300 desc: PROBE_MODE_PREP_TIMEOUT)',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</si>
  <si>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'Probe Mode prep phase timeout',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MCE when MCIP bit is set-Error signaled by the core and logged in Ubox. Check the core for more details.', 'mscod: MCE when MCIP bit is set-Error signaled by the core and logged in Ubox. Check the core for more details.'],['UBOX ERROR ( mcacod:0x40c desc:Shutdown suppression)( mscod:0x2 desc: Error signaled by the core and logged in Ubox. Check the core for more details.)', 'UBOX ERROR ( mcacod:0x40c desc:Shutdown suppression)( mscod:0x2 desc: Error signaled by the core and logged in Ubox. Check the core for more details.)',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mscod:0x5300 desc: PROBE_MODE_PREP_TIMEOUT)'],['msm_global_status_ctrl_reg.global_viral: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</si>
  <si>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HW.CFG.ERR, HW.CORR, HW.ERR, HW.MCE.CHA, HW.MCE.IIO, HW.MCE.PCU</t>
  </si>
  <si>
    <t>[],['PRIMECODE_WATCHDOG_TIMER_EXPIRED',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IOMCA error from Global IEH-IOMCA (from BUS=0x12, DEV=0x7, FUNC=0x0) signaled to ubox via global IEH. Check the global and satellite IEHs for more info'],['UBOX ERROR ( mcacod:0xe0b desc:IOSF error)( mscod:0x0 desc: IOMCA (from BUS=0x12, DEV=0x7,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'B2CMI ERROR ( mcacod:0x400 desc:Timeout)( mscod:0x9 desc: TIMEOUT)'],['msm_corecrashlog_ctrl.haderror: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dev2_co_sts from uncore.pi5.pxp2.rp0', 'Non-fatal global error dev8_nf_sts from uncore.pi5.pxp0.rp6', 'Corrected global error dev2_co_sts from uncore.pi5.pxp0.rp0', 'Corrected global error dev1_co_sts from uncore.hiop.hiop3', 'Corrected global error dev2_co_sts from uncore.pi5.pxp0.rp0']</t>
  </si>
  <si>
    <t>HW.CFG.ERR, HW.CORR, HW.ERR, HW.MCE.PCU</t>
  </si>
  <si>
    <t>[],['PRIMECODE_WATCHDOG_TIMER_EXPIRED',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</si>
  <si>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IOMCA error from Global IEH-IOMCA (from BUS=0x6c, DEV=0x2, FUNC=0x0) signaled to ubox via global IEH. Check the global and satellite IEHs for more info', 'mscod: IOMCA error from Global IEH-IOMCA (from BUS=0xea, DEV=0x2, FUNC=0x0) signaled to ubox via global IEH. Check the global and satellite IEHs for more info'],['UBOX ERROR ( mcacod:0xe0b desc:IOSF error)( mscod:0x0 desc: IOMCA (from BUS=0x6c, DEV=0x2, FUNC=0x0) signaled to ubox via global IEH. Check the global and satellite IEHs for more info)', 'UBOX ERROR ( mcacod:0xe0b desc:IOSF error)( mscod:0x0 desc: IOMCA (from BUS=0xea,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</si>
  <si>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'Dispatcher busy beyond timeout',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MCE when MCIP bit is set-Error signaled by the core and logged in Ubox. Check the core for more details.', 'mscod: MCE when MCIP bit is set-Error signaled by the core and logged in Ubox. Check the core for more details.'],['UBOX ERROR ( mcacod:0x40c desc:Shutdown suppression)( mscod:0x2 desc: Error signaled by the core and logged in Ubox. Check the core for more details.)', 'UBOX ERROR ( mcacod:0x40c desc:Shutdown suppression)( mscod:0x2 desc: Error signaled by the core and logged in Ubox. Check the core for more details.)',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mscod:0x1a00 desc: MCA_DISP_RUN_BUSY_TIMEOUT)'],['msm_global_status_ctrl_reg.global_viral: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</si>
  <si>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[],['PRIMECODE_WATCHDOG_TIMER_EXPIRED', 'PRIMECODE_WATCHDOG_TIMER_EXPIRED', 'Wait for ResetPrep ACK from an IP timed out during PkgS', 'Wait for ResetPrep ACK from an IP timed out during PkgS', 'PRIMECODE_WATCHDOG_TIMER_EXPIRED', 'PRIMECODE_WATCHDOG_TIMER_EXPIRED'],[],[],['socket0.io0.uncore.hwrs.gpsb.poc_straps.bist_enable is not 1!', 'socket1.io0.uncore.hwrs.gpsb.poc_straps.bist_enable is not 1!'],[],[],[],['UBOX ERROR ( mcacod:0xe0b desc:IOSF error)( mscod:0x0 desc: IOMCA (from BUS=0x6c, DEV=0x2, FUNC=0x0) signaled to ubox via global IEH. Check the global and satellite IEHs for more info)', 'UBOX ERROR ( mcacod:0xe0b desc:IOSF error)( mscod:0x0 desc: IOMCA (from BUS=0xea, DEV=0x2, FUNC=0x0) signaled to ubox via global IEH. Check the global and satellite IEHs for more info)', 'UPI ERROR ( mcacod:0xe0f desc:Bus/Interconnect Errors: GEN.NTO.ERR.OTH.LG)( mscod:0x1 desc: UPI Phy Detected Drift Buffer Alarm)', 'PUNIT ERROR ( mcacod:0x402 desc:Pcode Error)( mscod:0x2f00 desc: MCA_PKGS_RESET_PREP_ACK_TIMEOUT)', 'PUNIT ERROR ( mcacod:0x402 desc:Pcode Error)( mscod:0x2f00 desc: MCA_PKGS_RESET_PREP_ACK_TIMEOUT)',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'Non-fatal global error dev2_nf_sts from uncore.pi5.pxp3.rp0', 'Non-fatal global error dev2_nf_sts from uncore.pi5.pxp0.rp0', 'Non-fatal global error dev2_nf_sts from uncore.pi5.pxp1.rp0', 'Non-fatal global error dev2_nf_sts from uncore.pi5.pxp2.rp0', 'Non-fatal global error dev2_nf_sts from uncore.pi5.pxp3.rp0', 'Non-fatal global error dev2_nf_sts from uncore.pi5.pxp0.rp0', 'Non-fatal global error dev2_nf_sts from uncore.pi5.pxp1.rp0']</t>
  </si>
  <si>
    <t>[],['PRIMECODE_WATCHDOG_TIMER_EXPIRED', 'PRIMECODE_WATCHDOG_TIMER_EXPIRED'],['socket0.io0.uncore.hwrs.gpsb.poc_straps.bist_enable is not 1!'],[],[],[],['PUNIT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'corerrsts_msm.advisory_non_fatal_error_status', 'msm_global_status_ctrl_reg.global_viral: Global Viral Crashlog Trigger along with IERR assertion from PUNIT', 'msm_global_status_ctrl_reg.global_viral: Global Viral Crashlog Trigger along with IERR assertion from PUNIT'],[],nan,nan</t>
  </si>
  <si>
    <t>[],[],['socket0.io0.uncore.hwrs.gpsb.poc_straps.bist_enable is not 1!'],[],[],[],['UBOX ERROR ( mcacod:0xe0b desc:IOSF error)( mscod:0x0 desc: IOMCA (from BUS=0x33,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dev4_nf_sts from uncore.pi5.pxp2.rp2', 'Non-fatal global error dev2_nf_sts from uncore.pi5.pxp2.rp0', 'Non-fatal global error dev2_nf_sts from uncore.pi5.pxp1.rp0'],[],nan</t>
  </si>
  <si>
    <t>[],['socket0.io0.uncore.hwrs.gpsb.poc_straps.bist_enable is not 1!'],[],[],[],['UBOX ERROR ( mcacod:0xe0b desc:IOSF error)( mscod:0x0 desc: IOMCA (from BUS=0x5b, DEV=0x0, FUNC=0x4) signaled to ubox via global IEH. Check the global and satellite IEHs for more info)', 'PUNIT ERROR ( mcacod:0x402 desc:Punit Error)( mscod:0x10 desc: IERR_GENERIC)', 'PUNIT ERROR ( mcacod:0x402 desc:Punit Error)( mscod:0x10 desc: IERR_GENERIC)', 'PUNIT ERROR ( mcacod:0x402 desc:Pcode Error)( mscod:0x5300 desc: PROBE_MODE_PREP_TIMEOUT)'],['msm_corecrashlog_ctrl.haderror: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ierr'],['Fatal global error iehlocal_fa_sts from local error', 'Corrected global error iehlocal_co_sts from local error'],[],nan,nan</t>
  </si>
  <si>
    <t>[],[],['socket0.io0.uncore.hwrs.gpsb.poc_straps.bist_enable is not 1!'],[],[],[],['UBOX ERROR ( mcacod:0xe0b desc:IOSF error)( mscod:0x0 desc: IOMCA (from BUS=0xaf, DEV=0x4,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dev3_nf_sts from uncore.pi5.pxp1.rp1'],[],nan</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</si>
  <si>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'Wait for ResetPrep ACK from an IP timed out during PkgS', 'Wait for ResetPrep ACK from an IP timed out during PkgS', 'Wait for ResetPrep ACK from an IP timed out during PkgS',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issue.'],[],[],[],['UBOX ERROR ( mcacod:0xe0b desc:IOSF error)( mscod:0x0 desc: IOMCA (from BUS=0x6c, DEV=0x2, FUNC=0x0) signaled to ubox via global IEH. Check the global and satellite IEHs for more info)', 'UBOX ERROR ( mcacod:0xe0b desc:IOSF error)( mscod:0x0 desc: IOMCA (from BUS=0xea,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desc:Pcode Error)( mscod:0x2f00 desc: MCA_PKGS_RESET_PREP_ACK_TIMEOUT)', 'PUNIT ERROR ( mcacod:0x402 desc:Pcode Error)( mscod:0x2f00 desc: MCA_PKGS_RESET_PREP_ACK_TIMEOUT)', 'PUNIT ERROR ( mcacod:0x402 desc:Punit Error)( mscod:0x10 desc: IERR_GENERIC)', 'PUNIT ERROR ( mcacod:0x402 desc:Pcode Error)( mscod:0x2f00 desc: MCA_PKGS_RESET_PREP_ACK_TIMEOUT)',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'Non-fatal global error dev2_nf_sts from uncore.pi5.pxp3.rp0', 'Non-fatal global error dev2_nf_sts from uncore.pi5.pxp0.rp0', 'Non-fatal global error dev2_nf_sts from uncore.pi5.pxp1.rp0', 'Non-fatal global error dev2_nf_sts from uncore.pi5.pxp2.rp0', 'Non-fatal global error dev2_nf_sts from uncore.pi5.pxp3.rp0', 'Non-fatal global error dev2_nf_sts from uncore.pi5.pxp0.rp0', 'Non-fatal global error dev2_nf_sts from uncore.pi5.pxp1.rp0']</t>
  </si>
  <si>
    <t>[],['socket0.io0.uncore.hwrs.gpsb.poc_straps.bist_enable is not 1!'],[],[],['msm_global_status_ctrl_reg.global_viral: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t>
  </si>
  <si>
    <t>[],[],['socket0.io0.uncore.hwrs.gpsb.poc_straps.bist_enable is not 1!'],[],[],[],['UBOX ERROR ( mcacod:0xe0b desc:IOSF error)( mscod:0x0 desc: IOMCA (from BUS=0x83, DEV=0x4,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dev3_nf_sts from uncore.pi5.pxp3.rp1'],[],nan</t>
  </si>
  <si>
    <t>[],[],['socket0.io0.uncore.hwrs.gpsb.poc_straps.bist_enable is not 1!'],[],[],[],['DCU ERROR ( mcacod:0x134 desc:Cache Errors: DRD.D.L0)( mscod:0x10 desc: None)', 'MLC ERROR ( mcacod:0x400 desc:Internal Timer Error: Internal Timer Error)( mscod:0xe1cd desc: None)',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t>
  </si>
  <si>
    <t>HW.CFG.ERR, HW.CORR, HW.ERR, HW.MCE.PCU, HW.MCE.UPI</t>
  </si>
  <si>
    <t>[],['PRIMECODE_WATCHDOG_TIMER_EXPIRED', 'Dispatcher busy beyond timeout',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mscod:0x1a00 desc: MCA_DISP_RUN_BUSY_TIMEOUT)'],['msm_global_status_ctrl_reg.global_viral: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</si>
  <si>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[],['socket0.io0.uncore.hwrs.gpsb.poc_straps.bist_enable is not 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t>
  </si>
  <si>
    <t>[],[],['socket0.io0.uncore.hwrs.gpsb.poc_straps.bist_enable is not 1!'],[],[],[],['UBOX ERROR ( mcacod:0xe0b desc:IOSF error)( mscod:0x0 desc: IOMCA (from BUS=0xd3,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dev3_nf_sts from uncore.pi5.pxp1.rp1', 'Non-fatal global error dev2_nf_sts from uncore.pi5.pxp1.rp0'],[],nan</t>
  </si>
  <si>
    <t>['socket0.io0.uncore.hwrs.gpsb.poc_straps.bist_enable is not 1!'],[],[],[],['UBOX ERROR ( mcacod:0x40c desc:0x40c)( mscod:0x2 desc: )', 'PUNIT ERROR ( mcacod:0x402 desc:Punit Error)( mscod:0x10 desc: IERR_GENERIC)', 'PUNIT ERROR ( mcacod:0x402 desc:Punit Error)( mscod:0x10 desc: IERR_GENERIC)'],['msm_global_status_ctrl_reg.global_viral: Global Viral Crashlog Trigger along with IERR assertion from PUNIT',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PUNIT'],[],[],nan,nan,nan</t>
  </si>
  <si>
    <t>[],['socket0.io0.uncore.hwrs.gpsb.poc_straps.bist_enable is not 1!'],[],[],[],['UBOX ERROR ( mcacod:0x40c desc:0x40c)( mscod:0x2 desc: )', 'PUNIT ERROR ( mcacod:0x402 desc:Pcode Error)( mscod:0xb00 desc: MCA_GPSB_TIMEOUT)', 'PUNIT ERROR ( mcacod:0x402 desc:Punit Error)( mscod:0x10 desc: IERR_GENERIC)', 'PUNIT ERROR ( mcacod:0x402 desc:Punit Error)( mscod:0x10 desc: IERR_GENERIC)'],['msm_global_status_ctrl_reg.global_viral: Global Viral Crashlog Trigger along with IERR assertion from PUNIT',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</si>
  <si>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issue.'],[],[],[],['UBOX ERROR ( mcacod:0xe0b desc:IOSF error)( mscod:0x0 desc: IOMCA (from BUS=0x6c, DEV=0x2, FUNC=0x0) signaled to ubox via global IEH. Check the global and satellite IEHs for more info)', 'UBOX ERROR ( mcacod:0xe0b desc:IOSF error)( mscod:0x0 desc: IOMCA (from BUS=0xb7,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</si>
  <si>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1!'],[],[],[],['UBOX ERROR ( mcacod:0xe0b desc:IOSF error)( mscod:0x0 desc: IOMCA (from BUS=0x6b, DEV=0x2, FUNC=0x0) signaled to ubox via global IEH. Check the global and satellite IEHs for more info)', 'UBOX ERROR ( mcacod:0xe0b desc:IOSF error)( mscod:0x0 desc: IOMCA (from BUS=0xb3,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t>
  </si>
  <si>
    <t>['mismatch on Tx/Rx flits (this may be ok if traffic was inflight at the time of the capture)', 'mismatch on Tx/Rx flits (this may be ok if traffic was inflight at the time of the capture)', 'mismatch on Tx/Rx flits (this may be ok if traffic was inflight at the time of the capture)'],['exception caused due to Illegal Instruction', 'PRIMECODE_WATCHDOG_TIMER_EXPIRED', 'PRIMECODE_WATCHDOG_TIMER_EXPIRED', 'PRIMECODE_WATCHDOG_TIMER_EXPIRED', 'PRIMECODE_WATCHDOG_TIMER_EXPIRED', 'PRIMECODE_WATCHDOG_TIMER_EXPIRED'],[],[],['socket0.io0.uncore.hwrs.gpsb.poc_straps.bist_enable is not 1!', 'socket1.io0.uncore.hwrs.gpsb.poc_straps.bist_enable is not 1!'],[],[],[],['UBOX ERROR ( mcacod:0x40c desc:0x40c)( mscod:0x2 desc: )', 'UBOX ERROR ( mcacod:0x40c desc:0x40c)( mscod:0x2 desc: )',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desc:Pcode Error)( mscod:0x5a00 desc: MCA_ILLEGAL_INSTRUCTION)',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</si>
  <si>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[],['socket0.io0.uncore.hwrs.gpsb.poc_straps.bist_enable is not 1!', 'Jumpers J5562 and J5563 set to 1-2 which enables a0_debug_strap. This is not POR and could cause issues with DRNG. Uninstall the jumpers if this is an issue.'],[],[],['mscod: IOMCA error from Global IEH-IOMCA (from BUS=0x5b, DEV=0x0, FUNC=0x4) signaled to ubox via global IEH. Check the global and satellite IEHs for more info', 'Merge Bank6-Punit signaled an MCA to Ubox; Check mc_status of MCA BANKID:6 and  MCA BANK_INDEX:0x0', 'LOCK Hard Hang, did not return to idle in 1s'],['UBOX ERROR ( mcacod:0xe0b desc:IOSF error)( mscod:0x0 desc: IOMCA (from BUS=0x5b, DEV=0x0, FUNC=0x4) signaled to ubox via global IEH. Check the global and satellite IEHs for more info)', 'PUNIT ERROR ( mcacod:0x402 desc:Microcontroller Error)( mscod:0xb desc: PO_REQ_VALID_ERROR)',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'msm_global_status_ctrl_reg.global_viral: Global Viral Crashlog Trigger along with IERR assertion from PUNIT', 'msm_global_status_ctrl_reg.general_mca: oobmsm saw that CPU has logged an MCA', 'msm_global_status_ctrl_reg.ierr: oobmsm saw that CPU has logged an ierr'],['Fatal global error iehlocal_fa_sts from local error', 'Corrected global error iehlocal_co_sts from local error'],[],nan,nan</t>
  </si>
  <si>
    <t>[],[],['socket0.io0.uncore.hwrs.gpsb.poc_straps.bist_enable is not 1!'],[],[],['mscod: IOMCA error from Global IEH-IOMCA (from BUS=0xd3, DEV=0x2, FUNC=0x0) signaled to ubox via global IEH. Check the global and satellite IEHs for more info', 'Merge Bank6-Punit signaled an MCA to Ubox; Check mc_status of MCA BANKID:6 and  MCA BANK_INDEX:0x0', 'LOCK Hard Hang, did not return to idle in 1s'],['UBOX ERROR ( mcacod:0xe0b desc:IOSF error)( mscod:0x0 desc: IOMCA (from BUS=0xd3,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dev3_nf_sts from uncore.pi5.pxp1.rp1', 'Non-fatal global error dev2_nf_sts from uncore.pi5.pxp1.rp0'],[],nan</t>
  </si>
  <si>
    <t>[],['socket0.io0.uncore.hwrs.gpsb.poc_straps.bist_enable is not 1!'],[],[],['Merge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</si>
  <si>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'Probe Mode prep phase timeout', 'PRIMECODE_WATCHDOG_TIMER_EXPIRED', 'PRIMECODE_WATCHDOG_TIMER_EXPIRED', 'PRIMECODE_WATCHDOG_TIMER_EXPIRED', 'PRIMECODE_WATCHDOG_TIMER_EXPIRED'],[],[],['socket0.io0.uncore.hwrs.gpsb.poc_straps.bist_enable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Bank5-UPI signaled an MCA to Ubox; Check mc_status of MCA BANKID:5 and  MCA BANK_INDEX:0x1', 'Merge Bank6-Punit signaled an MCA to Ubox; Check mc_status of MCA BANKID:6 and  MCA BANK_INDEX:0x4',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t>
  </si>
  <si>
    <t>[],[],['socket0.io0.uncore.hwrs.gpsb.poc_straps.bist_enable is not 1!'],[],[],['mscod: IOMCA error from Global IEH-IOMCA (from BUS=0x89, DEV=0x4, FUNC=0x0) signaled to ubox via global IEH. Check the global and satellite IEHs for more info', 'Merge Bank6-Punit signaled an MCA to Ubox; Check mc_status of MCA BANKID:6 and  MCA BANK_INDEX:0x4',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dev3_nf_sts from uncore.pi5.pxp3.rp1'],[],nan,nan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</si>
  <si>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'Wait for ResetPrep ACK from an IP timed out during PkgS', 'Wait for ResetPrep ACK from an IP timed out during PkgS', 'Wait for ResetPrep ACK from an IP timed out during PkgS', 'PRIMECODE_WATCHDOG_TIMER_EXPIRED'],[],[],['socket0.io0.uncore.hwrs.gpsb.poc_straps.bist_enable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Bank5-UPI signaled an MCA to Ubox; Check mc_status of MCA BANKID:5 and  MCA BANK_INDEX:0x2', 'Merge Bank6-Punit signaled an MCA to Ubox; Check mc_status of MCA BANKID:6 and  MCA BANK_INDEX:0x0', 'Merge Bank5-UPI signaled an MCA to Ubox; Check mc_status of MCA BANKID:5 and  MCA BANK_INDEX:0x2',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'Non-fatal global error dev2_nf_sts from uncore.pi5.pxp3.rp0', 'Non-fatal global error dev2_nf_sts from uncore.pi5.pxp0.rp0', 'Non-fatal global error dev2_nf_sts from uncore.pi5.pxp1.rp0', 'Non-fatal global error dev2_nf_sts from uncore.pi5.pxp2.rp0', 'Non-fatal global error dev2_nf_sts from uncore.pi5.pxp3.rp0', 'Non-fatal global error dev2_nf_sts from uncore.pi5.pxp0.rp0', 'Non-fatal global error dev2_nf_sts from uncore.pi5.pxp1.rp0'],[]</t>
  </si>
  <si>
    <t>[],[],['socket0.io0.uncore.hwrs.gpsb.poc_straps.bist_enable is not 1!'],[],[],['mscod: IOMCA error from Global IEH-IOMCA (from BUS=0xaf, DEV=0x2, FUNC=0x0) signaled to ubox via global IEH. Check the global and satellite IEHs for more info',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uncore.pi5.pxp1.rp0'],[],nan,nan</t>
  </si>
  <si>
    <t>['socket0.io0.uncore.hwrs.gpsb.poc_straps.bist_enable is not 1!'],[],[],['uncersts_oob.received_an_unsupported_request', 'corerrsts_oob.advisory_non_fatal_error_status', 'msm_mbx_error_sts.mbx_overflow'],[],[],nan,nan,nan,nan,nan</t>
  </si>
  <si>
    <t>[],[],['socket0.io0.uncore.hwrs.gpsb.poc_straps.bist_enable is not 1!'],[],[],['mscod: IOMCA error from Global IEH-IOMCA (from BUS=0xa, DEV=0x7, FUNC=0x0) signaled to ubox via global IEH. Check the global and satellite IEHs for more info', 'Merge Bank6-Punit signaled an MCA to Ubox; Check mc_status of MCA BANKID:6 and  MCA BANK_INDEX:0x4', 'Merge Bank7-CHA0 signaled an MCA to Ubox; Check mc_status of MCA BANKID:7 and  MCA BANK_INDEX:0xb',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dev4_co_sts from uncore.pi5.pxp0.rp2', 'Corrected global error dev1_co_sts from uncore.hiop.hiop3'],[],nan,nan</t>
  </si>
  <si>
    <t>['socket0.io0.uncore.hwrs.gpsb.poc_straps.bist_enable is not 1!', 'socket1.io0.uncore.hwrs.gpsb.poc_straps.bist_enable is not 1!', 'Jumpers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'msm_mbx_error_sts.mbx_overflow'],[],[],nan,nan,nan,nan,nan</t>
  </si>
  <si>
    <t>['socket0.io0.uncore.hwrs.gpsb.poc_straps.bist_enable is not 1!', 'socket0.io0.uncore.hwrs.gpsb.poc_straps.txt_plten is not 1!'],[],[],['msm_corecrashlog_ctrl.haderror: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ierr'],[],[],nan,nan,nan,nan,nan</t>
  </si>
  <si>
    <t>[],[],['socket0.io0.uncore.hwrs.gpsb.poc_straps.bist_enable is not 1!', 'socket1.io0.uncore.hwrs.gpsb.poc_straps.bist_enable is not 1!'],['OTC TXN DUR LOCK', 'OTC TXN DUR LOCK', 'OTC TXN DUR LOCK', 'OTC TXN DUR LOCK'],[],['mscod: IOMCA error from Global IEH-IOMCA (from BUS=0x58, DEV=0x0, FUNC=0x2) signaled to ubox via global IEH. Check the global and satellite IEHs for more info', 'mscod: IOMCA error from Global IEH-IOMCA (from BUS=0xd7, DEV=0x0, FUNC=0x2) signaled to ubox via global IEH. Check the global and satellite IEHs for more info', 'Merge Bank6-Punit signaled an MCA to Ubox; Check mc_status of MCA BANKID:6 and  MCA BANK_INDEX:0x0', 'Merge Bank6-Punit signaled an MCA to Ubox; Check mc_status of MCA BANKID:6 and  MCA BANK_INDEX:0x4', 'LOCK Hard Hang, did not return to idle in 1s'],['msm_corecrashlog_ctrl.haderror: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dev1_nf_sts from uncore.hiop.hiop4'],[],nan,nan</t>
  </si>
  <si>
    <t>[],[],['socket0.io0.uncore.hwrs.gpsb.poc_straps.bist_enable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BANK_INDEX:0x0', 'LOCK Hard Hang, did not return to idle in 1s'],['msm_global_status_ctrl_reg.global_viral: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</si>
  <si>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Bank5-UPI signaled an MCA to Ubox; Check mc_status of MCA BANKID:5 and  MCA BANK_INDEX:0x2', 'Merge Bank6-Punit signaled an MCA to Ubox; Check mc_status of MCA BANKID:6 and  MCA BANK_INDEX:0x9',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'Non-fatal global error dev2_nf_sts from uncore.pi5.pxp3.rp0', 'Non-fatal global error dev2_nf_sts from uncore.pi5.pxp0.rp0', 'Non-fatal global error dev2_nf_sts from uncore.pi5.pxp1.rp0', 'Non-fatal global error dev2_nf_sts from uncore.pi5.pxp2.rp0', 'Non-fatal global error dev2_nf_sts from uncore.pi5.pxp3.rp0', 'Non-fatal global error dev2_nf_sts from uncore.pi5.pxp0.rp0', 'Non-fatal global error dev2_nf_sts from uncore.pi5.pxp1.rp0'],[]</t>
  </si>
  <si>
    <t>[],[],[],['socket0.io0.uncore.hwrs.gpsb.poc_straps.bist_enable is not 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t>
  </si>
  <si>
    <t>HW.CFG.ERR, HW.CORR, HW.ERR, HW.MCE.CHA, HW.MCE.IIO, HW.MCE.PCU,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</si>
  <si>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IOMCA error from Global IEH-IOMCA (from BUS=0xa, DEV=0x7, FUNC=0x0) signaled to ubox via global IEH. Check the global and satellite IEHs for more info', 'Merge Bank5-UPI signaled an MCA to Ubox; Check mc_status of MCA BANKID:5 and  MCA BANK_INDEX:0x1', 'Merge Bank6-Punit signaled an MCA to Ubox; Check mc_status of MCA BANKID:6 and  MCA BANK_INDEX:0x4', 'Merge Bank7-CHA0 signaled an MCA to Ubox; Check mc_status of MCA BANKID:7 and  MCA BANK_INDEX:0x1d', 'Merge Bank5-UPI signaled an MCA to Ubox; Check mc_status of MCA BANKID:5 and  MCA BANK_INDEX:0x1', 'Merge Bank6-Punit signaled an MCA to Ubox; Check mc_status of MCA BANKID:6 and  MCA BANK_INDEX:0x9', 'Merge Bank7-CHA0 signaled an MCA to Ubox; Check mc_status of MCA BANKID:7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t>
  </si>
  <si>
    <t>[],[],['socket0.io0.uncore.hwrs.gpsb.poc_straps.bist_enable is not 1!'],[],[],['mscod: IOMCA error from Global IEH-IOMCA (from BUS=0x83, DEV=0x4, FUNC=0x0) signaled to ubox via global IEH. Check the global and satellite IEHs for more info',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dev3_nf_sts from uncore.pi5.pxp3.rp1'],[],nan,nan</t>
  </si>
  <si>
    <t>[],[],['socket0.io0.uncore.hwrs.gpsb.poc_straps.bist_enable is not 1!'],['OTC TXN DUR LOCK'],[],['mscod: IOMCA error from Global IEH-IOMCA (from BUS=0xd5, DEV=0x0, FUNC=0x2) signaled to ubox via global IEH. Check the global and satellite IEHs for more info',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</si>
  <si>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[],[],['socket0.io0.uncore.hwrs.gpsb.poc_straps.bist_enable is not 1!'],[],[],['mscod: IOMCA error from Global IEH-IOMCA (from BUS=0x5b, DEV=0x2, FUNC=0x0) signaled to ubox via global IEH. Check the global and satellite IEHs for more info',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'Corrected global error dev2_co_sts from uncore.pi5.pxp1.rp0'],[],nan,nan</t>
  </si>
  <si>
    <t>[],['socket0.io0.uncore.hwrs.gpsb.poc_straps.bist_enable is not 1!'],[],[],['Merge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</si>
  <si>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LOCK_MASTER_TIMEOUT-Waiting on a remote Ubox to complete, check the remote Ubox MC status', 'Merge Bank5-UPI signaled an MCA to Ubox; Check mc_status of MCA BANKID:5 and  MCA BANK_INDEX:0x1', 'Merge Bank6-Punit signaled an MCA to Ubox; Check mc_status of MCA BANKID:6 and  MCA BANK_INDEX:0x0', 'Merge Bank7-CHA0 signaled an MCA to Ubox; Check mc_status of MCA BANKID:7 and  MCA BANK_INDEX:0x1a', 'Merge Bank6-Punit signaled an MCA to Ubox; Check mc_status of MCA BANKID:6 and  MCA BANK_INDEX:0x9', 'Merge Bank7-CHA0 signaled an MCA to Ubox; Check mc_status of MCA BANKID:7 and  MCA BANK_INDEX:0x1d', 'Merge Bank12-B2CMI signaled an MCA to Ubox; Check mc_status of MCA BANKID:12 and  MCA BANK_INDEX:0x7',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</si>
  <si>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ierr'],[],[],nan,nan,nan,nan,nan</t>
  </si>
  <si>
    <t>[],['socket0.io0.uncore.hwrs.gpsb.poc_straps.bist_enable is not 1!'],['OTC TXN DUR LOCK'],[],['mscod: IOMCA error from Global IEH-IOMCA (from BUS=0xab, DEV=0x0, FUNC=0x2) signaled to ubox via global IEH. Check the global and satellite IEHs for more info',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dev4_co_sts from uncore.pi5.pxp2.rp2', 'Corrected global error dev3_co_sts from uncore.pi5.pxp2.rp1', 'Corrected global error dev2_co_sts from uncore.pi5.pxp2.rp0', 'Corrected global error dev2_co_sts from uncore.pi5.pxp0.rp0', 'Corrected global error dev2_co_sts from uncore.pi5.pxp1.rp0', 'Non-fatal global error dev1_nf_sts from uncore.hiop.hiop4'],[],nan,nan,nan</t>
  </si>
  <si>
    <t>[],['socket0.io0.uncore.hwrs.gpsb.poc_straps.bist_enable is not 1!', 'socket0.io0.uncore.hwrs.gpsb.poc_straps.safe_mode_boot is not 0! This is potentially unsafe electrically/thermally.'],['OTC TXN DUR LOCK'],[],['mscod: IOMCA error from Global IEH-IOMCA (from BUS=0xa, DEV=0x0, FUNC=0x2) signaled to ubox via global IEH. Check the global and satellite IEHs for more info', 'Merge Bank6-Punit signaled an MCA to Ubox; Check mc_status of MCA BANKID:6 and  MCA BANK_INDEX:0x4', 'LOCK Hard Hang, did not return to idle in 1s'],['msm_corecrashlog_ctrl.haderror: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dev1_nf_sts from uncore.hiop.hiop3'],[],nan,nan,nan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</si>
  <si>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IOMCA error from Global IEH-IOMCA (from BUS=0x8a, DEV=0x0, FUNC=0x2) signaled to ubox via global IEH. Check the global and satellite IEHs for more info', 'Merge Bank5-UPI signaled an MCA to Ubox; Check mc_status of MCA BANKID:5 and  MCA BANK_INDEX:0x1', 'Merge Bank6-Punit signaled an MCA to Ubox; Check mc_status of MCA BANKID:6 and  MCA BANK_INDEX:0x4', 'Merge Bank5-UPI signaled an MCA to Ubox; Check mc_status of MCA BANKID:5 and  MCA BANK_INDEX:0x1',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</si>
  <si>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['socket0.io0.uncore.hwrs.gpsb.poc_straps.txt_plten is not 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ierr'],[],[],nan,nan,nan,nan,nan</t>
  </si>
  <si>
    <t>[],[],['Jumpers J5562 and J5563 set to 1-2 which enables a0_debug_strap. This is not POR and could cause issues with DRNG. Uninstall the jumpers if this is an issue.'],[],[],['mscod: IOMCA error from Global IEH-IOMCA (from BUS=0x1f, DEV=0x0, FUNC=0x2) signaled to ubox via global IEH. Check the global and satellite IEHs for more info', 'Merge Bank6-Punit signaled an MCA to Ubox; Check mc_status of MCA BANKID:6 and  MCA BANK_INDEX:0x0',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</si>
  <si>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[],['Jumpers J5562 and J5563 set to 1-2 which enables a0_debug_strap. This is not POR and could cause issues with DRNG. Uninstall the jumpers if this is an issue.'],[],[],['mscod: IOMCA error from Global IEH-IOMCA (from BUS=0x5c, DEV=0x0, FUNC=0x2) signaled to ubox via global IEH. Check the global and satellite IEHs for more info', 'Merge Bank6-Punit signaled an MCA to Ubox; Check mc_status of MCA BANKID:6 and  MCA BANK_INDEX:0x9',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t>
  </si>
  <si>
    <t>[],['Jumpers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'msm_mbx_error_sts.mbx_overflow', 'uncersts_msm.received_an_unsupported_request: OOBMSM recieved an unsupported request', 'corerrsts_msm.advisory_non_fatal_error_status', 'msm_mbx_error_sts.mbx_overflow'],[],[],nan,nan,nan,nan</t>
  </si>
  <si>
    <t>['Jumpers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'msm_mbx_error_sts.mbx_overflow'],[],[],nan,nan,nan,nan,nan</t>
  </si>
  <si>
    <t>HW.CFG.ERR, HW.CORR, HW.ERR, HW.MCE.IIO, HW.MCE.PCU, HW.MCE.UPI</t>
  </si>
  <si>
    <t>[],['3STRIKE_ERROR on iMon request to VR4', '3STRIKE_ERROR on iMon request to VR5'],['Jumpers J5562 and J5563 set to 1-2 which enables a0_debug_strap. This is not POR and could cause issues with DRNG. Uninstall the jumpers if this is an issue.'],[],[],['Merge Bank5-UPI signaled an MCA to Ubox; Check mc_status of MCA BANKID:5 and  MCA BANK_INDEX:0x1', 'Merge Bank5-UPI signaled an MCA to Ubox; Check mc_status of MCA BANKID:5 and  MCA BANK_INDEX:0x1', 'LOCK Hard Hang, did not return to idle in 1s'],['UPI ERROR ( mcacod:0xe0f desc:Bus/Interconnect Errors: GEN.NTO.ERR.OTH.LG)( mscod:0x1 desc: UPI Phy Detected Drift Buffer Alarm)', 'UPI ERROR ( mcacod:0x405 desc:Internal/E2E Parity/ECC)( mscod:0x8012 desc: None)', 'PUNIT ERROR ( mcacod:0x402 desc:SVID Error)( mscod:0x20 desc: 3STRIKE_ERROR on iMon request to VR4)', 'PUNIT ERROR ( mcacod:0x402 desc:SVID Error)( mscod:0x20 desc: 3STRIKE_ERROR on iMon request to VR5)'],['msm_global_status_ctrl_reg.global_viral: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t>
  </si>
  <si>
    <t>[],['Jumpers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'msm_mbx_error_sts.mbx_overflow'],[],[],nan,nan,nan,nan</t>
  </si>
  <si>
    <t>[],['Jumpers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</si>
  <si>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capture)'],[],[],['Jumpers J5562 and J5563 set to 1-2 which enables a0_debug_strap. This is not POR and could cause issues with DRNG. Uninstall the jumpers if this is an issue.'],[],[],['corerrsts_msm.advisory_non_fatal_error_status', 'corerrsts_oob.advisory_non_fatal_error_status', 'msm_mbx_error_sts.mbx_overflow', 'corerrsts_msm.advisory_non_fatal_error_status', 'corerrsts_oob.advisory_non_fatal_error_status', 'msm_mbx_error_sts.mbx_overflow'],[],[],nan,nan</t>
  </si>
  <si>
    <t>HW.CFG.ERR, HW.CORR, HW.ERR, HW.MCE.CHA, HW.MCE.PCU</t>
  </si>
  <si>
    <t>[],[],['Jumpers J5562 and J5563 set to 1-2 which enables a0_debug_strap. This is not POR and could cause issues with DRNG. Uninstall the jumpers if this is an issue.'],[],[],['Merge Bank6-Punit signaled an MCA to Ubox; Check mc_status of MCA BANKID:6 and  MCA BANK_INDEX:0x0', 'Merge Bank7-CHA0 signaled an MCA to Ubox; Check mc_status of MCA BANKID:7 and  MCA BANK_INDEX:0x16', 'Merge Bank12-B2CMI signaled an MCA to Ubox; Check mc_status of MCA BANKID:12 and  MCA BANK_INDEX:0x7', 'LOCK Hard Hang, did not return to idle in 1s'],['PUNIT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'B2CMI ERROR ( mcacod:0x400 desc:Internal Timer Error: Internal Timer Error)( mscod:0x9 desc: B2CMI timeout error)', 'B2CMI ERROR ( mcacod:0x400 desc:Internal Timer Error: Internal Timer Error)( mscod:0x9 desc: B2CMI timeout error)'],['msm_global_status_ctrl_reg.global_viral: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uncore.hiop.hiop3'],[],nan</t>
  </si>
  <si>
    <t>['socket0.io0.uncore.hwrs.gpsb.poc_straps.txt_plten is not 1!'],[],[],['uncersts_msm.received_an_unsupported_request: OOBMSM recieved an unsupported request', 'corerrsts_msm.advisory_non_fatal_error_status', 'msm_mbx_error_sts.mbx_overflow'],[],[],nan,nan,nan,nan,nan</t>
  </si>
  <si>
    <t>[],['socket1.io0.uncore.hwrs.gpsb.poc_straps.txt_plten is not 1!'],[],[],['uncersts_oob.received_an_unsupported_request', 'corerrsts_oob.advisory_non_fatal_error_status', 'msm_mbx_error_sts.mbx_overflow', 'uncersts_oob.received_an_unsupported_request', 'corerrsts_oob.advisory_non_fatal_error_status', 'msm_mbx_error_sts.mbx_overflow'],['Non-fatal global error dev5_nf_sts from uncore.pi5.pxp1.rp3', 'Corrected global error dev5_co_sts from uncore.pi5.pxp1.rp3'],[],nan,nan,nan,nan</t>
  </si>
  <si>
    <t>HW.CFG.ERR, HW.CORR, HW.ERR, HW.MCE.CHA, HW.MCE.UPI</t>
  </si>
  <si>
    <t>['mismatch on Tx/Rx flits (this may be ok if traffic was inflight at the time of the capture)', 'mismatch on Tx/Rx flits (this may be ok if traffic was inflight at the time of the capture)'],[],['Jumpers J5562 and J5563 set to 1-2 which enables a0_debug_strap. This is not POR and could cause issues with DRNG. Uninstall the jumpers if this is an issue.'],[],[],['Merge Bank5-UPI signaled an MCA to Ubox; Check mc_status of MCA BANKID:5 and  MCA BANK_INDEX:0x1', 'Merge Bank5-UPI signaled an MCA to Ubox; Check mc_status of MCA BANKID:5 and  MCA BANK_INDEX:0x1', 'Merge Bank7-CHA0 signaled an MCA to Ubox; Check mc_status of MCA BANKID:7 and  MCA BANK_INDEX:0x17'],['UPI ERROR ( mcacod:0xe0f desc:Bus/Interconnect Errors: GEN.NTO.ERR.OTH.LG)( mscod:0x1 desc: UPI Phy Detected Drift Buffer Alarm)', 'UPI ERROR ( mcacod:0x405 desc:Internal/E2E Parity/ECC)( mscod:0x8012 desc: None)', 'CHA ERROR ( mcacod:0x110a desc:Cache Errors (Filtered): ERR.G.L2)( mscod:0x18 desc: CHA BL_REQ_RTID_TABLE_MISS)', 'CHA ERROR ( mcacod:0x110a desc:Cache Errors (Filtered): ERR.G.L2)( mscod:0x18 desc: CHA BL_REQ_RTID_TABLE_MISS)', 'CHA ERROR ( mcacod:0x110a desc:Cache Errors (Filtered): ERR.G.L2)( mscod:0x18 desc: CHA BL_REQ_RTID_TABLE_MISS)', 'CHA ERROR ( mcacod:0x110a desc:Cache Errors (Filtered): ERR.G.L2)( mscod:0x18 desc: CHA BL_REQ_RTID_TABLE_MISS)'],['corerrsts_msm.advisory_non_fatal_error_status', 'corerrsts_oob.advisory_non_fatal_error_status', 'corerrsts_msm.advisory_non_fatal_error_status', 'corerrsts_oob.advisory_non_fatal_error_status'],[],[],nan</t>
  </si>
  <si>
    <t>['socket0.io0.uncore.hwrs.gpsb.poc_straps.bist_enable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'msm_mbx_error_sts.mbx_overflow'],[],[],nan,nan,nan,nan,nan</t>
  </si>
  <si>
    <t>[],['socket0.io0.uncore.hwrs.gpsb.poc_straps.bist_enable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'msm_mbx_error_sts.mbx_overflow'],['Non-fatal global error dev2_nf_sts from uncore.pi5.pxp0.rp0', 'Non-fatal global error dev4_nf_sts from uncore.pi5.pxp3.rp2', 'Non-fatal global error dev2_nf_sts from uncore.pi5.pxp3.rp0', 'Non-fatal global error dev3_nf_sts from uncore.pi5.pxp0.rp1', 'Non-fatal global error dev2_nf_sts from uncore.pi5.pxp0.rp0', 'Non-fatal global error dev2_nf_sts from uncore.pi5.pxp1.rp0'],[],nan,nan</t>
  </si>
  <si>
    <t>[],['socket0.io0.uncore.hwrs.gpsb.poc_straps.bist_enable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'msm_mbx_error_sts.mbx_overflow'],[],[],nan,nan,nan,nan</t>
  </si>
  <si>
    <t>[],[],['socket0.io0.uncore.hwrs.gpsb.poc_straps.bist_enable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Bank6-Punit signaled an MCA to Ubox; Check mc_status of MCA BANKID:6 and  MCA BANK_INDEX:0x0', 'Merge Bank6-Punit signaled an MCA to Ubox; Check mc_status of MCA BANKID:6 and  MCA BANK_INDEX:0x0'],['UBOX ERROR ( mcacod:0xe0b desc:IOSF error)( mscod:0x0 desc: IOMCA (from BUS=0x6b, DEV=0x2, FUNC=0x0) signaled to ubox via global IEH. Check the global and satellite IEHs for more info)', 'UBOX ERROR ( mcacod:0xe0b desc:IOSF error)( mscod:0x0 desc: IOMCA (from BUS=0xe9,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uncore.pi5.pxp1.rp0'],[],nan</t>
  </si>
  <si>
    <t>['socket0.io0.uncore.hwrs.gpsb.poc_straps.bist_enable is not 1!', 'socket0.io0.uncore.hwrs.gpsb.poc_straps.txt_plten is not 1!'],[],[],['uncersts_oob.received_an_unsupported_request', 'corerrsts_oob.advisory_non_fatal_error_status', 'msm_mbx_error_sts.mbx_overflow'],[],[],nan,nan,nan,nan,nan</t>
  </si>
  <si>
    <t>[],[],['socket0.io0.uncore.hwrs.gpsb.poc_straps.bist_enable is not 1!'],[],[],['mscod: IOMCA error from Global IEH-IOMCA (from BUS=0x5b, DEV=0x6, FUNC=0x0) signaled to ubox via global IEH. Check the global and satellite IEHs for more info', 'Merge Bank6-Punit signaled an MCA to Ubox; Check mc_status of MCA BANKID:6 and  MCA BANK_INDEX:0x4'],['UBOX ERROR ( mcacod:0xe0b desc:IOSF error)( mscod:0x0 desc: IOMCA (from BUS=0x5b, DEV=0x6,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dev4_nf_sts from uncore.pi5.pxp2.rp2'],[],nan</t>
  </si>
  <si>
    <t>['socket0.io0.uncore.hwrs.gpsb.poc_straps.bist_enable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'msm_mbx_error_sts.mbx_overflow'],[],[],nan,nan,nan,nan,nan</t>
  </si>
  <si>
    <t>HW.CFG.ERR, HW.CORR, HW.ERR, HW.MCE.MLC</t>
  </si>
  <si>
    <t>[],[],[],['socket0.io0.uncore.hwrs.gpsb.poc_straps.bist_enable is not 1!'],[],[],['corerrsts_msm.advisory_non_fatal_error_status', 'corerrsts_oob.advisory_non_fatal_error_status', 'msm_mbx_error_sts.mbx_overflow'],[],[],nan,nan</t>
  </si>
  <si>
    <t>[],['socket0.io0.uncore.hwrs.gpsb.poc_straps.bist_enable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t>
  </si>
  <si>
    <t>['socket0.io0.uncore.hwrs.gpsb.poc_straps.bist_enable is not 1!', 'socket0.io0.uncore.hwrs.gpsb.poc_straps.safe_mode_boot is not 0! This is potentially unsafe electrically/thermally.'],[],[],['uncersts_msm.received_an_unsupported_request: OOBMSM recieved an unsupported request', 'corerrsts_msm.advisory_non_fatal_error_status', 'uncersts_oob.received_an_unsupported_request', 'corerrsts_oob.advisory_non_fatal_error_status', 'msm_mbx_error_sts.mbx_overflow'],[],[],nan,nan,nan,nan,nan</t>
  </si>
  <si>
    <t>[],['socket0.io0.uncore.hwrs.gpsb.poc_straps.bist_enable is not 1!', 'socket1.io0.uncore.hwrs.gpsb.poc_straps.bist_enable is not 1!', 'Jumpers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t>
  </si>
  <si>
    <t>['socket0.io0.uncore.hwrs.gpsb.poc_straps.bist_enable is not 1!', 'socket1.io0.uncore.hwrs.gpsb.poc_straps.bist_enable is not 1!'],[],[],['uncersts_msm.received_an_unsupported_request: OOBMSM recieved an unsupported request', 'corerrsts_msm.advisory_non_fatal_error_status', 'msm_mbx_error_sts.mbx_overflow', 'uncersts_msm.received_an_unsupported_request: OOBMSM recieved an unsupported request', 'corerrsts_msm.advisory_non_fatal_error_status', 'msm_mbx_error_sts.mbx_overflow'],[],[],nan,nan,nan,nan,nan</t>
  </si>
  <si>
    <t>HW.CFG.ERR, HW.CORR, HW.ERR,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</si>
  <si>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t>
  </si>
  <si>
    <t>[],[],['socket0.io0.uncore.hwrs.gpsb.poc_straps.bist_enable is not 1!', 'socket1.io0.uncore.hwrs.gpsb.poc_straps.bist_enable is not 1!'],[],[],['Merge Bank6-Punit signaled an MCA to Ubox; Check mc_status of MCA BANKID:6 and  MCA BANK_INDEX:0x4', 'Merge Bank6-Punit signaled an MCA to Ubox; Check mc_status of MCA BANKID:6 and  MCA BANK_INDEX:0x4'],['PUNIT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mscod:0x1400 desc: MCA_HPM_MSG_SEND_TIMEOUT)',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</si>
  <si>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HW.CFG.ERR, HW.CORR, HW.ERR, HW.MCE.CHA, HW.MCE.MLC, HW.MCE.PCU</t>
  </si>
  <si>
    <t>[],[],['socket0.io0.uncore.hwrs.gpsb.poc_straps.bist_enable is not 1!'],[],[],['Merge Bank6-Punit signaled an MCA to Ubox; Check mc_status of MCA BANKID:6 and  MCA BANK_INDEX:0x4', 'Merge Bank7-CHA0 signaled an MCA to Ubox; Check mc_status of MCA BANKID:7 and  MCA BANK_INDEX:0x6'],['PUNIT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dev4_co_sts from uncore.pi5.pxp2.rp2', 'Corrected global error dev2_co_sts from uncore.pi5.pxp2.rp0', 'Corrected global error dev1_co_sts from uncore.hiop.hiop2', 'Non-fatal global error dev8_nf_sts from uncore.pi5.pxp0.rp6', 'Corrected global error dev2_co_sts from uncore.pi5.pxp0.rp0', 'Corrected global error dev1_co_sts from uncore.hiop.hiop3', 'Corrected global error dev4_co_sts from uncore.pi5.pxp0.rp2', 'Corrected global error dev1_co_sts from uncore.hiop.hiop3'],[],nan</t>
  </si>
  <si>
    <t>[],[],['socket0.io0.uncore.hwrs.gpsb.poc_straps.bist_enable is not 1!'],[],[],['mscod: IOMCA error from Global IEH-IOMCA (from BUS=0xa, DEV=0x2, FUNC=0x0) signaled to ubox via global IEH. Check the global and satellite IEHs for more info', 'Merge Bank6-Punit signaled an MCA to Ubox; Check mc_status of MCA BANKID:6 and  MCA BANK_INDEX:0x4'],['UBOX ERROR ( mcacod:0xe0b desc:IOSF error)( mscod:0x0 desc: IOMCA (from BUS=0xa, DEV=0x2, FUNC=0x0) signaled to ubox via global IEH. Check the global and satellite IEHs for more info)', 'PUNIT ERROR ( mcacod:0x402 desc:Punit Error)( mscod:0x10 desc: IERR_GENERIC)', 'PUNIT ERROR ( mcacod:0x402 desc:Pcode Error)( mscod:0x1400 desc: MCA_HPM_MSG_SEND_TIMEOUT)',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dev4_nf_sts from uncore.pi5.pxp3.rp2', 'Non-fatal global error dev2_nf_sts from uncore.pi5.pxp3.rp0', 'Non-fatal global error dev3_nf_sts from uncore.pi5.pxp0.rp1', 'Non-fatal global error dev2_nf_sts from uncore.pi5.pxp0.rp0', 'Non-fatal global error dev2_nf_sts from uncore.pi5.pxp1.rp0'],[],nan</t>
  </si>
  <si>
    <t>[],[],['socket0.io0.uncore.hwrs.gpsb.poc_straps.bist_enable is not 1!'],[],[],['mscod: IOMCA error from Global IEH-IOMCA (from BUS=0x5b, DEV=0x6, FUNC=0x0) signaled to ubox via global IEH. Check the global and satellite IEHs for more info', 'Merge Bank6-Punit signaled an MCA to Ubox; Check mc_status of MCA BANKID:6 and  MCA BANK_INDEX:0x4'],['UBOX ERROR ( mcacod:0xe0b desc:IOSF error)( mscod:0x0 desc: IOMCA (from BUS=0x5b, DEV=0x6,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dev4_nf_sts from uncore.pi5.pxp2.rp2'],[],nan</t>
  </si>
  <si>
    <t>[],['socket0.io0.uncore.hwrs.gpsb.poc_straps.bist_enable is not 1!', 'socket1.io0.uncore.hwrs.gpsb.poc_straps.bist_enable is not 1!'],[],[],['uncersts_oob.received_an_unsupported_request', 'corerrsts_oob.advisory_non_fatal_error_status', 'msm_mbx_error_sts.mbx_overflow', 'uncersts_oob.received_an_unsupported_request', 'corerrsts_oob.advisory_non_fatal_error_status', 'msm_mbx_error_sts.mbx_overflow'],[],[],nan,nan,nan,nan</t>
  </si>
  <si>
    <t>HW.CFG.ERR, HW.CORR, HW.ERR, HW.MCE.MLC, HW.MCE.PCU</t>
  </si>
  <si>
    <t>[],[],['socket0.io0.uncore.hwrs.gpsb.poc_straps.bist_enable is not 1!', 'socket1.io0.uncore.hwrs.gpsb.poc_straps.bist_enable is not 1!'],[],[],['Merge Bank6-Punit signaled an MCA to Ubox; Check mc_status of MCA BANKID:6 and  MCA BANK_INDEX:0x0', 'Merge Bank6-Punit signaled an MCA to Ubox; Check mc_status of MCA BANKID:6 and  MCA BANK_INDEX:0x4'],['PUNIT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mscod:0x1400 desc: MCA_HPM_MSG_SEND_TIMEOUT)',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</si>
  <si>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1!'],[],[],['Merge Bank6-Punit signaled an MCA to Ubox; Check mc_status of MCA BANKID:6 and  MCA BANK_INDEX:0x0', 'Merge Bank7-CHA0 signaled an MCA to Ubox; Check mc_status of MCA BANKID:7 and  MCA BANK_INDEX:0x19'],['PUNIT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</si>
  <si>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BANK_INDEX:0x4', 'Merge Bank7-CHA0 signaled an MCA to Ubox; Check mc_status of MCA BANKID:7 and  MCA BANK_INDEX:0x18', 'Merge Bank12-B2CMI signaled an MCA to Ubox; Check mc_status of MCA BANKID:12 and  MCA BANK_INDEX:0x7'],['PUNIT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'B2CMI ERROR ( mcacod:0x400 desc:Internal Timer Error: Internal Timer Error)( mscod:0x9 desc: B2CMI timeout error)', 'B2CMI ERROR ( mcacod:0x400 desc:Internal Timer Error: Internal Timer Error)( mscod:0x9 desc: B2CMI timeout error)'],['msm_global_status_ctrl_reg.global_viral: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uncore.hiop.hiop3'],[],nan</t>
  </si>
  <si>
    <t>[],['socket0.io0.uncore.hwrs.gpsb.poc_straps.bist_enable is not 1!', 'socket1.io0.uncore.hwrs.gpsb.poc_straps.bist_enable is not 1!'],[],[],['uncersts_msm.received_an_unsupported_request: OOBMSM recieved an unsupported request', 'corerrsts_msm.advisory_non_fatal_error_status', 'msm_mbx_error_sts.mbx_overflow', 'uncersts_msm.received_an_unsupported_request: OOBMSM recieved an unsupported request', 'corerrsts_msm.advisory_non_fatal_error_status', 'msm_mbx_error_sts.mbx_overflow'],[],[],nan,nan,nan,nan</t>
  </si>
  <si>
    <t>[],['socket0.io0.uncore.hwrs.gpsb.poc_straps.bist_enable is not 1!', 'Jumpers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'msm_mbx_error_sts.mbx_overflow'],[],[],nan,nan,nan,nan</t>
  </si>
  <si>
    <t>[],['socket0.io0.uncore.hwrs.gpsb.poc_straps.bist_enable is not 1!', 'socket1.io0.uncore.hwrs.gpsb.poc_straps.bist_enable is not 1!'],[],[],['corerrsts_msm.advisory_non_fatal_error_status', 'corerrsts_oob.advisory_non_fatal_error_status', 'msm_mbx_error_sts.mbx_overflow', 'corerrsts_msm.advisory_non_fatal_error_status', 'corerrsts_oob.advisory_non_fatal_error_status', 'msm_mbx_error_sts.mbx_overflow'],[],[],nan,nan,nan,nan</t>
  </si>
  <si>
    <t>HW.CFG.ERR, HW.CORR, HW.ERR, HW.KNOWN_ISSUE, HW.MCE.MLC, HW.MCE.PCU, SW.FW</t>
  </si>
  <si>
    <t>['socket0.io0.uncore.hwrs.gpsb.poc_straps.bist_enable is not 1!', 'socket1.io0.uncore.hwrs.gpsb.poc_straps.bist_enable is not 1!'],[],['BIOS did not make it to EFI or OS handoff cleanly, see table below'],['LOCK Hard Hang, did not return to idle in 1s'],['PUNIT ERROR ( mcacod:0x402 desc:Punit Error)( mscod:0x10 desc: IERR_GENERIC)',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'msm_global_status_ctrl_reg.ierr: oobmsm saw that CPU has logged an ierr', 'corerrsts_oob.advisory_non_fatal_error_status',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ierr'],[],nan,nan,nan,nan</t>
  </si>
  <si>
    <t>[],['socket0.io0.uncore.hwrs.gpsb.poc_straps.bist_enable is not 1!'],[],[],['corerrsts_msm.advisory_non_fatal_error_status', 'corerrsts_oob.advisory_non_fatal_error_status', 'msm_mbx_error_sts.mbx_overflow'],[],[],nan,nan,nan,nan</t>
  </si>
  <si>
    <t>['socket0.io0.uncore.hwrs.gpsb.poc_straps.bist_enable is not 1!', 'socket0.io0.uncore.hwrs.gpsb.poc_straps.txt_plten is not 1!'],[],[],['corerrsts_msm.advisory_non_fatal_error_status', 'corerrsts_oob.advisory_non_fatal_error_status', 'msm_mbx_error_sts.mbx_overflow'],[],[],nan,nan,nan,nan,nan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</si>
  <si>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t>
  </si>
  <si>
    <t>['socket0.io0.uncore.hwrs.gpsb.poc_straps.bist_enable is not 1!'],[],[],['corerrsts_msm.advisory_non_fatal_error_status', 'corerrsts_oob.advisory_non_fatal_error_status', 'msm_mbx_error_sts.mbx_overflow'],[],[],nan,nan,nan,nan,nan</t>
  </si>
  <si>
    <t>[],['socket0.io0.uncore.hwrs.gpsb.poc_straps.bist_enable is not 1!'],[],[],['Merge Bank6-Punit signaled an MCA to Ubox; Check mc_status of MCA BANKID:6 and  MCA BANK_INDEX:0x0'],['PUNIT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</si>
  <si>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[],[],['socket0.io0.uncore.hwrs.gpsb.poc_straps.bist_enable is not 1!'],[],[],['Merge Bank6-Punit signaled an MCA to Ubox; Check mc_status of MCA BANKID:6 and  MCA BANK_INDEX:0x4'],['PUNIT ERROR ( mcacod:0x402 desc:Punit Error)( mscod:0x10 desc: IERR_GENERIC)', 'PUNIT ERROR ( mcacod:0x402 desc:Pcode Error)( mscod:0x1400 desc: MCA_HPM_MSG_SEND_TIMEOUT)',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</si>
  <si>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1!'],[],[],['uncersts_msm.received_an_unsupported_request: OOBMSM recieved an unsupported request', 'corerrsts_msm.advisory_non_fatal_error_status', 'msm_mbx_error_sts.mbx_overflow'],[],[],nan,nan,nan,nan</t>
  </si>
  <si>
    <t>[],[],['socket0.io0.uncore.hwrs.gpsb.poc_straps.bist_enable is not 1!'],[],[],['Merge Bank6-Punit signaled an MCA to Ubox; Check mc_status of MCA BANKID:6 and  MCA BANK_INDEX:0x9'],['PUNIT ERROR ( mcacod:0x402 desc:Pcode Error)( mscod:0xb00 desc: MCA_GPSB_TIMEOUT)', 'PUNIT ERROR ( mcacod:0x402 desc:Punit Error)( mscod:0x10 desc: IERR_GENERIC)', 'PUNIT ERROR ( mcacod:0x402 desc:Punit Error)( mscod:0x10 desc: IERR_GENERIC)'],['msm_global_status_ctrl_reg.global_viral: Global Viral Crashlog Trigger along with IERR assertion from PUNIT',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t>
  </si>
  <si>
    <t>[],[],['socket0.io0.uncore.hwrs.gpsb.poc_straps.bist_enable is not 1!'],[],[],['Merge Bank6-Punit signaled an MCA to Ubox; Check mc_status of MCA BANKID:6 and  MCA BANK_INDEX:0x4'],['PUNIT ERROR ( mcacod:0x402 desc:Pcode Error)( mscod:0xb00 desc: MCA_GPSB_TIMEOUT)', 'PUNIT ERROR ( mcacod:0x402 desc:Punit Error)( mscod:0x10 desc: IERR_GENERIC)', 'PUNIT ERROR ( mcacod:0x402 desc:Punit Error)( mscod:0x10 desc: IERR_GENERIC)'],['msm_global_status_ctrl_reg.global_viral: Global Viral Crashlog Trigger along with IERR assertion from PUNIT',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t>
  </si>
  <si>
    <t>[],[],['socket0.io0.uncore.hwrs.gpsb.poc_straps.bist_enable is not 1!'],[],[],['Merge Bank6-Punit signaled an MCA to Ubox; Check mc_status of MCA BANKID:6 and  MCA BANK_INDEX:0x4'],['PUNIT ERROR ( mcacod:0x402 desc:Pcode Error)( mscod:0xc00 desc: MCA_PMSB_TIMEOUT)', 'PUNIT ERROR ( mcacod:0x402 desc:Punit Error)( mscod:0x10 desc: IERR_GENERIC)', 'PUNIT ERROR ( mcacod:0x402 desc:Punit Error)( mscod:0x10 desc: IERR_GENERIC)'],['msm_corecrashlog_ctrl.haderror: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t>
  </si>
  <si>
    <t>HW.CFG.ERR, HW.CORR, HW.ERR, HW.MCE.DCU, HW.MCE.MLC, HW.MCE.PCU</t>
  </si>
  <si>
    <t>[],[],['socket0.io0.uncore.hwrs.gpsb.poc_straps.bist_enable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BANK_INDEX:0x9'],['PUNIT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t>
  </si>
  <si>
    <t>[],['socket0.io0.uncore.hwrs.gpsb.poc_straps.bist_enable is not 1!'],[],[],['Merge Bank6-Punit signaled an MCA to Ubox; Check mc_status of MCA BANKID:6 and  MCA BANK_INDEX:0x0'],['PUNIT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t>
  </si>
  <si>
    <t>[],['socket0.io0.uncore.hwrs.gpsb.poc_straps.bist_enable is not 1!'],[],[],['Merge Bank6-Punit signaled an MCA to Ubox; Check mc_status of MCA BANKID:6 and  MCA BANK_INDEX:0x4'],['PUNIT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t>
  </si>
  <si>
    <t>[],[],['socket0.io0.uncore.hwrs.gpsb.poc_straps.bist_enable is not 1!'],[],[],['Merge Bank6-Punit signaled an MCA to Ubox; Check mc_status of MCA BANKID:6 and  MCA BANK_INDEX:0x4', 'Merge Bank7-CHA0 signaled an MCA to Ubox; Check mc_status of MCA BANKID:7 and  MCA BANK_INDEX:0x4', 'Merge Bank12-B2CMI signaled an MCA to Ubox; Check mc_status of MCA BANKID:12 and  MCA BANK_INDEX:0x1'],['PUNIT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'B2CMI ERROR ( mcacod:0x400 desc:Internal Timer Error: Internal Timer Error)( mscod:0x9 desc: B2CMI timeout error)'],['msm_global_status_ctrl_reg.global_viral: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uncore.hiop.hiop3'],[],nan</t>
  </si>
  <si>
    <t>[],[],['socket0.io0.uncore.hwrs.gpsb.poc_straps.bist_enable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BANK_INDEX:0x0', 'Merge Bank7-CHA0 signaled an MCA to Ubox; Check mc_status of MCA BANKID:7 and  MCA BANK_INDEX:0x5', 'LOCK Hard Hang, did not return to idle in 1s'],['PUNIT ERROR ( mcacod:0x402 desc:Punit Error)( mscod:0x10 desc: IERR_GENERIC)', 'PUNIT ERROR ( mcacod:0x402 desc:Punit Error)( mscod:0x10 desc: IERR_GENERIC)', 'PUNIT ERROR ( mcacod:0x402 desc:Punit Error)( mscod:0x10 desc: IERR_GENERIC)',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mcacod:0x17a desc:Cache Errors: EVICT.G.L2)(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</si>
  <si>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1!'],[],[],['Merge Bank6-Punit signaled an MCA to Ubox; Check mc_status of MCA BANKID:6 and  MCA BANK_INDEX:0x4'],['PUNIT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t>
  </si>
  <si>
    <t>HW.CFG.ERR, HW.CORR, HW.ERR, HW.MCE.CHA, HW.MCE.IIO, HW.MCE.IMC, HW.MCE.MLC, HW.MCE.PCU</t>
  </si>
  <si>
    <t>[],[],['socket0.io0.uncore.hwrs.gpsb.poc_straps.bist_enable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Bank6-Punit signaled an MCA to Ubox; Check mc_status of MCA BANKID:6 and  MCA BANK_INDEX:0x0', 'Merge Bank6-Punit signaled an MCA to Ubox; Check mc_status of MCA BANKID:6 and  MCA BANK_INDEX:0x0'],['UBOX ERROR ( mcacod:0xe0b desc:IOSF error)( mscod:0x0 desc: IOMCA (from BUS=0x6b, DEV=0x2, FUNC=0x0) signaled to ubox via global IEH. Check the global and satellite IEHs for more info)', 'UBOX ERROR ( mcacod:0xe0b desc:IOSF error)( mscod:0x0 desc: IOMCA (from BUS=0xe9,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</si>
  <si>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HW.CFG.ERR, HW.CORR, HW.ERR, HW.MCE.MLC, HW.MCE.PCU, HW.MCE.UPI</t>
  </si>
  <si>
    <t>[],['PRIMECODE_WATCHDOG_TIMER_EXPIRED',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BANK_INDEX:0x3', 'Merge Bank6-Punit signaled an MCA to Ubox; Check mc_status of MCA BANKID:6 and  MCA BANK_INDEX:0xa', 'Merge Bank5-UPI signaled an MCA to Ubox; Check mc_status of MCA BANKID:5 and  MCA BANK_INDEX:0x2', 'Merge Bank6-Punit signaled an MCA to Ubox; Check mc_status of MCA BANKID:6 and  MCA BANK_INDEX:0x4'],['DCU ERROR ( mcacod:0x114 desc:Cache Errors: RD.D.L0)( mscod:0x100 desc: None)',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</si>
  <si>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[],['socket0.io0.uncore.hwrs.gpsb.poc_straps.bist_enable is not 1!', 'socket0.io0.uncore.hwrs.gpsb.poc_straps.txt_plten is not 1!'],[],[],[],['PUNIT ERROR ( mcacod:0x402 desc:SVID Error)( mscod:0x20 desc: 3STRIKE_ERROR on iMon request to VR2)'],['msm_global_status_ctrl_reg.global_viral: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t>
  </si>
  <si>
    <t>[],[],['socket0.io0.uncore.hwrs.gpsb.poc_straps.bist_enable is not 1!'],[],[],['Merge Bank6-Punit signaled an MCA to Ubox; Check mc_status of MCA BANKID:6 and  MCA BANK_INDEX:0x0'],['PUNIT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t>
  </si>
  <si>
    <t>[],[],['socket0.io0.uncore.hwrs.gpsb.poc_straps.bist_enable is not 1!', 'socket1.io0.uncore.hwrs.gpsb.poc_straps.bist_enable is not 1!'],[],[],['mscod: MCE when MCIP bit is set-Error signaled by the core and logged in Ubox. Check the core for more details.', 'Merge Bank6-Punit signaled an MCA to Ubox; Check mc_status of MCA BANKID:6 and  MCA BANK_INDEX:0x0', 'Merge Bank6-Punit signaled an MCA to Ubox; Check mc_status of MCA BANKID:6 and  MCA BANK_INDEX:0x4'],['UBOX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mscod:0x5300 desc: PROBE_MODE_PREP_TIMEOUT)',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</si>
  <si>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HW.CFG.ERR, HW.CORR, HW.ERR, HW.MCE.CHA, HW.MCE.IIO, HW.MCE.MLC, HW.MCE.PCU</t>
  </si>
  <si>
    <t>[],[],['socket0.io0.uncore.hwrs.gpsb.poc_straps.bist_enable is not 1!', 'socket1.io0.uncore.hwrs.gpsb.poc_straps.bist_enable is not 1!'],[],[],['mscod: MCE when MCIP bit is set-Error signaled by the core and logged in Ubox. Check the core for more details.', 'Merge Bank6-Punit signaled an MCA to Ubox; Check mc_status of MCA BANKID:6 and  MCA BANK_INDEX:0x9', 'Merge Bank7-CHA0 signaled an MCA to Ubox; Check mc_status of MCA BANKID:7 and  MCA BANK_INDEX:0x3', 'Merge Bank6-Punit signaled an MCA to Ubox; Check mc_status of MCA BANKID:6 and  MCA BANK_INDEX:0x0', 'Merge Bank7-CHA0 signaled an MCA to Ubox; Check mc_status of MCA BANKID:7 and  MCA BANK_INDEX:0xc', 'Merge Bank12-B2CMI signaled an MCA to Ubox; Check mc_status of MCA BANKID:12 and  MCA BANK_INDEX:0x6'],['UBOX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'B2CMI ERROR ( mcacod:0x400 desc:Internal Timer Error: Internal Timer Error)( mscod:0x9 desc: B2CMI timeout error)', 'B2CMI ERROR ( mcacod:0x400 desc:Internal Timer Error: Internal Timer Error)( mscod:0x9 desc: B2CMI timeout error)', 'B2CMI ERROR ( mcacod:0x400 desc:Internal Timer Error: Internal Timer Error)( mscod:0x9 desc: B2CMI timeout error)', 'B2CMI ERROR ( mcacod:0x400 desc:Internal Timer Error: Internal Timer Error)( mscod:0x9 desc: B2CMI timeout error)'],['msm_corecrashlog_ctrl.haderror: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dev2_co_sts from uncore.pi5.pxp2.rp0', 'Corrected global error iehlocal_co_sts from local error', 'Corrected global error dev2_co_sts from uncore.pi5.pxp1.rp0'],[],nan</t>
  </si>
  <si>
    <t>[],['PRIMECODE_WATCHDOG_TIMER_EXPIRED',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issue.'],[],[],['mscod: MCE when MCIP bit is set-Error signaled by the core and logged in Ubox. Check the core for more details.', 'mscod: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BANK_INDEX:0x0', 'Merge Bank12-B2CMI signaled an MCA to Ubox; Check mc_status of MCA BANKID:12 and  MCA BANK_INDEX:0xa', 'Merge Bank5-UPI signaled an MCA to Ubox; Check mc_status of MCA BANKID:5 and  MCA BANK_INDEX:0x1', 'Merge Bank6-Punit signaled an MCA to Ubox; Check mc_status of MCA BANKID:6 and  MCA BANK_INDEX:0x0'],['UBOX ERROR ( mcacod:0x40c desc:Shutdown suppression)( mscod:0x2 desc: Error signaled by the core and logged in Ubox. Check the core for more details.)', 'UBOX ERROR ( mcacod:0x40c desc:Shutdown suppression)( mscod:0x2 desc: Error signaled by the core and logged in Ubox. Check the core for more details.)',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'B2CMI ERROR ( mcacod:0x405 desc:Internal/E2E Parity/ECC)( mscod:0xa desc: B2CMI address parity error)'],['msm_global_status_ctrl_reg.global_viral: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</si>
  <si>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HW.CFG.ERR, HW.CORR, HW.ERR, HW.MCE.IIO, HW.MCE.MLC, HW.MCE.PCU</t>
  </si>
  <si>
    <t>[],[],['socket0.io0.uncore.hwrs.gpsb.poc_straps.bist_enable is not 1!', 'socket1.io0.uncore.hwrs.gpsb.poc_straps.bist_enable is not 1!'],[],[],['mscod: IOMCA error from Global IEH-IOMCA (from BUS=0xe9, DEV=0x2, FUNC=0x0) signaled to ubox via global IEH. Check the global and satellite IEHs for more info', 'Merge Bank6-Punit signaled an MCA to Ubox; Check mc_status of MCA BANKID:6 and  MCA BANK_INDEX:0x0', 'Merge Bank6-Punit signaled an MCA to Ubox; Check mc_status of MCA BANKID:6 and  MCA BANK_INDEX:0x4'],['UBOX ERROR ( mcacod:0xe0b desc:IOSF error)( mscod:0x0 desc: IOMCA (from BUS=0xe9,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</si>
  <si>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1!'],[],[],['mscod: MCE when MCIP bit is set-Error signaled by the core and logged in Ubox. Check the core for more details.', 'Merge Bank6-Punit signaled an MCA to Ubox; Check mc_status of MCA BANKID:6 and  MCA BANK_INDEX:0x4', 'Merge Bank7-CHA0 signaled an MCA to Ubox; Check mc_status of MCA BANKID:7 and  MCA BANK_INDEX:0xa', 'Merge Bank12-B2CMI signaled an MCA to Ubox; Check mc_status of MCA BANKID:12 and  MCA BANK_INDEX:0x0', 'Merge Bank13-DDR_MCCHAN0 signaled an MCA to Ubox; Check mc_status of MCA BANKID:13 and  MCA BANK_INDEX:0x0'],['UBOX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'B2CMI ERROR ( mcacod:0x400 desc:Internal Timer Error: Internal Timer Error)( mscod:0x9 desc: B2CMI timeout error)', 'MCCHAN ERROR ( mcacod:0x80 desc:mchannel 0x0: Memory Controller Errors: Generic undefined request.Channel N)( mscod:0x832 desc: None)'],['msm_global_status_ctrl_reg.global_viral: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</si>
  <si>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HW.CFG.ERR, HW.CORR, HW.ERR, HW.MCE.DTLB, HW.MCE.IFU, HW.MCE.MLC, HW.MCE.PCU</t>
  </si>
  <si>
    <t>[],[],['socket0.io0.uncore.hwrs.gpsb.poc_straps.bist_enable is not 1!'],[],[],['Merge Bank6-Punit signaled an MCA to Ubox; Check mc_status of MCA BANKID:6 and  MCA BANK_INDEX:0x0'],['PUNIT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</si>
  <si>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 'socket1.io0.uncore.hwrs.gpsb.poc_straps.bist_enable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BANK_INDEX:0x9', 'Merge Bank7-CHA0 signaled an MCA to Ubox; Check mc_status of MCA BANKID:7 and  MCA BANK_INDEX:0x15', 'Merge Bank12-B2CMI signaled an MCA to Ubox; Check mc_status of MCA BANKID:12 and  MCA BANK_INDEX:0x0', 'Merge Bank6-Punit signaled an MCA to Ubox; Check mc_status of MCA BANKID:6 and  MCA BANK_INDEX:0x0', 'Merge Bank7-CHA0 signaled an MCA to Ubox; Check mc_status of MCA BANKID:7 and  MCA BANK_INDEX:0x10'],['PUNIT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'B2CMI ERROR ( mcacod:0x400 desc:Internal Timer Error: Internal Timer Error)( mscod:0x9 desc: B2CMI timeout error)', 'B2CMI ERROR ( mcacod:0x400 desc:Internal Timer Error: Internal Timer Error)( mscod:0x9 desc: B2CMI timeout error)', 'B2CMI ERROR ( mcacod:0x400 desc:Internal Timer Error: Internal Timer Error)( mscod:0x9 desc: B2CMI timeout error)'],['msm_corecrashlog_ctrl.haderror: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uncore.hiop.hiop3'],[],nan</t>
  </si>
  <si>
    <t>HW.CFG.ERR, HW.CORR, HW.ERR, HW.KNOWN_ISSUE, HW.MCE.IIO, HW.MCE.PCU,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</si>
  <si>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TLB Arbiter is non idle', 'IOMMU TLB Arbiter is non idle', 'IOMMU TLB Arbiter is non idle', 'IOMMU TLB Arbiter is non idle', 'IOMMU TLB Arbiter is non idle', 'IOMMU vtd fault - ppf', 'IOMMU vtd fault - pfo', 'IOMMU vtd fault - ppf', 'IOMMU vtd fault - pfo', 'IOMMU vtd fault - ppf', 'IOMMU vtd fault - pfo', 'IOMMU vtd fault - ppf', 'IOMMU vtd fault - pfo'],[],["mscod: Error from {'PORTID': '0x4a0', 'source_name': 'io0:scf_b2upi.0.scf_b2upi.0'}- Error (from {'PORTID': '0x4a0', 'source_name': 'io0:scf_b2upi.0.scf_b2upi.0'}) error  Error from {'PORTID': '0x4a0', 'source_name': 'io0:scf_b2upi.0.scf_b2upi.0'} signaled to ubox MCA.", 'Merge Bank5-UPI signaled an MCA to Ubox; Check mc_status of MCA BANKID:5 and  MCA BANK_INDEX:0x1', 'Merge Bank6-Punit signaled an MCA to Ubox; Check mc_status of MCA BANKID:6 and  MCA BANK_INDEX:0x9', 'Merge Bank7-CHA0 signaled an MCA to Ubox; Check mc_status of MCA BANKID:7 and  MCA BANK_INDEX:0x4d', 'Merge Bank5-UPI signaled an MCA to Ubox; Check mc_status of MCA BANKID:5 and  MCA BANK_INDEX:0x1', 'Merge Bank6-Punit signaled an MCA to Ubox; Check mc_status of MCA BANKID:6 and  MCA BANK_INDEX:0xb'],["UBOX ERROR ( mcacod:0x412 desc:SCF Bridge IP:CMS error)( mscod:0x0 desc:  Error (from {'PORTID': '0x4a0', 'source_name': 'io0:scf_b2upi.0.scf_b2upi.0'}) error  Error from {'PORTID': '0x4a0', 'source_name': 'io0:scf_b2upi.0.scf_b2upi.0'} signaled to ubox MCA.)",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mcacod:0x1136 desc:Cache Errors (Filtered): DRD.D.L2)( mscod:0xc desc: CHA TOR_TIMEOUT)'],['msm_global_status_ctrl_reg.global_viral: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</si>
  <si>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vtd fault - ppf', 'IOMMU vtd fault - pfo', 'IOMMU vtd fault - ppf', 'IOMMU vtd fault - pfo', 'IOMMU vtd fault - ppf', 'IOMMU vtd fault - pfo', 'IOMMU vtd fault - ppf', 'IOMMU vtd fault - pfo', 'IOMMU vtd fault - ppf', 'IOMMU vtd fault - pfo'],[],["mscod: Error from {'PORTID': '0x4a0', 'source_name': 'io0:scf_b2upi.0.scf_b2upi.0'}- Error (from {'PORTID': '0x4a0', 'source_name': 'io0:scf_b2upi.0.scf_b2upi.0'}) error  Error from {'PORTID': '0x4a0', 'source_name': 'io0:scf_b2upi.0.scf_b2upi.0'} signaled to ubox MCA.", 'mscod: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BANK_INDEX:0xa', 'Merge Bank7-CHA0 signaled an MCA to Ubox; Check mc_status of MCA BANKID:7 and  MCA BANK_INDEX:0x14', 'Merge Bank5-UPI signaled an MCA to Ubox; Check mc_status of MCA BANKID:5 and  MCA BANK_INDEX:0x1', 'Merge Bank6-Punit signaled an MCA to Ubox; Check mc_status of MCA BANKID:6 and  MCA BANK_INDEX:0xb', 'Merge Bank7-CHA0 signaled an MCA to Ubox; Check mc_status of MCA BANKID:7 and  MCA BANK_INDEX:0xe'],["UBOX ERROR ( mcacod:0x412 desc:SCF Bridge IP:CMS error)( mscod:0x1 desc:  Error (from {'PORTID': '0x4a0', 'source_name': 'io0:scf_b2upi.0.scf_b2upi.0'}) error  Error from {'PORTID': '0x4a0', 'source_name': 'io0:scf_b2upi.0.scf_b2upi.0'} signaled to ubox MCA.)", 'UBOX ERROR ( mcacod:0x40c desc:Shutdown suppression)( mscod:0x2 desc: Error signaled by the core and logged in Ubox. Check the core for more details.)', 'UPI ERROR ( mcacod:0xe0f desc:Bus/Interconnect Errors: GEN.NTO.ERR.OTH.LG)( mscod:0x30 desc: UPI LL Rx detected CRC error: successful LLR without Phy Reinit)', 'UPI ERROR ( mcacod:0xc0f desc:Bus/Interconnect Errors: OBS.NTO.ERR.OTH.LG)( mscod:0x11 desc: UPI LL Rx Unsupported/Undefined packet)',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mcacod:0xc0f desc:Bus/Interconnect Errors: OBS.NTO.ERR.OTH.LG)( mscod:0x11 desc: UPI LL Rx Unsupported/Undefined packet)',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mcacod:0x17a desc:Cache Errors: EVICT.G.L2)( mscod:0x2a desc: CHA ISMQ_UNEXP_RSP)', 'CHA ERROR ( mcacod:0x17a desc:Cache Errors: EVICT.G.L2)( mscod:0x2a desc: CHA ISMQ_UNEXP_RSP)', 'CHA ERROR ( mcacod:0x1136 desc:Cache Errors (Filtered): DRD.D.L2)(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dev5_co_sts from uncore.pi5.pxp2.rp3', 'Corrected global error dev4_co_sts from uncore.pi5.pxp2.rp2', 'Corrected global error dev2_co_sts from uncore.pi5.pxp2.rp0', 'Corrected global error dev2_co_sts from uncore.pi5.pxp0.rp0', 'Corrected global error dev2_co_sts from uncore.pi5.pxp1.rp0', 'Corrected global error dev1_co_sts from uncore.hiop.hiop4', 'Corrected global error dev5_co_sts from uncore.pi5.pxp3.rp3', 'Corrected global error dev2_co_sts from uncore.pi5.pxp3.rp0', 'Corrected global error dev5_co_sts from uncore.pi5.pxp0.rp3', 'Corrected global error dev4_co_sts from uncore.pi5.pxp0.rp2', 'Corrected global error dev3_co_sts from uncore.pi5.pxp0.rp1', 'Corrected global error dev2_co_sts from uncore.pi5.pxp0.rp0', 'Corrected global error dev5_co_sts from uncore.pi5.pxp1.rp3', 'Corrected global error dev4_co_sts from uncore.pi5.pxp1.rp2', 'Corrected global error dev3_co_sts from uncore.pi5.pxp1.rp1', 'Corrected global error dev2_co_sts from uncore.pi5.pxp1.rp0', 'Corrected global error dev5_co_sts from uncore.pi5.pxp0.rp3', 'Corrected global error dev3_co_sts from uncore.pi5.pxp0.rp1', 'Corrected global error dev2_co_sts from uncore.pi5.pxp0.rp0', 'Corrected global error dev4_co_sts from uncore.pi5.pxp3.rp2', 'Corrected global error dev2_co_sts from uncore.pi5.pxp3.rp0', 'Corrected global error dev5_co_sts from uncore.pi5.pxp0.rp3', 'Corrected global error dev4_co_sts from uncore.pi5.pxp0.rp2', 'Corrected global error dev2_co_sts from uncore.pi5.pxp0.rp0', 'Corrected global error dev3_co_sts from uncore.pi5.pxp1.rp1', 'Corrected global error dev2_co_sts from uncore.pi5.pxp1.rp0'],[]</t>
  </si>
  <si>
    <t>[],['socket0.io0.uncore.hwrs.gpsb.poc_straps.bist_enable is not 1!'],[],[],['uncersts_oob.received_an_unsupported_request', 'corerrsts_oob.advisory_non_fatal_error_status', 'msm_mbx_error_sts.mbx_overflow'],[],[],nan,nan,nan,nan</t>
  </si>
  <si>
    <t>HW.CFG.ERR, HW.CORR, HW.ERR, HW.KNOWN_ISSUE, HW.MCE.CHA, HW.MCE.IIO, HW.MCE.PCU,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</si>
  <si>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TLB Arbiter is non idle', 'IOMMU TLB Arbiter is non idle', 'IOMMU TLB Arbiter is non idle', 'IOMMU TLB Arbiter is non idle', 'IOMMU TLB Arbiter is non idle', 'IOMMU TLB Arbiter is non idle', 'IOMMU TLB Arbiter is non idle', 'IOMMU vtd fault - ppf', 'IOMMU vtd fault - pfo', 'IOMMU vtd fault - ppf', 'IOMMU vtd fault - pfo', 'IOMMU vtd fault - ppf', 'IOMMU vtd fault - pfo', 'IOMMU vtd fault - ppf', 'IOMMU vtd fault - pfo', 'IOMMU vtd fault - ppf', 'IOMMU vtd fault - pfo'],[],["mscod: Error from {'PORTID': '0x4a0', 'source_name': 'io0:scf_b2upi.0.scf_b2upi.0'}- Error (from {'PORTID': '0x4a0', 'source_name': 'io0:scf_b2upi.0.scf_b2upi.0'}) error  Error from {'PORTID': '0x4a0', 'source_name': 'io0:scf_b2upi.0.scf_b2upi.0'} signaled to ubox MCA.", 'Merge Bank5-UPI signaled an MCA to Ubox; Check mc_status of MCA BANKID:5 and  MCA BANK_INDEX:0x0', 'Merge Bank6-Punit signaled an MCA to Ubox; Check mc_status of MCA BANKID:6 and  MCA BANK_INDEX:0xb', 'Merge Bank7-CHA0 signaled an MCA to Ubox; Check mc_status of MCA BANKID:7 and  MCA BANK_INDEX:0x2', 'Merge Bank5-UPI signaled an MCA to Ubox; Check mc_status of MCA BANKID:5 and  MCA BANK_INDEX:0x1', 'Merge Bank6-Punit signaled an MCA to Ubox; Check mc_status of MCA BANKID:6 and  MCA BANK_INDEX:0x4'],["UBOX ERROR ( mcacod:0x412 desc:SCF Bridge IP:CMS error)( mscod:0x1 desc:  Error (from {'PORTID': '0x4a0', 'source_name': 'io0:scf_b2upi.0.scf_b2upi.0'}) error  Error from {'PORTID': '0x4a0', 'source_name': 'io0:scf_b2upi.0.scf_b2upi.0'} signaled to ubox MCA.)",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mcacod:0x1136 desc:Cache Errors (Filtered): DRD.D.L2)(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</si>
  <si>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[],['socket0.io0.uncore.hwrs.gpsb.poc_straps.bist_enable is not 1!', 'socket1.io0.uncore.hwrs.gpsb.poc_straps.bist_enable is not 1!'],['IOMMU vtd fault - ppf', 'IOMMU vtd fault - pfo', 'IOMMU vtd fault - ppf', 'IOMMU vtd fault - pfo', 'IOMMU vtd fault - ppf', 'IOMMU vtd fault - pfo', 'IOMMU vtd fault - ppf', 'IOMMU vtd fault - pfo'],[],['mscod: MCE when MCIP bit is set-Error signaled by the core and logged in Ubox. Check the core for more details.', "mscod: Error from {'PORTID': '0x4a0', 'source_name': 'io0:scf_b2upi.0.scf_b2upi.0'}- Error (from {'PORTID': '0x4a0', 'source_name': 'io0:scf_b2upi.0.scf_b2upi.0'}) error  Error from {'PORTID': '0x4a0', 'source_name': 'io0:scf_b2upi.0.scf_b2upi.0'} signaled to ubox MCA.", 'Merge Bank6-Punit signaled an MCA to Ubox; Check mc_status of MCA BANKID:6 and  MCA BANK_INDEX:0xb', 'Merge Bank6-Punit signaled an MCA to Ubox; Check mc_status of MCA BANKID:6 and  MCA BANK_INDEX:0x9'],['UBOX ERROR ( mcacod:0x40c desc:Shutdown suppression)( mscod:0x2 desc: Error signaled by the core and logged in Ubox. Check the core for more details.)', "UBOX ERROR ( mcacod:0x412 desc:SCF Bridge IP:CMS error)( mscod:0x0 desc:  Error (from {'PORTID': '0x4a0', 'source_name': 'io0:scf_b2upi.0.scf_b2upi.0'}) error  Error from {'PORTID': '0x4a0', 'source_name': 'io0:scf_b2upi.0.scf_b2upi.0'} signaled to ubox MCA.)",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dev5_co_sts from uncore.pi5.pxp2.rp3', 'Corrected global error dev4_co_sts from uncore.pi5.pxp2.rp2', 'Corrected global error dev3_co_sts from uncore.pi5.pxp2.rp1', 'Corrected global error dev2_co_sts from uncore.pi5.pxp2.rp0', 'Corrected global error dev4_co_sts from uncore.pi5.pxp3.rp2', 'Corrected global error dev5_co_sts from uncore.pi5.pxp1.rp3', 'Corrected global error dev4_co_sts from uncore.pi5.pxp1.rp2', 'Corrected global error dev3_co_sts from uncore.pi5.pxp1.rp1', 'Corrected global error dev2_co_sts from uncore.pi5.pxp1.rp0', 'Corrected global error dev2_co_sts from uncore.pi5.pxp2.rp0', 'Corrected global error dev4_co_sts from uncore.pi5.pxp3.rp2', 'Corrected global error dev5_co_sts from uncore.pi5.pxp0.rp3', 'Corrected global error dev5_co_sts from uncore.pi5.pxp1.rp3', 'Corrected global error dev4_co_sts from uncore.pi5.pxp1.rp2', 'Corrected global error dev3_co_sts from uncore.pi5.pxp1.rp1', 'Corrected global error dev2_co_sts from uncore.pi5.pxp1.rp0'],[],nan,nan</t>
  </si>
  <si>
    <t>[],['socket0.io0.uncore.hwrs.gpsb.poc_straps.safe_mode_boot is not 0! This is potentially unsafe electrically/thermally.'],[],[],['Merge Bank6-Punit signaled an MCA to Ubox; Check mc_status of MCA BANKID:6 and  MCA BANK_INDEX:0x9', 'Merge Bank6-Punit signaled an MCA to Ubox; Check mc_status of MCA BANKID:6 and  MCA BANK_INDEX:0xb'],['PUNIT ERROR ( mcacod:0x402 desc:Punit Error)( mscod:0x10 desc: IERR_GENERIC)', 'PUNIT ERROR ( mcacod:0x402 desc:Punit Error)( mscod:0x10 desc: IERR_GENERIC)', 'PUNIT ERROR ( mcacod:0x402 desc:Pcode Error)( mscod:0x2f00 desc: MCA_PKGS_RESET_PREP_ACK_TIMEOUT)',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t>
  </si>
  <si>
    <t>HW.CFG.ERR, HW.CORR, HW.ERR, HW.MCE, HW.MCE.DCU, HW.MCE.MLC, HW.MCE.PCU</t>
  </si>
  <si>
    <t>[],[],['socket0.io0.uncore.hwrs.gpsb.poc_straps.bist_enable is not 1!'],[],[],['Merge Bank6-Punit signaled an MCA to Ubox; Check mc_status of MCA BANKID:6 and  MCA BANK_INDEX:0x0', 'Merge Bank13-DDR_MCCHAN0 signaled an MCA to Ubox; Check mc_status of MCA BANKID:13 and  MCA BANK_INDEX:0x0', 'Merge Bank14-DDR_MCCHAN1 signaled an MCA to Ubox; Check mc_status of MCA BANKID:14 and  MCA BANK_INDEX:0x0', 'Merge Bank19-DDR_MCCHAN6 signaled an MCA to Ubox; Check mc_status of MCA BANKID:19 and  MCA BANK_INDEX:0x0', 'Merge Bank20-DDR_MCCHAN7 signaled an MCA to Ubox; Check mc_status of MCA BANKID:20 and  MCA BANK_INDEX:0x0'],[],['msm_corecrashlog_ctrl.haderror: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t>
  </si>
  <si>
    <t>['socket0.io0.uncore.hwrs.gpsb.poc_straps.safe_mode_boot is not 0! This is potentially unsafe electrically/thermally.'],[],[],['uncersts_msm.received_an_unsupported_request: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'msm_mbx_error_sts.mbx_overflow'],[],[],nan,nan,nan,nan,nan</t>
  </si>
  <si>
    <t>HW.CFG.ERR, HW.CORR, HW.ERR, HW.MCE, HW.MCE.IIO, HW.MCE.PCU</t>
  </si>
  <si>
    <t>[],['socket0.io0.uncore.hwrs.gpsb.poc_straps.bist_enable is not 1!', 'socket1.io0.uncore.hwrs.gpsb.poc_straps.bist_enable is not 1!', 'Jumpers J5562 and J5563 set to 1-2 which enables a0_debug_strap. This is not POR and could cause issues with DRNG. Uninstall the jumpers if this is an issue.'],['IOMMU vtd fault - ppf', 'IOMMU vtd fault - pfo', 'IOMMU vtd fault - ppf', 'IOMMU vtd fault - pfo', 'IOMMU vtd fault - ppf', 'IOMMU vtd fault - pfo'],[],["mscod: Error from {'PORTID': '0x4a0', 'source_name': 'io0:scf_b2upi.0.scf_b2upi.0'}- Error (from {'PORTID': '0x4a0', 'source_name': 'io0:scf_b2upi.0.scf_b2upi.0'}) error  Error from {'PORTID': '0x4a0', 'source_name': 'io0:scf_b2upi.0.scf_b2upi.0'} signaled to ubox MCA.", "mscod: Error from {'PORTID': '0x4a0', 'source_name': 'io0:scf_b2upi.0.scf_b2upi.0'}- Error (from {'PORTID': '0x4a0', 'source_name': 'io0:scf_b2upi.0.scf_b2upi.0'}) error  Error from {'PORTID': '0x4a0', 'source_name': 'io0:scf_b2upi.0.scf_b2upi.0'} signaled to ubox MCA.", 'Merge Bank6-Punit signaled an MCA to Ubox; Check mc_status of MCA BANKID:6 and  MCA BANK_INDEX:0xb', 'Merge Bank6-Punit signaled an MCA to Ubox; Check mc_status of MCA BANKID:6 and  MCA BANK_INDEX:0xa'],[],['msm_global_status_ctrl_reg.global_viral: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</si>
  <si>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HW.CFG.ERR, HW.CORR, HW.ERR, HW.MCE, HW.MCE.CHA, HW.MCE.IIO, HW.MCE.MLC, HW.MCE.PCU, HW.MCE.UPI</t>
  </si>
  <si>
    <t>[],['PRIMECODE_WATCHDOG_TIMER_EXPIRED',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'socket0.io0.uncore.hwrs.gpsb.poc_straps.txt_plten is not 1!', 'socket1.io0.uncore.hwrs.gpsb.poc_straps.bist_enable is not 1!', 'socket1.io0.uncore.hwrs.gpsb.poc_straps.txt_plten is not 1!'],[],[],["mscod: Error from {'PORTID': '0x4a0', 'source_name': 'io0:scf_b2upi.0.scf_b2upi.0'}- Error (from {'PORTID': '0x4a0', 'source_name': 'io0:scf_b2upi.0.scf_b2upi.0'}) error  Error from {'PORTID': '0x4a0', 'source_name': 'io0:scf_b2upi.0.scf_b2upi.0'} signaled to ubox MCA.", 'mscod: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BANK_INDEX:0x9', 'Merge Bank7-CHA0 signaled an MCA to Ubox; Check mc_status of MCA BANKID:7 and  MCA BANK_INDEX:0x0', 'Merge Bank5-UPI signaled an MCA to Ubox; Check mc_status of MCA BANKID:5 and  MCA BANK_INDEX:0x1', 'Merge Bank6-Punit signaled an MCA to Ubox; Check mc_status of MCA BANKID:6 and  MCA BANK_INDEX:0x4',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</si>
  <si>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HW.CFG.ERR, HW.CORR, HW.ERR, HW.MCE, HW.MCE.CHA, HW.MCE.IIO, HW.MCE.PCU</t>
  </si>
  <si>
    <t>[],['socket1.io0.uncore.hwrs.gpsb.poc_straps.bist_enable is not 1!'],[],[],["mscod: Error from {'PORTID': '0x4a0', 'source_name': 'io0:scf_b2upi.0.scf_b2upi.0'}- Error (from {'PORTID': '0x4a0', 'source_name': 'io0:scf_b2upi.0.scf_b2upi.0'}) error  Error from {'PORTID': '0x4a0', 'source_name': 'io0:scf_b2upi.0.scf_b2upi.0'} signaled to ubox MCA.", "mscod: Error from {'PORTID': '0x4a0', 'source_name': 'io0:scf_b2upi.0.scf_b2upi.0'}- Error (from {'PORTID': '0x4a0', 'source_name': 'io0:scf_b2upi.0.scf_b2upi.0'}) error  Error from {'PORTID': '0x4a0', 'source_name': 'io0:scf_b2upi.0.scf_b2upi.0'} signaled to ubox MCA.", 'Merge Bank6-Punit signaled an MCA to Ubox; Check mc_status of MCA BANKID:6 and  MCA BANK_INDEX:0xa', 'Merge Bank6-Punit signaled an MCA to Ubox; Check mc_status of MCA BANKID:6 and  MCA BANK_INDEX:0x0', 'Merge Bank7-CHA0 signaled an MCA to Ubox; Check mc_status of MCA BANKID:7 and  MCA BANK_INDEX:0xe'],[],['msm_corecrashlog_ctrl.haderror: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</si>
  <si>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HW.CFG.ERR, HW.CORR, HW.ERR, HW.MCE, HW.MCE.CHA, HW.MCE.IIO, HW.MCE.MLC, HW.MCE.PCU</t>
  </si>
  <si>
    <t>[],['socket0.io0.uncore.hwrs.gpsb.poc_straps.bist_enable is not 1!', 'socket1.io0.uncore.hwrs.gpsb.poc_straps.bist_enable is not 1!', 'Jumpers J5562 and J5563 set to 1-2 which enables a0_debug_strap. This is not POR and could cause issues with DRNG. Uninstall the jumpers if this is an issue.'],[],[],["mscod: Error from {'PORTID': '0x4a0', 'source_name': 'io0:scf_b2upi.0.scf_b2upi.0'}- Error (from {'PORTID': '0x4a0', 'source_name': 'io0:scf_b2upi.0.scf_b2upi.0'}) error  Error from {'PORTID': '0x4a0', 'source_name': 'io0:scf_b2upi.0.scf_b2upi.0'} signaled to ubox MCA.", 'Merge Bank6-Punit signaled an MCA to Ubox; Check mc_status of MCA BANKID:6 and  MCA BANK_INDEX:0x0', 'Merge Bank7-CHA0 signaled an MCA to Ubox; Check mc_status of MCA BANKID:7 and  MCA BANK_INDEX:0x5',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</si>
  <si>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[],['socket1.io0.uncore.hwrs.gpsb.poc_straps.bist_enable is not 1!'],[],[],["mscod: Error from {'PORTID': '0x4a0', 'source_name': 'io0:scf_b2upi.0.scf_b2upi.0'}- Error (from {'PORTID': '0x4a0', 'source_name': 'io0:scf_b2upi.0.scf_b2upi.0'}) error  Error from {'PORTID': '0x4a0', 'source_name': 'io0:scf_b2upi.0.scf_b2upi.0'} signaled to ubox MCA.", "mscod: Error from {'PORTID': '0x4a0', 'source_name': 'io0:scf_b2upi.0.scf_b2upi.0'}- Error (from {'PORTID': '0x4a0', 'source_name': 'io0:scf_b2upi.0.scf_b2upi.0'}) error  Error from {'PORTID': '0x4a0', 'source_name': 'io0:scf_b2upi.0.scf_b2upi.0'} signaled to ubox MCA.", 'Merge Bank6-Punit signaled an MCA to Ubox; Check mc_status of MCA BANKID:6 and  MCA BANK_INDEX:0x0', 'Merge Bank6-Punit signaled an MCA to Ubox; Check mc_status of MCA BANKID:6 and  MCA BANK_INDEX:0x4'],[],['msm_corecrashlog_ctrl.haderror: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</si>
  <si>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HW.CFG.ERR, HW.CORR, HW.ERR, HW.MCE, HW.MCE.CHA, HW.MCE.IIO, HW.MCE.PCU, HW.MCE.UPI</t>
  </si>
  <si>
    <t>['mismatch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issue.'],[],[],['mscod: MCE when MCIP bit is set-Error signaled by the core and logged in Ubox. Check the core for more details.', "mscod: Error from {'PORTID': '0x4a0', 'source_name': 'io0:scf_b2upi.0.scf_b2upi.0'}- Error (from {'PORTID': '0x4a0', 'source_name': 'io0:scf_b2upi.0.scf_b2upi.0'}) error  Error from {'PORTID': '0x4a0', 'source_name': 'io0:scf_b2upi.0.scf_b2upi.0'} signaled to ubox MCA.", 'Merge Bank5-UPI signaled an MCA to Ubox; Check mc_status of MCA BANKID:5 and  MCA BANK_INDEX:0x1', 'Merge Bank6-Punit signaled an MCA to Ubox; Check mc_status of MCA BANKID:6 and  MCA BANK_INDEX:0x0', 'Merge Bank7-CHA0 signaled an MCA to Ubox; Check mc_status of MCA BANKID:7 and  MCA BANK_INDEX:0x0', 'Merge Bank5-UPI signaled an MCA to Ubox; Check mc_status of MCA BANKID:5 and  MCA BANK_INDEX:0x1', 'Merge Bank6-Punit signaled an MCA to Ubox; Check mc_status of MCA BANKID:6 and  MCA BANK_INDEX:0xb', 'Merge Bank7-CHA0 signaled an MCA to Ubox; Check mc_status of MCA BANKID:7 and  MCA BANK_INDEX:0x2'],[],['msm_corecrashlog_ctrl.haderror: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</si>
  <si>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HW.CFG.ERR, HW.CORR, HW.ERR, HW.KNOWN_ISSUE, HW.MCE, HW.MCE.IIO, HW.MCE.LLC, HW.MCE.MLC, HW.MCE.PCU</t>
  </si>
  <si>
    <t>[],[],['socket0.io0.uncore.hwrs.gpsb.poc_straps.bist_enable is not 1!', 'socket1.io0.uncore.hwrs.gpsb.poc_straps.bist_enable is not 1!'],[],[],["mscod: SBO_BL_DATA_PAR_ERR- SCF IP (from SBO {'PORTID': '0x5a54', 'source_name': 'compute2:scf_sbo.0.ddimb.53'}) error  SBO_BL_DATA_PAR_ERR signaled to ubox MCA.", 'Merge Bank6-Punit signaled an MCA to Ubox; Check mc_status of MCA BANKID:6 and  MCA BANK_INDEX:0x0', 'Merge Bank6-Punit signaled an MCA to Ubox; Check mc_status of MCA BANKID:6 and  MCA BANK_INDEX:0xa', 'Merge Bank9-LLC0 signaled an MCA to Ubox; Check mc_status of MCA BANKID:9 and  MCA BANK_INDEX:0x41'],[],['msm_global_status_ctrl_reg.global_viral: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</si>
  <si>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 'socket1.io0.uncore.hwrs.gpsb.poc_straps.bist_enable is not 1!', 'Jumpers J5562 and J5563 set to 1-2 which enables a0_debug_strap. This is not POR and could cause issues with DRNG. Uninstall the jumpers if this is an issue.'],[],[],['uncersts_oob.received_an_unsupported_request', 'corerrsts_oob.advisory_non_fatal_error_status', 'msm_mbx_error_sts.mbx_overflow', 'uncersts_oob.received_an_unsupported_request', 'corerrsts_oob.advisory_non_fatal_error_status', 'msm_mbx_error_sts.mbx_overflow'],[],[],nan,nan,nan,nan,nan</t>
  </si>
  <si>
    <t>['socket0.io0.uncore.hwrs.gpsb.poc_straps.bist_enable is not 1!', 'socket1.io0.uncore.hwrs.gpsb.poc_straps.bist_enable is not 1!'],[],[],['corerrsts_msm.advisory_non_fatal_error_status', 'corerrsts_oob.advisory_non_fatal_error_status', 'msm_mbx_error_sts.mbx_overflow', 'corerrsts_msm.advisory_non_fatal_error_status', 'corerrsts_oob.advisory_non_fatal_error_status', 'msm_mbx_error_sts.mbx_overflow'],[],[],nan,nan,nan,nan,nan</t>
  </si>
  <si>
    <t>HW.CFG.ERR, HW.CORR, HW.ERR, HW.MCE, HW.MCE.MLC, HW.MCE.PCU</t>
  </si>
  <si>
    <t>[],[],['socket0.io0.uncore.hwrs.gpsb.poc_straps.bist_enable is not 1!', 'socket1.io0.uncore.hwrs.gpsb.poc_straps.bist_enable is not 1!'],[],[],['Merge Bank6-Punit signaled an MCA to Ubox; Check mc_status of MCA BANKID:6 and  MCA BANK_INDEX:0xa', 'Merge Bank6-Punit signaled an MCA to Ubox; Check mc_status of MCA BANKID:6 and  MCA BANK_INDEX:0xa'],[],['msm_global_status_ctrl_reg.global_viral: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</si>
  <si>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HW.CFG.ERR, HW.CORR</t>
  </si>
  <si>
    <t>[],['socket0.io0.uncore.hwrs.gpsb.poc_straps.bist_enable is not 1!'],[],[],['corerrsts_msm.advisory_non_fatal_error_status', 'corerrsts_oob.advisory_non_fatal_error_status'],[],nan,nan,nan,nan,nan</t>
  </si>
  <si>
    <t>HW.CFG.ERR, HW.CORR, HW.ERR, HW.KNOWN_ISSUE, HW.MCE, HW.MCE.CHA, HW.MCE.IIO, HW.MCE.LLC, HW.MCE.PCU</t>
  </si>
  <si>
    <t>[],['socket0.io0.uncore.hwrs.gpsb.poc_straps.bist_enable is not 1!'],['IOMMU TLB Arbiter is non idle', 'IOMMU TLB Arbiter is non idle', 'IOMMU TLB Arbiter is non idle'],[],["mscod: SBO_BL_DATA_PAR_ERR- SCF IP (from SBO {'PORTID': '0x4a66', 'source_name': 'compute0:scf_sbo.0.ddimb.15'}) error  SBO_BL_DATA_PAR_ERR signaled to ubox MCA.", 'Merge Bank6-Punit signaled an MCA to Ubox; Check mc_status of MCA BANKID:6 and  MCA BANK_INDEX:0x9', 'Merge Bank7-CHA0 signaled an MCA to Ubox; Check mc_status of MCA BANKID:7 and  MCA BANK_INDEX:0x1c', 'Merge Bank9-LLC0 signaled an MCA to Ubox; Check mc_status of MCA BANKID:9 and  MCA BANK_INDEX:0x1b'],[],['msm_global_status_ctrl_reg.global_viral: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</si>
  <si>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[],[],['socket0.io0.uncore.hwrs.gpsb.poc_straps.bist_enable is not 1!', 'socket1.io0.uncore.hwrs.gpsb.poc_straps.bist_enable is not 1!'],[],[],['mscod: MCE when MCIP bit is set-Error signaled by the core and logged in Ubox. Check the core for more details.', 'Merge Bank6-Punit signaled an MCA to Ubox; Check mc_status of MCA BANKID:6 and  MCA BANK_INDEX:0x0', 'Merge Bank6-Punit signaled an MCA to Ubox; Check mc_status of MCA BANKID:6 and  MCA BANK_INDEX:0x4'],['UBOX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mscod:0x1400 desc: MCA_HPM_MSG_SEND_TIMEOUT)',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</si>
  <si>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'PRIMECODE_WATCHDOG_TIMER_EXPIRED'],[],['socket1.io0.uncore.hwrs.gpsb.poc_straps.bist_enable is not 1!', 'Jumpers J5562 and J5563 set to 1-2 which enables a0_debug_strap. This is not POR and could cause issues with DRNG. Uninstall the jumpers if this is an issue.'],[],[],["mscod: Error from {'PORTID': '0x4a0', 'source_name': 'io0:scf_b2upi.0.scf_b2upi.0'}- Error (from {'PORTID': '0x4a0', 'source_name': 'io0:scf_b2upi.0.scf_b2upi.0'}) error  Error from {'PORTID': '0x4a0', 'source_name': 'io0:scf_b2upi.0.scf_b2upi.0'} signaled to ubox MCA.", 'mscod: MCE when CR4.MCE is clear-Error signaled by the core and logged in Ubox. Check the core for more details.', 'Merge Bank5-UPI signaled an MCA to Ubox; Check mc_status of MCA BANKID:5 and  MCA BANK_INDEX:0x1', 'Merge Bank6-Punit signaled an MCA to Ubox; Check mc_status of MCA BANKID:6 and  MCA BANK_INDEX:0x9', 'Merge Bank7-CHA0 signaled an MCA to Ubox; Check mc_status of MCA BANKID:7 and  MCA BANK_INDEX:0x0', 'Merge Bank5-UPI signaled an MCA to Ubox; Check mc_status of MCA BANKID:5 and  MCA BANK_INDEX:0x1', 'Merge Bank6-Punit signaled an MCA to Ubox; Check mc_status of MCA BANKID:6 and  MCA BANK_INDEX:0x9'],[],['msm_corecrashlog_ctrl.haderror: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</si>
  <si>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[],['socket0.io0.uncore.hwrs.gpsb.poc_straps.bist_enable is not 1!'],[],[],['mscod: MCE when MCIP bit is set-Error signaled by the core and logged in Ubox. Check the core for more details.', 'Merge Bank6-Punit signaled an MCA to Ubox; Check mc_status of MCA BANKID:6 and  MCA BANK_INDEX:0x9', 'Merge Bank7-CHA0 signaled an MCA to Ubox; Check mc_status of MCA BANKID:7 and  MCA BANK_INDEX:0x10'],['UBOX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'CHA ERROR ( mcacod:0x17a desc:Cache Errors: EVICT.G.L2)( mscod:0x40 desc: MCCHAN UnCorr Spare Error)', 'CHA ERROR ( mcacod:0x1136 desc:Cache Errors (Filtered): DRD.D.L2)( mscod:0xc desc: CHA TOR_TIMEOUT)', 'CHA ERROR ( mcacod:0x17a desc:Cache Errors: EVICT.G.L2)( mscod:0x40 desc: MCCHAN UnCorr Spare Error)', 'CHA ERROR ( mcacod:0x1136 desc:Cache Errors (Filtered): DRD.D.L2)(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dev8_co_sts from uncore.pi5.pxp0.rp6', 'Corrected global error dev2_co_sts from uncore.pi5.pxp1.rp0'],[],nan,nan</t>
  </si>
  <si>
    <t>['mismatch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'socket0.io0.uncore.hwrs.gpsb.poc_straps.txt_plten is not 1!', 'socket1.io0.uncore.hwrs.gpsb.poc_straps.bist_enable is not 1!', 'socket1.io0.uncore.hwrs.gpsb.poc_straps.txt_plten is not 1!'],[],[],["mscod: Error from {'PORTID': '0x4a0', 'source_name': 'io0:scf_b2upi.0.scf_b2upi.0'}- Error (from {'PORTID': '0x4a0', 'source_name': 'io0:scf_b2upi.0.scf_b2upi.0'}) error  Error from {'PORTID': '0x4a0', 'source_name': 'io0:scf_b2upi.0.scf_b2upi.0'} signaled to ubox MCA.", 'Merge Bank5-UPI signaled an MCA to Ubox; Check mc_status of MCA BANKID:5 and  MCA BANK_INDEX:0x1', 'Merge Bank6-Punit signaled an MCA to Ubox; Check mc_status of MCA BANKID:6 and  MCA BANK_INDEX:0x4', 'Merge Bank7-CHA0 signaled an MCA to Ubox; Check mc_status of MCA BANKID:7 and  MCA BANK_INDEX:0x1', 'Merge Bank5-UPI signaled an MCA to Ubox; Check mc_status of MCA BANKID:5 and  MCA BANK_INDEX:0x1', 'Merge Bank6-Punit signaled an MCA to Ubox; Check mc_status of MCA BANKID:6 and  MCA BANK_INDEX:0x9', 'Merge Bank7-CHA0 signaled an MCA to Ubox; Check mc_status of MCA BANKID:7 and  MCA BANK_INDEX:0x12'],[],['msm_global_status_ctrl_reg.global_viral: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</si>
  <si>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[],['socket1.io0.uncore.hwrs.gpsb.poc_straps.bist_enable is not 1!', 'Jumpers J5562 and J5563 set to 1-2 which enables a0_debug_strap. This is not POR and could cause issues with DRNG. Uninstall the jumpers if this is an issue.'],[],[],["mscod: Error from {'PORTID': '0x4a0', 'source_name': 'io0:scf_b2upi.0.scf_b2upi.0'}- Error (from {'PORTID': '0x4a0', 'source_name': 'io0:scf_b2upi.0.scf_b2upi.0'}) error  Error from {'PORTID': '0x4a0', 'source_name': 'io0:scf_b2upi.0.scf_b2upi.0'} signaled to ubox MCA.", "mscod: Error from {'PORTID': '0x4a0', 'source_name': 'io0:scf_b2upi.0.scf_b2upi.0'}- Error (from {'PORTID': '0x4a0', 'source_name': 'io0:scf_b2upi.0.scf_b2upi.0'}) error  Error from {'PORTID': '0x4a0', 'source_name': 'io0:scf_b2upi.0.scf_b2upi.0'} signaled to ubox MCA.", 'Merge Bank6-Punit signaled an MCA to Ubox; Check mc_status of MCA BANKID:6 and  MCA BANK_INDEX:0x0', 'Merge Bank7-CHA0 signaled an MCA to Ubox; Check mc_status of MCA BANKID:7 and  MCA BANK_INDEX:0x5', 'Merge Bank6-Punit signaled an MCA to Ubox; Check mc_status of MCA BANKID:6 and  MCA BANK_INDEX:0x0', 'Merge Bank7-CHA0 signaled an MCA to Ubox; Check mc_status of MCA BANKID:7 and  MCA BANK_INDEX:0x1'],[],['msm_global_status_ctrl_reg.global_viral: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</si>
  <si>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HW.CFG.ERR, HW.CORR, HW.ERR, HW.KNOWN_ISSUE, HW.MCE, HW.MCE.CHA, HW.MCE.MLC, HW.MCE.PCU,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</si>
  <si>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TLB Arbiter is non idle'],[],['Merge Bank5-UPI signaled an MCA to Ubox; Check mc_status of MCA BANKID:5 and  MCA BANK_INDEX:0x1', 'Merge Bank6-Punit signaled an MCA to Ubox; Check mc_status of MCA BANKID:6 and  MCA BANK_INDEX:0x9', 'Merge Bank7-CHA0 signaled an MCA to Ubox; Check mc_status of MCA BANKID:7 and  MCA BANK_INDEX:0x0', 'Merge Bank5-UPI signaled an MCA to Ubox; Check mc_status of MCA BANKID:5 and  MCA BANK_INDEX:0x1', 'Merge Bank6-Punit signaled an MCA to Ubox; Check mc_status of MCA BANKID:6 and  MCA BANK_INDEX:0x0'],[],['msm_global_status_ctrl_reg.global_viral: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</si>
  <si>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[],[],['socket0.io0.uncore.hwrs.gpsb.poc_straps.bist_enable is not 1!', 'socket1.io0.uncore.hwrs.gpsb.poc_straps.bist_enable is not 1!'],[],[],['Merge Bank6-Punit signaled an MCA to Ubox; Check mc_status of MCA BANKID:6 and  MCA BANK_INDEX:0xb', 'Merge Bank6-Punit signaled an MCA to Ubox; Check mc_status of MCA BANKID:6 and  MCA BANK_INDEX:0x4'],[],['msm_global_status_ctrl_reg.global_viral: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</si>
  <si>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HW.CFG.ERR, HW.CORR, HW.ERR, HW.MCE, HW.MCE.CHA, HW.MCE.MLC, HW.MCE.PCU</t>
  </si>
  <si>
    <t>[],[],['socket0.io0.uncore.hwrs.gpsb.poc_straps.bist_enable is not 1!', 'socket1.io0.uncore.hwrs.gpsb.poc_straps.bist_enable is not 1!'],[],[],['Merge Bank6-Punit signaled an MCA to Ubox; Check mc_status of MCA BANKID:6 and  MCA BANK_INDEX:0x0', 'Merge Bank7-CHA0 signaled an MCA to Ubox; Check mc_status of MCA BANKID:7 and  MCA BANK_INDEX:0x19', 'Merge Bank6-Punit signaled an MCA to Ubox; Check mc_status of MCA BANKID:6 and  MCA BANK_INDEX:0x0', 'Merge Bank7-CHA0 signaled an MCA to Ubox; Check mc_status of MCA BANKID:7 and  MCA BANK_INDEX:0x19'],[],['msm_corecrashlog_ctrl.haderror: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</si>
  <si>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'msm_mbx_error_sts.mbx_overflow', 'corerrsts_msm.advisory_non_fatal_error_status', 'msm_mbx_error_sts.mbx_overflow'],[],[],nan,nan,nan,nan,nan</t>
  </si>
  <si>
    <t>HW.CFG.ERR, HW.CORR, HW.ERR, HW.MCE, HW.MCE.PCU,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</si>
  <si>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'Pcode sent an invalid response to another pcode during PkgS', 'PRIMECODE_WATCHDOG_TIMER_EXPIRED', 'Pcode sent an invalid response to another pcode during PkgS', 'PRIMECODE_WATCHDOG_TIMER_EXPIRED'],[],[],['socket0.io0.uncore.hwrs.gpsb.poc_straps.bist_enable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BANK_INDEX:0x0', 'Merge Bank5-UPI signaled an MCA to Ubox; Check mc_status of MCA BANKID:5 and  MCA BANK_INDEX:0x0', 'Merge Bank6-Punit signaled an MCA to Ubox; Check mc_status of MCA BANKID:6 and  MCA BANK_INDEX:0x0'],[],['msm_uncorecrashlog_ctrl.haderror: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</si>
  <si>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HW.CFG.ERR, HW.CORR, HW.MCE.CHA</t>
  </si>
  <si>
    <t>[],['socket0.io0.uncore.hwrs.gpsb.poc_straps.bist_enable is not 1!', 'socket1.io0.uncore.hwrs.gpsb.poc_straps.bist_enable is not 1!'],[],[],['corerrsts_msm.advisory_non_fatal_error_status', 'corerrsts_oob.advisory_non_fatal_error_status', 'corerrsts_msm.advisory_non_fatal_error_status', 'corerrsts_oob.advisory_non_fatal_error_status'],[],[],nan,nan,nan,nan</t>
  </si>
  <si>
    <t>[],[],['socket0.io0.uncore.hwrs.gpsb.poc_straps.bist_enable is not 1!'],[],[],['mscod: MCE when MCIP bit is set-Error signaled by the core and logged in Ubox. Check the core for more details.', 'Merge Bank6-Punit signaled an MCA to Ubox; Check mc_status of MCA BANKID:6 and  MCA BANK_INDEX:0x9', 'Merge Bank7-CHA0 signaled an MCA to Ubox; Check mc_status of MCA BANKID:7 and  MCA BANK_INDEX:0x26'],['UBOX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</si>
  <si>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 'socket1.io0.uncore.hwrs.gpsb.poc_straps.bist_enable is not 1!'],[],[],['Merge Bank6-Punit signaled an MCA to Ubox; Check mc_status of MCA BANKID:6 and  MCA BANK_INDEX:0x0', 'Merge Bank6-Punit signaled an MCA to Ubox; Check mc_status of MCA BANKID:6 and  MCA BANK_INDEX:0x4'],[],['msm_uncorecrashlog_ctrl.haderror: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'msm_global_status_ctrl_reg.global_viral: Global Viral Crashlog Trigger along with IERR assertion from PUNIT', 'msm_global_status_ctrl_reg.global_viral: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PUNIT'],[],[],nan</t>
  </si>
  <si>
    <t>HW.CFG.ERR, HW.CORR, HW.ERR, HW.MCE.DCU, HW.MCE.DTLB, HW.MCE.IFU, HW.MCE.MLC</t>
  </si>
  <si>
    <t>['socket0.io0.uncore.hwrs.gpsb.poc_straps.bist_enable is not 1!', 'socket1.io0.uncore.hwrs.gpsb.poc_straps.bist_enable is not 1!'],[],[],['corerrsts_msm.advisory_non_fatal_error_status', 'msm_mbx_error_sts.mbx_overflow', 'corerrsts_msm.advisory_non_fatal_error_status', 'msm_mbx_error_sts.mbx_overflow'],[],[],nan,nan,nan,nan,nan</t>
  </si>
  <si>
    <t>['socket0.io0.uncore.hwrs.gpsb.poc_straps.bist_enable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'corerrsts_oob.advisory_non_fatal_error_status', 'msm_mbx_error_sts.mbx_overflow', 'corerrsts_msm.advisory_non_fatal_error_status', 'corerrsts_oob.advisory_non_fatal_error_status', 'msm_mbx_error_sts.mbx_overflow'],[],[],nan,nan,nan,nan,nan</t>
  </si>
  <si>
    <t>['socket1.io0.uncore.hwrs.gpsb.poc_straps.bist_enable is not 1!', 'Jumpers J5562 and J5563 set to 1-2 which enables a0_debug_strap. This is not POR and could cause issues with DRNG. Uninstall the jumpers if this is an issue.'],[],[],['corerrsts_msm.advisory_non_fatal_error_status', 'corerrsts_oob.advisory_non_fatal_error_status', 'msm_mbx_error_sts.mbx_overflow', 'corerrsts_msm.advisory_non_fatal_error_status', 'corerrsts_oob.advisory_non_fatal_error_status', 'msm_mbx_error_sts.mbx_overflow'],[],[],nan,nan,nan,nan,nan</t>
  </si>
  <si>
    <t>HW.CFG.ERR, HW.CORR, HW.ERR, HW.MCE.DCU, HW.MCE.DTLB, HW.MCE.IFU, HW.MCE.MLC,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</si>
  <si>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1!'],[],[],['corerrsts_msm.advisory_non_fatal_error_status', 'msm_mbx_error_sts.mbx_overflow', 'corerrsts_msm.advisory_non_fatal_error_status', 'msm_mbx_error_sts.mbx_overflow'],[],[],nan,nan,nan</t>
  </si>
  <si>
    <t>HW.CFG.ERR, HW.CORR, HW.ERR, HW.MCE.DCU, HW.MCE.DTLB</t>
  </si>
  <si>
    <t>HW.CFG.ERR, HW.CORR, HW.ERR, HW.MCE.DCU, HW.MCE.DTLB, HW.MCE.IFU, HW.MCE.MLC, HW.MCE.PCU, HW.MCE.PUNIT</t>
  </si>
  <si>
    <t>[],['socket0.io0.uncore.hwrs.gpsb.poc_straps.bist_enable is not 1!', 'socket1.io0.uncore.hwrs.gpsb.poc_straps.bist_enable is not 1!'],[],[],['corerrsts_msm.advisory_non_fatal_error_status', 'msm_mbx_error_sts.mbx_overflow', 'corerrsts_msm.advisory_non_fatal_error_status', 'msm_mbx_error_sts.mbx_overflow'],[],[],nan,nan,nan,nan</t>
  </si>
  <si>
    <t>HW.CFG.ERR, HW.CORR, HW.ERR, HW.MCE.DCU, HW.MCE.IFU, HW.MCE.MLC</t>
  </si>
  <si>
    <t>HW.CFG.ERR, HW.CORR, HW.ERR, HW.KNOWN_ISSUE, HW.MCE, HW.MCE.CHA, HW.MCE.IIO, HW.MCE.PCU</t>
  </si>
  <si>
    <t>[],['socket0.io0.uncore.hwrs.gpsb.poc_straps.bist_enable is not 1!'],['IOMMU TLB Arbiter is non idle', 'IOMMU TLB Arbiter is non idle'],[],["mscod: SBO_BL_DATA_PAR_ERR- SCF IP (from SBO {'PORTID': '0x4a54', 'source_name': 'compute0:scf_sbo.0.ddimb.13'}) error  SBO_BL_DATA_PAR_ERR signaled to ubox MCA.", 'Merge Bank6-Punit signaled an MCA to Ubox; Check mc_status of MCA BANKID:6 and  MCA BANK_INDEX:0x9', 'Merge Bank7-CHA0 signaled an MCA to Ubox; Check mc_status of MCA BANKID:7 and  MCA BANK_INDEX:0x15'],[],['msm_global_status_ctrl_reg.global_viral: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</si>
  <si>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HW.CFG.ERR, HW.CORR, HW.ERR, HW.MCE, HW.MCE.PCU</t>
  </si>
  <si>
    <t>[],['socket0.io0.uncore.hwrs.gpsb.poc_straps.bist_enable is not 1!', 'socket0.io0.uncore.hwrs.gpsb.poc_straps.txt_plten is not 1!'],[],[],[],[],['msm_global_status_ctrl_reg.global_viral: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t>
  </si>
  <si>
    <t>HW.CFG.ERR, HW.CORR, HW.ERR, HW.MCE.DCU, HW.MCE.DTLB, HW.MCE.IFU,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</si>
  <si>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'msm_mbx_error_sts.mbx_overflow', 'corerrsts_msm.advisory_non_fatal_error_status', 'msm_mbx_error_sts.mbx_overflow'],[],[],nan,nan,nan</t>
  </si>
  <si>
    <t>[],[],[],['socket0.io0.uncore.hwrs.gpsb.poc_straps.bist_enable is not 1!'],[],[],['corerrsts_oob.advisory_non_fatal_error_status', 'corerrsts_msm.advisory_non_fatal_error_status', 'corerrsts_oob.advisory_non_fatal_error_status', 'msm_mbx_error_sts.mbx_overflow'],[],[],nan,nan</t>
  </si>
  <si>
    <t>HW.CFG.ERR, HW.CORR, HW.ERR, HW.MCE.MLC, HW.MCE.PCU, HW.MCE.PUNIT</t>
  </si>
  <si>
    <t>[],['Either an S3M HW error, S3M FW error, or ISCLK FuSa error'],['socket0.io0.uncore.hwrs.gpsb.poc_straps.bist_enable is not 1!', 'socket1.io0.uncore.hwrs.gpsb.poc_straps.bist_enable is not 1!'],[],[],['msm_uncorecrashlog_ctrl.haderror: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ierr'],[],nan,nan,nan,nan</t>
  </si>
  <si>
    <t>HW.CFG.ERR, HW.CORR, HW.ERR, HW.MCE.DTLB</t>
  </si>
  <si>
    <t>[],['socket0.io0.uncore.hwrs.gpsb.poc_straps.bist_enable is not 1!', 'socket1.io0.uncore.hwrs.gpsb.poc_straps.bist_enable is not 1!'],['IOMMU vtd fault - ppf', 'IOMMU vtd fault - pfo'],[],['corerrsts_msm.advisory_non_fatal_error_status', 'corerrsts_oob.advisory_non_fatal_error_status', 'msm_mbx_error_sts.mbx_overflow', 'corerrsts_msm.advisory_non_fatal_error_status', 'corerrsts_oob.advisory_non_fatal_error_status', 'msm_mbx_error_sts.mbx_overflow'],[],[],nan,nan,nan,nan</t>
  </si>
  <si>
    <t>HW.CFG.ERR, HW.CORR, HW.ERR, HW.KNOWN_ISSUE, HW.MCE.DCU, HW.MCE.DTLB, HW.MCE.IFU, HW.MCE.MLC</t>
  </si>
  <si>
    <t>['socket0.io0.uncore.hwrs.gpsb.poc_straps.bist_enable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 'IOMMU TLB Arbiter is non idle'],[],['corerrsts_msm.advisory_non_fatal_error_status', 'corerrsts_oob.advisory_non_fatal_error_status', 'msm_mbx_error_sts.mbx_overflow', 'corerrsts_msm.advisory_non_fatal_error_status', 'corerrsts_oob.advisory_non_fatal_error_status', 'msm_mbx_error_sts.mbx_overflow'],[],[],nan,nan,nan,nan,nan</t>
  </si>
  <si>
    <t>['socket0.io0.uncore.hwrs.gpsb.poc_straps.bist_enable is not 1!', 'socket1.io0.uncore.hwrs.gpsb.poc_straps.bist_enable is not 1!'],[],[],['corerrsts_oob.advisory_non_fatal_error_status', 'corerrsts_oob.advisory_non_fatal_error_status'],[],[],nan,nan,nan,nan,nan</t>
  </si>
  <si>
    <t>['socket1.io0.uncore.hwrs.gpsb.poc_straps.bist_enable is not 1!'],[],[],['corerrsts_oob.advisory_non_fatal_error_status', 'corerrsts_oob.advisory_non_fatal_error_status'],[],[],nan,nan,nan,nan,nan</t>
  </si>
  <si>
    <t>HW.CFG.ERR, HW.CORR, HW.ERR, HW.MCE, HW.MCE.MLC, HW.MCE.PCU, HW.MCE.PUNIT, HW.MCE.UPI</t>
  </si>
  <si>
    <t>[],['PRIMECODE_WATCHDOG_TIMER_EXPIRED',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issue.'],[],[],['Merge Bank5-UPI signaled an MCA to Ubox; Check mc_status of MCA BANKID:5 and  MCA BANK_INDEX:0x1', 'Merge Bank6-Punit signaled an MCA to Ubox; Check mc_status of MCA BANKID:6 and  MCA BANK_INDEX:0xb', 'Merge Bank7-CHA0 signaled an MCA to Ubox; Check mc_status of MCA BANKID:7 and  MCA BANK_INDEX:0x5c', 'Merge Bank5-UPI signaled an MCA to Ubox; Check mc_status of MCA BANKID:5 and  MCA BANK_INDEX:0x1', 'Merge Bank6-Punit signaled an MCA to Ubox; Check mc_status of MCA BANKID:6 and  MCA BANK_INDEX:0xb', 'Merge Bank7-CHA0 signaled an MCA to Ubox; Check mc_status of MCA BANKID:7 and  MCA BANK_INDEX:0x58'],[],['msm_global_status_ctrl_reg.global_viral: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</si>
  <si>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HW.CFG.ERR, HW.CORR, HW.ERR, HW.KNOWN_ISSUE, HW.MCE, HW.MCE.CHA, HW.MCE.MLC, HW.MCE.PCU, HW.MCE.PUNIT,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</si>
  <si>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 'IOMMU TLB Arbiter is non idle'],[],['Merge Bank5-UPI signaled an MCA to Ubox; Check mc_status of MCA BANKID:5 and  MCA BANK_INDEX:0x1', 'Merge Bank6-Punit signaled an MCA to Ubox; Check mc_status of MCA BANKID:6 and  MCA BANK_INDEX:0xa', 'Merge Bank5-UPI signaled an MCA to Ubox; Check mc_status of MCA BANKID:5 and  MCA BANK_INDEX:0x1', 'Merge Bank6-Punit signaled an MCA to Ubox; Check mc_status of MCA BANKID:6 and  MCA BANK_INDEX:0x9', 'Merge Bank7-CHA0 signaled an MCA to Ubox; Check mc_status of MCA BANKID:7 and  MCA BANK_INDEX:0x5'],[],['msm_global_status_ctrl_reg.global_viral: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</si>
  <si>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['socket1.io0.uncore.hwrs.gpsb.poc_straps.bist_enable is not 1!'],['IOMMU vtd fault - pfo'],[],['corerrsts_msm.advisory_non_fatal_error_status', 'corerrsts_oob.advisory_non_fatal_error_status', 'msm_mbx_error_sts.mbx_overflow', 'corerrsts_msm.advisory_non_fatal_error_status', 'corerrsts_oob.advisory_non_fatal_error_status', 'msm_mbx_error_sts.mbx_overflow'],[],[],nan,nan,nan,nan,nan</t>
  </si>
  <si>
    <t>['socket1.io0.uncore.hwrs.gpsb.poc_straps.bist_enable is not 1!'],[],[],['corerrsts_msm.advisory_non_fatal_error_status', 'corerrsts_oob.advisory_non_fatal_error_status', 'msm_mbx_error_sts.mbx_overflow', 'corerrsts_msm.advisory_non_fatal_error_status', 'corerrsts_oob.advisory_non_fatal_error_status', 'msm_mbx_error_sts.mbx_overflow'],[],[],nan,nan,nan,nan,nan</t>
  </si>
  <si>
    <t>[],['socket1.io0.uncore.hwrs.gpsb.poc_straps.bist_enable is not 1!'],[],[],['corerrsts_msm.advisory_non_fatal_error_status', 'corerrsts_oob.advisory_non_fatal_error_status', 'msm_mbx_error_sts.mbx_overflow', 'corerrsts_msm.advisory_non_fatal_error_status', 'corerrsts_oob.advisory_non_fatal_error_status', 'msm_mbx_error_sts.mbx_overflow'],[],[],nan,nan,nan,nan</t>
  </si>
  <si>
    <t>['socket0.io0.uncore.hwrs.gpsb.poc_straps.bist_enable is not 1!', 'socket1.io0.uncore.hwrs.gpsb.poc_straps.bist_enable is not 1!'],['IOMMU vtd fault - pfo', 'IOMMU vtd fault - pfo', 'IOMMU vtd fault - pfo', 'IOMMU vtd fault - pfo'],[],['corerrsts_msm.advisory_non_fatal_error_status', 'corerrsts_oob.advisory_non_fatal_error_status', 'msm_mbx_error_sts.mbx_overflow', 'corerrsts_msm.advisory_non_fatal_error_status', 'corerrsts_oob.advisory_non_fatal_error_status', 'msm_mbx_error_sts.mbx_overflow'],[],[],nan,nan,nan,nan,nan</t>
  </si>
  <si>
    <t>[],['socket0.io0.uncore.hwrs.gpsb.poc_straps.bist_enable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'corerrsts_oob.advisory_non_fatal_error_status', 'msm_mbx_error_sts.mbx_overflow', 'corerrsts_msm.advisory_non_fatal_error_status', 'corerrsts_oob.advisory_non_fatal_error_status', 'msm_mbx_error_sts.mbx_overflow'],[],[],nan,nan,nan,nan</t>
  </si>
  <si>
    <t>HW.CFG.ERR, HW.CORR, HW.ERR, HW.MCE, HW.MCE.DCU, HW.MCE.DTLB, HW.MCE.IFU, HW.MCE.MLC,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</si>
  <si>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1!'],[],[],['Merge Bank5-UPI signaled an MCA to Ubox; Check mc_status of MCA BANKID:5 and  MCA BANK_INDEX:0x0', 'Merge Bank6-Punit signaled an MCA to Ubox; Check mc_status of MCA BANKID:6 and  MCA BANK_INDEX:0x0'],[],['msm_global_status_ctrl_reg.global_viral: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</si>
  <si>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HW.CFG.ERR, HW.CORR, HW.ERR, HW.MCE, HW.MCE.CHA, HW.MCE.IIO, HW.MCE.PCU, HW.MCE.PUNIT, HW.MCE.UBOX</t>
  </si>
  <si>
    <t>[],['socket0.io0.uncore.hwrs.gpsb.poc_straps.bist_enable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'uncersts_msm.received_an_unsupported_request: OOBMSM recieved an unsupported request', 'corerrsts_msm.advisory_non_fatal_error_status', 'uncersts_oob.received_an_unsupported_request', 'corerrsts_oob.advisory_non_fatal_error_status'],[],[],nan,nan,nan,nan</t>
  </si>
  <si>
    <t>HW.CFG.ERR, HW.CORR, HW.ERR, HW.MCE, HW.MCE.IIO, HW.MCE.PCU, HW.MCE.PUNIT, HW.MCE.UBOX</t>
  </si>
  <si>
    <t>[],['socket0.io0.uncore.hwrs.gpsb.poc_straps.bist_enable is not 1!', 'socket1.io0.uncore.hwrs.gpsb.poc_straps.bist_enable is not 1!'],[],[],['mscod: MCE when MCIP bit is set-Error signaled by the core and logged in Ubox. Check the core for more details.', 'Merge Bank6-Punit signaled an MCA to Ubox; Check mc_status of MCA BANKID:6 and  MCA BANK_INDEX:0x9', 'Merge Bank6-Punit signaled an MCA to Ubox; Check mc_status of MCA BANKID:6 and  MCA BANK_INDEX:0x4'],[],['msm_global_status_ctrl_reg.global_viral: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t>
  </si>
  <si>
    <t>HW.CFG.ERR, HW.CORR, HW.ERR, HW.MCE, HW.MCE.IIO, HW.MCE.PCU, HW.MCE.PUNIT, HW.MCE.UBOX,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</si>
  <si>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SW triple fault shutdown-Error signaled by the core and logged in Ubox. Check the core for more details.', 'mscod: MCE when MCIP bit is set-Error signaled by the core and logged in Ubox. Check the core for more details.', 'Merge Bank5-UPI signaled an MCA to Ubox; Check mc_status of MCA BANKID:5 and  MCA BANK_INDEX:0x0', 'Merge Bank6-Punit signaled an MCA to Ubox; Check mc_status of MCA BANKID:6 and  MCA BANK_INDEX:0x0', 'Merge Bank5-UPI signaled an MCA to Ubox; Check mc_status of MCA BANKID:5 and  MCA BANK_INDEX:0x1', 'Merge Bank6-Punit signaled an MCA to Ubox; Check mc_status of MCA BANKID:6 and  MCA BANK_INDEX:0xa'],[],['msm_corecrashlog_ctrl.haderror: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</si>
  <si>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'PRIMECODE_WATCHDOG_TIMER_EXPIRED'],[],['socket0.io0.uncore.hwrs.gpsb.poc_straps.safe_mode_boot is not 0! This is potentially unsafe electrically/thermally.'],[],[],['mscod: MCE under WFS-Error signaled by the core and logged in Ubox. Check the core for more details.', 'mscod: MCE under WFS-Error signaled by the core and logged in Ubox. Check the core for more details.', 'Merge Bank5-UPI signaled an MCA to Ubox; Check mc_status of MCA BANKID:5 and  MCA BANK_INDEX:0x2', 'Merge Bank6-Punit signaled an MCA to Ubox; Check mc_status of MCA BANKID:6 and  MCA BANK_INDEX:0xb', 'Merge Bank7-CHA0 signaled an MCA to Ubox; Check mc_status of MCA BANKID:7 and  MCA BANK_INDEX:0x0', 'Merge Bank5-UPI signaled an MCA to Ubox; Check mc_status of MCA BANKID:5 and  MCA BANK_INDEX:0x3', 'Merge Bank6-Punit signaled an MCA to Ubox; Check mc_status of MCA BANKID:6 and  MCA BANK_INDEX:0x4', 'Merge Bank7-CHA0 signaled an MCA to Ubox; Check mc_status of MCA BANKID:7 and  MCA BANK_INDEX:0x28'],[],['msm_global_status_ctrl_reg.global_viral: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</si>
  <si>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HW.CFG.ERR, HW.CORR, HW.ERR, HW.MCE, HW.MCE.CHA, HW.MCE.MLC, HW.MCE.PCU, HW.MCE.PUNIT</t>
  </si>
  <si>
    <t>[],[],['socket0.io0.uncore.hwrs.gpsb.poc_straps.bist_enable is not 1!', 'socket1.io0.uncore.hwrs.gpsb.poc_straps.bist_enable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BANK_INDEX:0x9', 'Merge Bank7-CHA0 signaled an MCA to Ubox; Check mc_status of MCA BANKID:7 and  MCA BANK_INDEX:0x4f', 'Merge Bank6-Punit signaled an MCA to Ubox; Check mc_status of MCA BANKID:6 and  MCA BANK_INDEX:0x0', 'Merge Bank7-CHA0 signaled an MCA to Ubox; Check mc_status of MCA BANKID:7 and  MCA BANK_INDEX:0x2f', 'LOCK Hard Hang, did not return to idle in 1s'],[],['msm_global_status_ctrl_reg.global_viral: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t>
  </si>
  <si>
    <t>[],[],['socket0.io0.uncore.hwrs.gpsb.poc_straps.bist_enable is not 1!', 'socket1.io0.uncore.hwrs.gpsb.poc_straps.bist_enable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BANK_INDEX:0x0', 'Merge Bank7-CHA0 signaled an MCA to Ubox; Check mc_status of MCA BANKID:7 and  MCA BANK_INDEX:0x55', 'Merge Bank6-Punit signaled an MCA to Ubox; Check mc_status of MCA BANKID:6 and  MCA BANK_INDEX:0xa', 'Merge Bank7-CHA0 signaled an MCA to Ubox; Check mc_status of MCA BANKID:7 and  MCA BANK_INDEX:0x24', 'LOCK Hard Hang, did not return to idle in 1s'],[],['msm_global_status_ctrl_reg.global_viral: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t>
  </si>
  <si>
    <t>HW.CFG.ERR, HW.CORR, HW.ERR, HW.MCE, HW.MCE.PCU, HW.MCE.PUNIT</t>
  </si>
  <si>
    <t>[],[],['socket0.io0.uncore.hwrs.gpsb.poc_straps.bist_enable is not 1!', 'socket1.io0.uncore.hwrs.gpsb.poc_straps.bist_enable is not 1!'],[],[],['Merge Bank6-Punit signaled an MCA to Ubox; Check mc_status of MCA BANKID:6 and  MCA BANK_INDEX:0x4', 'Merge Bank6-Punit signaled an MCA to Ubox; Check mc_status of MCA BANKID:6 and  MCA BANK_INDEX:0x4'],[],['msm_global_status_ctrl_reg.global_viral: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t>
  </si>
  <si>
    <t>[],['socket0.io0.uncore.hwrs.gpsb.poc_straps.bist_enable is not 1!', 'socket1.io0.uncore.hwrs.gpsb.poc_straps.bist_enable is not 1!', 'Jumpers J5562 and J5563 set to 1-2 which enables a0_debug_strap. This is not POR and could cause issues with DRNG. Uninstall the jumpers if this is an issue.'],[],[],[],[],['uncersts_oob.received_an_unsupported_request', 'corerrsts_oob.advisory_non_fatal_error_status', 'msm_global_status_ctrl_reg.pcode_err: PCI_ERR logged and occurred going to PUNIT', 'msm_global_status_ctrl_reg.peci_err: PCI_ERR logged and sent (maybe) for PECI', 'msm_global_status_ctrl_reg.msm_pmsb_err: Error on PMSB (PCI_ERR logged for PMSB)', 'uncersts_oob.received_an_unsupported_request', 'corerrsts_oob.advisory_non_fatal_error_status', 'msm_global_status_ctrl_reg.pcode_err: PCI_ERR logged and occurred going to PUNIT', 'msm_global_status_ctrl_reg.peci_err: PCI_ERR logged and sent (maybe) for PECI', 'msm_global_status_ctrl_reg.msm_pmsb_err: Error on PMSB (PCI_ERR logged for PMSB)'],['Corrected global error dev2_co_sts from uncore.pi5.pxp0.rp0', 'Non-fatal global error dev3_nf_sts from uncore.pi5.pxp1.rp1'],[],nan,nan</t>
  </si>
  <si>
    <t>HW.CFG.ERR, HW.CORR, HW.ERR, HW.MCE, HW.MCE.IIO, HW.MCE.PCU,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</si>
  <si>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'PRIMECODE_WATCHDOG_TIMER_EXPIRED'],[],[],['socket0.io0.uncore.hwrs.gpsb.poc_straps.safe_mode_boot is not 0! This is potentially unsafe electrically/thermally.'],[],[],['mscod: MCE when MCIP bit is set-Error signaled by the core and logged in Ubox. Check the core for more details.', 'mscod: MCE when MCIP bit is set-Error signaled by the core and logged in Ubox. Check the core for more details.', 'Merge Bank5-UPI signaled an MCA to Ubox; Check mc_status of MCA BANKID:5 and  MCA BANK_INDEX:0x4', 'Merge Bank6-Punit signaled an MCA to Ubox; Check mc_status of MCA BANKID:6 and  MCA BANK_INDEX:0x9', 'Merge Bank5-UPI signaled an MCA to Ubox; Check mc_status of MCA BANKID:5 and  MCA BANK_INDEX:0x5', 'Merge Bank6-Punit signaled an MCA to Ubox; Check mc_status of MCA BANKID:6 and  MCA BANK_INDEX:0x0'],[],['msm_corecrashlog_ctrl.haderror: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</si>
  <si>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['socket0.io0.uncore.hwrs.gpsb.poc_straps.bist_enable is not 1!', 'socket1.io0.uncore.hwrs.gpsb.poc_straps.bist_enable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</si>
  <si>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SW triple fault shutdown-Error signaled by the core and logged in Ubox. Check the core for more details.', 'mscod: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BANK_INDEX:0x0', 'Merge Bank5-UPI signaled an MCA to Ubox; Check mc_status of MCA BANKID:5 and  MCA BANK_INDEX:0x1', 'Merge Bank6-Punit signaled an MCA to Ubox; Check mc_status of MCA BANKID:6 and  MCA BANK_INDEX:0x4'],[],['corerrsts_oob.advisory_non_fatal_error_status',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t>
  </si>
  <si>
    <t>[],[],['socket0.io0.uncore.hwrs.gpsb.poc_straps.bist_enable is not 1!', 'socket1.io0.uncore.hwrs.gpsb.poc_straps.bist_enable is not 1!', 'Jumpers J5562 and J5563 set to 1-2 which enables a0_debug_strap. This is not POR and could cause issues with DRNG. Uninstall the jumpers if this is an issue.'],[],[],['mscod: MCE when MCIP bit is set-Error signaled by the core and logged in Ubox. Check the core for more details.', 'Merge Bank6-Punit signaled an MCA to Ubox; Check mc_status of MCA BANKID:6 and  MCA BANK_INDEX:0x4', 'Merge Bank7-CHA0 signaled an MCA to Ubox; Check mc_status of MCA BANKID:7 and  MCA BANK_INDEX:0x2e', 'Merge Bank6-Punit signaled an MCA to Ubox; Check mc_status of MCA BANKID:6 and  MCA BANK_INDEX:0xb', 'Merge Bank7-CHA0 signaled an MCA to Ubox; Check mc_status of MCA BANKID:7 and  MCA BANK_INDEX:0x37'],[],['corerrsts_oob.advisory_non_fatal_error_status',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</si>
  <si>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 'Merge Bank6-Punit signaled an MCA to Ubox; Check mc_status of MCA BANKID:6 and  MCA BANK_INDEX:0x9', 'Merge Bank7-CHA0 signaled an MCA to Ubox; Check mc_status of MCA BANKID:7 and  MCA BANK_INDEX:0x37', 'Merge Bank6-Punit signaled an MCA to Ubox; Check mc_status of MCA BANKID:6 and  MCA BANK_INDEX:0xb', 'Merge Bank7-CHA0 signaled an MCA to Ubox; Check mc_status of MCA BANKID:7 and  MCA BANK_INDEX:0x3'],[],['corerrsts_oob.advisory_non_fatal_error_status',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</si>
  <si>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HW.CFG.ERR, HW.CORR, HW.ERR, HW.MCE, HW.MCE.PCU, HW.MCE.PUNIT,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</si>
  <si>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BANK_INDEX:0x5', 'Merge Bank6-Punit signaled an MCA to Ubox; Check mc_status of MCA BANKID:6 and  MCA BANK_INDEX:0x9', 'Merge Bank5-UPI signaled an MCA to Ubox; Check mc_status of MCA BANKID:5 and  MCA BANK_INDEX:0x4', 'Merge Bank6-Punit signaled an MCA to Ubox; Check mc_status of MCA BANKID:6 and  MCA BANK_INDEX:0xa'],[],['corerrsts_oob.advisory_non_fatal_error_status',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</si>
  <si>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capture)'],['Pcode sent an invalid response to another pcode during PkgS', 'Pcode sent an invalid response to another pcode during PkgS'],[],[],['socket0.io0.uncore.hwrs.gpsb.poc_straps.bist_enable is not 1!', 'socket1.io0.uncore.hwrs.gpsb.poc_straps.bist_enable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BANK_INDEX:0x0', 'Merge Bank6-Punit signaled an MCA to Ubox; Check mc_status of MCA BANKID:6 and  MCA BANK_INDEX:0x0'],[],['corerrsts_oob.advisory_non_fatal_error_status',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t>
  </si>
  <si>
    <t>HW.CFG.ERR, HW.CORR, HW.ERR, HW.MCE, HW.MCE.CHA, HW.MCE.PCU, HW.MCE.PUNIT,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</si>
  <si>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BANK_INDEX:0x4', 'Merge Bank7-CHA0 signaled an MCA to Ubox; Check mc_status of MCA BANKID:7 and  MCA BANK_INDEX:0x10', 'Merge Bank5-UPI signaled an MCA to Ubox; Check mc_status of MCA BANKID:5 and  MCA BANK_INDEX:0x1', 'Merge Bank6-Punit signaled an MCA to Ubox; Check mc_status of MCA BANKID:6 and  MCA BANK_INDEX:0xb'],[],['corerrsts_oob.advisory_non_fatal_error_status',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</si>
  <si>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HW.CFG.ERR, HW.CORR, HW.ERR, HW.MCE.DTLB, HW.MCE.IFU</t>
  </si>
  <si>
    <t>discuss, HW.CFG.ERR, HW.CORR, HW.ERR, HW.MCE.DCU, HW.MCE.DTLB, HW.MCE.IFU, HW.MCE.MLC</t>
  </si>
  <si>
    <t>[],['socket0.io0.uncore.hwrs.gpsb.poc_straps.bist_enable is not 1!', 'socket1.io0.uncore.hwrs.gpsb.poc_straps.bist_enable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</si>
  <si>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HW.CFG.ERR, HW.CORR, HW.ERR, HW.MCE.DCU, HW.MCE.DTLB, HW.MCE.MLC</t>
  </si>
  <si>
    <t>HW.CFG.ERR, HW.CORR, HW.ERR, HW.KNOWN_ISSUE, HW.MCE, HW.MCE.IIO, HW.MCE.LLC, HW.MCE.MLC, HW.MCE.MSE, HW.MCE.PCU, HW.MCE.PUNIT, HW.MCE.UBOX,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</si>
  <si>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SBO_BL_DATA_PAR_ERR- SCF IP (from SBO {'PORTID': '0x49df', 'source_name': 'compute0:scf_sbo.0.ddimb.0'}) error  SBO_BL_DATA_PAR_ERR signaled to ubox MCA.", 'Merge Bank5-UPI signaled an MCA to Ubox; Check mc_status of MCA BANKID:5 and  MCA BANK_INDEX:0x1', 'Merge Bank6-Punit signaled an MCA to Ubox; Check mc_status of MCA BANKID:6 and  MCA BANK_INDEX:0x9', 'Merge Bank9-LLC0 signaled an MCA to Ubox; Check mc_status of MCA BANKID:9 and  MCA BANK_INDEX:0x0', 'Merge Bank11-MSE signaled an MCA to Ubox; Check mc_status of MCA BANKID:11 and  MCA BANK_INDEX:0x2', 'Merge Bank5-UPI signaled an MCA to Ubox; Check mc_status of MCA BANKID:5 and  MCA BANK_INDEX:0x1', 'Merge Bank6-Punit signaled an MCA to Ubox; Check mc_status of MCA BANKID:6 and  MCA BANK_INDEX:0x4'],[],['corerrsts_oob.advisory_non_fatal_error_status',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</si>
  <si>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HW.CFG.ERR, HW.CORR, HW.ERR, HW.MCE.DCU</t>
  </si>
  <si>
    <t>['socket0.io0.uncore.hwrs.gpsb.poc_straps.bist_enable is not 1!', 'socket1.io0.uncore.hwrs.gpsb.poc_straps.bist_enable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'msm_mbx_error_sts.mbx_overflow'],[],[],nan,nan,nan,nan,nan</t>
  </si>
  <si>
    <t>HW.CFG.ERR, HW.CORR, HW.ERR, HW.KNOWN_ISSUE, HW.MCE, HW.MCE.CHA, HW.MCE.IIO, HW.MCE.LLC, HW.MCE.MSE, HW.MCE.PCU, HW.MCE.PUNIT, HW.MCE.UBOX,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</si>
  <si>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TLB Arbiter is non idle'],[],["mscod: SBO_BL_DATA_PAR_ERR- SCF IP (from SBO {'PORTID': '0x4a0c', 'source_name': 'compute0:scf_sbo.0.ddimb.5'}) error  SBO_BL_DATA_PAR_ERR signaled to ubox MCA.", 'Merge Bank5-UPI signaled an MCA to Ubox; Check mc_status of MCA BANKID:5 and  MCA BANK_INDEX:0x1', 'Merge Bank6-Punit signaled an MCA to Ubox; Check mc_status of MCA BANKID:6 and  MCA BANK_INDEX:0xb', 'Merge Bank7-CHA0 signaled an MCA to Ubox; Check mc_status of MCA BANKID:7 and  MCA BANK_INDEX:0x13', 'Merge Bank9-LLC0 signaled an MCA to Ubox; Check mc_status of MCA BANKID:9 and  MCA BANK_INDEX:0xd', 'Merge Bank11-MSE signaled an MCA to Ubox; Check mc_status of MCA BANKID:11 and  MCA BANK_INDEX:0x6', 'Merge Bank5-UPI signaled an MCA to Ubox; Check mc_status of MCA BANKID:5 and  MCA BANK_INDEX:0x1', 'Merge Bank6-Punit signaled an MCA to Ubox; Check mc_status of MCA BANKID:6 and  MCA BANK_INDEX:0x4'],[],['corerrsts_oob.advisory_non_fatal_error_status',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</si>
  <si>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HW.CFG.ERR, HW.CORR, HW.ERR, HW.KNOWN_ISSUE, HW.MCE, HW.MCE.CHA, HW.MCE.IIO, HW.MCE.MSE, HW.MCE.PCU, HW.MCE.PUNIT, HW.MCE.UBOX,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</si>
  <si>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SBO_BL_DATA_PAR_ERR- SCF IP (from SBO {'PORTID': '0x4a30', 'source_name': 'compute0:scf_sbo.0.ddimb.9'}) error  SBO_BL_DATA_PAR_ERR signaled to ubox MCA.", 'Merge Bank5-UPI signaled an MCA to Ubox; Check mc_status of MCA BANKID:5 and  MCA BANK_INDEX:0x1', 'Merge Bank6-Punit signaled an MCA to Ubox; Check mc_status of MCA BANKID:6 and  MCA BANK_INDEX:0x9', 'Merge Bank11-MSE signaled an MCA to Ubox; Check mc_status of MCA BANKID:11 and  MCA BANK_INDEX:0x3', 'Merge Bank5-UPI signaled an MCA to Ubox; Check mc_status of MCA BANKID:5 and  MCA BANK_INDEX:0x1', 'Merge Bank6-Punit signaled an MCA to Ubox; Check mc_status of MCA BANKID:6 and  MCA BANK_INDEX:0x0', 'Merge Bank7-CHA0 signaled an MCA to Ubox; Check mc_status of MCA BANKID:7 and  MCA BANK_INDEX:0x7'],[],['corerrsts_oob.advisory_non_fatal_error_status',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t>
  </si>
  <si>
    <t>HW.CFG.ERR, HW.CORR, HW.ERR, HW.KNOWN_ISSUE, HW.MCE, HW.MCE.IIO, HW.MCE.PCU, HW.MCE.PUNIT, HW.MCE.UBOX,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</si>
  <si>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'PRIMECODE_WATCHDOG_TIMER_EXPIRED'],[],[],['socket1.io0.uncore.hwrs.gpsb.poc_straps.bist_enable is not 1!'],[],[],["mscod: SBO_BL_DATA_PAR_ERR- SCF IP (from SBO {'PORTID': '0x4a03', 'source_name': 'compute0:scf_sbo.0.ddimb.4'}) error  SBO_BL_DATA_PAR_ERR signaled to ubox MCA.", 'Merge Bank5-UPI signaled an MCA to Ubox; Check mc_status of MCA BANKID:5 and  MCA BANK_INDEX:0x1', 'Merge Bank6-Punit signaled an MCA to Ubox; Check mc_status of MCA BANKID:6 and  MCA BANK_INDEX:0xa', 'Merge Bank5-UPI signaled an MCA to Ubox; Check mc_status of MCA BANKID:5 and  MCA BANK_INDEX:0x1', 'Merge Bank6-Punit signaled an MCA to Ubox; Check mc_status of MCA BANKID:6 and  MCA BANK_INDEX:0x4'],[],['corerrsts_oob.advisory_non_fatal_error_status',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</si>
  <si>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HW.CFG.ERR, HW.CORR, HW.ERR, HW.KNOWN_ISSUE, HW.MCE, HW.MCE.CHA, HW.MCE.IIO, HW.MCE.PCU, HW.MCE.PUNIT, HW.MCE.UBOX</t>
  </si>
  <si>
    <t>[],[],['socket0.io0.uncore.hwrs.gpsb.poc_straps.bist_enable is not 1!', 'socket1.io0.uncore.hwrs.gpsb.poc_straps.bist_enable is not 1!'],['IOMMU TLB Arbiter is non idle', 'IOMMU TLB Arbiter is non idle'],[],['mscod: MCE when MCIP bit is set-Error signaled by the core and logged in Ubox. Check the core for more details.', 'Merge Bank6-Punit signaled an MCA to Ubox; Check mc_status of MCA BANKID:6 and  MCA BANK_INDEX:0x4', 'Merge Bank7-CHA0 signaled an MCA to Ubox; Check mc_status of MCA BANKID:7 and  MCA BANK_INDEX:0xb', 'Merge Bank6-Punit signaled an MCA to Ubox; Check mc_status of MCA BANKID:6 and  MCA BANK_INDEX:0xb'],[],['corerrsts_oob.advisory_non_fatal_error_status',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t>
  </si>
  <si>
    <t>HW.CFG.ERR, HW.CORR, HW.ERR, HW.MCE, HW.MCE.DCU, HW.MCE.DTLB, HW.MCE.IFU, HW.MCE.MLC</t>
  </si>
  <si>
    <t>[],['socket1.io0.uncore.hwrs.gpsb.poc_straps.bist_enable is not 1!'],[],[],[],[],['corerrsts_oob.advisory_non_fatal_error_status', 'corerrsts_oob.advisory_non_fatal_error_status', 'corerrsts_oob.advisory_non_fatal_error_status',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'corerrsts_oob.advisory_non_fatal_error_status', 'corerrsts_msm.advisory_non_fatal_error_status', 'corerrsts_oob.advisory_non_fatal_error_status', 'msm_mbx_error_sts.mbx_overflow', 'corerrsts_oob.advisory_non_fatal_error_status'],[],[],nan,nan</t>
  </si>
  <si>
    <t>HW.CFG.ERR, HW.CORR, HW.ERR, HW.MCE.DCU, HW.MCE.DTLB, HW.MCE.IFU</t>
  </si>
  <si>
    <t>[],['socket0.io0.uncore.hwrs.gpsb.poc_straps.bist_enable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</si>
  <si>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</si>
  <si>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HW.CFG.ERR, HW.CORR, HW.ERR, HW.KNOWN_ISSUE, HW.MCE, HW.MCE.CHA, HW.MCE.IIO, HW.MCE.PCU, HW.MCE.PUNIT, HW.MCE.UBOX, S@_HW_KNOWN_HSD_16019640136, S@_HW_KNOWN_HSD_16019933053</t>
  </si>
  <si>
    <t>[],['socket0.io0.uncore.hwrs.gpsb.poc_straps.bist_enable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 'IOMMU TLB Arbiter is non idle', 'IOMMU TLB Arbiter is non idle', 'IOMMU TLB Arbiter is non idle'],[],['mscod: MCE when MCIP bit is set-Error signaled by the core and logged in Ubox. Check the core for more details.', "mscod: SBO_BL_DATA_PAR_ERR- SCF IP (from SBO {'PORTID': '0x5a6f', 'source_name': 'compute2:scf_sbo.0.ddimb.56'}) error  SBO_BL_DATA_PAR_ERR signaled to ubox MCA.", 'Merge Bank6-Punit signaled an MCA to Ubox; Check mc_status of MCA BANKID:6 and  MCA BANK_INDEX:0x4', 'Merge Bank7-CHA0 signaled an MCA to Ubox; Check mc_status of MCA BANKID:7 and  MCA BANK_INDEX:0x41', 'Merge Bank6-Punit signaled an MCA to Ubox; Check mc_status of MCA BANKID:6 and  MCA BANK_INDEX:0x4', 'Merge Bank7-CHA0 signaled an MCA to Ubox; Check mc_status of MCA BANKID:7 and  MCA BANK_INDEX:0xa'],[],['corerrsts_oob.advisory_non_fatal_error_status',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ierr'],[],[],nan,nan</t>
  </si>
  <si>
    <t>HW.CFG.ERR, HW.CORR, HW.ERR, HW.MCE.IFU, HW.MCE.MLC</t>
  </si>
  <si>
    <t>[],['socket0.io0.uncore.hwrs.gpsb.poc_straps.bist_enable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</si>
  <si>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HW.CFG.ERR, HW.CORR, HW.ERR, HW.KNOWN_ISSUE, HW.MCE, HW.MCE.PCU, HW.MCE.PUNIT, HW.MCE.UPI, S@_HW_KNOWN_HSD_16019933053</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</si>
  <si>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 'IOMMU vtd fault - pfo'],[],['Merge Bank5-UPI signaled an MCA to Ubox; Check mc_status of MCA BANKID:5 and  MCA BANK_INDEX:0x1', 'Merge Bank6-Punit signaled an MCA to Ubox; Check mc_status of MCA BANKID:6 and  MCA BANK_INDEX:0xa', 'Merge Bank7-CHA0 signaled an MCA to Ubox; Check mc_status of MCA BANKID:7 and  MCA BANK_INDEX:0x42', 'Merge Bank5-UPI signaled an MCA to Ubox; Check mc_status of MCA BANKID:5 and  MCA BANK_INDEX:0x1', 'Merge Bank6-Punit signaled an MCA to Ubox; Check mc_status of MCA BANKID:6 and  MCA BANK_INDEX:0x9', 'Merge Bank7-CHA0 signaled an MCA to Ubox; Check mc_status of MCA BANKID:7 and  MCA BANK_INDEX:0x42'],[],['corerrsts_oob.advisory_non_fatal_error_status',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</si>
  <si>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BANK_INDEX:0x4', 'Merge Bank7-CHA0 signaled an MCA to Ubox; Check mc_status of MCA BANKID:7 and  MCA BANK_INDEX:0x19', 'Merge Bank5-UPI signaled an MCA to Ubox; Check mc_status of MCA BANKID:5 and  MCA BANK_INDEX:0x1', 'Merge Bank6-Punit signaled an MCA to Ubox; Check mc_status of MCA BANKID:6 and  MCA BANK_INDEX:0x0', 'Merge Bank7-CHA0 signaled an MCA to Ubox; Check mc_status of MCA BANKID:7 and  MCA BANK_INDEX:0x2a', 'LOCK Hard Hang, did not return to idle in 1s'],[],['corerrsts_oob.advisory_non_fatal_error_status',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</si>
  <si>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idle'],[],["mscod: SBO_BL_DATA_PAR_ERR- SCF IP (from SBO {'PORTID': '0x5278', 'source_name': 'compute1:scf_sbo.0.ddimb.37'}) error  SBO_BL_DATA_PAR_ERR signaled to ubox MCA.", 'Merge Bank5-UPI signaled an MCA to Ubox; Check mc_status of MCA BANKID:5 and  MCA BANK_INDEX:0x1', 'Merge Bank6-Punit signaled an MCA to Ubox; Check mc_status of MCA BANKID:6 and  MCA BANK_INDEX:0x0', 'Merge Bank5-UPI signaled an MCA to Ubox; Check mc_status of MCA BANKID:5 and  MCA BANK_INDEX:0x1', 'Merge Bank6-Punit signaled an MCA to Ubox; Check mc_status of MCA BANKID:6 and  MCA BANK_INDEX:0xb'],[],['corerrsts_oob.advisory_non_fatal_error_status',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t>
  </si>
  <si>
    <t>HW.CFG.ERR, HW.CORR, HW.ERR, HW.MCE, HW.MCE.CHA, HW.MCE.IIO, HW.MCE.PCU, HW.MCE.PUNIT, HW.MCE.UBOX,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</si>
  <si>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LOCK_MASTER_TIMEOUT-Waiting on a remote Ubox to complete, check the remote Ubox MC status', 'Merge Bank5-UPI signaled an MCA to Ubox; Check mc_status of MCA BANKID:5 and  MCA BANK_INDEX:0x1', 'Merge Bank6-Punit signaled an MCA to Ubox; Check mc_status of MCA BANKID:6 and  MCA BANK_INDEX:0x0', 'Merge Bank7-CHA0 signaled an MCA to Ubox; Check mc_status of MCA BANKID:7 and  MCA BANK_INDEX:0x3a', 'Merge Bank5-UPI signaled an MCA to Ubox; Check mc_status of MCA BANKID:5 and  MCA BANK_INDEX:0x1', 'Merge Bank6-Punit signaled an MCA to Ubox; Check mc_status of MCA BANKID:6 and  MCA BANK_INDEX:0x4', 'Merge Bank7-CHA0 signaled an MCA to Ubox; Check mc_status of MCA BANKID:7 and  MCA BANK_INDEX:0x11', 'LOCK Hard Hang, did not return to idle in 1s'],[],['corerrsts_oob.advisory_non_fatal_error_status',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ierr'],['Corrected global error dev2_co_sts from uncore.pi5.pxp0.rp0', 'Corrected global error dev4_co_sts from uncore.pi5.pxp0.rp2', 'Corrected global error dev2_co_sts from uncore.pi5.pxp0.rp0', 'Corrected global error dev4_co_sts from uncore.pi5.pxp0.rp2', 'Corrected global error dev2_co_sts from uncore.pi5.pxp0.rp0', 'Corrected global error dev1_co_sts from uncore.hiop.hiop3']</t>
  </si>
  <si>
    <t>HW.CFG.ERR, HW.CORR, HW.ERR, HW.MCE, HW.MCE.CHA, HW.MCE.PCU,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</si>
  <si>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BANK_INDEX:0x0', 'Merge Bank7-CHA0 signaled an MCA to Ubox; Check mc_status of MCA BANKID:7 and  MCA BANK_INDEX:0x7', 'Merge Bank5-UPI signaled an MCA to Ubox; Check mc_status of MCA BANKID:5 and  MCA BANK_INDEX:0x1', 'Merge Bank6-Punit signaled an MCA to Ubox; Check mc_status of MCA BANKID:6 and  MCA BANK_INDEX:0x0'],[],['corerrsts_oob.advisory_non_fatal_error_status',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</si>
  <si>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[],['socket1.io0.uncore.hwrs.gpsb.poc_straps.bist_enable is not 1!'],[],[],['uncersts_oob.received_an_unsupported_request',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</si>
  <si>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[],[],['socket1.io0.uncore.hwrs.gpsb.poc_straps.bist_enable is not 1!'],[],[],['mscod: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</si>
  <si>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[],[],['socket0.io0.uncore.hwrs.gpsb.poc_straps.safe_mode_boot is not 0! This is potentially unsafe electrically/thermally.'],[],[],['mscod: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t>
  </si>
  <si>
    <t>[],[],['socket0.io0.uncore.hwrs.gpsb.poc_straps.bist_enable is not 1!'],[],[],['mscod: IOMCA error from Global IEH-IOMCA (from BUS=0x0, DEV=0x0, FUNC=0x2) signaled to ubox via global IEH. Check the global and satellite IEHs for more info', 'Merge Bank6-Punit signaled an MCA to Ubox; Check mc_status of MCA BANKID:6 and  MCA BANK_INDEX:0x0'],[],['msm_corecrashlog_ctrl.haderror: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</si>
  <si>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[],[],['socket0.io0.uncore.hwrs.gpsb.poc_straps.safe_mode_boot is not 0! This is potentially unsafe electrically/thermally.'],[],[],['mscod: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t>
  </si>
  <si>
    <t>[],[],['socket1.io0.uncore.hwrs.gpsb.poc_straps.bist_enable is not 1!'],[],[],['mscod: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t>
  </si>
  <si>
    <t>HW.CFG.ERR, HW.CORR, HW.ERR, HW.MCE, HW.MCE.CHA,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</si>
  <si>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capture)'],[],[],['socket1.io0.uncore.hwrs.gpsb.poc_straps.bist_enable is not 1!'],[],[],['Merge Bank5-UPI signaled an MCA to Ubox; Check mc_status of MCA BANKID:5 and  MCA BANK_INDEX:0x1', 'Merge Bank7-CHA0 signaled an MCA to Ubox; Check mc_status of MCA BANKID:7 and  MCA BANK_INDEX:0x12', 'Merge Bank5-UPI signaled an MCA to Ubox; Check mc_status of MCA BANKID:5 and  MCA BANK_INDEX:0x1', 'Merge Bank7-CHA0 signaled an MCA to Ubox; Check mc_status of MCA BANKID:7 and  MCA BANK_INDEX:0x19'],[],['corerrsts_oob.advisory_non_fatal_error_status',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</si>
  <si>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HW.CFG.ERR, HW.CORR, HW.ERR, HW.MCE, HW.MCE.CHA, HW.MCE.IIO, HW.MCE.MLC, HW.MCE.UBOX,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</si>
  <si>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capture)'],[],[],['socket1.io0.uncore.hwrs.gpsb.poc_straps.bist_enable is not 1!'],[],[],['mscod: LOCK_MASTER_TIMEOUT-Waiting on local cores to drain, so check if any non-lock request is in the local CHA TORs or core SuperQs', 'Merge Bank5-UPI signaled an MCA to Ubox; Check mc_status of MCA BANKID:5 and  MCA BANK_INDEX:0x1', 'Merge Bank7-CHA0 signaled an MCA to Ubox; Check mc_status of MCA BANKID:7 and  MCA BANK_INDEX:0x0', 'Merge Bank5-UPI signaled an MCA to Ubox; Check mc_status of MCA BANKID:5 and  MCA BANK_INDEX:0x1', 'LOCK Hard Hang, did not return to idle in 1s'],[],['corerrsts_oob.advisory_non_fatal_error_status',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ierr'],['Corrected global error dev2_co_sts from uncore.pi5.pxp0.rp0'],[]</t>
  </si>
  <si>
    <t>HW.CFG.ERR, HW.CORR, HW.ERR, HW.MCE,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</si>
  <si>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</si>
  <si>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hpreboot_updateifwi_overrides Failed TargetHang, HW.CFG.ERR, HW.CORR, HW.ERR</t>
  </si>
  <si>
    <t>[],['socket0.io0.uncore.hwrs.gpsb.poc_straps.safe_mode_boot is not 0! This is potentially unsafe electrically/thermally.'],[],[],['corerrsts_oob.advisory_non_fatal_error_status',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t>
  </si>
  <si>
    <t>HW.CFG.ERR, HW.CORR, HW.ERR, MC_memicals_pmx_cstates_1 Failed Exit Code 254</t>
  </si>
  <si>
    <t>HW, HW.CFG.ERR, HW.CORR, HW.ERR</t>
  </si>
  <si>
    <t>['socket0.io0.uncore.hwrs.gpsb.poc_straps.bist_enable is not 1!', 'socket1.io0.uncore.hwrs.gpsb.poc_straps.bist_enable is not 1!'],[],[],['corerrsts_oob.advisory_non_fatal_error_status',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PMSB)'],[],[],nan,nan,nan,nan,nan</t>
  </si>
  <si>
    <t>HW, HW.CFG.ERR, HW.CORR, HW.ERR, HW.MCE, HW.MCE.PCU, HW.MCE.PUNIT</t>
  </si>
  <si>
    <t>[],[],['socket1.io0.uncore.hwrs.gpsb.poc_straps.bist_enable is not 1!'],[],[],['Merge Bank6-Punit signaled an MCA to Ubox; Check mc_status of MCA BANKID:6 and  MCA BANK_INDEX:0x0', 'Merge Bank6-Punit signaled an MCA to Ubox; Check mc_status of MCA BANKID:6 and  MCA BANK_INDEX:0x4'],[],['msm_uncorecrashlog_ctrl.haderror: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'msm_mbx_error_sts.mbx_overflow',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ierr'],[],[],nan</t>
  </si>
  <si>
    <t>HW, HW.CFG.ERR, HW.CORR, HW.ERR, HW.KNOWN_ISSUE, HW.MCE,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</si>
  <si>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capture)'],[],[],['socket1.io0.uncore.hwrs.gpsb.poc_straps.bist_enable is not 1!'],['IOMMU TLB Arbiter is non idle', 'IOMMU TLB Arbiter is non idle'],[],['Merge Bank5-UPI signaled an MCA to Ubox; Check mc_status of MCA BANKID:5 and  MCA BANK_INDEX:0x1', 'Merge Bank5-UPI signaled an MCA to Ubox; Check mc_status of MCA BANKID:5 and  MCA BANK_INDEX:0x1'],[],['corerrsts_oob.advisory_non_fatal_error_status',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</si>
  <si>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 HW.CFG.ERR, HW.CORR, HW.ERR, X3_All_Resets_solar Failed TargetRebootTimeout</t>
  </si>
  <si>
    <t>[],['socket0.io0.uncore.hwrs.gpsb.poc_straps.bist_enable is not 1!'],[],[],['corerrsts_oob.advisory_non_fatal_error_status',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</si>
  <si>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 HW.CFG.ERR, HW.CORR, HW.ERR, X3_All_Resets_solar Failed Exit Code 8</t>
  </si>
  <si>
    <t>[],['socket0.io0.uncore.hwrs.gpsb.poc_straps.safe_mode_boot is not 0! This is potentially unsafe electrically/thermally.'],[],[],['corerrsts_oob.advisory_non_fatal_error_status',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</si>
  <si>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hpreboot_updatebmc Failed TargetHang, HW, HW.CFG.ERR, HW.CORR, HW.ERR</t>
  </si>
  <si>
    <t>[],['socket0.io0.uncore.hwrs.gpsb.poc_straps.safe_mode_boot is not 0! This is potentially unsafe electrically/thermally.'],[],[],['corerrsts_oob.advisory_non_fatal_error_status',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</si>
  <si>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 HW.CFG.ERR, HW.CORR, HW.ERR, HW.MCE, HW.MCE.CHA, HW.MCE.IIO, X3_warmResetSolar_logPath Failed TargetRebootTimeout</t>
  </si>
  <si>
    <t>[],['socket0.io0.uncore.hwrs.gpsb.poc_straps.safe_mode_boot is not 0! This is potentially unsafe electrically/thermally.'],[],[],['mscod: MCE when MCIP bit is set-Error signaled by the core and logged in Ubox. Check the core for more details.', 'mscod: MCE when MCIP bit is set-Error signaled by the core and logged in Ubox. Check the core for more details.', 'Merge Bank7-CHA0 signaled an MCA to Ubox; Check mc_status of MCA BANKID:7 and  MCA BANK_INDEX:0x0'],[],['corerrsts_oob.advisory_non_fatal_error_status',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</si>
  <si>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HW, HW.CFG.ERR, HW.CORR, HW.ERR, HW.KNOWN_ISSUE, HW.MCE, HW.MCE.IIO, HW.MCE.UBOX, HW.MCE.UPI, S@_HW_KNOWN_HSD_16019640136, S@_HW_KNOWN_HSD_16019933053, sc_Stress_1_1 Failed TargetHang</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</si>
  <si>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1!'],['IOMMU TLB Arbiter is non idle', 'IOMMU TLB Arbiter is non idle', 'IOMMU TLB Arbiter is non idle', 'IOMMU TLB Arbiter is non idle'],[],["mscod: SBO_AD_CTRL_PAR_ERR- SCF IP (from SBO {'PORTID': '0x5a5d', 'source_name': 'compute2:scf_sbo.0.ddimb.54'}) error  SBO_AD_CTRL_PAR_ERR signaled to ubox MCA.", 'Merge Bank5-UPI signaled an MCA to Ubox; Check mc_status of MCA BANKID:5 and  MCA BANK_INDEX:0x1', 'Merge Bank5-UPI signaled an MCA to Ubox; Check mc_status of MCA BANKID:5 and  MCA BANK_INDEX:0x1'],[],['corerrsts_oob.advisory_non_fatal_error_status',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t>
  </si>
  <si>
    <t>HW, HW.CFG.ERR, HW.CORR, HW.ERR, X3_G3_Cycle_solar Failed Exit Code 8</t>
  </si>
  <si>
    <t>[],['socket0.io0.uncore.hwrs.gpsb.poc_straps.bist_enable is not 1!', 'socket1.io0.uncore.hwrs.gpsb.poc_straps.bist_enable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t>
  </si>
  <si>
    <t>hposttest_projectend_moka Failed Exit Code 4105, HW, HW.CFG.ERR, HW.CORR, HW.ERR</t>
  </si>
  <si>
    <t>[],['socket0.io0.uncore.hwrs.gpsb.poc_straps.bist_enable is not 1!', 'socket1.io0.uncore.hwrs.gpsb.poc_straps.bist_enable is not 1!'],[],[],['corerrsts_oob.advisory_non_fatal_error_status', 'corerrsts_oob.advisory_non_fatal_error_status', 'corerrsts_oob.advisory_non_fatal_error_status',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</si>
  <si>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 HW.CFG.ERR, HW.CORR, HW.ERR, peer_to_peer_along_with_Cambria_to_PVC Failed Exit Code 1</t>
  </si>
  <si>
    <t>[],['socket0.io0.uncore.hwrs.gpsb.poc_straps.bist_enable is not 1!', 'socket1.io0.uncore.hwrs.gpsb.poc_straps.bist_enable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'uncersts_msm.received_an_unsupported_request: OOBMSM recieved an unsupported request', 'corerrsts_msm.advisory_non_fatal_error_status',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'uncersts_msm.received_an_unsupported_request: OOBMSM recieved an unsupported request', 'corerrsts_msm.advisory_non_fatal_error_status',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</si>
  <si>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 HW.CFG.ERR, HW.CORR, HW.ERR, peer_to_peer_with_PVC_to_cambria_combination Failed TimedOut</t>
  </si>
  <si>
    <t>[],['socket0.io0.uncore.hwrs.gpsb.poc_straps.bist_enable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t>
  </si>
  <si>
    <t>HW, HW.CFG.ERR, HW.CORR, HW.ERR, sc_IDI_Stress_4h Failed Exit Code 1</t>
  </si>
  <si>
    <t>[],['socket0.io0.uncore.hwrs.gpsb.poc_straps.bist_enable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</si>
  <si>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 HW.CFG.ERR, HW.CORR, HW.ERR, X3_All_Resets_cross_PM_solar Failed Exit Code 2</t>
  </si>
  <si>
    <t>[],['socket0.io0.uncore.hwrs.gpsb.poc_straps.safe_mode_boot is not 0! This is potentially unsafe electrically/thermally.'],[],[],['corerrsts_oob.advisory_non_fatal_error_status',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t>
  </si>
  <si>
    <t>HW, HW.CFG.ERR, HW.CORR, HW.ERR, HW.MCE, HW.MCE.PCU, HW.MCE.PUNIT, tpretest_projectcfg Failed Exit Code 1</t>
  </si>
  <si>
    <t>[],[],['socket0.io0.uncore.hwrs.gpsb.poc_straps.bist_enable is not 1!'],[],[],['Merge Bank6-Punit signaled an MCA to Ubox; Check mc_status of MCA BANKID:6 and  MCA BANK_INDEX:0x0', 'Merge Bank6-Punit signaled an MCA to Ubox; Check mc_status of MCA BANKID:6 and  MCA BANK_INDEX:0x0'],[],['corerrsts_oob.advisory_non_fatal_error_status',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ierr'],[],[],nan</t>
  </si>
  <si>
    <t>[],[],['socket0.io0.uncore.hwrs.gpsb.poc_straps.bist_enable is not 1!'],[],[],['Merge Bank6-Punit signaled an MCA to Ubox; Check mc_status of MCA BANKID:6 and  MCA BANK_INDEX:0x0', 'Merge Bank6-Punit signaled an MCA to Ubox; Check mc_status of MCA BANKID:6 and  MCA BANK_INDEX:0x0'],[],['msm_uncorecrashlog_ctrl.haderror: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ierr'],[],[],nan</t>
  </si>
  <si>
    <t>HW, HW.CFG.ERR, HW.CORR, HW.ERR, X3_SR_X_SC_solar Failed Exit Code 8</t>
  </si>
  <si>
    <t>[],['socket0.io0.uncore.hwrs.gpsb.poc_straps.safe_mode_boot is not 0! This is potentially unsafe electrically/thermally.'],[],[],['corerrsts_oob.advisory_non_fatal_error_status',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t>
  </si>
  <si>
    <t>HW, HW.CFG.ERR, HW.CORR, HW.ERR, X3_PMxWRCR_Solar Failed Exit Code 2</t>
  </si>
  <si>
    <t>[],['socket0.io0.uncore.hwrs.gpsb.poc_straps.safe_mode_boot is not 0! This is potentially unsafe electrically/thermally.'],[],[],['corerrsts_oob.advisory_non_fatal_error_status',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</si>
  <si>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[],['socket0.io0.uncore.hwrs.gpsb.poc_straps.safe_mode_boot is not 0! This is potentially unsafe electrically/thermally.'],[],[],['corerrsts_oob.advisory_non_fatal_error_status',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</si>
  <si>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hposttest_projectend_moka Failed Exit Code 4098, HW, HW.CFG.ERR, HW.CORR, HW.ERR</t>
  </si>
  <si>
    <t>HW, HW.CFG.ERR, HW.CORR, HW.ERR, HW.MCE.MLC</t>
  </si>
  <si>
    <t>hpretest_projectcfg Failed Exit Code 4099, HW, HW.CFG.ERR, HW.CORR, HW.ERR, HW.MCE, HW.MCE.CHA, HW.MCE.IIO, HW.MCE.MLC, HW.MCE.UBOX</t>
  </si>
  <si>
    <t>[],['socket0.io0.uncore.hwrs.gpsb.poc_straps.bist_enable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 'Merge Bank7-CHA0 signaled an MCA to Ubox; Check mc_status of MCA BANKID:7 and  MCA BANK_INDEX:0x4'],[],['corerrsts_oob.advisory_non_fatal_error_status',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'msm_global_status_ctrl_reg.peci_err: PCI_ERR logged and sent (maybe) for PECI', 'msm_global_status_ctrl_reg.msm_prim_err: MSM Failed to communicate on primary ({PCI_ERR logged for Primary host and peci)',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ierr'],[],[],nan,nan</t>
  </si>
  <si>
    <t>HW, HW.CFG.ERR, HW.CORR, HW.ERR, X3_SOC_IP_DISABLE Failed TargetRebootTimeout</t>
  </si>
  <si>
    <t>['socket0.io0.uncore.hwrs.gpsb.poc_straps.bist_enable is not 1!', 'socket1.io0.uncore.hwrs.gpsb.poc_straps.bist_enable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PMSB)'],[],[],nan,nan,nan,nan,nan</t>
  </si>
  <si>
    <t>['socket0.io0.uncore.hwrs.gpsb.poc_straps.bist_enable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'corerrsts_oob.advisory_non_fatal_error_status'],[],[],nan,nan,nan,nan,nan</t>
  </si>
  <si>
    <t>HW, HW.CFG.ERR, HW.CORR, HW.ERR, X3_All_Resets_noGRSR_cross_PM_solar Failed Exit Code 8</t>
  </si>
  <si>
    <t>[],['socket0.io0.uncore.hwrs.gpsb.poc_straps.bist_enable is not 1!', 'socket1.io0.uncore.hwrs.gpsb.poc_straps.bist_enable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</si>
  <si>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 HW.CFG.ERR, HW.CORR, HW.ERR, Lock_stress_NoVMs Failed TimedOut</t>
  </si>
  <si>
    <t>HW, HW.CFG.ERR, HW.CORR, HW.ERR, rtm_execution_vtd_sanity Failed TimedOut</t>
  </si>
  <si>
    <t>Basic_rocket_SV8 Failed Exit Code 144, HW, HW.CFG.ERR, HW.CORR, HW.ERR</t>
  </si>
  <si>
    <t>[],['socket0.io0.uncore.hwrs.gpsb.poc_straps.bist_enable is not 1!', 'Jumpers J5562 and J5563 set to 1-2 which enables a0_debug_strap. This is not POR and could cause issues with DRNG. Uninstall the jumpers if this is an issue.'],[],[],['corerrsts_oob.advisory_non_fatal_error_status',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t>
  </si>
  <si>
    <t>[],['socket0.io0.uncore.hwrs.gpsb.poc_straps.bist_enable is not 1!', 'socket1.io0.uncore.hwrs.gpsb.poc_straps.bist_enable is not 1!'],[],[],['corerrsts_oob.advisory_non_fatal_error_status', 'corerrsts_oob.advisory_non_fatal_error_status',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</si>
  <si>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 HW.CFG.ERR, HW.CORR, HW.ERR, X3_All_Resets_noGRSR_cross_PM_solar Failed TargetRebootTimeout</t>
  </si>
  <si>
    <t>HW, HW.CFG.ERR, HW.CORR, HW.ERR, X3_G3_Cycle_solar_delay Failed Exit Code 8</t>
  </si>
  <si>
    <t>[],['socket0.io0.uncore.hwrs.gpsb.poc_straps.bist_enable is not 1!', 'socket1.io0.uncore.hwrs.gpsb.poc_straps.bist_enable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</si>
  <si>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HW, HW.CFG.ERR, HW.CORR, HW.ERR, HW.MCE, HW.MCE.PCU, HW.MCE.PUNIT, PCIe_Base_Stress Failed Exit Code 135</t>
  </si>
  <si>
    <t>[],['socket0.io0.uncore.hwrs.gpsb.poc_straps.bist_enable is not 1!', 'socket1.io0.uncore.hwrs.gpsb.poc_straps.bist_enable is not 1!'],[],[],['Merge Bank6-Punit signaled an MCA to Ubox; Check mc_status of MCA BANKID:6 and  MCA BANK_INDEX:0x0'],[],['msm_corecrashlog_ctrl.haderror: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 'corerrsts_msm.advisory_non_fatal_error_status',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t>
  </si>
  <si>
    <t>HW, HW.CFG.ERR, HW.CORR, HW.ERR, HW.MCE, HW.MCE.PCU, HW.MCE.PUNIT, HW.MCE.UPI, sc_Lock_Stress Failed Exit Code 1</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</si>
  <si>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BANK_INDEX:0x0', 'Merge Bank5-UPI signaled an MCA to Ubox; Check mc_status of MCA BANKID:5 and  MCA BANK_INDEX:0x1'],[],['msm_corecrashlog_ctrl.haderror: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</si>
  <si>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HW, HW.CFG.ERR, HW.CORR, HW.ERR, HW.MCE, HW.MCE.PCU, HW.MCE.PUNIT, trebootstation_biosovr_aspm Failed TargetHang</t>
  </si>
  <si>
    <t>[],[],['socket0.io0.uncore.hwrs.gpsb.poc_straps.bist_enable is not 1!'],[],[],['Merge Bank6-Punit signaled an MCA to Ubox; Check mc_status of MCA BANKID:6 and  MCA BANK_INDEX:0x9'],[],['msm_global_status_ctrl_reg.global_viral: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t>
  </si>
  <si>
    <t>HW, HW.CFG.ERR, HW.CORR, HW.ERR, HW.MCE, HW.MCE.CHA, HW.MCE.MLC, sc_Rand_Stress13_longSeeds Failed TargetHang</t>
  </si>
  <si>
    <t>['socket0.io0.uncore.hwrs.gpsb.poc_straps.bist_enable is not 1!', 'socket1.io0.uncore.hwrs.gpsb.poc_straps.bist_enable is not 1!'],[],[],['Merge Bank7-CHA0 signaled an MCA to Ubox; Check mc_status of MCA BANKID:7 and  MCA BANK_INDEX:0x32'],[],['corerrsts_oob.advisory_non_fatal_error_status',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t>
  </si>
  <si>
    <t>HW, HW.CFG.ERR, HW.CORR, HW.MCE.IMC, MC_gnrEccHarasser_cecc_only Failed Exit Code 8</t>
  </si>
  <si>
    <t>[],[],[],[],['corerrsts_msm.advisory_non_fatal_error_status'],[],[],nan,nan,nan,nan</t>
  </si>
  <si>
    <t>HW, HW.CFG.ERR, HW.CORR, HW.ERR, HW.MCE, HW.MCE.CHA, HW.MCE.IIO, HW.MCE.MLC, HW.MCE.UBOX, Rocket_Basic Failed TargetHang</t>
  </si>
  <si>
    <t>[],['socket0.io0.uncore.hwrs.gpsb.poc_straps.bist_enable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 'Merge Bank7-CHA0 signaled an MCA to Ubox; Check mc_status of MCA BANKID:7 and  MCA BANK_INDEX:0x1c', 'Merge Bank7-CHA0 signaled an MCA to Ubox; Check mc_status of MCA BANKID:7 and  MCA BANK_INDEX:0x27', 'LOCK Hard Hang, did not return to idle in 1s'],[],['corerrsts_oob.advisory_non_fatal_error_status',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</si>
  <si>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hpretest_projectcfg Failed Exit Code 4097, HW, HW.CFG.ERR, HW.CORR, HW.ERR, HW.MCE, HW.MCE.MLC, HW.MCE.PCU, HW.MCE.PUNIT,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</si>
  <si>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 'Merge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</si>
  <si>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HW, HW.CFG.ERR, HW.CORR, HW.ERR, HW.MCE, HW.MCE.PCU, HW.MCE.PUNIT, HW.MCE.UPI, trebootstation_biosknobovr_custom Failed TargetHang</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</si>
  <si>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BANK_INDEX:0xb', 'Merge Bank5-UPI signaled an MCA to Ubox; Check mc_status of MCA BANKID:5 and  MCA BANK_INDEX:0x1'],[],['msm_global_status_ctrl_reg.global_viral: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</si>
  <si>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hposttest_projectend_moka Failed Exit Code 4097, HW, HW.CFG.ERR, HW.CORR, HW.ERR, HW.MCE, HW.MCE.IIO, HW.MCE.PCU, HW.MCE.PUNIT, HW.MCE.UBOX,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</si>
  <si>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BANK_INDEX:0xb', 'Merge Bank5-UPI signaled an MCA to Ubox; Check mc_status of MCA BANKID:5 and  MCA BANK_INDEX:0x1'],[],['msm_global_status_ctrl_reg.global_viral: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</si>
  <si>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hposttest_projectend_moka Failed Exit Code 4205, HW, HW.CFG.ERR, HW.CORR, HW.ERR, HW.MCE, HW.MCE.PCU, HW.MCE.PUNIT,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</si>
  <si>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BANK_INDEX:0x9', 'Merge Bank5-UPI signaled an MCA to Ubox; Check mc_status of MCA BANKID:5 and  MCA BANK_INDEX:0x1'],[],['corerrsts_oob.advisory_non_fatal_error_status',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</si>
  <si>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HW, HW.CFG.ERR, HW.CORR, HW.ERR, HW.MCE, HW.MCE.PCU, HW.MCE.PUNIT, MC_Sandstone_170 Failed TargetHang</t>
  </si>
  <si>
    <t>[],[],['socket0.io0.uncore.hwrs.gpsb.poc_straps.bist_enable is not 1!', 'socket1.io0.uncore.hwrs.gpsb.poc_straps.bist_enable is not 1!'],[],[],['Merge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t>
  </si>
  <si>
    <t>HW, HW.CFG.ERR, HW.CORR, HW.ERR, HW.MCE, HW.MCE.PCU, HW.MCE.PUNIT, HW.MCE.UPI, rtm_execution_tdxio_security Failed TimedOut</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</si>
  <si>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BANK_INDEX:0x9', 'Merge Bank5-UPI signaled an MCA to Ubox; Check mc_status of MCA BANKID:5 and  MCA BANK_INDEX:0x1'],[],['msm_corecrashlog_ctrl.haderror: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</si>
  <si>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hpretest_projectcfg Failed Exit Code 1, HW, HW.CFG.ERR, HW.CORR, HW.ERR, HW.MCE, HW.MCE.MLC, HW.MCE.PCU, HW.MCE.PUNIT,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</si>
  <si>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BANK_INDEX:0xa', 'Merge Bank5-UPI signaled an MCA to Ubox; Check mc_status of MCA BANKID:5 and  MCA BANK_INDEX:0x1'],[],['msm_global_status_ctrl_reg.global_viral: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</si>
  <si>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HW, HW.CFG.ERR, HW.CORR, HW.ERR, HW.MCE, HW.MCE.DCU, HW.MCE.UPI, TDXIO_warm_reset Failed UnexpectedReboot</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</si>
  <si>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</si>
  <si>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HW, HW.CFG.ERR, HW.CORR, HW.ERR, HW.MCE, HW.MCE.DCU, HW.MCE.IIO, HW.MCE.UBOX, HW.MCE.UPI, TDXIO_cold_reset Failed UnexpectedReboot</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</si>
  <si>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1!'],[],[],['mscod: MCE when MCIP bit is set-Error signaled by the core and logged in Ubox. Check the core for more details.', 'Merge Bank5-UPI signaled an MCA to Ubox; Check mc_status of MCA BANKID:5 and  MCA BANK_INDEX:0x1', 'Merge Bank5-UPI signaled an MCA to Ubox; Check mc_status of MCA BANKID:5 and  MCA BANK_INDEX:0x1'],[],['msm_corecrashlog_ctrl.haderror: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</si>
  <si>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[],[],['socket0.io0.uncore.hwrs.gpsb.poc_straps.bist_enable is not 1!', 'socket1.io0.uncore.hwrs.gpsb.poc_straps.bist_enable is not 1!'],[],[],['Merge Bank6-Punit signaled an MCA to Ubox; Check mc_status of MCA BANKID:6 and  MCA BANK_INDEX:0x9'],[],['msm_global_status_ctrl_reg.global_viral: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t>
  </si>
  <si>
    <t>HW, HW.CFG.ERR, HW.CORR, HW.ERR, X3_All_Resets_noGRSR_solar Failed TargetRebootTimeout</t>
  </si>
  <si>
    <t>[],['socket0.io0.uncore.hwrs.gpsb.poc_straps.bist_enable is not 1!', 'socket1.io0.uncore.hwrs.gpsb.poc_straps.bist_enable is not 1!'],[],[],['corerrsts_oob.advisory_non_fatal_error_status',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t>
  </si>
  <si>
    <t>HW, HW.CFG.ERR, HW.CORR, HW.ERR, HW.MCE, HW.MCE.PCU, HW.MCE.PUNIT, HW.MCE.UPI, X3_All_Resets_noGRSR_cross_PM_solar Failed TargetRebootTimeout</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</si>
  <si>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1!'],[],[],['Merge Bank5-UPI signaled an MCA to Ubox; Check mc_status of MCA BANKID:5 and  MCA BANK_INDEX:0x1', 'Merge Bank6-Punit signaled an MCA to Ubox; Check mc_status of MCA BANKID:6 and  MCA BANK_INDEX:0x9', 'Merge Bank5-UPI signaled an MCA to Ubox; Check mc_status of MCA BANKID:5 and  MCA BANK_INDEX:0x1'],[],['corerrsts_oob.advisory_non_fatal_error_status',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</si>
  <si>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HW, HW.CFG.ERR, HW.CORR, HW.ERR, HW.MCE, HW.MCE.CHA, HW.MCE.IIO, tpretest_projectcfg_nofail Failed TargetHang</t>
  </si>
  <si>
    <t>['socket0.io0.uncore.hwrs.gpsb.poc_straps.txt_plten is not 1!', 'socket1.io0.uncore.hwrs.gpsb.poc_straps.txt_plten is not 1!'],[],[],['mscod: MCE when MCIP bit is set-Error signaled by the core and logged in Ubox. Check the core for more details.', 'mscod: MCE when MCIP bit is set-Error signaled by the core and logged in Ubox. Check the core for more details.', 'Merge Bank7-CHA0 signaled an MCA to Ubox; Check mc_status of MCA BANKID:7 and  MCA BANK_INDEX:0x14'],[],['msm_global_status_ctrl_reg.global_viral: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t>
  </si>
  <si>
    <t>HW, HW.CFG.ERR, HW.CORR, HW.ERR, HW.MCE, HW.MCE.IIO, HW.MCE.MLC, HW.MCE.PCU, HW.MCE.PUNIT, HW.MCE.UBOX, X3_All_Resets_noGRSR_cross_PM_solar Failed TargetRebootTimeout</t>
  </si>
  <si>
    <t>[],['socket0.io0.uncore.hwrs.gpsb.poc_straps.bist_enable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 'Merge Bank6-Punit signaled an MCA to Ubox; Check mc_status of MCA BANKID:6 and  MCA BANK_INDEX:0xa'],[],['corerrsts_oob.advisory_non_fatal_error_status',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ierr'],[],[],nan,nan</t>
  </si>
  <si>
    <t>HW, HW.CFG.ERR, HW.CORR, HW.ERR, HW.MCE, HW.MCE.IIO, HW.MCE.MLC, HW.MCE.UBOX, IOMMU_Table_Read_Priority_silicon Failed TimedOut</t>
  </si>
  <si>
    <t>['socket0.io0.uncore.hwrs.gpsb.poc_straps.bist_enable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t>
  </si>
  <si>
    <t>HW, HW.CFG.ERR, HW.CORR, HW.ERR, HW.MCE, HW.MCE.MLC, sc_MC_MultWrite Failed TargetHang</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</si>
  <si>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</si>
  <si>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HW, HW.CFG.ERR, HW.CORR, HW.ERR, HW.KNOWN_ISSUE, HW.MCE, HW.MCE.MLC, S@_HW_KNOWN_HSD_16019933053, sc_Rand_Stress13_longRun Failed TargetHang</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</si>
  <si>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1!'],['IOMMU TLB Arbiter is non idle'],[],[],[],['corerrsts_oob.advisory_non_fatal_error_status',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t>
  </si>
  <si>
    <t>HW, HW.CFG.ERR, HW.CORR, HW.ERR, HW.MCE, HW.MCE.PCU, HW.MCE.PUNIT, HW.MCE.UPI, MC_Sandstone_170 Failed TargetHang</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</si>
  <si>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 'Merge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</si>
  <si>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HW, HW.CFG.ERR, HW.CORR, HW.ERR, HW.MCE, HW.MCE.IIO, HW.MCE.PCU, X3_All_Resets_X_SC_solar Failed TargetRebootTimeout</t>
  </si>
  <si>
    <t>[],[],['socket0.io0.uncore.hwrs.gpsb.poc_straps.safe_mode_boot is not 0! This is potentially unsafe electrically/thermally.', 'socket0.io0.uncore.hwrs.gpsb.poc_straps.txt_plten is not 1!', 'socket1.io0.uncore.hwrs.gpsb.poc_straps.txt_plten is not 1!'],[],[],['mscod: MCE when MCIP bit is set-Error signaled by the core and logged in Ubox. Check the core for more details.', 'Merge Bank6-Punit signaled an MCA to Ubox; Check mc_status of MCA BANKID:6 and  MCA BANK_INDEX:0xb'],[],['msm_global_status_ctrl_reg.global_viral: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t>
  </si>
  <si>
    <t>CXL_Python_TxCMatch2_Memrd_MemWr_SUT Failed TargetHang, HW, HW.CFG.ERR, HW.CORR, HW.ERR, HW.MCE, HW.MCE.DCU, HW.MCE.IIO, HW.MCE.UBOX</t>
  </si>
  <si>
    <t>[],['socket0.io0.uncore.hwrs.gpsb.poc_straps.bist_enable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ierr'],[],[],nan,nan</t>
  </si>
  <si>
    <t>HW, HW.CFG.ERR, HW.CORR, HW.ERR, HW.MCE, HW.MCE.PCU, X3_All_Resets_solar Failed TargetRebootTimeout</t>
  </si>
  <si>
    <t>[],['socket0.io0.uncore.hwrs.gpsb.poc_straps.txt_plten is not 1!', 'socket1.io0.uncore.hwrs.gpsb.poc_straps.txt_plten is not 1!'],[],[],['Merge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ierr'],[],[],nan,nan</t>
  </si>
  <si>
    <t>CXL_Python_cxl_F2LM_traffic_PkgC_checker_For_Reset Failed TargetHang, HW, HW.CFG.ERR, HW.CORR, HW.ERR, HW.MCE, HW.MCE.DCU, HW.MCE.IIO, HW.MCE.UBOX</t>
  </si>
  <si>
    <t>[],['socket0.io0.uncore.hwrs.gpsb.poc_straps.bist_enable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t>
  </si>
  <si>
    <t>HW, HW.CFG.ERR, HW.CORR, HW.ERR, HW.MCE, HW.MCE.CHA, HW.MCE.MLC, sc_Stress_1_1_heavy_remote Failed TargetHang</t>
  </si>
  <si>
    <t>[],['socket0.io0.uncore.hwrs.gpsb.poc_straps.bist_enable is not 1!', 'socket1.io0.uncore.hwrs.gpsb.poc_straps.bist_enable is not 1!'],[],[],['Merge Bank7-CHA0 signaled an MCA to Ubox; Check mc_status of MCA BANKID:7 and  MCA BANK_INDEX:0x20', 'Merge Bank12-B2CMI signaled an MCA to Ubox; Check mc_status of MCA BANKID:12 and  MCA BANK_INDEX:0x2', 'Merge Bank7-CHA0 signaled an MCA to Ubox; Check mc_status of MCA BANKID:7 and  MCA BANK_INDEX:0x1e'],[],['corerrsts_oob.advisory_non_fatal_error_status',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</si>
  <si>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HW, HW.CFG.ERR, HW.CORR, HW.ERR, HW.MCE, HW.MCE.MLC, HW.MCE.PCU, HW.MCE.PUNIT, sc_UboxMsgCh_Stress_hvyPM Failed TargetHang</t>
  </si>
  <si>
    <t>[],[],['socket0.io0.uncore.hwrs.gpsb.poc_straps.bist_enable is not 1!', 'socket1.io0.uncore.hwrs.gpsb.poc_straps.bist_enable is not 1!'],[],[],['Merge Bank6-Punit signaled an MCA to Ubox; Check mc_status of MCA BANKID:6 and  MCA BANK_INDEX:0x9'],[],['corerrsts_oob.advisory_non_fatal_error_status',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t>
  </si>
  <si>
    <t>HW, HW.CFG.ERR, HW.CORR, HW.ERR, HW.MCE, HW.MCE.MLC, HW.MCE.PCU, HW.MCE.PUNIT, sc_PM_Monitor_Stress Failed TargetHang</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</si>
  <si>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Bank6-Punit signaled an MCA to Ubox; Check mc_status of MCA BANKID:6 and  MCA BANK_INDEX:0x9'],[],['corerrsts_oob.advisory_non_fatal_error_status',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t>
  </si>
  <si>
    <t>[],['socket0.io0.uncore.hwrs.gpsb.poc_straps.bist_enable is not 1!', 'socket1.io0.uncore.hwrs.gpsb.poc_straps.bist_enable is not 1!'],[],[],['corerrsts_oob.advisory_non_fatal_error_status',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t>
  </si>
  <si>
    <t>HW, HW.CFG.ERR, HW.CORR, HW.ERR, HW.KNOWN_ISSUE, HW.MCE, HW.MCE.CHA, HW.MCE.MLC, S@_HW_KNOWN_HSD_16019933053, sc_Rand_Stress13_longRun Failed TargetHang</t>
  </si>
  <si>
    <t>[],['socket0.io0.uncore.hwrs.gpsb.poc_straps.bist_enable is not 1!', 'socket1.io0.uncore.hwrs.gpsb.poc_straps.bist_enable is not 1!'],['IOMMU TLB Arbiter is non idle'],[],['Merge Bank7-CHA0 signaled an MCA to Ubox; Check mc_status of MCA BANKID:7 and  MCA BANK_INDEX:0x20', 'Merge Bank7-CHA0 signaled an MCA to Ubox; Check mc_status of MCA BANKID:7 and  MCA BANK_INDEX:0x20'],[],['corerrsts_oob.advisory_non_fatal_error_status',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</si>
  <si>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hrebootstation_gracefulreboot_overrides Failed Exit Code 1, HW, HW.CFG.ERR, HW.CORR, HW.ERR, HW.MCE, HW.MCE.PCU, HW.MCE.PUNIT,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</si>
  <si>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capture)'],['Either an S3M HW error, S3M FW error, or ISCLK FuSa error'],[],[],['socket0.io0.uncore.hwrs.gpsb.poc_straps.bist_enable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BANK_INDEX:0x0', 'Merge Bank5-UPI signaled an MCA to Ubox; Check mc_status of MCA BANKID:5 and  MCA BANK_INDEX:0x1'],[],['msm_global_status_ctrl_reg.global_viral: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</si>
  <si>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hpretest_projectcfg Failed Exit Code 4097, HW, HW.CFG.ERR, HW.CORR, HW.ERR, HW.MCE, HW.MCE.MLC,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</si>
  <si>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t>
  </si>
  <si>
    <t>[],['socket0.io0.uncore.hwrs.gpsb.poc_straps.bist_enable is not 1!', 'socket1.io0.uncore.hwrs.gpsb.poc_straps.bist_enable is not 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ierr'],[],[],nan,nan,nan,nan</t>
  </si>
  <si>
    <t>HW, HW.CFG.ERR, HW.CORR, HW.ERR, HW.MCE, HW.MCE.IIO, HW.MCE.PCU, HW.MCE.PUNIT, HW.MCE.UBOX</t>
  </si>
  <si>
    <t>[],[],['socket0.io0.uncore.hwrs.gpsb.poc_straps.bist_enable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1!'],[],[],['mscod: MCE when MCIP bit is set-Error signaled by the core and logged in Ubox. Check the core for more details.', 'Merge Bank6-Punit signaled an MCA to Ubox; Check mc_status of MCA BANKID:6 and  MCA BANK_INDEX:0x0'],[],['corerrsts_oob.advisory_non_fatal_error_status',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t>
  </si>
  <si>
    <t>[],['socket0.io0.uncore.hwrs.gpsb.poc_straps.txt_agent has the unexpected value of 0x0', 'socket0.io0.uncore.hwrs.gpsb.poc_straps.txt_plten is not 1!', 'socket1.io0.uncore.hwrs.gpsb.poc_straps.txt_plten is not 1!'],[],[],['corerrsts_msm.advisory_non_fatal_error_status', 'corerrsts_oob.advisory_non_fatal_error_status', 'msm_mbx_error_sts.mbx_overflow', 'corerrsts_msm.advisory_non_fatal_error_status', 'corerrsts_oob.advisory_non_fatal_error_status', 'msm_mbx_error_sts.mbx_overflow'],[],[],nan,nan,nan,nan</t>
  </si>
  <si>
    <t>['socket0.io0.uncore.hwrs.gpsb.poc_straps.txt_agent has the unexpected value of 0x0', 'socket0.io0.uncore.hwrs.gpsb.poc_straps.txt_plten is not 1!', 'socket1.io0.uncore.hwrs.gpsb.poc_straps.txt_plten is not 1!'],[],[],['corerrsts_oob.advisory_non_fatal_error_status', 'msm_mbx_error_sts.mbx_general_error', 'corerrsts_oob.advisory_non_fatal_error_status', 'msm_mbx_error_sts.mbx_general_error', 'msm_mbx_error_sts.mbx_general_error', 'corerrsts_oob.advisory_non_fatal_error_status', 'msm_mbx_error_sts.mbx_general_error', 'corerrsts_oob.advisory_non_fatal_error_status', 'msm_mbx_error_sts.mbx_general_error', 'msm_mbx_error_sts.mbx_general_error',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PMSB)'],[],[],nan,nan,nan,nan,nan</t>
  </si>
  <si>
    <t>['socket0.io0.uncore.hwrs.gpsb.poc_straps.txt_agent has the unexpected value of 0x0', 'socket0.io0.uncore.hwrs.gpsb.poc_straps.txt_plten is not 1!', 'socket1.io0.uncore.hwrs.gpsb.poc_straps.txt_plten is not 1!'],[],[],['corerrsts_oob.advisory_non_fatal_error_status', 'corerrsts_oob.advisory_non_fatal_error_status', 'corerrsts_oob.advisory_non_fatal_error_status', 'corerrsts_oob.advisory_non_fatal_error_status', 'corerrsts_oob.advisory_non_fatal_error_status', 'corerrsts_oob.advisory_non_fatal_error_status', 'corerrsts_msm.advisory_non_fatal_error_status', 'corerrsts_oob.advisory_non_fatal_error_status', 'corerrsts_msm.advisory_non_fatal_error_status', 'corerrsts_oob.advisory_non_fatal_error_status'],[],[],nan,nan,nan,nan,nan</t>
  </si>
  <si>
    <t>['socket0.io0.uncore.hwrs.gpsb.poc_straps.txt_agent has the unexpected value of 0x0', 'socket0.io0.uncore.hwrs.gpsb.poc_straps.txt_plten is not 1!', 'socket1.io0.uncore.hwrs.gpsb.poc_straps.txt_plten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'corerrsts_oob.advisory_non_fatal_error_status'],[],[],nan,nan,nan,nan,nan</t>
  </si>
  <si>
    <t>HW, HW.CFG.ERR, HW.CORR, HW.ERR, HW.MCE.MSE</t>
  </si>
  <si>
    <t>[],['socket0.io0.uncore.hwrs.gpsb.poc_straps.txt_agent has the unexpected value of 0x0', 'socket0.io0.uncore.hwrs.gpsb.poc_straps.txt_plten is not 1!', 'socket1.io0.uncore.hwrs.gpsb.poc_straps.txt_plten is not 1!'],[],[],['msm_mbx_error_sts.mbx_general_error', 'msm_mbx_error_sts.mbx_general_error', 'msm_mbx_error_sts.mbx_general_error', 'msm_mbx_error_sts.mbx_general_error', 'msm_mbx_error_sts.mbx_general_error', 'msm_mbx_error_sts.mbx_general_error',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'msm_mbx_error_sts.mbx_general_error',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'msm_mbx_error_sts.mbx_general_error'],[],[],nan,nan,nan,nan</t>
  </si>
  <si>
    <t>HW, HW.CFG.ERR, HW.CORR, HW.ERR, HW.MCE, HW.MCE.DTLB, HW.MCE.IIO, HW.MCE.UBOX,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</si>
  <si>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capture)'],[],[],['socket0.io0.uncore.hwrs.gpsb.poc_straps.txt_agent has the unexpected value of 0x0', 'socket0.io0.uncore.hwrs.gpsb.poc_straps.txt_plten is not 1!', 'socket1.io0.uncore.hwrs.gpsb.poc_straps.txt_plten is not 1!'],[],[],['mscod: MCE when MCIP bit is set-Error signaled by the core and logged in Ubox. Check the core for more details.', 'Merge Bank5-UPI signaled an MCA to Ubox; Check mc_status of MCA BANKID:5 and  MCA BANK_INDEX:0x1', 'Merge Bank5-UPI signaled an MCA to Ubox; Check mc_status of MCA BANKID:5 and  MCA BANK_INDEX:0x1'],[],['msm_corecrashlog_ctrl.haderror: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t>
  </si>
  <si>
    <t>[],['socket0.io0.uncore.hwrs.gpsb.poc_straps.txt_agent has the unexpected value of 0x0', 'socket0.io0.uncore.hwrs.gpsb.poc_straps.txt_plten is not 1!', 'socket1.io0.uncore.hwrs.gpsb.poc_straps.txt_plten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</si>
  <si>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[],[],['socket0.io0.uncore.hwrs.gpsb.poc_straps.safe_mode_boot is not 0! This is potentially unsafe electrically/thermally.'],[],[],['Merge Bank6-Punit signaled an MCA to Ubox; Check mc_status of MCA BANKID:6 and  MCA BANK_INDEX:0x9'],[],['msm_mbx_error_sts.mbx_timeout', 'msm_global_status_ctrl_reg.global_viral: Global Viral Crashlog Trigger along with IERR assertion from PUNIT', 'msm_global_status_ctrl_reg.ierr: oobmsm saw that CPU has logged an ierr', 'msm_mbx_error_sts.mbx_timeout', 'msm_global_status_ctrl_reg.global_viral: Global Viral Crashlog Trigger along with IERR assertion from PUNIT', 'msm_global_status_ctrl_reg.ierr: oobmsm saw that CPU has logged an ierr', 'msm_mbx_error_sts.mbx_timeout',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'msm_mbx_error_sts.mbx_timeout',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t>
  </si>
  <si>
    <t>HW, HW.CFG.ERR, HW.CORR, HW.ERR, HW.MCE, HW.MCE.IIO, HW.MCE.MLC, HW.MCE.PCU, HW.MCE.PUNIT, HW.MCE.UBOX</t>
  </si>
  <si>
    <t>['socket0.io0.uncore.hwrs.gpsb.poc_straps.txt_agent has the unexpected value of 0x0', 'socket0.io0.uncore.hwrs.gpsb.poc_straps.txt_plten is not 1!', 'socket1.io0.uncore.hwrs.gpsb.poc_straps.txt_plten is not 1!'],[],[],['mscod: MCE under WFS-Error signaled by the core and logged in Ubox. Check the core for more details.', 'mscod: MCE under WFS-Error signaled by the core and logged in Ubox. Check the core for more details.', 'Merge Bank6-Punit signaled an MCA to Ubox; Check mc_status of MCA BANKID:6 and  MCA BANK_INDEX:0x0'],[],['msm_corecrashlog_ctrl.haderror: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'corerrsts_oob.advisory_non_fatal_error_status', 'msm_global_status_ctrl_reg.global_viral: Global Viral Crashlog Trigger along with IERR assertion from PUNIT', 'corerrsts_oob.advisory_non_fatal_error_status', 'msm_global_status_ctrl_reg.global_viral: Global Viral Crashlog Trigger along with IERR assertion from PUNIT',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t>
  </si>
  <si>
    <t>[],['socket0.io0.uncore.hwrs.gpsb.poc_straps.safe_mode_boot is not 0! This is potentially unsafe electrically/thermally.', 'socket0.io0.uncore.hwrs.gpsb.poc_straps.txt_agent has the unexpected value of 0x0', 'socket0.io0.uncore.hwrs.gpsb.poc_straps.txt_plten is not 1!', 'socket1.io0.uncore.hwrs.gpsb.poc_straps.txt_plten is not 1!'],[],[],['corerrsts_oob.advisory_non_fatal_error_status',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ierr'],[],[],nan,nan,nan,nan</t>
  </si>
  <si>
    <t>['socket0.io0.uncore.hwrs.gpsb.poc_straps.txt_agent has the unexpected value of 0x0', 'socket0.io0.uncore.hwrs.gpsb.poc_straps.txt_plten is not 1!', 'socket1.io0.uncore.hwrs.gpsb.poc_straps.txt_plten is not 1!'],[],[],['corerrsts_oob.advisory_non_fatal_error_status', 'corerrsts_oob.advisory_non_fatal_error_status',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PMSB)'],[],[],nan,nan,nan,nan,nan</t>
  </si>
  <si>
    <t>HW, HW.CFG.ERR, HW.CORR, HW.ERR, HW.MCE, HW.MCE.DTLB, HW.MCE.IIO, HW.MCE.UBOX</t>
  </si>
  <si>
    <t>['socket0.io0.uncore.hwrs.gpsb.poc_straps.txt_agent has the unexpected value of 0x0', 'socket0.io0.uncore.hwrs.gpsb.poc_straps.txt_plten is not 1!', 'socket1.io0.uncore.hwrs.gpsb.poc_straps.txt_plten is not 1!'],[],[],['mscod: MCE when MCIP bit is set-Error signaled by the core and logged in Ubox. Check the core for more details.', 'mscod: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'msm_mbx_error_sts.mbx_general_error', 'msm_global_status_ctrl_reg.global_viral: Global Viral Crashlog Trigger along with IERR assertion from PUNIT', 'msm_global_status_ctrl_reg.general_mca: oobmsm saw that CPU has logged an MCA', 'msm_global_status_ctrl_reg.ierr: oobmsm saw that CPU has logged an ierr'],[],[],nan,nan,nan</t>
  </si>
  <si>
    <t>[],['socket0.io0.uncore.hwrs.gpsb.poc_straps.txt_agent has the unexpected value of 0x0', 'socket0.io0.uncore.hwrs.gpsb.poc_straps.txt_plten is not 1!', 'socket1.io0.uncore.hwrs.gpsb.poc_straps.txt_plten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t>
  </si>
  <si>
    <t>['socket0.io0.uncore.hwrs.gpsb.poc_straps.txt_agent has the unexpected value of 0x0', 'socket0.io0.uncore.hwrs.gpsb.poc_straps.txt_plten is not 1!', 'socket1.io0.uncore.hwrs.gpsb.poc_straps.txt_plten is not 1!'],[],[],['corerrsts_oob.advisory_non_fatal_error_status',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'msm_mbx_error_sts.mbx_overflow'],[],[],nan,nan,nan,nan,nan</t>
  </si>
  <si>
    <t>HW, HW.CFG.ERR, HW.CORR, HW.ERR, HW.MCE, HW.MCE.CHA, HW.MCE.MLC, HW.MCE.PCU, HW.MCE.PUNIT,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</si>
  <si>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GPSB does not respond within timeout value'],[],[],['socket0.io0.uncore.hwrs.gpsb.poc_straps.txt_agent has the unexpected value of 0x0', 'socket0.io0.uncore.hwrs.gpsb.poc_straps.txt_plten is not 1!', 'socket1.io0.uncore.hwrs.gpsb.poc_straps.txt_plten is not 1!'],[],[],['Merge Bank5-UPI signaled an MCA to Ubox; Check mc_status of MCA BANKID:5 and  MCA BANK_INDEX:0x1', 'Merge Bank7-CHA0 signaled an MCA to Ubox; Check mc_status of MCA BANKID:7 and  MCA BANK_INDEX:0x78', 'Merge Bank5-UPI signaled an MCA to Ubox; Check mc_status of MCA BANKID:5 and  MCA BANK_INDEX:0x1', 'Merge Bank6-Punit signaled an MCA to Ubox; Check mc_status of MCA BANKID:6 and  MCA BANK_INDEX:0x0', 'Merge Bank7-CHA0 signaled an MCA to Ubox; Check mc_status of MCA BANKID:7 and  MCA BANK_INDEX:0x19'],[],['msm_global_status_ctrl_reg.global_viral: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t>
  </si>
  <si>
    <t>HW, HW.CFG.ERR, HW.CORR, HW.ERR, HW.KNOWN_ISSUE</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</si>
  <si>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1!'],['IOMMU TLB Arbiter is non idle'],[],['msm_corecrashlog_ctrl.haderror: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t>
  </si>
  <si>
    <t>[],['socket0.io0.uncore.hwrs.gpsb.poc_straps.bist_enable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1!'],[],[],['corerrsts_oob.advisory_non_fatal_error_status',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t>
  </si>
  <si>
    <t>[],['socket0.io0.uncore.hwrs.gpsb.poc_straps.bist_enable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t>
  </si>
  <si>
    <t>[],['socket1.io0.uncore.hwrs.gpsb.poc_straps.bist_enable is not 1!'],[],[],['corerrsts_msm.advisory_non_fatal_error_status', 'corerrsts_oob.advisory_non_fatal_error_status', 'corerrsts_msm.advisory_non_fatal_error_status', 'corerrsts_oob.advisory_non_fatal_error_status'],[],[],nan,nan,nan,nan</t>
  </si>
  <si>
    <t>[],['socket0.io0.uncore.hwrs.gpsb.poc_straps.bist_enable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1!'],[],[],['corerrsts_msm.advisory_non_fatal_error_status', 'corerrsts_oob.advisory_non_fatal_error_status', 'msm_mbx_error_sts.mbx_overflow', 'corerrsts_msm.advisory_non_fatal_error_status', 'corerrsts_oob.advisory_non_fatal_error_status', 'msm_mbx_error_sts.mbx_overflow'],[],[],nan,nan,nan,nan</t>
  </si>
  <si>
    <t>[],['socket0.io0.uncore.hwrs.gpsb.poc_straps.safe_mode_boot is not 0! This is potentially unsafe electrically/thermally.'],[],[],['msm_mbx_error_sts.mbx_timeout', 'msm_global_status_ctrl_reg.global_viral: Global Viral Crashlog Trigger along with IERR assertion from PUNIT', 'msm_global_status_ctrl_reg.general_mca: oobmsm saw that CPU has logged an MCA', 'msm_global_status_ctrl_reg.ierr: oobmsm saw that CPU has logged an ierr', 'msm_mbx_error_sts.mbx_timeout',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'msm_mbx_error_sts.mbx_timeout', 'msm_global_status_ctrl_reg.global_viral: Global Viral Crashlog Trigger along with IERR assertion from PUNIT', 'msm_global_status_ctrl_reg.general_mca: oobmsm saw that CPU has logged an MCA', 'msm_global_status_ctrl_reg.ierr: oobmsm saw that CPU has logged an ierr', 'msm_mbx_error_sts.mbx_timeout',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t>
  </si>
  <si>
    <t>HW, HW.CFG.ERR, HW.CORR, HW.ERR, HW.MCE, HW.MCE.MLC, HW.MCE.PCU, HW.MCE.PUNIT, HW.MCE.UPI</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</si>
  <si>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 'Merge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t>
  </si>
  <si>
    <t>['socket0.io0.uncore.hwrs.gpsb.poc_straps.bist_enable is not 1!', 'socket1.io0.uncore.hwrs.gpsb.poc_straps.bist_enable is not 1!'],[],[],['corerrsts_msm.advisory_non_fatal_error_status',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'corerrsts_oob.advisory_non_fatal_error_status'],[],[],nan,nan,nan,nan,nan</t>
  </si>
  <si>
    <t>['socket0.io0.uncore.hwrs.gpsb.poc_straps.bist_enable is not 1!', 'socket1.io0.uncore.hwrs.gpsb.poc_straps.bist_enable is not 1!'],[],[],['corerrsts_msm.advisory_non_fatal_error_status', 'corerrsts_oob.advisory_non_fatal_error_status', 'corerrsts_msm.advisory_non_fatal_error_status', 'corerrsts_oob.advisory_non_fatal_error_status'],[],[],nan,nan,nan,nan,nan</t>
  </si>
  <si>
    <t>['mismatch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1!'],[],[],['corerrsts_msm.advisory_non_fatal_error_status', 'corerrsts_oob.advisory_non_fatal_error_status', 'corerrsts_msm.advisory_non_fatal_error_status', 'corerrsts_oob.advisory_non_fatal_error_status'],[],[],nan,nan,nan</t>
  </si>
  <si>
    <t>['socket0.io0.uncore.hwrs.gpsb.poc_straps.bist_enable is not 1!', 'socket0.io0.uncore.hwrs.gpsb.poc_straps.txt_plten is not 1!', 'socket1.io0.uncore.hwrs.gpsb.poc_straps.bist_enable is not 1!', 'socket1.io0.uncore.hwrs.gpsb.poc_straps.txt_plten is not 1!'],[],[],['corerrsts_oob.advisory_non_fatal_error_status', 'corerrsts_oob.advisory_non_fatal_error_status', 'corerrsts_msm.advisory_non_fatal_error_status', 'corerrsts_oob.advisory_non_fatal_error_status', 'corerrsts_msm.advisory_non_fatal_error_status', 'corerrsts_oob.advisory_non_fatal_error_status'],[],[],nan,nan,nan,nan,nan</t>
  </si>
  <si>
    <t>Row Labels</t>
  </si>
  <si>
    <t>(blank)</t>
  </si>
  <si>
    <t>Grand Total</t>
  </si>
  <si>
    <t>Count of agglomerativeClustering_LocallyLinearEmbedding_BERT11</t>
  </si>
  <si>
    <t>Debug Snapshot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</si>
</sst>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color rgb="FFFFFFFF"/>
      <name val="Calibri"/>
      <family val="2"/>
      <scheme val="minor"/>
    </font>
    <font>
      <sz val="11"/>
      <color rgb="FF0070C0"/>
      <name val="Calibri"/>
      <family val="2"/>
      <scheme val="minor"/>
    </font>
  </fonts>
  <fills count="3">
    <fill>
      <patternFill patternType="none"/>
    </fill>
    <fill>
      <patternFill patternType="gray125"/>
    </fill>
    <fill>
      <patternFill patternType="solid">
        <fgColor rgb="FF7A7A7A"/>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2" fillId="2" borderId="0" xfId="0" applyFont="1" applyFill="1"/>
    <xf numFmtId="0" fontId="3"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oudhari, Nakul" refreshedDate="45588.63936296296" createdVersion="8" refreshedVersion="8" minRefreshableVersion="3" recordCount="552" xr:uid="{DD20BDC3-AC15-41D2-8E2C-3C466CB841A6}">
  <cacheSource type="worksheet">
    <worksheetSource ref="A1:E1048576" sheet="Clusters"/>
  </cacheSource>
  <cacheFields count="5">
    <cacheField name="Failure Tags" numFmtId="0">
      <sharedItems containsBlank="1" count="151">
        <s v="HW.CFG.ERR, HW.CORR, HW.ERR, HW.KNOWN_ISSUE, SW.FW"/>
        <s v="HW.CFG.ERR, HW.CORR, HW.ERR, HW.KNOWN_ISSUE, HW.MCE.IIO, SW.FW"/>
        <s v="HW.CFG.ERR, HW.CORR, HW.ERR"/>
        <s v="HW.CFG.ERR, HW.CORR, HW.ERR, HW.MCE.IIO"/>
        <s v="HW.CFG.ERR, HW.CORR, HW.ERR, HW.MCE.IIO, HW.MCE.PCU"/>
        <s v="HW.CFG.ERR, HW.CORR, HW.ERR, HW.MCE.CHA, HW.MCE.IIO, HW.MCE.PCU"/>
        <s v="HW.CFG.ERR, HW.CORR, HW.ERR, HW.MCE.PCU"/>
        <s v="HW.CFG.ERR, HW.CORR, HW.ERR, HW.MCE.PCU, HW.MCE.UPI"/>
        <s v="HW.CFG.ERR, HW.CORR, HW.ERR, HW.MCE.CHA, HW.MCE.IIO, HW.MCE.PCU, HW.MCE.UPI"/>
        <s v="HW.CFG.ERR, HW.CORR, HW.ERR, HW.MCE.IIO, HW.MCE.PCU, HW.MCE.UPI"/>
        <s v="HW.CFG.ERR, HW.CORR, HW.ERR, HW.MCE.CHA, HW.MCE.PCU"/>
        <s v="HW.CFG.ERR, HW.CORR, HW.ERR, HW.MCE.CHA, HW.MCE.UPI"/>
        <s v="HW.CFG.ERR, HW.CORR, HW.ERR, HW.MCE.MLC"/>
        <s v="HW.CFG.ERR, HW.CORR, HW.ERR, HW.MCE.UPI"/>
        <s v="HW.CFG.ERR, HW.CORR, HW.ERR, HW.MCE.CHA, HW.MCE.MLC, HW.MCE.PCU"/>
        <s v="HW.CFG.ERR, HW.CORR, HW.ERR, HW.MCE.MLC, HW.MCE.PCU"/>
        <s v="HW.CFG.ERR, HW.CORR, HW.ERR, HW.KNOWN_ISSUE, HW.MCE.MLC, HW.MCE.PCU, SW.FW"/>
        <s v="HW.CFG.ERR, HW.CORR, HW.ERR, HW.MCE.DCU, HW.MCE.MLC, HW.MCE.PCU"/>
        <s v="HW.CFG.ERR, HW.CORR, HW.ERR, HW.MCE.CHA, HW.MCE.IIO, HW.MCE.IMC, HW.MCE.MLC, HW.MCE.PCU"/>
        <s v="HW.CFG.ERR, HW.CORR, HW.ERR, HW.MCE.MLC, HW.MCE.PCU, HW.MCE.UPI"/>
        <s v="HW.CFG.ERR, HW.CORR, HW.ERR, HW.MCE.CHA, HW.MCE.IIO, HW.MCE.MLC, HW.MCE.PCU"/>
        <s v="HW.CFG.ERR, HW.CORR, HW.ERR, HW.MCE.IIO, HW.MCE.MLC, HW.MCE.PCU"/>
        <s v="HW.CFG.ERR, HW.CORR, HW.ERR, HW.MCE.DTLB, HW.MCE.IFU, HW.MCE.MLC, HW.MCE.PCU"/>
        <s v="HW.CFG.ERR, HW.CORR, HW.ERR, HW.KNOWN_ISSUE, HW.MCE.IIO, HW.MCE.PCU, HW.MCE.UPI"/>
        <s v="HW.CFG.ERR, HW.CORR, HW.ERR, HW.KNOWN_ISSUE, HW.MCE.CHA, HW.MCE.IIO, HW.MCE.PCU, HW.MCE.UPI"/>
        <s v="HW.CFG.ERR, HW.CORR, HW.ERR, HW.MCE, HW.MCE.DCU, HW.MCE.MLC, HW.MCE.PCU"/>
        <s v="HW.CFG.ERR, HW.CORR, HW.ERR, HW.MCE, HW.MCE.IIO, HW.MCE.PCU"/>
        <s v="HW.CFG.ERR, HW.CORR, HW.ERR, HW.MCE, HW.MCE.CHA, HW.MCE.IIO, HW.MCE.MLC, HW.MCE.PCU, HW.MCE.UPI"/>
        <s v="HW.CFG.ERR, HW.CORR, HW.ERR, HW.MCE, HW.MCE.CHA, HW.MCE.IIO, HW.MCE.PCU"/>
        <s v="HW.CFG.ERR, HW.CORR, HW.ERR, HW.MCE, HW.MCE.CHA, HW.MCE.IIO, HW.MCE.MLC, HW.MCE.PCU"/>
        <s v="HW.CFG.ERR, HW.CORR, HW.ERR, HW.MCE, HW.MCE.CHA, HW.MCE.IIO, HW.MCE.PCU, HW.MCE.UPI"/>
        <s v="HW.CFG.ERR, HW.CORR, HW.ERR, HW.KNOWN_ISSUE, HW.MCE, HW.MCE.IIO, HW.MCE.LLC, HW.MCE.MLC, HW.MCE.PCU"/>
        <s v="HW.CFG.ERR, HW.CORR, HW.ERR, HW.MCE, HW.MCE.MLC, HW.MCE.PCU"/>
        <s v="HW.CFG.ERR, HW.CORR"/>
        <s v="HW.CFG.ERR, HW.CORR, HW.ERR, HW.KNOWN_ISSUE, HW.MCE, HW.MCE.CHA, HW.MCE.IIO, HW.MCE.LLC, HW.MCE.PCU"/>
        <s v="HW.CFG.ERR, HW.CORR, HW.ERR, HW.KNOWN_ISSUE, HW.MCE, HW.MCE.CHA, HW.MCE.MLC, HW.MCE.PCU, HW.MCE.UPI"/>
        <s v="HW.CFG.ERR, HW.CORR, HW.ERR, HW.MCE, HW.MCE.CHA, HW.MCE.MLC, HW.MCE.PCU"/>
        <s v="HW.CFG.ERR, HW.CORR, HW.ERR, HW.MCE, HW.MCE.PCU, HW.MCE.UPI"/>
        <s v="HW.CFG.ERR, HW.CORR, HW.MCE.CHA"/>
        <s v="HW.CFG.ERR, HW.CORR, HW.ERR, HW.MCE.DCU, HW.MCE.DTLB, HW.MCE.IFU, HW.MCE.MLC"/>
        <s v="HW.CFG.ERR, HW.CORR, HW.ERR, HW.MCE.DCU, HW.MCE.DTLB, HW.MCE.IFU, HW.MCE.MLC, HW.MCE.UPI"/>
        <s v="HW.CFG.ERR, HW.CORR, HW.ERR, HW.MCE.DCU, HW.MCE.DTLB"/>
        <s v="HW.CFG.ERR, HW.CORR, HW.ERR, HW.MCE.DCU, HW.MCE.DTLB, HW.MCE.IFU, HW.MCE.MLC, HW.MCE.PCU, HW.MCE.PUNIT"/>
        <s v="HW.CFG.ERR, HW.CORR, HW.ERR, HW.MCE.DCU, HW.MCE.IFU, HW.MCE.MLC"/>
        <s v="HW.CFG.ERR, HW.CORR, HW.ERR, HW.KNOWN_ISSUE, HW.MCE, HW.MCE.CHA, HW.MCE.IIO, HW.MCE.PCU"/>
        <s v="HW.CFG.ERR, HW.CORR, HW.ERR, HW.MCE, HW.MCE.PCU"/>
        <s v="HW.CFG.ERR, HW.CORR, HW.ERR, HW.MCE.DCU, HW.MCE.DTLB, HW.MCE.IFU, HW.MCE.UPI"/>
        <s v="HW.CFG.ERR, HW.CORR, HW.ERR, HW.MCE.MLC, HW.MCE.PCU, HW.MCE.PUNIT"/>
        <s v="HW.CFG.ERR, HW.CORR, HW.ERR, HW.MCE.DTLB"/>
        <s v="HW.CFG.ERR, HW.CORR, HW.ERR, HW.KNOWN_ISSUE, HW.MCE.DCU, HW.MCE.DTLB, HW.MCE.IFU, HW.MCE.MLC"/>
        <s v="HW.CFG.ERR, HW.CORR, HW.ERR, HW.MCE, HW.MCE.MLC, HW.MCE.PCU, HW.MCE.PUNIT, HW.MCE.UPI"/>
        <s v="HW.CFG.ERR, HW.CORR, HW.ERR, HW.KNOWN_ISSUE, HW.MCE, HW.MCE.CHA, HW.MCE.MLC, HW.MCE.PCU, HW.MCE.PUNIT, HW.MCE.UPI"/>
        <s v="HW.CFG.ERR, HW.CORR, HW.ERR, HW.MCE, HW.MCE.DCU, HW.MCE.DTLB, HW.MCE.IFU, HW.MCE.MLC, HW.MCE.UPI"/>
        <s v="HW.CFG.ERR, HW.CORR, HW.ERR, HW.MCE, HW.MCE.CHA, HW.MCE.IIO, HW.MCE.PCU, HW.MCE.PUNIT, HW.MCE.UBOX"/>
        <s v="HW.CFG.ERR, HW.CORR, HW.ERR, HW.MCE, HW.MCE.IIO, HW.MCE.PCU, HW.MCE.PUNIT, HW.MCE.UBOX"/>
        <s v="HW.CFG.ERR, HW.CORR, HW.ERR, HW.MCE, HW.MCE.IIO, HW.MCE.PCU, HW.MCE.PUNIT, HW.MCE.UBOX, HW.MCE.UPI"/>
        <s v="HW.CFG.ERR, HW.CORR, HW.ERR, HW.MCE, HW.MCE.CHA, HW.MCE.MLC, HW.MCE.PCU, HW.MCE.PUNIT"/>
        <s v="HW.CFG.ERR, HW.CORR, HW.ERR, HW.MCE, HW.MCE.PCU, HW.MCE.PUNIT"/>
        <s v="HW.CFG.ERR, HW.CORR, HW.ERR, HW.MCE, HW.MCE.IIO, HW.MCE.PCU, HW.MCE.UPI"/>
        <s v="HW.CFG.ERR, HW.CORR, HW.ERR, HW.MCE, HW.MCE.PCU, HW.MCE.PUNIT, HW.MCE.UPI"/>
        <s v="HW.CFG.ERR, HW.CORR, HW.ERR, HW.MCE, HW.MCE.CHA, HW.MCE.PCU, HW.MCE.PUNIT, HW.MCE.UPI"/>
        <s v="HW.CFG.ERR, HW.CORR, HW.ERR, HW.MCE.DTLB, HW.MCE.IFU"/>
        <s v="discuss, HW.CFG.ERR, HW.CORR, HW.ERR, HW.MCE.DCU, HW.MCE.DTLB, HW.MCE.IFU, HW.MCE.MLC"/>
        <s v="HW.CFG.ERR, HW.CORR, HW.ERR, HW.MCE.DCU, HW.MCE.DTLB, HW.MCE.MLC"/>
        <s v="HW.CFG.ERR, HW.CORR, HW.ERR, HW.KNOWN_ISSUE, HW.MCE, HW.MCE.IIO, HW.MCE.LLC, HW.MCE.MLC, HW.MCE.MSE, HW.MCE.PCU, HW.MCE.PUNIT, HW.MCE.UBOX, HW.MCE.UPI"/>
        <s v="HW.CFG.ERR, HW.CORR, HW.ERR, HW.MCE.DCU"/>
        <s v="HW.CFG.ERR, HW.CORR, HW.ERR, HW.KNOWN_ISSUE, HW.MCE, HW.MCE.CHA, HW.MCE.IIO, HW.MCE.LLC, HW.MCE.MSE, HW.MCE.PCU, HW.MCE.PUNIT, HW.MCE.UBOX, HW.MCE.UPI"/>
        <s v="HW.CFG.ERR, HW.CORR, HW.ERR, HW.KNOWN_ISSUE, HW.MCE, HW.MCE.CHA, HW.MCE.IIO, HW.MCE.MSE, HW.MCE.PCU, HW.MCE.PUNIT, HW.MCE.UBOX, HW.MCE.UPI"/>
        <s v="HW.CFG.ERR, HW.CORR, HW.ERR, HW.KNOWN_ISSUE, HW.MCE, HW.MCE.IIO, HW.MCE.PCU, HW.MCE.PUNIT, HW.MCE.UBOX, HW.MCE.UPI"/>
        <s v="HW.CFG.ERR, HW.CORR, HW.ERR, HW.KNOWN_ISSUE, HW.MCE, HW.MCE.CHA, HW.MCE.IIO, HW.MCE.PCU, HW.MCE.PUNIT, HW.MCE.UBOX"/>
        <s v="HW.CFG.ERR, HW.CORR, HW.ERR, HW.MCE, HW.MCE.DCU, HW.MCE.DTLB, HW.MCE.IFU, HW.MCE.MLC"/>
        <s v="HW.CFG.ERR, HW.CORR, HW.ERR, HW.MCE.DCU, HW.MCE.DTLB, HW.MCE.IFU"/>
        <s v="HW.CFG.ERR, HW.CORR, HW.ERR, HW.KNOWN_ISSUE, HW.MCE, HW.MCE.CHA, HW.MCE.IIO, HW.MCE.PCU, HW.MCE.PUNIT, HW.MCE.UBOX, S@_HW_KNOWN_HSD_16019640136, S@_HW_KNOWN_HSD_16019933053"/>
        <s v="HW.CFG.ERR, HW.CORR, HW.ERR, HW.MCE.IFU, HW.MCE.MLC"/>
        <s v="HW.CFG.ERR, HW.CORR, HW.ERR, HW.KNOWN_ISSUE, HW.MCE, HW.MCE.PCU, HW.MCE.PUNIT, HW.MCE.UPI, S@_HW_KNOWN_HSD_16019933053"/>
        <s v="HW.CFG.ERR, HW.CORR, HW.ERR, HW.MCE, HW.MCE.CHA, HW.MCE.IIO, HW.MCE.PCU, HW.MCE.PUNIT, HW.MCE.UBOX, HW.MCE.UPI"/>
        <s v="HW.CFG.ERR, HW.CORR, HW.ERR, HW.MCE, HW.MCE.CHA, HW.MCE.PCU, HW.MCE.UPI"/>
        <s v="HW.CFG.ERR, HW.CORR, HW.ERR, HW.MCE, HW.MCE.CHA, HW.MCE.UPI"/>
        <s v="HW.CFG.ERR, HW.CORR, HW.ERR, HW.MCE, HW.MCE.CHA, HW.MCE.IIO, HW.MCE.MLC, HW.MCE.UBOX, HW.MCE.UPI"/>
        <s v="HW.CFG.ERR, HW.CORR, HW.ERR, HW.MCE, HW.MCE.UPI"/>
        <s v="hpreboot_updateifwi_overrides Failed TargetHang, HW.CFG.ERR, HW.CORR, HW.ERR"/>
        <s v="HW.CFG.ERR, HW.CORR, HW.ERR, MC_memicals_pmx_cstates_1 Failed Exit Code 254"/>
        <s v="HW, HW.CFG.ERR, HW.CORR, HW.ERR"/>
        <s v="HW, HW.CFG.ERR, HW.CORR, HW.ERR, HW.MCE, HW.MCE.PCU, HW.MCE.PUNIT"/>
        <s v="HW, HW.CFG.ERR, HW.CORR, HW.ERR, HW.KNOWN_ISSUE, HW.MCE, HW.MCE.UPI"/>
        <s v="HW, HW.CFG.ERR, HW.CORR, HW.ERR, X3_All_Resets_solar Failed TargetRebootTimeout"/>
        <s v="HW, HW.CFG.ERR, HW.CORR, HW.ERR, X3_All_Resets_solar Failed Exit Code 8"/>
        <s v="hpreboot_updatebmc Failed TargetHang, HW, HW.CFG.ERR, HW.CORR, HW.ERR"/>
        <s v="HW, HW.CFG.ERR, HW.CORR, HW.ERR, HW.MCE, HW.MCE.CHA, HW.MCE.IIO, X3_warmResetSolar_logPath Failed TargetRebootTimeout"/>
        <s v="HW, HW.CFG.ERR, HW.CORR, HW.ERR, HW.KNOWN_ISSUE, HW.MCE, HW.MCE.IIO, HW.MCE.UBOX, HW.MCE.UPI, S@_HW_KNOWN_HSD_16019640136, S@_HW_KNOWN_HSD_16019933053, sc_Stress_1_1 Failed TargetHang"/>
        <s v="HW, HW.CFG.ERR, HW.CORR, HW.ERR, X3_G3_Cycle_solar Failed Exit Code 8"/>
        <s v="hposttest_projectend_moka Failed Exit Code 4105, HW, HW.CFG.ERR, HW.CORR, HW.ERR"/>
        <s v="HW, HW.CFG.ERR, HW.CORR, HW.ERR, peer_to_peer_along_with_Cambria_to_PVC Failed Exit Code 1"/>
        <s v="HW, HW.CFG.ERR, HW.CORR, HW.ERR, peer_to_peer_with_PVC_to_cambria_combination Failed TimedOut"/>
        <s v="HW, HW.CFG.ERR, HW.CORR, HW.ERR, sc_IDI_Stress_4h Failed Exit Code 1"/>
        <s v="HW, HW.CFG.ERR, HW.CORR, HW.ERR, X3_All_Resets_cross_PM_solar Failed Exit Code 2"/>
        <s v="HW, HW.CFG.ERR, HW.CORR, HW.ERR, HW.MCE, HW.MCE.PCU, HW.MCE.PUNIT, tpretest_projectcfg Failed Exit Code 1"/>
        <s v="HW, HW.CFG.ERR, HW.CORR, HW.ERR, X3_SR_X_SC_solar Failed Exit Code 8"/>
        <s v="HW, HW.CFG.ERR, HW.CORR, HW.ERR, X3_PMxWRCR_Solar Failed Exit Code 2"/>
        <s v="hposttest_projectend_moka Failed Exit Code 4098, HW, HW.CFG.ERR, HW.CORR, HW.ERR"/>
        <s v="HW, HW.CFG.ERR, HW.CORR, HW.ERR, HW.MCE.MLC"/>
        <s v="hpretest_projectcfg Failed Exit Code 4099, HW, HW.CFG.ERR, HW.CORR, HW.ERR, HW.MCE, HW.MCE.CHA, HW.MCE.IIO, HW.MCE.MLC, HW.MCE.UBOX"/>
        <s v="HW, HW.CFG.ERR, HW.CORR, HW.ERR, X3_SOC_IP_DISABLE Failed TargetRebootTimeout"/>
        <s v="HW, HW.CFG.ERR, HW.CORR, HW.ERR, X3_All_Resets_noGRSR_cross_PM_solar Failed Exit Code 8"/>
        <s v="HW, HW.CFG.ERR, HW.CORR, HW.ERR, Lock_stress_NoVMs Failed TimedOut"/>
        <s v="HW, HW.CFG.ERR, HW.CORR, HW.ERR, rtm_execution_vtd_sanity Failed TimedOut"/>
        <s v="Basic_rocket_SV8 Failed Exit Code 144, HW, HW.CFG.ERR, HW.CORR, HW.ERR"/>
        <s v="HW, HW.CFG.ERR, HW.CORR, HW.ERR, X3_All_Resets_noGRSR_cross_PM_solar Failed TargetRebootTimeout"/>
        <s v="HW, HW.CFG.ERR, HW.CORR, HW.ERR, X3_G3_Cycle_solar_delay Failed Exit Code 8"/>
        <s v="HW, HW.CFG.ERR, HW.CORR, HW.ERR, HW.MCE, HW.MCE.PCU, HW.MCE.PUNIT, PCIe_Base_Stress Failed Exit Code 135"/>
        <s v="HW, HW.CFG.ERR, HW.CORR, HW.ERR, HW.MCE, HW.MCE.PCU, HW.MCE.PUNIT, HW.MCE.UPI, sc_Lock_Stress Failed Exit Code 1"/>
        <s v="HW, HW.CFG.ERR, HW.CORR, HW.ERR, HW.MCE, HW.MCE.PCU, HW.MCE.PUNIT, trebootstation_biosovr_aspm Failed TargetHang"/>
        <s v="HW, HW.CFG.ERR, HW.CORR, HW.ERR, HW.MCE, HW.MCE.CHA, HW.MCE.MLC, sc_Rand_Stress13_longSeeds Failed TargetHang"/>
        <s v="HW, HW.CFG.ERR, HW.CORR, HW.MCE.IMC, MC_gnrEccHarasser_cecc_only Failed Exit Code 8"/>
        <s v="HW, HW.CFG.ERR, HW.CORR, HW.ERR, HW.MCE, HW.MCE.CHA, HW.MCE.IIO, HW.MCE.MLC, HW.MCE.UBOX, Rocket_Basic Failed TargetHang"/>
        <s v="hpretest_projectcfg Failed Exit Code 4097, HW, HW.CFG.ERR, HW.CORR, HW.ERR, HW.MCE, HW.MCE.MLC, HW.MCE.PCU, HW.MCE.PUNIT, HW.MCE.UPI"/>
        <s v="HW, HW.CFG.ERR, HW.CORR, HW.ERR, HW.MCE, HW.MCE.PCU, HW.MCE.PUNIT, HW.MCE.UPI, trebootstation_biosknobovr_custom Failed TargetHang"/>
        <s v="hposttest_projectend_moka Failed Exit Code 4097, HW, HW.CFG.ERR, HW.CORR, HW.ERR, HW.MCE, HW.MCE.IIO, HW.MCE.PCU, HW.MCE.PUNIT, HW.MCE.UBOX, HW.MCE.UPI"/>
        <s v="hposttest_projectend_moka Failed Exit Code 4205, HW, HW.CFG.ERR, HW.CORR, HW.ERR, HW.MCE, HW.MCE.PCU, HW.MCE.PUNIT, HW.MCE.UPI"/>
        <s v="HW, HW.CFG.ERR, HW.CORR, HW.ERR, HW.MCE, HW.MCE.PCU, HW.MCE.PUNIT, MC_Sandstone_170 Failed TargetHang"/>
        <s v="HW, HW.CFG.ERR, HW.CORR, HW.ERR, HW.MCE, HW.MCE.PCU, HW.MCE.PUNIT, HW.MCE.UPI, rtm_execution_tdxio_security Failed TimedOut"/>
        <s v="hpretest_projectcfg Failed Exit Code 1, HW, HW.CFG.ERR, HW.CORR, HW.ERR, HW.MCE, HW.MCE.MLC, HW.MCE.PCU, HW.MCE.PUNIT, HW.MCE.UPI"/>
        <s v="HW, HW.CFG.ERR, HW.CORR, HW.ERR, HW.MCE, HW.MCE.DCU, HW.MCE.UPI, TDXIO_warm_reset Failed UnexpectedReboot"/>
        <s v="HW, HW.CFG.ERR, HW.CORR, HW.ERR, HW.MCE, HW.MCE.DCU, HW.MCE.IIO, HW.MCE.UBOX, HW.MCE.UPI, TDXIO_cold_reset Failed UnexpectedReboot"/>
        <s v="HW, HW.CFG.ERR, HW.CORR, HW.ERR, X3_All_Resets_noGRSR_solar Failed TargetRebootTimeout"/>
        <s v="HW, HW.CFG.ERR, HW.CORR, HW.ERR, HW.MCE, HW.MCE.PCU, HW.MCE.PUNIT, HW.MCE.UPI, X3_All_Resets_noGRSR_cross_PM_solar Failed TargetRebootTimeout"/>
        <s v="HW, HW.CFG.ERR, HW.CORR, HW.ERR, HW.MCE, HW.MCE.CHA, HW.MCE.IIO, tpretest_projectcfg_nofail Failed TargetHang"/>
        <s v="HW, HW.CFG.ERR, HW.CORR, HW.ERR, HW.MCE, HW.MCE.IIO, HW.MCE.MLC, HW.MCE.PCU, HW.MCE.PUNIT, HW.MCE.UBOX, X3_All_Resets_noGRSR_cross_PM_solar Failed TargetRebootTimeout"/>
        <s v="HW, HW.CFG.ERR, HW.CORR, HW.ERR, HW.MCE, HW.MCE.IIO, HW.MCE.MLC, HW.MCE.UBOX, IOMMU_Table_Read_Priority_silicon Failed TimedOut"/>
        <s v="HW, HW.CFG.ERR, HW.CORR, HW.ERR, HW.MCE, HW.MCE.MLC, sc_MC_MultWrite Failed TargetHang"/>
        <s v="HW, HW.CFG.ERR, HW.CORR, HW.ERR, HW.KNOWN_ISSUE, HW.MCE, HW.MCE.MLC, S@_HW_KNOWN_HSD_16019933053, sc_Rand_Stress13_longRun Failed TargetHang"/>
        <s v="HW, HW.CFG.ERR, HW.CORR, HW.ERR, HW.MCE, HW.MCE.PCU, HW.MCE.PUNIT, HW.MCE.UPI, MC_Sandstone_170 Failed TargetHang"/>
        <s v="HW, HW.CFG.ERR, HW.CORR, HW.ERR, HW.MCE, HW.MCE.IIO, HW.MCE.PCU, X3_All_Resets_X_SC_solar Failed TargetRebootTimeout"/>
        <s v="CXL_Python_TxCMatch2_Memrd_MemWr_SUT Failed TargetHang, HW, HW.CFG.ERR, HW.CORR, HW.ERR, HW.MCE, HW.MCE.DCU, HW.MCE.IIO, HW.MCE.UBOX"/>
        <s v="HW, HW.CFG.ERR, HW.CORR, HW.ERR, HW.MCE, HW.MCE.PCU, X3_All_Resets_solar Failed TargetRebootTimeout"/>
        <s v="CXL_Python_cxl_F2LM_traffic_PkgC_checker_For_Reset Failed TargetHang, HW, HW.CFG.ERR, HW.CORR, HW.ERR, HW.MCE, HW.MCE.DCU, HW.MCE.IIO, HW.MCE.UBOX"/>
        <s v="HW, HW.CFG.ERR, HW.CORR, HW.ERR, HW.MCE, HW.MCE.CHA, HW.MCE.MLC, sc_Stress_1_1_heavy_remote Failed TargetHang"/>
        <s v="HW, HW.CFG.ERR, HW.CORR, HW.ERR, HW.MCE, HW.MCE.MLC, HW.MCE.PCU, HW.MCE.PUNIT, sc_UboxMsgCh_Stress_hvyPM Failed TargetHang"/>
        <s v="HW, HW.CFG.ERR, HW.CORR, HW.ERR, HW.MCE, HW.MCE.MLC, HW.MCE.PCU, HW.MCE.PUNIT, sc_PM_Monitor_Stress Failed TargetHang"/>
        <s v="HW, HW.CFG.ERR, HW.CORR, HW.ERR, HW.KNOWN_ISSUE, HW.MCE, HW.MCE.CHA, HW.MCE.MLC, S@_HW_KNOWN_HSD_16019933053, sc_Rand_Stress13_longRun Failed TargetHang"/>
        <s v="hrebootstation_gracefulreboot_overrides Failed Exit Code 1, HW, HW.CFG.ERR, HW.CORR, HW.ERR, HW.MCE, HW.MCE.PCU, HW.MCE.PUNIT, HW.MCE.UPI"/>
        <s v="hpretest_projectcfg Failed Exit Code 4097, HW, HW.CFG.ERR, HW.CORR, HW.ERR, HW.MCE, HW.MCE.MLC, HW.MCE.UPI"/>
        <s v="HW, HW.CFG.ERR, HW.CORR, HW.ERR, HW.MCE, HW.MCE.IIO, HW.MCE.PCU, HW.MCE.PUNIT, HW.MCE.UBOX"/>
        <s v="HW, HW.CFG.ERR, HW.CORR, HW.ERR, HW.MCE.MSE"/>
        <s v="HW, HW.CFG.ERR, HW.CORR, HW.ERR, HW.MCE, HW.MCE.DTLB, HW.MCE.IIO, HW.MCE.UBOX, HW.MCE.UPI"/>
        <s v="HW, HW.CFG.ERR, HW.CORR, HW.ERR, HW.MCE, HW.MCE.IIO, HW.MCE.MLC, HW.MCE.PCU, HW.MCE.PUNIT, HW.MCE.UBOX"/>
        <s v="HW, HW.CFG.ERR, HW.CORR, HW.ERR, HW.MCE, HW.MCE.DTLB, HW.MCE.IIO, HW.MCE.UBOX"/>
        <s v="HW, HW.CFG.ERR, HW.CORR, HW.ERR, HW.MCE, HW.MCE.CHA, HW.MCE.MLC, HW.MCE.PCU, HW.MCE.PUNIT, HW.MCE.UPI"/>
        <s v="HW, HW.CFG.ERR, HW.CORR, HW.ERR, HW.KNOWN_ISSUE"/>
        <s v="HW, HW.CFG.ERR, HW.CORR, HW.ERR, HW.MCE, HW.MCE.MLC, HW.MCE.PCU, HW.MCE.PUNIT, HW.MCE.UPI"/>
        <m/>
      </sharedItems>
    </cacheField>
    <cacheField name="Errors" numFmtId="0">
      <sharedItems containsBlank="1" count="315" longText="1">
        <s v="['BIOS Post Code: 0x58\nBIOS Minor Code: 0x00\nError Code: 0x00\nError Minor Code: 0x00Error Post Code: 0x00\nError Post Minor Code: 0x00'],['Merge Bank6-Punit signaled an MCA to Ubox; Check mc_status of MCA BANKID:6 and  MCA BANK_INDEX:0x9', 'LOCK hang, due to incorrect uboxivctl reg programming'],['PUNIT ERROR ( mcacod:0x402 desc:S3M_or_ISCLK Error)( mscod:0x80 desc: IERR_NON_PM)'],['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nan,nan,nan,nan,nan,nan"/>
        <s v="['BIOS Post Code: 0x58\nBIOS Minor Code: 0x00\nError Code: 0x00\nError Minor Code: 0x00Error Post Code: 0x00\nError Post Minor Code: 0x00'],['Merge Bank6-Punit signaled an MCA to Ubox; Check mc_status of MCA BANKID:6 and  MCA BANK_INDEX:0x9', 'LOCK hang, due to incorrect uboxivctl reg programming'],['PUNIT ERROR ( mcacod:0x402 desc:S3M_or_ISCLK Error)( mscod:0x80 desc: IERR_NON_PM)'],['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nan,nan,nan"/>
        <s v="['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4', 'LOCK hang, due to incorrect uboxivctl reg programming'],['UBOX ERROR ( mcacod:0x40c desc:Shutdown suppression)( mscod:0x2 desc: Error signaled by the core and logged in Ubox. Check the core for more details.)', 'PUNIT ERROR ( mcacod:0x402 desc:Pcode Error)( mscod:0x5300 desc: PROBE_MODE_PREP_TIMEOUT)', 'PUNIT ERROR ( mcacod:0x402 desc:Pcode Error)( mscod:0x5300 desc: PROBE_MODE_PREP_TIMEOUT)'],['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nan,nan,nan"/>
        <s v="['BIOS Post Code: 0x58\nBIOS Minor Code: 0x00\nError Code: 0x00\nError Minor Code: 0x00Error Post Code: 0x00\nError Post Minor Code: 0x00'],['Merge Bank6-Punit signaled an MCA to Ubox; Check mc_status of MCA BANKID:6 and  MCA BANK_INDEX:0x9', 'LOCK hang, due to incorrect uboxivctl reg programming'],['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nan"/>
        <s v="['Jumpers J5562 and J5563 set to 1-2 which enables a0_debug_strap. This is not POR and could cause issues with DRNG. Uninstall the jumpers if this is an issue.'],['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9', 'LOCK hang, due to incorrect uboxivctl reg programming'],['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
        <s v="['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9', 'LOCK hang, due to incorrect uboxivctl reg programming'],['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nan"/>
        <s v="['Jumpers J5562 and J5563 set to 1-2 which enables a0_debug_strap. This is not POR and could cause issues with DRNG. Uninstall the jumpers if this is an issue.'],['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9', 'LOCK hang, due to incorrect uboxivctl reg programming'],['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
        <s v="['BIOS Post Code: 0x58\nBIOS Minor Code: 0x00\nError Code: 0x00\nError Minor Code: 0x00Error Post Code: 0x00\nError Post Minor Code: 0x00'],['mscod: MCE when MCIP bit is set-Error signaled by the core and logged in Ubox. Check the core for more details.', 'Merge Bank6-Punit signaled an MCA to Ubox; Check mc_status of MCA BANKID:6 and  MCA BANK_INDEX:0x9', 'LOCK hang, due to incorrect uboxivctl reg programming'],['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nan,nan"/>
        <s v="[],[],['Jumpers J5562 and J5563 set to 1-2 which enables a0_debug_strap. This is not POR and could cause issues with DRNG. Uninstall the jumpers if this is an issue.'],[],[],['uncersts_oob.received_an_unsupported_request', 'corerrsts_oob.advisory_non_fatal_error_status', 'msm_mbx_error_sts.mbx_overflow'],[],[],nan,nan,nan"/>
        <s v="['Jumpers J5562 and J5563 set to 1-2 which enables a0_debug_strap. This is not POR and could cause issues with DRNG. Uninstall the jumpers if this is an issue.'],[],[],['mscod: RSM consistency check failures-Error signaled by the core and logged in Ubox. Check the core for more details.', 'Merge Bank6-Punit signaled an MCA to Ubox; Check mc_status of MCA BANKID:6 and  MCA BANK_INDEX:0x0'],['UBOX ERROR ( mcacod:0x40c desc:Shutdown suppression)( mscod:0x7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
        <s v="['Jumpers J5562 and J5563 set to 1-2 which enables a0_debug_strap. This is not POR and could cause issues with DRNG. Uninstall the jumpers if this is an issue.'],[],[],['mscod: RSM consistency check failures-Error signaled by the core and logged in Ubox. Check the core for more details.', 'Merge Bank6-Punit signaled an MCA to Ubox; Check mc_status of MCA BANKID:6 and  MCA BANK_INDEX:0x4'],['UBOX ERROR ( mcacod:0x40c desc:Shutdown suppression)( mscod:0x7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
        <s v="[],['Jumpers J5562 and J5563 set to 1-2 which enables a0_debug_strap. This is not POR and could cause issues with DRNG. Uninstall the jumpers if this is an issue.'],[],[],['mscod: IOMCA error from Global IEH-IOMCA (from BUS=0x4c, DEV=0x2, FUNC=0x0) signaled to ubox via global IEH. Check the global and satellite IEHs for more info', 'Merge Bank6-Punit signaled an MCA to Ubox; Check mc_status of MCA BANKID:6 and  MCA BANK_INDEX:0x0'],['UBOX ERROR ( mcacod:0xe0b desc:IOSF error)( mscod:0x0 desc: IOMCA (from BUS=0x4c,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Fatal global error dev2_fa_sts from uncore.pi5.pxp1.rp0', 'Non-fatal global error dev2_nf_sts from uncore.pi5.pxp1.rp0'],[],nan,nan"/>
        <s v="['Jumpers J5562 and J5563 set to 1-2 which enables a0_debug_strap. This is not POR and could cause issues with DRNG. Uninstall the jumpers if this is an issue.'],[],[],['mscod: IOMCA error from Global IEH-IOMCA (from BUS=0x6f, DEV=0x6, FUNC=0x0) signaled to ubox via global IEH. Check the global and satellite IEHs for more info', 'Merge Bank6-Punit signaled an MCA to Ubox; Check mc_status of MCA BANKID:6 and  MCA BANK_INDEX:0x0', 'LOCK Hard Hang, did not return to idle in 1s'],['UBOX ERROR ( mcacod:0xe0b desc:IOSF error)( mscod:0x0 desc: IOMCA (from BUS=0x6f, DEV=0x6,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5_nf_sts from uncore.pi5.pxp2.rp3', 'Non-fatal global error dev4_nf_sts from uncore.pi5.pxp2.rp2', 'Non-fatal global error dev3_nf_sts from uncore.pi5.pxp2.rp1', 'Non-fatal global error dev2_nf_sts from uncore.pi5.pxp2.rp0', 'Corrected global error dev5_co_sts from uncore.pi5.pxp2.rp3', 'Corrected global error dev4_co_sts from uncore.pi5.pxp2.rp2', 'Corrected global error dev3_co_sts from uncore.pi5.pxp2.rp1', 'Corrected global error dev2_co_sts from uncore.pi5.pxp2.rp0', 'Corrected global error dev2_co_sts from uncore.pi5.pxp1.rp0', 'Non-fatal global error dev4_nf_sts from uncore.pi5.pxp3.rp2', 'Non-fatal global error dev2_nf_sts from uncore.pi5.pxp3.rp0', 'Corrected global error dev4_co_sts from uncore.pi5.pxp3.rp2', 'Corrected global error dev2_co_sts from uncore.pi5.pxp3.rp0', 'Non-fatal global error dev5_nf_sts from uncore.pi5.pxp0.rp3', 'Non-fatal global error dev4_nf_sts from uncore.pi5.pxp0.rp2', 'Non-fatal global error dev3_nf_sts from uncore.pi5.pxp0.rp1', 'Non-fatal global error dev2_nf_sts from uncore.pi5.pxp0.rp0', 'Corrected global error dev5_co_sts from uncore.pi5.pxp0.rp3', 'Corrected global error dev4_co_sts from uncore.pi5.pxp0.rp2', 'Corrected global error dev3_co_sts from uncore.pi5.pxp0.rp1', 'Corrected global error dev2_co_sts from uncore.pi5.pxp0.rp0', 'Non-fatal global error dev4_nf_sts from uncore.pi5.pxp1.rp2', 'Non-fatal global error dev2_nf_sts from uncore.pi5.pxp1.rp0', 'Corrected global error dev4_co_sts from uncore.pi5.pxp1.rp2', 'Corrected global error dev2_co_sts from uncore.pi5.pxp1.rp0'],[],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MCE when MCIP bit is set-Error signaled by the core and logged in Ubox. Check the core for more details.', 'mscod: MCE when MCIP bit is set-Error signaled by the core and logged in Ubox. Check the core for more details.'],['UBOX ERROR ( mcacod:0x40c desc:Shutdown suppression)( mscod:0x2 desc: Error signaled by the core and logged in Ubox. Check the core for more details.)', 'UBOX ERROR ( mcacod:0x40c desc:Shutdown suppression)( mscod:0x2 desc: Error signaled by the core and logged in Ubox. Check the core for more details.)',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PRIMECODE_WATCHDOG_TIMER_EXPIRED', 'PRIMECODE_WATCHDOG_TIMER_EXPIRED', 'PRIMECODE_WATCHDOG_TIMER_EXPIRED', 'PRIMECODE_WATCHDOG_TIMER_EXPIRED', 'PRIMECODE_WATCHDOG_TIMER_EXPIRED', 'Probe Mode prep phase timeout'],[],[],['Jumpers J5562 and J5563 set to 1-2 which enables a0_debug_strap. This is not POR and could cause issues with DRNG. Uninstall the jumpers if this is an issue.'],[],[],['mscod: MCE when MCIP bit is set-Error signaled by the core and logged in Ubox. Check the core for more details.', 'mscod: IOMCA error from Global IEH-IOMCA (from BUS=0xea, DEV=0x2, FUNC=0x0) signaled to ubox via global IEH. Check the global and satellite IEHs for more info'],['UBOX ERROR ( mcacod:0x40c desc:Shutdown suppression)( mscod:0x2 desc: Error signaled by the core and logged in Ubox. Check the core for more details.)', 'UBOX ERROR ( mcacod:0xe0b desc:IOSF error)( mscod:0x0 desc: IOMCA (from BUS=0xea,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5300 desc: PROBE_MODE_PREP_TIMEOUT)',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obe Mode prep phase timeout',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MCE when MCIP bit is set-Error signaled by the core and logged in Ubox. Check the core for more details.', 'mscod: MCE when MCIP bit is set-Error signaled by the core and logged in Ubox. Check the core for more details.'],['UBOX ERROR ( mcacod:0x40c desc:Shutdown suppression)( mscod:0x2 desc: Error signaled by the core and logged in Ubox. Check the core for more details.)', 'UBOX ERROR ( mcacod:0x40c desc:Shutdown suppression)( mscod:0x2 desc: Error signaled by the core and logged in Ubox. Check the core for more details.)',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5300 desc: PROBE_MODE_PREP_TIMEOUT)'],['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IOMCA error from Global IEH-IOMCA (from BUS=0x12, DEV=0x7, FUNC=0x0) signaled to ubox via global IEH. Check the global and satellite IEHs for more info'],['UBOX ERROR ( mcacod:0xe0b desc:IOSF error)( mscod:0x0 desc: IOMCA (from BUS=0x12, DEV=0x7,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B2CMI ERROR ( mcacod:0x400 desc:Timeout)( mscod:0x9 desc: TIMEOUT)'],['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2_co_sts from uncore.pi5.pxp2.rp0', 'Non-fatal global error dev8_nf_sts from uncore.pi5.pxp0.rp6', 'Corrected global error dev2_co_sts from uncore.pi5.pxp0.rp0', 'Corrected global error dev1_co_sts from uncore.hiop.hiop3', 'Corrected global error dev2_co_sts from uncore.pi5.pxp0.rp0']"/>
        <s v="[],['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IOMCA error from Global IEH-IOMCA (from BUS=0x6c, DEV=0x2, FUNC=0x0) signaled to ubox via global IEH. Check the global and satellite IEHs for more info', 'mscod: IOMCA error from Global IEH-IOMCA (from BUS=0xea, DEV=0x2, FUNC=0x0) signaled to ubox via global IEH. Check the global and satellite IEHs for more info'],['UBOX ERROR ( mcacod:0xe0b desc:IOSF error)( mscod:0x0 desc: IOMCA (from BUS=0x6c, DEV=0x2, FUNC=0x0) signaled to ubox via global IEH. Check the global and satellite IEHs for more info)', 'UBOX ERROR ( mcacod:0xe0b desc:IOSF error)( mscod:0x0 desc: IOMCA (from BUS=0xea,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Dispatcher busy beyond timeout',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MCE when MCIP bit is set-Error signaled by the core and logged in Ubox. Check the core for more details.', 'mscod: MCE when MCIP bit is set-Error signaled by the core and logged in Ubox. Check the core for more details.'],['UBOX ERROR ( mcacod:0x40c desc:Shutdown suppression)( mscod:0x2 desc: Error signaled by the core and logged in Ubox. Check the core for more details.)', 'UBOX ERROR ( mcacod:0x40c desc:Shutdown suppression)( mscod:0x2 desc: Error signaled by the core and logged in Ubox. Check the core for more details.)',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a00 desc: MCA_DISP_RUN_BUSY_TIMEOUT)'],['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PRIMECODE_WATCHDOG_TIMER_EXPIRED', 'PRIMECODE_WATCHDOG_TIMER_EXPIRED', 'Wait for ResetPrep ACK from an IP timed out during PkgS', 'Wait for ResetPrep ACK from an IP timed out during PkgS', 'PRIMECODE_WATCHDOG_TIMER_EXPIRED', 'PRIMECODE_WATCHDOG_TIMER_EXPIRED'],[],[],['socket0.io0.uncore.hwrs.gpsb.poc_straps.bist_enable is not 1!', 'socket1.io0.uncore.hwrs.gpsb.poc_straps.bist_enable is not 1!'],[],[],[],['UBOX ERROR ( mcacod:0xe0b desc:IOSF error)( mscod:0x0 desc: IOMCA (from BUS=0x6c, DEV=0x2, FUNC=0x0) signaled to ubox via global IEH. Check the global and satellite IEHs for more info)', 'UBOX ERROR ( mcacod:0xe0b desc:IOSF error)( mscod:0x0 desc: IOMCA (from BUS=0xea, DEV=0x2, FUNC=0x0) signaled to ubox via global IEH. Check the global and satellite IEHs for more info)', 'UPI ERROR ( mcacod:0xe0f desc:Bus/Interconnect Errors: GEN.NTO.ERR.OTH.LG)( mscod:0x1 desc: UPI Phy Detected Drift Buffer Alarm)', 'PUNIT ERROR ( mcacod:0x402 desc:Pcode Error)( mscod:0x2f00 desc: MCA_PKGS_RESET_PREP_ACK_TIMEOUT)', 'PUNIT ERROR ( mcacod:0x402 desc:Pcode Error)( mscod:0x2f00 desc: MCA_PKGS_RESET_PREP_ACK_TIMEOUT)',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Non-fatal global error dev2_nf_sts from uncore.pi5.pxp3.rp0', 'Non-fatal global error dev2_nf_sts from uncore.pi5.pxp0.rp0', 'Non-fatal global error dev2_nf_sts from uncore.pi5.pxp1.rp0', 'Non-fatal global error dev2_nf_sts from uncore.pi5.pxp2.rp0', 'Non-fatal global error dev2_nf_sts from uncore.pi5.pxp3.rp0', 'Non-fatal global error dev2_nf_sts from uncore.pi5.pxp0.rp0', 'Non-fatal global error dev2_nf_sts from uncore.pi5.pxp1.rp0']"/>
        <s v="[],['PRIMECODE_WATCHDOG_TIMER_EXPIRED', 'PRIMECODE_WATCHDOG_TIMER_EXPIRED'],['socket0.io0.uncore.hwrs.gpsb.poc_straps.bist_enable is not 1!'],[],[],[],['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corerrsts_msm.advisory_non_fatal_error_status', 'msm_global_status_ctrl_reg.global_viral: Global Viral Crashlog Trigger along with IERR assertion from PUNIT', 'msm_global_status_ctrl_reg.global_viral: Global Viral Crashlog Trigger along with IERR assertion from PUNIT'],[],nan,nan"/>
        <s v="[],[],['socket0.io0.uncore.hwrs.gpsb.poc_straps.bist_enable is not 1!'],[],[],[],['UBOX ERROR ( mcacod:0xe0b desc:IOSF error)( mscod:0x0 desc: IOMCA (from BUS=0x33,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4_nf_sts from uncore.pi5.pxp2.rp2', 'Non-fatal global error dev2_nf_sts from uncore.pi5.pxp2.rp0', 'Non-fatal global error dev2_nf_sts from uncore.pi5.pxp1.rp0'],[],nan"/>
        <s v="[],['socket0.io0.uncore.hwrs.gpsb.poc_straps.bist_enable is not 1!'],[],[],[],['UBOX ERROR ( mcacod:0xe0b desc:IOSF error)( mscod:0x0 desc: IOMCA (from BUS=0x5b, DEV=0x0, FUNC=0x4) signaled to ubox via global IEH. Check the global and satellite IEHs for more info)', 'PUNIT ERROR ( mcacod:0x402 desc:Punit Error)( mscod:0x10 desc: IERR_GENERIC)', 'PUNIT ERROR ( mcacod:0x402 desc:Punit Error)( mscod:0x10 desc: IERR_GENERIC)', 'PUNIT ERROR ( mcacod:0x402 desc:Pcode Error)( mscod:0x5300 desc: PROBE_MODE_PREP_TIMEOUT)'],['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Fatal global error iehlocal_fa_sts from local error', 'Corrected global error iehlocal_co_sts from local error'],[],nan,nan"/>
        <s v="[],[],['socket0.io0.uncore.hwrs.gpsb.poc_straps.bist_enable is not 1!'],[],[],[],['UBOX ERROR ( mcacod:0xe0b desc:IOSF error)( mscod:0x0 desc: IOMCA (from BUS=0xaf, DEV=0x4,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3_nf_sts from uncore.pi5.pxp1.rp1'],[],nan"/>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Wait for ResetPrep ACK from an IP timed out during PkgS', 'Wait for ResetPrep ACK from an IP timed out during PkgS', 'Wait for ResetPrep ACK from an IP timed out during PkgS',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UBOX ERROR ( mcacod:0xe0b desc:IOSF error)( mscod:0x0 desc: IOMCA (from BUS=0x6c, DEV=0x2, FUNC=0x0) signaled to ubox via global IEH. Check the global and satellite IEHs for more info)', 'UBOX ERROR ( mcacod:0xe0b desc:IOSF error)( mscod:0x0 desc: IOMCA (from BUS=0xea,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code Error)( mscod:0x2f00 desc: MCA_PKGS_RESET_PREP_ACK_TIMEOUT)', 'PUNIT ERROR ( mcacod:0x402 desc:Pcode Error)( mscod:0x2f00 desc: MCA_PKGS_RESET_PREP_ACK_TIMEOUT)', 'PUNIT ERROR ( mcacod:0x402 desc:Punit Error)( mscod:0x10 desc: IERR_GENERIC)', 'PUNIT ERROR ( mcacod:0x402 desc:Pcode Error)( mscod:0x2f00 desc: MCA_PKGS_RESET_PREP_ACK_TIMEOUT)',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Non-fatal global error dev2_nf_sts from uncore.pi5.pxp3.rp0', 'Non-fatal global error dev2_nf_sts from uncore.pi5.pxp0.rp0', 'Non-fatal global error dev2_nf_sts from uncore.pi5.pxp1.rp0', 'Non-fatal global error dev2_nf_sts from uncore.pi5.pxp2.rp0', 'Non-fatal global error dev2_nf_sts from uncore.pi5.pxp3.rp0', 'Non-fatal global error dev2_nf_sts from uncore.pi5.pxp0.rp0', 'Non-fatal global error dev2_nf_sts from uncore.pi5.pxp1.rp0']"/>
        <s v="[],['socket0.io0.uncore.hwrs.gpsb.poc_straps.bist_enable is not 1!'],[],[],['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
        <s v="[],[],['socket0.io0.uncore.hwrs.gpsb.poc_straps.bist_enable is not 1!'],[],[],[],['UBOX ERROR ( mcacod:0xe0b desc:IOSF error)( mscod:0x0 desc: IOMCA (from BUS=0x83, DEV=0x4,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3_nf_sts from uncore.pi5.pxp3.rp1'],[],nan"/>
        <s v="[],[],['socket0.io0.uncore.hwrs.gpsb.poc_straps.bist_enable is not 1!'],[],[],[],['DCU ERROR ( mcacod:0x134 desc:Cache Errors: DRD.D.L0)( mscod:0x10 desc: None)', 'MLC ERROR ( mcacod:0x400 desc:Internal Timer Error: Internal Timer Error)( mscod:0xe1cd desc: None)',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
        <s v="[],['PRIMECODE_WATCHDOG_TIMER_EXPIRED', 'Dispatcher busy beyond timeout',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a00 desc: MCA_DISP_RUN_BUSY_TIMEOUT)'],['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socket0.io0.uncore.hwrs.gpsb.poc_straps.bist_enable is not 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
        <s v="[],[],['socket0.io0.uncore.hwrs.gpsb.poc_straps.bist_enable is not 1!'],[],[],[],['UBOX ERROR ( mcacod:0xe0b desc:IOSF error)( mscod:0x0 desc: IOMCA (from BUS=0xd3,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3_nf_sts from uncore.pi5.pxp1.rp1', 'Non-fatal global error dev2_nf_sts from uncore.pi5.pxp1.rp0'],[],nan"/>
        <s v="['socket0.io0.uncore.hwrs.gpsb.poc_straps.bist_enable is not 1!'],[],[],[],['UBOX ERROR ( mcacod:0x40c desc:0x40c)( mscod:0x2 desc: )', 'PUNIT ERROR ( mcacod:0x402 desc:Punit Error)( mscod:0x10 desc: IERR_GENERIC)', 'PUNIT ERROR ( mcacod:0x402 desc:Punit Error)( mscod:0x10 desc: IERR_GENERIC)'],['msm_global_status_ctrl_reg.global_viral: Global Viral Crashlog Trigger along with IERR assertion from PUNIT',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nan,nan,nan"/>
        <s v="[],['socket0.io0.uncore.hwrs.gpsb.poc_straps.bist_enable is not 1!'],[],[],[],['UBOX ERROR ( mcacod:0x40c desc:0x40c)( mscod:0x2 desc: )', 'PUNIT ERROR ( mcacod:0x402 desc:Pcode Error)( mscod:0xb00 desc: MCA_GPSB_TIMEOUT)', 'PUNIT ERROR ( mcacod:0x402 desc:Punit Error)( mscod:0x10 desc: IERR_GENERIC)', 'PUNIT ERROR ( mcacod:0x402 desc:Punit Error)( mscod:0x10 desc: IERR_GENERIC)'],['msm_global_status_ctrl_reg.global_viral: Global Viral Crashlog Trigger along with IERR assertion from PUNIT',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UBOX ERROR ( mcacod:0xe0b desc:IOSF error)( mscod:0x0 desc: IOMCA (from BUS=0x6c, DEV=0x2, FUNC=0x0) signaled to ubox via global IEH. Check the global and satellite IEHs for more info)', 'UBOX ERROR ( mcacod:0xe0b desc:IOSF error)( mscod:0x0 desc: IOMCA (from BUS=0xb7,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UBOX ERROR ( mcacod:0xe0b desc:IOSF error)( mscod:0x0 desc: IOMCA (from BUS=0x6b, DEV=0x2, FUNC=0x0) signaled to ubox via global IEH. Check the global and satellite IEHs for more info)', 'UBOX ERROR ( mcacod:0xe0b desc:IOSF error)( mscod:0x0 desc: IOMCA (from BUS=0xb3, DEV=0x2, FUNC=0x0) signaled to ubox via global IEH. Check the global and satellite IEHs for more info)', 'UPI ERROR ( mcacod:0xe0f desc:Bus/Interconnect Errors: GEN.NTO.ERR.OTH.LG)( mscod:0x1 desc: UPI Phy Detected Drift Buffer Alarm)', 'UPI ERROR ( mcacod:0xe0f desc:Bus/Interconnect Errors: GEN.NTO.ERR.OTH.LG)( mscod:0x1 desc: UPI Phy Detected Drift Buffer Alarm)',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
        <s v="['mismatch on Tx/Rx flits (this may be ok if traffic was inflight at the time of the capture)', 'mismatch on Tx/Rx flits (this may be ok if traffic was inflight at the time of the capture)', 'mismatch on Tx/Rx flits (this may be ok if traffic was inflight at the time of the capture)'],['exception caused due to Illegal Instruction', 'PRIMECODE_WATCHDOG_TIMER_EXPIRED', 'PRIMECODE_WATCHDOG_TIMER_EXPIRED', 'PRIMECODE_WATCHDOG_TIMER_EXPIRED', 'PRIMECODE_WATCHDOG_TIMER_EXPIRED', 'PRIMECODE_WATCHDOG_TIMER_EXPIRED'],[],[],['socket0.io0.uncore.hwrs.gpsb.poc_straps.bist_enable is not 1!', 'socket1.io0.uncore.hwrs.gpsb.poc_straps.bist_enable is not 1!'],[],[],[],['UBOX ERROR ( mcacod:0x40c desc:0x40c)( mscod:0x2 desc: )', 'UBOX ERROR ( mcacod:0x40c desc:0x40c)( mscod:0x2 desc: )', 'UPI ERROR ( mcacod:0xe0f desc:Bus/Interconnect Errors: GEN.NTO.ERR.OTH.LG)( mscod:0x1 desc: UPI Phy Detected Drift Buffer Alarm)', 'PUNIT ERROR ( mcacod:0x402 desc:Punit Error)( mscod:0x10 desc: IERR_GENERIC)', 'PUNIT ERROR ( mcacod:0x402 desc:Punit Error)( mscod:0x10 desc: IERR_GENERIC)', 'PUNIT ERROR ( mcacod:0x402 desc:Pcode Error)( mscod:0x5a00 desc: MCA_ILLEGAL_INSTRUCTION)',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Jumpers J5562 and J5563 set to 1-2 which enables a0_debug_strap. This is not POR and could cause issues with DRNG. Uninstall the jumpers if this is an issue.'],[],[],['mscod: IOMCA error from Global IEH-IOMCA (from BUS=0x5b, DEV=0x0, FUNC=0x4) signaled to ubox via global IEH. Check the global and satellite IEHs for more info', 'Merge Bank6-Punit signaled an MCA to Ubox; Check mc_status of MCA BANKID:6 and  MCA BANK_INDEX:0x0', 'LOCK Hard Hang, did not return to idle in 1s'],['UBOX ERROR ( mcacod:0xe0b desc:IOSF error)( mscod:0x0 desc: IOMCA (from BUS=0x5b, DEV=0x0, FUNC=0x4) signaled to ubox via global IEH. Check the global and satellite IEHs for more info)', 'PUNIT ERROR ( mcacod:0x402 desc:Microcontroller Error)( mscod:0xb desc: PO_REQ_VALID_ERROR)',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global_viral: Global Viral Crashlog Trigger along with IERR assertion from PUNIT', 'msm_global_status_ctrl_reg.general_mca: oobmsm saw that CPU has logged an MCA', 'msm_global_status_ctrl_reg.ierr: oobmsm saw that CPU has logged an ierr'],['Fatal global error iehlocal_fa_sts from local error', 'Corrected global error iehlocal_co_sts from local error'],[],nan,nan"/>
        <s v="[],[],['socket0.io0.uncore.hwrs.gpsb.poc_straps.bist_enable is not 1!'],[],[],['mscod: IOMCA error from Global IEH-IOMCA (from BUS=0xd3, DEV=0x2, FUNC=0x0) signaled to ubox via global IEH. Check the global and satellite IEHs for more info', 'Merge Bank6-Punit signaled an MCA to Ubox; Check mc_status of MCA BANKID:6 and  MCA BANK_INDEX:0x0', 'LOCK Hard Hang, did not return to idle in 1s'],['UBOX ERROR ( mcacod:0xe0b desc:IOSF error)( mscod:0x0 desc: IOMCA (from BUS=0xd3,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3_nf_sts from uncore.pi5.pxp1.rp1', 'Non-fatal global error dev2_nf_sts from uncore.pi5.pxp1.rp0'],[],nan"/>
        <s v="[],['socket0.io0.uncore.hwrs.gpsb.poc_straps.bist_enable is not 1!'],[],[],['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obe Mode prep phase timeout', 'PRIMECODE_WATCHDOG_TIMER_EXPIRED', 'PRIMECODE_WATCHDOG_TIMER_EXPIRED', 'PRIMECODE_WATCHDOG_TIMER_EXPIRED', 'PRIMECODE_WATCHDOG_TIMER_EXPIRED'],[],[],['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5-UPI signaled an MCA to Ubox; Check mc_status of MCA BANKID:5 and  MCA BANK_INDEX:0x1', 'Merge Bank6-Punit signaled an MCA to Ubox; Check mc_status of MCA BANKID:6 and  MCA BANK_INDEX:0x4',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
        <s v="[],[],['socket0.io0.uncore.hwrs.gpsb.poc_straps.bist_enable is not 1!'],[],[],['mscod: IOMCA error from Global IEH-IOMCA (from BUS=0x89, DEV=0x4, FUNC=0x0) signaled to ubox via global IEH. Check the global and satellite IEHs for more info', 'Merge Bank6-Punit signaled an MCA to Ubox; Check mc_status of MCA BANKID:6 and  MCA BANK_INDEX:0x4',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3_nf_sts from uncore.pi5.pxp3.rp1'],[],nan,nan"/>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Wait for ResetPrep ACK from an IP timed out during PkgS', 'Wait for ResetPrep ACK from an IP timed out during PkgS', 'Wait for ResetPrep ACK from an IP timed out during PkgS', 'PRIMECODE_WATCHDOG_TIMER_EXPIRED'],[],[],['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5-UPI signaled an MCA to Ubox; Check mc_status of MCA BANKID:5 and  MCA BANK_INDEX:0x2', 'Merge Bank6-Punit signaled an MCA to Ubox; Check mc_status of MCA BANKID:6 and  MCA BANK_INDEX:0x0', 'Merge Bank5-UPI signaled an MCA to Ubox; Check mc_status of MCA BANKID:5 and  MCA BANK_INDEX:0x2',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Non-fatal global error dev2_nf_sts from uncore.pi5.pxp3.rp0', 'Non-fatal global error dev2_nf_sts from uncore.pi5.pxp0.rp0', 'Non-fatal global error dev2_nf_sts from uncore.pi5.pxp1.rp0', 'Non-fatal global error dev2_nf_sts from uncore.pi5.pxp2.rp0', 'Non-fatal global error dev2_nf_sts from uncore.pi5.pxp3.rp0', 'Non-fatal global error dev2_nf_sts from uncore.pi5.pxp0.rp0', 'Non-fatal global error dev2_nf_sts from uncore.pi5.pxp1.rp0'],[]"/>
        <s v="[],[],['socket0.io0.uncore.hwrs.gpsb.poc_straps.bist_enable is not 1!'],[],[],['mscod: IOMCA error from Global IEH-IOMCA (from BUS=0xaf, DEV=0x2, FUNC=0x0) signaled to ubox via global IEH. Check the global and satellite IEHs for more info',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1.rp0'],[],nan,nan"/>
        <s v="['socket0.io0.uncore.hwrs.gpsb.poc_straps.bist_enable is not 1!'],[],[],['uncersts_oob.received_an_unsupported_request', 'corerrsts_oob.advisory_non_fatal_error_status', 'msm_mbx_error_sts.mbx_overflow'],[],[],nan,nan,nan,nan,nan"/>
        <s v="[],[],['socket0.io0.uncore.hwrs.gpsb.poc_straps.bist_enable is not 1!'],[],[],['mscod: IOMCA error from Global IEH-IOMCA (from BUS=0xa, DEV=0x7, FUNC=0x0) signaled to ubox via global IEH. Check the global and satellite IEHs for more info', 'Merge Bank6-Punit signaled an MCA to Ubox; Check mc_status of MCA BANKID:6 and  MCA BANK_INDEX:0x4', 'Merge Bank7-CHA0 signaled an MCA to Ubox; Check mc_status of MCA BANKID:7 and  MCA BANK_INDEX:0xb',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4_co_sts from uncore.pi5.pxp0.rp2', 'Corrected global error dev1_co_sts from uncore.hiop.hiop3'],[],nan,nan"/>
        <s v="['socket0.io0.uncore.hwrs.gpsb.poc_straps.bist_enable is not 1!', 'socket1.io0.uncore.hwrs.gpsb.poc_straps.bist_enable is not 1!', '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nan"/>
        <s v="['socket0.io0.uncore.hwrs.gpsb.poc_straps.bist_enable is not 1!', 'socket0.io0.uncore.hwrs.gpsb.poc_straps.txt_plten is not 1!'],[],[],['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nan,nan,nan,nan"/>
        <s v="[],[],['socket0.io0.uncore.hwrs.gpsb.poc_straps.bist_enable is not 1!', 'socket1.io0.uncore.hwrs.gpsb.poc_straps.bist_enable is not 1!'],['OTC TXN DUR LOCK', 'OTC TXN DUR LOCK', 'OTC TXN DUR LOCK', 'OTC TXN DUR LOCK'],[],['mscod: IOMCA error from Global IEH-IOMCA (from BUS=0x58, DEV=0x0, FUNC=0x2) signaled to ubox via global IEH. Check the global and satellite IEHs for more info', 'mscod: IOMCA error from Global IEH-IOMCA (from BUS=0xd7, DEV=0x0, FUNC=0x2) signaled to ubox via global IEH. Check the global and satellite IEHs for more info', 'Merge Bank6-Punit signaled an MCA to Ubox; Check mc_status of MCA BANKID:6 and  MCA BANK_INDEX:0x0', 'Merge Bank6-Punit signaled an MCA to Ubox; Check mc_status of MCA BANKID:6 and  MCA BANK_INDEX:0x4', 'LOCK Hard Hang, did not return to idle in 1s'],['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1_nf_sts from uncore.hiop.hiop4'],[],nan,nan"/>
        <s v="[],[],['socket0.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0', 'LOCK Hard Hang, did not return to idle in 1s'],['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5-UPI signaled an MCA to Ubox; Check mc_status of MCA BANKID:5 and  MCA BANK_INDEX:0x2', 'Merge Bank6-Punit signaled an MCA to Ubox; Check mc_status of MCA BANKID:6 and  MCA BANK_INDEX:0x9',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Non-fatal global error dev2_nf_sts from uncore.pi5.pxp3.rp0', 'Non-fatal global error dev2_nf_sts from uncore.pi5.pxp0.rp0', 'Non-fatal global error dev2_nf_sts from uncore.pi5.pxp1.rp0', 'Non-fatal global error dev2_nf_sts from uncore.pi5.pxp2.rp0', 'Non-fatal global error dev2_nf_sts from uncore.pi5.pxp3.rp0', 'Non-fatal global error dev2_nf_sts from uncore.pi5.pxp0.rp0', 'Non-fatal global error dev2_nf_sts from uncore.pi5.pxp1.rp0'],[]"/>
        <s v="[],[],[],['socket0.io0.uncore.hwrs.gpsb.poc_straps.bist_enable is not 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IOMCA error from Global IEH-IOMCA (from BUS=0xa, DEV=0x7, FUNC=0x0) signaled to ubox via global IEH. Check the global and satellite IEHs for more info', 'Merge Bank5-UPI signaled an MCA to Ubox; Check mc_status of MCA BANKID:5 and  MCA BANK_INDEX:0x1', 'Merge Bank6-Punit signaled an MCA to Ubox; Check mc_status of MCA BANKID:6 and  MCA BANK_INDEX:0x4', 'Merge Bank7-CHA0 signaled an MCA to Ubox; Check mc_status of MCA BANKID:7 and  MCA BANK_INDEX:0x1d', 'Merge Bank5-UPI signaled an MCA to Ubox; Check mc_status of MCA BANKID:5 and  MCA BANK_INDEX:0x1', 'Merge Bank6-Punit signaled an MCA to Ubox; Check mc_status of MCA BANKID:6 and  MCA BANK_INDEX:0x9', 'Merge Bank7-CHA0 signaled an MCA to Ubox; Check mc_status of MCA BANKID:7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
        <s v="[],[],['socket0.io0.uncore.hwrs.gpsb.poc_straps.bist_enable is not 1!'],[],[],['mscod: IOMCA error from Global IEH-IOMCA (from BUS=0x83, DEV=0x4, FUNC=0x0) signaled to ubox via global IEH. Check the global and satellite IEHs for more info',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3_nf_sts from uncore.pi5.pxp3.rp1'],[],nan,nan"/>
        <s v="[],[],['socket0.io0.uncore.hwrs.gpsb.poc_straps.bist_enable is not 1!'],['OTC TXN DUR LOCK'],[],['mscod: IOMCA error from Global IEH-IOMCA (from BUS=0xd5, DEV=0x0, FUNC=0x2) signaled to ubox via global IEH. Check the global and satellite IEHs for more info',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mscod: IOMCA error from Global IEH-IOMCA (from BUS=0x5b, DEV=0x2, FUNC=0x0) signaled to ubox via global IEH. Check the global and satellite IEHs for more info',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2.rp0', 'Corrected global error dev2_co_sts from uncore.pi5.pxp1.rp0'],[],nan,nan"/>
        <s v="[],['socket0.io0.uncore.hwrs.gpsb.poc_straps.bist_enable is not 1!'],[],[],['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LOCK_MASTER_TIMEOUT-Waiting on a remote Ubox to complete, check the remote Ubox MC status', 'Merge Bank5-UPI signaled an MCA to Ubox; Check mc_status of MCA BANKID:5 and  MCA BANK_INDEX:0x1', 'Merge Bank6-Punit signaled an MCA to Ubox; Check mc_status of MCA BANKID:6 and  MCA BANK_INDEX:0x0', 'Merge Bank7-CHA0 signaled an MCA to Ubox; Check mc_status of MCA BANKID:7 and  MCA BANK_INDEX:0x1a', 'Merge Bank6-Punit signaled an MCA to Ubox; Check mc_status of MCA BANKID:6 and  MCA BANK_INDEX:0x9', 'Merge Bank7-CHA0 signaled an MCA to Ubox; Check mc_status of MCA BANKID:7 and  MCA BANK_INDEX:0x1d', 'Merge Bank12-B2CMI signaled an MCA to Ubox; Check mc_status of MCA BANKID:12 and  MCA BANK_INDEX:0x7',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nan"/>
        <s v="[],['socket0.io0.uncore.hwrs.gpsb.poc_straps.bist_enable is not 1!'],['OTC TXN DUR LOCK'],[],['mscod: IOMCA error from Global IEH-IOMCA (from BUS=0xab, DEV=0x0, FUNC=0x2) signaled to ubox via global IEH. Check the global and satellite IEHs for more info',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4_co_sts from uncore.pi5.pxp2.rp2', 'Corrected global error dev3_co_sts from uncore.pi5.pxp2.rp1', 'Corrected global error dev2_co_sts from uncore.pi5.pxp2.rp0', 'Corrected global error dev2_co_sts from uncore.pi5.pxp0.rp0', 'Corrected global error dev2_co_sts from uncore.pi5.pxp1.rp0', 'Non-fatal global error dev1_nf_sts from uncore.hiop.hiop4'],[],nan,nan,nan"/>
        <s v="[],['socket0.io0.uncore.hwrs.gpsb.poc_straps.bist_enable is not 1!', 'socket0.io0.uncore.hwrs.gpsb.poc_straps.safe_mode_boot is not 0! This is potentially unsafe electrically/thermally.'],['OTC TXN DUR LOCK'],[],['mscod: IOMCA error from Global IEH-IOMCA (from BUS=0xa, DEV=0x0, FUNC=0x2) signaled to ubox via global IEH. Check the global and satellite IEHs for more info', 'Merge Bank6-Punit signaled an MCA to Ubox; Check mc_status of MCA BANKID:6 and  MCA BANK_INDEX:0x4', 'LOCK Hard Hang, did not return to idle in 1s'],['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1_nf_sts from uncore.hiop.hiop3'],[],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Jumpers J5562 and J5563 set to 1-2 which enables a0_debug_strap. This is not POR and could cause issues with DRNG. Uninstall the jumpers if this is an issue.'],[],[],['mscod: IOMCA error from Global IEH-IOMCA (from BUS=0x8a, DEV=0x0, FUNC=0x2) signaled to ubox via global IEH. Check the global and satellite IEHs for more info', 'Merge Bank5-UPI signaled an MCA to Ubox; Check mc_status of MCA BANKID:5 and  MCA BANK_INDEX:0x1', 'Merge Bank6-Punit signaled an MCA to Ubox; Check mc_status of MCA BANKID:6 and  MCA BANK_INDEX:0x4', 'Merge Bank5-UPI signaled an MCA to Ubox; Check mc_status of MCA BANKID:5 and  MCA BANK_INDEX:0x1', 'Merge Bank6-Punit signaled an MCA to Ubox; Check mc_status of MCA BANKID:6 and  MCA BANK_INDEX:0x9',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socket0.io0.uncore.hwrs.gpsb.poc_straps.txt_plten is not 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nan"/>
        <s v="[],[],['Jumpers J5562 and J5563 set to 1-2 which enables a0_debug_strap. This is not POR and could cause issues with DRNG. Uninstall the jumpers if this is an issue.'],[],[],['mscod: IOMCA error from Global IEH-IOMCA (from BUS=0x1f, DEV=0x0, FUNC=0x2) signaled to ubox via global IEH. Check the global and satellite IEHs for more info', 'Merge Bank6-Punit signaled an MCA to Ubox; Check mc_status of MCA BANKID:6 and  MCA BANK_INDEX:0x0',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Jumpers J5562 and J5563 set to 1-2 which enables a0_debug_strap. This is not POR and could cause issues with DRNG. Uninstall the jumpers if this is an issue.'],[],[],['mscod: IOMCA error from Global IEH-IOMCA (from BUS=0x5c, DEV=0x0, FUNC=0x2) signaled to ubox via global IEH. Check the global and satellite IEHs for more info', 'Merge Bank6-Punit signaled an MCA to Ubox; Check mc_status of MCA BANKID:6 and  MCA BANK_INDEX:0x9',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
        <s v="[],['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msm_mbx_error_sts.mbx_overflow', 'uncersts_msm.received_an_unsupported_request: OOBMSM recieved an unsupported request', 'corerrsts_msm.advisory_non_fatal_error_status', 'msm_mbx_error_sts.mbx_overflow'],[],[],nan,nan,nan,nan"/>
        <s v="['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nan"/>
        <s v="[],['3STRIKE_ERROR on iMon request to VR4', '3STRIKE_ERROR on iMon request to VR5'],['Jumpers J5562 and J5563 set to 1-2 which enables a0_debug_strap. This is not POR and could cause issues with DRNG. Uninstall the jumpers if this is an issue.'],[],[],['Merge Bank5-UPI signaled an MCA to Ubox; Check mc_status of MCA BANKID:5 and  MCA BANK_INDEX:0x1', 'Merge Bank5-UPI signaled an MCA to Ubox; Check mc_status of MCA BANKID:5 and  MCA BANK_INDEX:0x1', 'LOCK Hard Hang, did not return to idle in 1s'],['UPI ERROR ( mcacod:0xe0f desc:Bus/Interconnect Errors: GEN.NTO.ERR.OTH.LG)( mscod:0x1 desc: UPI Phy Detected Drift Buffer Alarm)', 'UPI ERROR ( mcacod:0x405 desc:Internal/E2E Parity/ECC)( mscod:0x8012 desc: None)', 'PUNIT ERROR ( mcacod:0x402 desc:SVID Error)( mscod:0x20 desc: 3STRIKE_ERROR on iMon request to VR4)', 'PUNIT ERROR ( mcacod:0x402 desc:SVID Error)( mscod:0x20 desc: 3STRIKE_ERROR on iMon request to VR5)'],['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
        <s v="[],['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nan,nan,nan,nan"/>
        <s v="[],['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Jumpers J5562 and J5563 set to 1-2 which enables a0_debug_strap. This is not POR and could cause issues with DRNG. Uninstall the jumpers if this is an issue.'],[],[],['corerrsts_msm.advisory_non_fatal_error_status', 'corerrsts_oob.advisory_non_fatal_error_status', 'msm_mbx_error_sts.mbx_overflow', 'corerrsts_msm.advisory_non_fatal_error_status', 'corerrsts_oob.advisory_non_fatal_error_status', 'msm_mbx_error_sts.mbx_overflow'],[],[],nan,nan"/>
        <s v="[],[],['Jumpers J5562 and J5563 set to 1-2 which enables a0_debug_strap. This is not POR and could cause issues with DRNG. Uninstall the jumpers if this is an issue.'],[],[],['Merge Bank6-Punit signaled an MCA to Ubox; Check mc_status of MCA BANKID:6 and  MCA BANK_INDEX:0x0', 'Merge Bank7-CHA0 signaled an MCA to Ubox; Check mc_status of MCA BANKID:7 and  MCA BANK_INDEX:0x16', 'Merge Bank12-B2CMI signaled an MCA to Ubox; Check mc_status of MCA BANKID:12 and  MCA BANK_INDEX:0x7', 'LOCK Hard Hang, did not return to idle in 1s'],['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B2CMI ERROR ( mcacod:0x400 desc:Internal Timer Error: Internal Timer Error)( mscod:0x9 desc: B2CMI timeout error)', 'B2CMI ERROR ( mcacod:0x400 desc:Internal Timer Error: Internal Timer Error)( mscod:0x9 desc: B2CMI timeout error)'],['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nan"/>
        <s v="['socket0.io0.uncore.hwrs.gpsb.poc_straps.txt_plten is not 1!'],[],[],['uncersts_msm.received_an_unsupported_request: OOBMSM recieved an unsupported request', 'corerrsts_msm.advisory_non_fatal_error_status', 'msm_mbx_error_sts.mbx_overflow'],[],[],nan,nan,nan,nan,nan"/>
        <s v="[],['socket1.io0.uncore.hwrs.gpsb.poc_straps.txt_plten is not 1!'],[],[],['uncersts_oob.received_an_unsupported_request', 'corerrsts_oob.advisory_non_fatal_error_status', 'msm_mbx_error_sts.mbx_overflow', 'uncersts_oob.received_an_unsupported_request', 'corerrsts_oob.advisory_non_fatal_error_status', 'msm_mbx_error_sts.mbx_overflow'],['Non-fatal global error dev5_nf_sts from uncore.pi5.pxp1.rp3', 'Corrected global error dev5_co_sts from uncore.pi5.pxp1.rp3'],[],nan,nan,nan,nan"/>
        <s v="['mismatch on Tx/Rx flits (this may be ok if traffic was inflight at the time of the capture)', 'mismatch on Tx/Rx flits (this may be ok if traffic was inflight at the time of the capture)'],[],['Jumpers J5562 and J5563 set to 1-2 which enables a0_debug_strap. This is not POR and could cause issues with DRNG. Uninstall the jumpers if this is an issue.'],[],[],['Merge Bank5-UPI signaled an MCA to Ubox; Check mc_status of MCA BANKID:5 and  MCA BANK_INDEX:0x1', 'Merge Bank5-UPI signaled an MCA to Ubox; Check mc_status of MCA BANKID:5 and  MCA BANK_INDEX:0x1', 'Merge Bank7-CHA0 signaled an MCA to Ubox; Check mc_status of MCA BANKID:7 and  MCA BANK_INDEX:0x17'],['UPI ERROR ( mcacod:0xe0f desc:Bus/Interconnect Errors: GEN.NTO.ERR.OTH.LG)( mscod:0x1 desc: UPI Phy Detected Drift Buffer Alarm)', 'UPI ERROR ( mcacod:0x405 desc:Internal/E2E Parity/ECC)( mscod:0x8012 desc: None)', 'CHA ERROR ( mcacod:0x110a desc:Cache Errors (Filtered): ERR.G.L2)( mscod:0x18 desc: CHA BL_REQ_RTID_TABLE_MISS)', 'CHA ERROR ( mcacod:0x110a desc:Cache Errors (Filtered): ERR.G.L2)( mscod:0x18 desc: CHA BL_REQ_RTID_TABLE_MISS)', 'CHA ERROR ( mcacod:0x110a desc:Cache Errors (Filtered): ERR.G.L2)( mscod:0x18 desc: CHA BL_REQ_RTID_TABLE_MISS)', 'CHA ERROR ( mcacod:0x110a desc:Cache Errors (Filtered): ERR.G.L2)( mscod:0x18 desc: CHA BL_REQ_RTID_TABLE_MISS)'],['corerrsts_msm.advisory_non_fatal_error_status', 'corerrsts_oob.advisory_non_fatal_error_status', 'corerrsts_msm.advisory_non_fatal_error_status', 'corerrsts_oob.advisory_non_fatal_error_status'],[],[],nan"/>
        <s v="['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nan"/>
        <s v="[],['socket0.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Non-fatal global error dev2_nf_sts from uncore.pi5.pxp0.rp0', 'Non-fatal global error dev4_nf_sts from uncore.pi5.pxp3.rp2', 'Non-fatal global error dev2_nf_sts from uncore.pi5.pxp3.rp0', 'Non-fatal global error dev3_nf_sts from uncore.pi5.pxp0.rp1', 'Non-fatal global error dev2_nf_sts from uncore.pi5.pxp0.rp0', 'Non-fatal global error dev2_nf_sts from uncore.pi5.pxp1.rp0'],[],nan,nan"/>
        <s v="[],['socket0.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nan,nan,nan,nan"/>
        <s v="[],[],['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6-Punit signaled an MCA to Ubox; Check mc_status of MCA BANKID:6 and  MCA BANK_INDEX:0x0', 'Merge Bank6-Punit signaled an MCA to Ubox; Check mc_status of MCA BANKID:6 and  MCA BANK_INDEX:0x0'],['UBOX ERROR ( mcacod:0xe0b desc:IOSF error)( mscod:0x0 desc: IOMCA (from BUS=0x6b, DEV=0x2, FUNC=0x0) signaled to ubox via global IEH. Check the global and satellite IEHs for more info)', 'UBOX ERROR ( mcacod:0xe0b desc:IOSF error)( mscod:0x0 desc: IOMCA (from BUS=0xe9,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2_nf_sts from uncore.pi5.pxp1.rp0', 'Non-fatal global error dev2_nf_sts from uncore.pi5.pxp0.rp0', 'Non-fatal global error dev2_nf_sts from uncore.pi5.pxp1.rp0'],[],nan"/>
        <s v="['socket0.io0.uncore.hwrs.gpsb.poc_straps.bist_enable is not 1!', 'socket0.io0.uncore.hwrs.gpsb.poc_straps.txt_plten is not 1!'],[],[],['uncersts_oob.received_an_unsupported_request', 'corerrsts_oob.advisory_non_fatal_error_status', 'msm_mbx_error_sts.mbx_overflow'],[],[],nan,nan,nan,nan,nan"/>
        <s v="[],[],['socket0.io0.uncore.hwrs.gpsb.poc_straps.bist_enable is not 1!'],[],[],['mscod: IOMCA error from Global IEH-IOMCA (from BUS=0x5b, DEV=0x6, FUNC=0x0) signaled to ubox via global IEH. Check the global and satellite IEHs for more info', 'Merge Bank6-Punit signaled an MCA to Ubox; Check mc_status of MCA BANKID:6 and  MCA BANK_INDEX:0x4'],['UBOX ERROR ( mcacod:0xe0b desc:IOSF error)( mscod:0x0 desc: IOMCA (from BUS=0x5b, DEV=0x6,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4_nf_sts from uncore.pi5.pxp2.rp2'],[],nan"/>
        <s v="['socket0.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nan,nan,nan,nan,nan"/>
        <s v="[],[],[],['socket0.io0.uncore.hwrs.gpsb.poc_straps.bist_enable is not 1!'],[],[],['corerrsts_msm.advisory_non_fatal_error_status', 'corerrsts_oob.advisory_non_fatal_error_status', 'msm_mbx_error_sts.mbx_overflow'],[],[],nan,nan"/>
        <s v="[],['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
        <s v="['socket0.io0.uncore.hwrs.gpsb.poc_straps.bist_enable is not 1!', 'socket0.io0.uncore.hwrs.gpsb.poc_straps.safe_mode_boot is not 0! This is potentially unsafe electrically/thermally.'],[],[],['uncersts_msm.received_an_unsupported_request: OOBMSM recieved an unsupported request', 'corerrsts_msm.advisory_non_fatal_error_status', 'uncersts_oob.received_an_unsupported_request', 'corerrsts_oob.advisory_non_fatal_error_status', 'msm_mbx_error_sts.mbx_overflow'],[],[],nan,nan,nan,nan,nan"/>
        <s v="[],['socket0.io0.uncore.hwrs.gpsb.poc_straps.bist_enable is not 1!', 'socket1.io0.uncore.hwrs.gpsb.poc_straps.bist_enable is not 1!', '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
        <s v="['socket0.io0.uncore.hwrs.gpsb.poc_straps.bist_enable is not 1!', 'socket1.io0.uncore.hwrs.gpsb.poc_straps.bist_enable is not 1!'],[],[],['uncersts_msm.received_an_unsupported_request: OOBMSM recieved an unsupported request', 'corerrsts_msm.advisory_non_fatal_error_status', 'msm_mbx_error_sts.mbx_overflow', 'uncersts_msm.received_an_unsupported_request: OOBMSM recieved an unsupported request', 'corerrsts_msm.advisory_non_fatal_error_status', 'msm_mbx_error_sts.mbx_overflow'],[],[],nan,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
        <s v="[],[],['socket0.io0.uncore.hwrs.gpsb.poc_straps.bist_enable is not 1!', 'socket1.io0.uncore.hwrs.gpsb.poc_straps.bist_enable is not 1!'],[],[],['Merge Bank6-Punit signaled an MCA to Ubox; Check mc_status of MCA BANKID:6 and  MCA BANK_INDEX:0x4', 'Merge Bank6-Punit signaled an MCA to Ubox; Check mc_status of MCA BANKID:6 and  MCA BANK_INDEX:0x4'],['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400 desc: MCA_HPM_MSG_SEND_TIMEOUT)',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Merge Bank6-Punit signaled an MCA to Ubox; Check mc_status of MCA BANKID:6 and  MCA BANK_INDEX:0x4', 'Merge Bank7-CHA0 signaled an MCA to Ubox; Check mc_status of MCA BANKID:7 and  MCA BANK_INDEX:0x6'],['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4_co_sts from uncore.pi5.pxp2.rp2', 'Corrected global error dev2_co_sts from uncore.pi5.pxp2.rp0', 'Corrected global error dev1_co_sts from uncore.hiop.hiop2', 'Non-fatal global error dev8_nf_sts from uncore.pi5.pxp0.rp6', 'Corrected global error dev2_co_sts from uncore.pi5.pxp0.rp0', 'Corrected global error dev1_co_sts from uncore.hiop.hiop3', 'Corrected global error dev4_co_sts from uncore.pi5.pxp0.rp2', 'Corrected global error dev1_co_sts from uncore.hiop.hiop3'],[],nan"/>
        <s v="[],[],['socket0.io0.uncore.hwrs.gpsb.poc_straps.bist_enable is not 1!'],[],[],['mscod: IOMCA error from Global IEH-IOMCA (from BUS=0xa, DEV=0x2, FUNC=0x0) signaled to ubox via global IEH. Check the global and satellite IEHs for more info', 'Merge Bank6-Punit signaled an MCA to Ubox; Check mc_status of MCA BANKID:6 and  MCA BANK_INDEX:0x4'],['UBOX ERROR ( mcacod:0xe0b desc:IOSF error)( mscod:0x0 desc: IOMCA (from BUS=0xa, DEV=0x2, FUNC=0x0) signaled to ubox via global IEH. Check the global and satellite IEHs for more info)', 'PUNIT ERROR ( mcacod:0x402 desc:Punit Error)( mscod:0x10 desc: IERR_GENERIC)', 'PUNIT ERROR ( mcacod:0x402 desc:Pcode Error)( mscod:0x1400 desc: MCA_HPM_MSG_SEND_TIMEOUT)',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2_nf_sts from uncore.pi5.pxp0.rp0', 'Non-fatal global error dev4_nf_sts from uncore.pi5.pxp3.rp2', 'Non-fatal global error dev2_nf_sts from uncore.pi5.pxp3.rp0', 'Non-fatal global error dev3_nf_sts from uncore.pi5.pxp0.rp1', 'Non-fatal global error dev2_nf_sts from uncore.pi5.pxp0.rp0', 'Non-fatal global error dev2_nf_sts from uncore.pi5.pxp1.rp0'],[],nan"/>
        <s v="[],[],['socket0.io0.uncore.hwrs.gpsb.poc_straps.bist_enable is not 1!'],[],[],['mscod: IOMCA error from Global IEH-IOMCA (from BUS=0x5b, DEV=0x6, FUNC=0x0) signaled to ubox via global IEH. Check the global and satellite IEHs for more info', 'Merge Bank6-Punit signaled an MCA to Ubox; Check mc_status of MCA BANKID:6 and  MCA BANK_INDEX:0x4'],['UBOX ERROR ( mcacod:0xe0b desc:IOSF error)( mscod:0x0 desc: IOMCA (from BUS=0x5b, DEV=0x6,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4_nf_sts from uncore.pi5.pxp2.rp2'],[],nan"/>
        <s v="[],['socket0.io0.uncore.hwrs.gpsb.poc_straps.bist_enable is not 1!', 'socket1.io0.uncore.hwrs.gpsb.poc_straps.bist_enable is not 1!'],[],[],['uncersts_oob.received_an_unsupported_request', 'corerrsts_oob.advisory_non_fatal_error_status', 'msm_mbx_error_sts.mbx_overflow', 'uncersts_oob.received_an_unsupported_request', 'corerrsts_oob.advisory_non_fatal_error_status', 'msm_mbx_error_sts.mbx_overflow'],[],[],nan,nan,nan,nan"/>
        <s v="[],[],['socket0.io0.uncore.hwrs.gpsb.poc_straps.bist_enable is not 1!', 'socket1.io0.uncore.hwrs.gpsb.poc_straps.bist_enable is not 1!'],[],[],['Merge Bank6-Punit signaled an MCA to Ubox; Check mc_status of MCA BANKID:6 and  MCA BANK_INDEX:0x0', 'Merge Bank6-Punit signaled an MCA to Ubox; Check mc_status of MCA BANKID:6 and  MCA BANK_INDEX:0x4'],['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400 desc: MCA_HPM_MSG_SEND_TIMEOUT)',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Merge Bank6-Punit signaled an MCA to Ubox; Check mc_status of MCA BANKID:6 and  MCA BANK_INDEX:0x0', 'Merge Bank7-CHA0 signaled an MCA to Ubox; Check mc_status of MCA BANKID:7 and  MCA BANK_INDEX:0x19'],['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4', 'Merge Bank7-CHA0 signaled an MCA to Ubox; Check mc_status of MCA BANKID:7 and  MCA BANK_INDEX:0x18', 'Merge Bank12-B2CMI signaled an MCA to Ubox; Check mc_status of MCA BANKID:12 and  MCA BANK_INDEX:0x7'],['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B2CMI ERROR ( mcacod:0x400 desc:Internal Timer Error: Internal Timer Error)( mscod:0x9 desc: B2CMI timeout error)', 'B2CMI ERROR ( mcacod:0x400 desc:Internal Timer Error: Internal Timer Error)( mscod:0x9 desc: B2CMI timeout error)'],['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nan"/>
        <s v="[],['socket0.io0.uncore.hwrs.gpsb.poc_straps.bist_enable is not 1!', 'socket1.io0.uncore.hwrs.gpsb.poc_straps.bist_enable is not 1!'],[],[],['uncersts_msm.received_an_unsupported_request: OOBMSM recieved an unsupported request', 'corerrsts_msm.advisory_non_fatal_error_status', 'msm_mbx_error_sts.mbx_overflow', 'uncersts_msm.received_an_unsupported_request: OOBMSM recieved an unsupported request', 'corerrsts_msm.advisory_non_fatal_error_status', 'msm_mbx_error_sts.mbx_overflow'],[],[],nan,nan,nan,nan"/>
        <s v="[],['socket0.io0.uncore.hwrs.gpsb.poc_straps.bist_enable is not 1!', 'Jumpers J5562 and J5563 set to 1-2 which enables a0_debug_strap. This is not POR and could cause issues with DRNG. Uninstall the jumpers if this is an issue.'],[],[],['uncersts_msm.received_an_unsupported_request: OOBMSM recieved an unsupported request', 'corerrsts_msm.advisory_non_fatal_error_status', 'uncersts_oob.received_an_unsupported_request', 'corerrsts_oob.advisory_non_fatal_error_status', 'msm_mbx_error_sts.mbx_overflow'],[],[],nan,nan,nan,nan"/>
        <s v="[],['socket0.io0.uncore.hwrs.gpsb.poc_straps.bist_enable is not 1!', 'socket1.io0.uncore.hwrs.gpsb.poc_straps.bist_enable is not 1!'],[],[],['corerrsts_msm.advisory_non_fatal_error_status', 'corerrsts_oob.advisory_non_fatal_error_status', 'msm_mbx_error_sts.mbx_overflow', 'corerrsts_msm.advisory_non_fatal_error_status', 'corerrsts_oob.advisory_non_fatal_error_status', 'msm_mbx_error_sts.mbx_overflow'],[],[],nan,nan,nan,nan"/>
        <s v="['socket0.io0.uncore.hwrs.gpsb.poc_straps.bist_enable is not 1!', 'socket1.io0.uncore.hwrs.gpsb.poc_straps.bist_enable is not 1!'],[],['BIOS did not make it to EFI or OS handoff cleanly, see table below'],['LOCK Hard Hang, did not return to idle in 1s'],['PUNIT ERROR ( mcacod:0x402 desc:Punit Error)( mscod:0x10 desc: IERR_GENERIC)', 'PUNIT ERROR ( mcacod:0x402 desc:Punit Error)( mscod:0x10 desc: IERR_GENERIC)', 'PUNIT ERROR ( mcacod:0x402 desc:Punit Error)( mscod:0x10 desc: IERR_GENERIC)', 'PUNIT ERROR ( mcacod:0x402 desc:S3M_or_ISCLK Error)( mscod:0x80 desc: IERR_NON_PM)'],['msm_global_status_ctrl_reg.global_viral: Global Viral Crashlog Trigger along with IERR assertion from PUNIT', 'msm_global_status_ctrl_reg.ierr: oobmsm saw that CPU has logged an ierr', 'corerrsts_oob.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nan"/>
        <s v="[],['socket0.io0.uncore.hwrs.gpsb.poc_straps.bist_enable is not 1!'],[],[],['corerrsts_msm.advisory_non_fatal_error_status', 'corerrsts_oob.advisory_non_fatal_error_status', 'msm_mbx_error_sts.mbx_overflow'],[],[],nan,nan,nan,nan"/>
        <s v="['socket0.io0.uncore.hwrs.gpsb.poc_straps.bist_enable is not 1!', 'socket0.io0.uncore.hwrs.gpsb.poc_straps.txt_plten is not 1!'],[],[],['corerrsts_msm.advisory_non_fatal_error_status', 'corerrsts_oob.advisory_non_fatal_error_status', 'msm_mbx_error_sts.mbx_overflow'],[],[],nan,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
        <s v="['socket0.io0.uncore.hwrs.gpsb.poc_straps.bist_enable is not 1!'],[],[],['corerrsts_msm.advisory_non_fatal_error_status', 'corerrsts_oob.advisory_non_fatal_error_status', 'msm_mbx_error_sts.mbx_overflow'],[],[],nan,nan,nan,nan,nan"/>
        <s v="[],['socket0.io0.uncore.hwrs.gpsb.poc_straps.bist_enable is not 1!'],[],[],['Merge Bank6-Punit signaled an MCA to Ubox; Check mc_status of MCA BANKID:6 and  MCA BANK_INDEX:0x0'],['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Merge Bank6-Punit signaled an MCA to Ubox; Check mc_status of MCA BANKID:6 and  MCA BANK_INDEX:0x4'],['PUNIT ERROR ( mcacod:0x402 desc:Punit Error)( mscod:0x10 desc: IERR_GENERIC)', 'PUNIT ERROR ( mcacod:0x402 desc:Pcode Error)( mscod:0x1400 desc: MCA_HPM_MSG_SEND_TIMEOUT)',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uncersts_msm.received_an_unsupported_request: OOBMSM recieved an unsupported request', 'corerrsts_msm.advisory_non_fatal_error_status', 'msm_mbx_error_sts.mbx_overflow'],[],[],nan,nan,nan,nan"/>
        <s v="[],[],['socket0.io0.uncore.hwrs.gpsb.poc_straps.bist_enable is not 1!'],[],[],['Merge Bank6-Punit signaled an MCA to Ubox; Check mc_status of MCA BANKID:6 and  MCA BANK_INDEX:0x9'],['PUNIT ERROR ( mcacod:0x402 desc:Pcode Error)( mscod:0xb00 desc: MCA_GPSB_TIMEOUT)', 'PUNIT ERROR ( mcacod:0x402 desc:Punit Error)( mscod:0x10 desc: IERR_GENERIC)', 'PUNIT ERROR ( mcacod:0x402 desc:Punit Error)( mscod:0x10 desc: IERR_GENERIC)'],['msm_global_status_ctrl_reg.global_viral: Global Viral Crashlog Trigger along with IERR assertion from PUNIT',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
        <s v="[],[],['socket0.io0.uncore.hwrs.gpsb.poc_straps.bist_enable is not 1!'],[],[],['Merge Bank6-Punit signaled an MCA to Ubox; Check mc_status of MCA BANKID:6 and  MCA BANK_INDEX:0x4'],['PUNIT ERROR ( mcacod:0x402 desc:Pcode Error)( mscod:0xb00 desc: MCA_GPSB_TIMEOUT)', 'PUNIT ERROR ( mcacod:0x402 desc:Punit Error)( mscod:0x10 desc: IERR_GENERIC)', 'PUNIT ERROR ( mcacod:0x402 desc:Punit Error)( mscod:0x10 desc: IERR_GENERIC)'],['msm_global_status_ctrl_reg.global_viral: Global Viral Crashlog Trigger along with IERR assertion from PUNIT',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
        <s v="[],[],['socket0.io0.uncore.hwrs.gpsb.poc_straps.bist_enable is not 1!'],[],[],['Merge Bank6-Punit signaled an MCA to Ubox; Check mc_status of MCA BANKID:6 and  MCA BANK_INDEX:0x4'],['PUNIT ERROR ( mcacod:0x402 desc:Pcode Error)( mscod:0xc00 desc: MCA_PMSB_TIMEOUT)', 'PUNIT ERROR ( mcacod:0x402 desc:Punit Error)( mscod:0x10 desc: IERR_GENERIC)', 'PUNIT ERROR ( mcacod:0x402 desc:Punit Error)( mscod:0x10 desc: IERR_GENERIC)'],['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nan"/>
        <s v="[],[],['socket0.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9'],['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bist_enable is not 1!'],[],[],['Merge Bank6-Punit signaled an MCA to Ubox; Check mc_status of MCA BANKID:6 and  MCA BANK_INDEX:0x0'],['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
        <s v="[],['socket0.io0.uncore.hwrs.gpsb.poc_straps.bist_enable is not 1!'],[],[],['Merge Bank6-Punit signaled an MCA to Ubox; Check mc_status of MCA BANKID:6 and  MCA BANK_INDEX:0x4'],['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
        <s v="[],[],['socket0.io0.uncore.hwrs.gpsb.poc_straps.bist_enable is not 1!'],[],[],['Merge Bank6-Punit signaled an MCA to Ubox; Check mc_status of MCA BANKID:6 and  MCA BANK_INDEX:0x4', 'Merge Bank7-CHA0 signaled an MCA to Ubox; Check mc_status of MCA BANKID:7 and  MCA BANK_INDEX:0x4', 'Merge Bank12-B2CMI signaled an MCA to Ubox; Check mc_status of MCA BANKID:12 and  MCA BANK_INDEX:0x1'],['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B2CMI ERROR ( mcacod:0x400 desc:Internal Timer Error: Internal Timer Error)( mscod:0x9 desc: B2CMI timeout error)'],['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nan"/>
        <s v="[],[],['socket0.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0', 'Merge Bank7-CHA0 signaled an MCA to Ubox; Check mc_status of MCA BANKID:7 and  MCA BANK_INDEX:0x5', 'LOCK Hard Hang, did not return to idle in 1s'],['PUNIT ERROR ( mcacod:0x402 desc:Punit Error)( mscod:0x10 desc: IERR_GENERIC)', 'PUNIT ERROR ( mcacod:0x402 desc:Punit Error)( mscod:0x10 desc: IERR_GENERIC)', 'PUNIT ERROR ( mcacod:0x402 desc:Punit Error)( mscod:0x10 desc: IERR_GENERIC)',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7a desc:Cache Errors: EVICT.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 'CHA ERROR ( mcacod:0x110a desc:Cache Errors (Filtered): ERR.G.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Merge Bank6-Punit signaled an MCA to Ubox; Check mc_status of MCA BANKID:6 and  MCA BANK_INDEX:0x4'],['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bist_enable is not 1!', 'socket1.io0.uncore.hwrs.gpsb.poc_straps.bist_enable is not 1!'],[],[],['mscod: IOMCA error from Global IEH-IOMCA (from BUS=0x6b, DEV=0x2, FUNC=0x0) signaled to ubox via global IEH. Check the global and satellite IEHs for more info', 'mscod: IOMCA error from Global IEH-IOMCA (from BUS=0xe9, DEV=0x2, FUNC=0x0) signaled to ubox via global IEH. Check the global and satellite IEHs for more info', 'Merge Bank6-Punit signaled an MCA to Ubox; Check mc_status of MCA BANKID:6 and  MCA BANK_INDEX:0x0', 'Merge Bank6-Punit signaled an MCA to Ubox; Check mc_status of MCA BANKID:6 and  MCA BANK_INDEX:0x0'],['UBOX ERROR ( mcacod:0xe0b desc:IOSF error)( mscod:0x0 desc: IOMCA (from BUS=0x6b, DEV=0x2, FUNC=0x0) signaled to ubox via global IEH. Check the global and satellite IEHs for more info)', 'UBOX ERROR ( mcacod:0xe0b desc:IOSF error)( mscod:0x0 desc: IOMCA (from BUS=0xe9,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3', 'Merge Bank6-Punit signaled an MCA to Ubox; Check mc_status of MCA BANKID:6 and  MCA BANK_INDEX:0xa', 'Merge Bank5-UPI signaled an MCA to Ubox; Check mc_status of MCA BANKID:5 and  MCA BANK_INDEX:0x2', 'Merge Bank6-Punit signaled an MCA to Ubox; Check mc_status of MCA BANKID:6 and  MCA BANK_INDEX:0x4'],['DCU ERROR ( mcacod:0x114 desc:Cache Errors: RD.D.L0)( mscod:0x100 desc: None)',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0.io0.uncore.hwrs.gpsb.poc_straps.txt_plten is not 1!'],[],[],[],['PUNIT ERROR ( mcacod:0x402 desc:SVID Error)( mscod:0x20 desc: 3STRIKE_ERROR on iMon request to VR2)'],['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
        <s v="[],[],['socket0.io0.uncore.hwrs.gpsb.poc_straps.bist_enable is not 1!'],[],[],['Merge Bank6-Punit signaled an MCA to Ubox; Check mc_status of MCA BANKID:6 and  MCA BANK_INDEX:0x0'],['PUNIT ERROR ( mcacod:0x402 desc:Punit Error)( mscod:0x10 desc: IERR_GENERIC)', 'PUNIT ERROR ( mcacod:0x402 desc:Punit Error)( mscod:0x10 desc: IERR_GENERIC)', 'PUNIT ERROR ( mcacod:0x402 desc:Punit Error)( mscod:0x10 desc: IERR_GENERIC)'],['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bist_enable is not 1!', 'socket1.io0.uncore.hwrs.gpsb.poc_straps.bist_enable is not 1!'],[],[],['mscod: MCE when MCIP bit is set-Error signaled by the core and logged in Ubox. Check the core for more details.', 'Merge Bank6-Punit signaled an MCA to Ubox; Check mc_status of MCA BANKID:6 and  MCA BANK_INDEX:0x0', 'Merge Bank6-Punit signaled an MCA to Ubox; Check mc_status of MCA BANKID:6 and  MCA BANK_INDEX:0x4'],['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5300 desc: PROBE_MODE_PREP_TIMEOUT)',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 'socket1.io0.uncore.hwrs.gpsb.poc_straps.bist_enable is not 1!'],[],[],['mscod: MCE when MCIP bit is set-Error signaled by the core and logged in Ubox. Check the core for more details.', 'Merge Bank6-Punit signaled an MCA to Ubox; Check mc_status of MCA BANKID:6 and  MCA BANK_INDEX:0x9', 'Merge Bank7-CHA0 signaled an MCA to Ubox; Check mc_status of MCA BANKID:7 and  MCA BANK_INDEX:0x3', 'Merge Bank6-Punit signaled an MCA to Ubox; Check mc_status of MCA BANKID:6 and  MCA BANK_INDEX:0x0', 'Merge Bank7-CHA0 signaled an MCA to Ubox; Check mc_status of MCA BANKID:7 and  MCA BANK_INDEX:0xc', 'Merge Bank12-B2CMI signaled an MCA to Ubox; Check mc_status of MCA BANKID:12 and  MCA BANK_INDEX:0x6'],['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B2CMI ERROR ( mcacod:0x400 desc:Internal Timer Error: Internal Timer Error)( mscod:0x9 desc: B2CMI timeout error)', 'B2CMI ERROR ( mcacod:0x400 desc:Internal Timer Error: Internal Timer Error)( mscod:0x9 desc: B2CMI timeout error)', 'B2CMI ERROR ( mcacod:0x400 desc:Internal Timer Error: Internal Timer Error)( mscod:0x9 desc: B2CMI timeout error)', 'B2CMI ERROR ( mcacod:0x400 desc:Internal Timer Error: Internal Timer Error)( mscod:0x9 desc: B2CMI timeout error)'],['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2_co_sts from uncore.pi5.pxp2.rp0', 'Corrected global error iehlocal_co_sts from local error', 'Corrected global error dev2_co_sts from uncore.pi5.pxp1.rp0'],[],nan"/>
        <s v="[],['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mscod: MCE when MCIP bit is set-Error signaled by the core and logged in Ubox. Check the core for more details.', '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0', 'Merge Bank12-B2CMI signaled an MCA to Ubox; Check mc_status of MCA BANKID:12 and  MCA BANK_INDEX:0xa', 'Merge Bank5-UPI signaled an MCA to Ubox; Check mc_status of MCA BANKID:5 and  MCA BANK_INDEX:0x1', 'Merge Bank6-Punit signaled an MCA to Ubox; Check mc_status of MCA BANKID:6 and  MCA BANK_INDEX:0x0'],['UBOX ERROR ( mcacod:0x40c desc:Shutdown suppression)( mscod:0x2 desc: Error signaled by the core and logged in Ubox. Check the core for more details.)', 'UBOX ERROR ( mcacod:0x40c desc:Shutdown suppression)( mscod:0x2 desc: Error signaled by the core and logged in Ubox. Check the core for more details.)',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B2CMI ERROR ( mcacod:0x405 desc:Internal/E2E Parity/ECC)( mscod:0xa desc: B2CMI address parity error)'],['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mscod: IOMCA error from Global IEH-IOMCA (from BUS=0xe9, DEV=0x2, FUNC=0x0) signaled to ubox via global IEH. Check the global and satellite IEHs for more info', 'Merge Bank6-Punit signaled an MCA to Ubox; Check mc_status of MCA BANKID:6 and  MCA BANK_INDEX:0x0', 'Merge Bank6-Punit signaled an MCA to Ubox; Check mc_status of MCA BANKID:6 and  MCA BANK_INDEX:0x4'],['UBOX ERROR ( mcacod:0xe0b desc:IOSF error)( mscod:0x0 desc: IOMCA (from BUS=0xe9, DEV=0x2, FUNC=0x0) signaled to ubox via global IEH. Check the global and satellite IEHs for more info)',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mscod: MCE when MCIP bit is set-Error signaled by the core and logged in Ubox. Check the core for more details.', 'Merge Bank6-Punit signaled an MCA to Ubox; Check mc_status of MCA BANKID:6 and  MCA BANK_INDEX:0x4', 'Merge Bank7-CHA0 signaled an MCA to Ubox; Check mc_status of MCA BANKID:7 and  MCA BANK_INDEX:0xa', 'Merge Bank12-B2CMI signaled an MCA to Ubox; Check mc_status of MCA BANKID:12 and  MCA BANK_INDEX:0x0', 'Merge Bank13-DDR_MCCHAN0 signaled an MCA to Ubox; Check mc_status of MCA BANKID:13 and  MCA BANK_INDEX:0x0'],['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B2CMI ERROR ( mcacod:0x400 desc:Internal Timer Error: Internal Timer Error)( mscod:0x9 desc: B2CMI timeout error)', 'MCCHAN ERROR ( mcacod:0x80 desc:mchannel 0x0: Memory Controller Errors: Generic undefined request.Channel N)( mscod:0x832 desc: None)'],['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Merge Bank6-Punit signaled an MCA to Ubox; Check mc_status of MCA BANKID:6 and  MCA BANK_INDEX:0x0'],['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 'socket1.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9', 'Merge Bank7-CHA0 signaled an MCA to Ubox; Check mc_status of MCA BANKID:7 and  MCA BANK_INDEX:0x15', 'Merge Bank12-B2CMI signaled an MCA to Ubox; Check mc_status of MCA BANKID:12 and  MCA BANK_INDEX:0x0', 'Merge Bank6-Punit signaled an MCA to Ubox; Check mc_status of MCA BANKID:6 and  MCA BANK_INDEX:0x0', 'Merge Bank7-CHA0 signaled an MCA to Ubox; Check mc_status of MCA BANKID:7 and  MCA BANK_INDEX:0x10'],['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7a desc:Cache Errors: EVICT.G.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7a desc:Cache Errors: EVICT.G.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36 desc:Cache Errors (Filtered): DRD.D.L2)( mscod:0xc desc: CHA TOR_TIMEOUT)', 'CHA ERROR ( mcacod:0x1166 desc:Cache Errors (Filtered): PREF.D.L2)( mscod:0xc desc: CHA TOR_TIMEOUT)', 'CHA ERROR ( mcacod:0x1136 desc:Cache Errors (Filtered): DRD.D.L2)( mscod:0xc desc: CHA TOR_TIMEOUT)', 'CHA ERROR ( mcacod:0x1166 desc:Cache Errors (Filtered): PREF.D.L2)( mscod:0xc desc: CHA TOR_TIMEOUT)', 'B2CMI ERROR ( mcacod:0x400 desc:Internal Timer Error: Internal Timer Error)( mscod:0x9 desc: B2CMI timeout error)', 'B2CMI ERROR ( mcacod:0x400 desc:Internal Timer Error: Internal Timer Error)( mscod:0x9 desc: B2CMI timeout error)', 'B2CMI ERROR ( mcacod:0x400 desc:Internal Timer Error: Internal Timer Error)( mscod:0x9 desc: B2CMI timeout error)'],['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on-fatal global error dev8_nf_sts from uncore.pi5.pxp0.rp6', 'Corrected global error dev1_co_sts from uncore.hiop.hiop3'],[],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TLB Arbiter is non idle', 'IOMMU TLB Arbiter is non idle', 'IOMMU TLB Arbiter is non idle', 'IOMMU TLB Arbiter is non idle', 'IOMMU TLB Arbiter is non idle', 'IOMMU vtd fault - ppf', 'IOMMU vtd fault - pfo', 'IOMMU vtd fault - ppf', 'IOMMU vtd fault - pfo', 'IOMMU vtd fault - ppf', 'IOMMU vtd fault - pfo', 'IOMMU vtd fault - ppf', 'IOMMU vtd fault - pfo'],[],[&quot;mscod: Error from {'PORTID': '0x4a0', 'source_name': 'io0:scf_b2upi.0.scf_b2upi.0'}- Error (from {'PORTID': '0x4a0', 'source_name': 'io0:scf_b2upi.0.scf_b2upi.0'}) error  Error from {'PORTID': '0x4a0', 'source_name': 'io0:scf_b2upi.0.scf_b2upi.0'} signaled to ubox MCA.&quot;, 'Merge Bank5-UPI signaled an MCA to Ubox; Check mc_status of MCA BANKID:5 and  MCA BANK_INDEX:0x1', 'Merge Bank6-Punit signaled an MCA to Ubox; Check mc_status of MCA BANKID:6 and  MCA BANK_INDEX:0x9', 'Merge Bank7-CHA0 signaled an MCA to Ubox; Check mc_status of MCA BANKID:7 and  MCA BANK_INDEX:0x4d', 'Merge Bank5-UPI signaled an MCA to Ubox; Check mc_status of MCA BANKID:5 and  MCA BANK_INDEX:0x1', 'Merge Bank6-Punit signaled an MCA to Ubox; Check mc_status of MCA BANKID:6 and  MCA BANK_INDEX:0xb'],[&quot;UBOX ERROR ( mcacod:0x412 desc:SCF Bridge IP:CMS error)( mscod:0x0 desc:  Error (from {'PORTID': '0x4a0', 'source_name': 'io0:scf_b2upi.0.scf_b2upi.0'}) error  Error from {'PORTID': '0x4a0', 'source_name': 'io0:scf_b2upi.0.scf_b2upi.0'} signaled to ubox MCA.)&quo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136 desc:Cache Errors (Filtered): DRD.D.L2)( mscod:0xc desc: CHA TOR_TIMEOUT)'],['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vtd fault - ppf', 'IOMMU vtd fault - pfo', 'IOMMU vtd fault - ppf', 'IOMMU vtd fault - pfo', 'IOMMU vtd fault - ppf', 'IOMMU vtd fault - pfo', 'IOMMU vtd fault - ppf', 'IOMMU vtd fault - pfo', 'IOMMU vtd fault - ppf', 'IOMMU vtd fault - pfo'],[],[&quot;mscod: Error from {'PORTID': '0x4a0', 'source_name': 'io0:scf_b2upi.0.scf_b2upi.0'}- Error (from {'PORTID': '0x4a0', 'source_name': 'io0:scf_b2upi.0.scf_b2upi.0'}) error  Error from {'PORTID': '0x4a0', 'source_name': 'io0:scf_b2upi.0.scf_b2upi.0'} signaled to ubox MCA.&quot;, '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a', 'Merge Bank7-CHA0 signaled an MCA to Ubox; Check mc_status of MCA BANKID:7 and  MCA BANK_INDEX:0x14', 'Merge Bank5-UPI signaled an MCA to Ubox; Check mc_status of MCA BANKID:5 and  MCA BANK_INDEX:0x1', 'Merge Bank6-Punit signaled an MCA to Ubox; Check mc_status of MCA BANKID:6 and  MCA BANK_INDEX:0xb', 'Merge Bank7-CHA0 signaled an MCA to Ubox; Check mc_status of MCA BANKID:7 and  MCA BANK_INDEX:0xe'],[&quot;UBOX ERROR ( mcacod:0x412 desc:SCF Bridge IP:CMS error)( mscod:0x1 desc:  Error (from {'PORTID': '0x4a0', 'source_name': 'io0:scf_b2upi.0.scf_b2upi.0'}) error  Error from {'PORTID': '0x4a0', 'source_name': 'io0:scf_b2upi.0.scf_b2upi.0'} signaled to ubox MCA.)&quot;, 'UBOX ERROR ( mcacod:0x40c desc:Shutdown suppression)( mscod:0x2 desc: Error signaled by the core and logged in Ubox. Check the core for more details.)', 'UPI ERROR ( mcacod:0xe0f desc:Bus/Interconnect Errors: GEN.NTO.ERR.OTH.LG)( mscod:0x30 desc: UPI LL Rx detected CRC error: successful LLR without Phy Reinit)', 'UPI ERROR ( mcacod:0xc0f desc:Bus/Interconnect Errors: OBS.NTO.ERR.OTH.LG)( mscod:0x11 desc: UPI LL Rx Unsupported/Undefined packe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c0f desc:Bus/Interconnect Errors: OBS.NTO.ERR.OTH.LG)( mscod:0x11 desc: UPI LL Rx Unsupported/Undefined packe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7a desc:Cache Errors: EVICT.G.L2)( mscod:0x2a desc: CHA ISMQ_UNEXP_RSP)', 'CHA ERROR ( mcacod:0x17a desc:Cache Errors: EVICT.G.L2)( mscod:0x2a desc: CHA ISMQ_UNEXP_RSP)', 'CHA ERROR ( mcacod:0x1136 desc:Cache Errors (Filtered): DRD.D.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5_co_sts from uncore.pi5.pxp2.rp3', 'Corrected global error dev4_co_sts from uncore.pi5.pxp2.rp2', 'Corrected global error dev2_co_sts from uncore.pi5.pxp2.rp0', 'Corrected global error dev2_co_sts from uncore.pi5.pxp0.rp0', 'Corrected global error dev2_co_sts from uncore.pi5.pxp1.rp0', 'Corrected global error dev1_co_sts from uncore.hiop.hiop4', 'Corrected global error dev5_co_sts from uncore.pi5.pxp3.rp3', 'Corrected global error dev2_co_sts from uncore.pi5.pxp3.rp0', 'Corrected global error dev5_co_sts from uncore.pi5.pxp0.rp3', 'Corrected global error dev4_co_sts from uncore.pi5.pxp0.rp2', 'Corrected global error dev3_co_sts from uncore.pi5.pxp0.rp1', 'Corrected global error dev2_co_sts from uncore.pi5.pxp0.rp0', 'Corrected global error dev5_co_sts from uncore.pi5.pxp1.rp3', 'Corrected global error dev4_co_sts from uncore.pi5.pxp1.rp2', 'Corrected global error dev3_co_sts from uncore.pi5.pxp1.rp1', 'Corrected global error dev2_co_sts from uncore.pi5.pxp1.rp0', 'Corrected global error dev5_co_sts from uncore.pi5.pxp0.rp3', 'Corrected global error dev3_co_sts from uncore.pi5.pxp0.rp1', 'Corrected global error dev2_co_sts from uncore.pi5.pxp0.rp0', 'Corrected global error dev4_co_sts from uncore.pi5.pxp3.rp2', 'Corrected global error dev2_co_sts from uncore.pi5.pxp3.rp0', 'Corrected global error dev5_co_sts from uncore.pi5.pxp0.rp3', 'Corrected global error dev4_co_sts from uncore.pi5.pxp0.rp2', 'Corrected global error dev2_co_sts from uncore.pi5.pxp0.rp0', 'Corrected global error dev3_co_sts from uncore.pi5.pxp1.rp1', 'Corrected global error dev2_co_sts from uncore.pi5.pxp1.rp0'],[]"/>
        <s v="[],['socket0.io0.uncore.hwrs.gpsb.poc_straps.bist_enable is not 1!'],[],[],['uncersts_oob.received_an_unsupported_request', 'corerrsts_oob.advisory_non_fatal_error_status', 'msm_mbx_error_sts.mbx_overflow'],[],[],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TLB Arbiter is non idle', 'IOMMU TLB Arbiter is non idle', 'IOMMU TLB Arbiter is non idle', 'IOMMU TLB Arbiter is non idle', 'IOMMU TLB Arbiter is non idle', 'IOMMU TLB Arbiter is non idle', 'IOMMU TLB Arbiter is non idle', 'IOMMU vtd fault - ppf', 'IOMMU vtd fault - pfo', 'IOMMU vtd fault - ppf', 'IOMMU vtd fault - pfo', 'IOMMU vtd fault - ppf', 'IOMMU vtd fault - pfo', 'IOMMU vtd fault - ppf', 'IOMMU vtd fault - pfo', 'IOMMU vtd fault - ppf', 'IOMMU vtd fault - pfo'],[],[&quot;mscod: Error from {'PORTID': '0x4a0', 'source_name': 'io0:scf_b2upi.0.scf_b2upi.0'}- Error (from {'PORTID': '0x4a0', 'source_name': 'io0:scf_b2upi.0.scf_b2upi.0'}) error  Error from {'PORTID': '0x4a0', 'source_name': 'io0:scf_b2upi.0.scf_b2upi.0'} signaled to ubox MCA.&quot;, 'Merge Bank5-UPI signaled an MCA to Ubox; Check mc_status of MCA BANKID:5 and  MCA BANK_INDEX:0x0', 'Merge Bank6-Punit signaled an MCA to Ubox; Check mc_status of MCA BANKID:6 and  MCA BANK_INDEX:0xb', 'Merge Bank7-CHA0 signaled an MCA to Ubox; Check mc_status of MCA BANKID:7 and  MCA BANK_INDEX:0x2', 'Merge Bank5-UPI signaled an MCA to Ubox; Check mc_status of MCA BANKID:5 and  MCA BANK_INDEX:0x1', 'Merge Bank6-Punit signaled an MCA to Ubox; Check mc_status of MCA BANKID:6 and  MCA BANK_INDEX:0x4'],[&quot;UBOX ERROR ( mcacod:0x412 desc:SCF Bridge IP:CMS error)( mscod:0x1 desc:  Error (from {'PORTID': '0x4a0', 'source_name': 'io0:scf_b2upi.0.scf_b2upi.0'}) error  Error from {'PORTID': '0x4a0', 'source_name': 'io0:scf_b2upi.0.scf_b2upi.0'} signaled to ubox MCA.)&quo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UPI ERROR ( mcacod:0xe0f desc:Bus/Interconnect Errors: GEN.NTO.ERR.OTH.LG)( mscod:0x30 desc: UPI LL Rx detected CRC error: successful LLR without Phy Reini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 'CHA ERROR ( mcacod:0x1136 desc:Cache Errors (Filtered): DRD.D.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IOMMU vtd fault - ppf', 'IOMMU vtd fault - pfo', 'IOMMU vtd fault - ppf', 'IOMMU vtd fault - pfo', 'IOMMU vtd fault - ppf', 'IOMMU vtd fault - pfo', 'IOMMU vtd fault - ppf', 'IOMMU vtd fault - pfo'],[],['mscod: MCE when MCIP bit is set-Error signaled by the core and logged in Ubox. Check the core for more details.', &quot;mscod: Error from {'PORTID': '0x4a0', 'source_name': 'io0:scf_b2upi.0.scf_b2upi.0'}- Error (from {'PORTID': '0x4a0', 'source_name': 'io0:scf_b2upi.0.scf_b2upi.0'}) error  Error from {'PORTID': '0x4a0', 'source_name': 'io0:scf_b2upi.0.scf_b2upi.0'} signaled to ubox MCA.&quot;, 'Merge Bank6-Punit signaled an MCA to Ubox; Check mc_status of MCA BANKID:6 and  MCA BANK_INDEX:0xb', 'Merge Bank6-Punit signaled an MCA to Ubox; Check mc_status of MCA BANKID:6 and  MCA BANK_INDEX:0x9'],['UBOX ERROR ( mcacod:0x40c desc:Shutdown suppression)( mscod:0x2 desc: Error signaled by the core and logged in Ubox. Check the core for more details.)', &quot;UBOX ERROR ( mcacod:0x412 desc:SCF Bridge IP:CMS error)( mscod:0x0 desc:  Error (from {'PORTID': '0x4a0', 'source_name': 'io0:scf_b2upi.0.scf_b2upi.0'}) error  Error from {'PORTID': '0x4a0', 'source_name': 'io0:scf_b2upi.0.scf_b2upi.0'} signaled to ubox MCA.)&quo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5_co_sts from uncore.pi5.pxp2.rp3', 'Corrected global error dev4_co_sts from uncore.pi5.pxp2.rp2', 'Corrected global error dev3_co_sts from uncore.pi5.pxp2.rp1', 'Corrected global error dev2_co_sts from uncore.pi5.pxp2.rp0', 'Corrected global error dev4_co_sts from uncore.pi5.pxp3.rp2', 'Corrected global error dev5_co_sts from uncore.pi5.pxp1.rp3', 'Corrected global error dev4_co_sts from uncore.pi5.pxp1.rp2', 'Corrected global error dev3_co_sts from uncore.pi5.pxp1.rp1', 'Corrected global error dev2_co_sts from uncore.pi5.pxp1.rp0', 'Corrected global error dev2_co_sts from uncore.pi5.pxp2.rp0', 'Corrected global error dev4_co_sts from uncore.pi5.pxp3.rp2', 'Corrected global error dev5_co_sts from uncore.pi5.pxp0.rp3', 'Corrected global error dev5_co_sts from uncore.pi5.pxp1.rp3', 'Corrected global error dev4_co_sts from uncore.pi5.pxp1.rp2', 'Corrected global error dev3_co_sts from uncore.pi5.pxp1.rp1', 'Corrected global error dev2_co_sts from uncore.pi5.pxp1.rp0'],[],nan,nan"/>
        <s v="[],['socket0.io0.uncore.hwrs.gpsb.poc_straps.safe_mode_boot is not 0! This is potentially unsafe electrically/thermally.'],[],[],['Merge Bank6-Punit signaled an MCA to Ubox; Check mc_status of MCA BANKID:6 and  MCA BANK_INDEX:0x9', 'Merge Bank6-Punit signaled an MCA to Ubox; Check mc_status of MCA BANKID:6 and  MCA BANK_INDEX:0xb'],['PUNIT ERROR ( mcacod:0x402 desc:Punit Error)( mscod:0x10 desc: IERR_GENERIC)', 'PUNIT ERROR ( mcacod:0x402 desc:Punit Error)( mscod:0x10 desc: IERR_GENERIC)', 'PUNIT ERROR ( mcacod:0x402 desc:Pcode Error)( mscod:0x2f00 desc: MCA_PKGS_RESET_PREP_ACK_TIMEOUT)',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
        <s v="[],[],['socket0.io0.uncore.hwrs.gpsb.poc_straps.bist_enable is not 1!'],[],[],['Merge Bank6-Punit signaled an MCA to Ubox; Check mc_status of MCA BANKID:6 and  MCA BANK_INDEX:0x0', 'Merge Bank13-DDR_MCCHAN0 signaled an MCA to Ubox; Check mc_status of MCA BANKID:13 and  MCA BANK_INDEX:0x0', 'Merge Bank14-DDR_MCCHAN1 signaled an MCA to Ubox; Check mc_status of MCA BANKID:14 and  MCA BANK_INDEX:0x0', 'Merge Bank19-DDR_MCCHAN6 signaled an MCA to Ubox; Check mc_status of MCA BANKID:19 and  MCA BANK_INDEX:0x0', 'Merge Bank20-DDR_MCCHAN7 signaled an MCA to Ubox; Check mc_status of MCA BANKID:20 and  MCA BANK_INDEX:0x0'],[],['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safe_mode_boot is not 0! This is potentially unsafe electrically/thermally.'],[],[],['uncersts_msm.received_an_unsupported_request: OOBMSM recieved an unsupported request', 'corerrsts_msm.advisory_non_fatal_error_status', 'uncersts_oob.received_an_unsupported_request', 'corerrsts_oob.advisory_non_fatal_error_status', 'msm_mbx_error_sts.mbx_overflow', 'uncersts_msm.received_an_unsupported_request: OOBMSM recieved an unsupported request', 'corerrsts_msm.advisory_non_fatal_error_status', 'uncersts_oob.received_an_unsupported_request', 'corerrsts_oob.advisory_non_fatal_error_status', 'msm_mbx_error_sts.mbx_overflow'],[],[],nan,nan,nan,nan,nan"/>
        <s v="[],['socket0.io0.uncore.hwrs.gpsb.poc_straps.bist_enable is not 1!', 'socket1.io0.uncore.hwrs.gpsb.poc_straps.bist_enable is not 1!', 'Jumpers J5562 and J5563 set to 1-2 which enables a0_debug_strap. This is not POR and could cause issues with DRNG. Uninstall the jumpers if this is an issue.'],['IOMMU vtd fault - ppf', 'IOMMU vtd fault - pfo', 'IOMMU vtd fault - ppf', 'IOMMU vtd fault - pfo', 'IOMMU vtd fault - ppf', 'IOMMU vtd fault - pfo'],[],[&quot;mscod: Error from {'PORTID': '0x4a0', 'source_name': 'io0:scf_b2upi.0.scf_b2upi.0'}- Error (from {'PORTID': '0x4a0', 'source_name': 'io0:scf_b2upi.0.scf_b2upi.0'}) error  Error from {'PORTID': '0x4a0', 'source_name': 'io0:scf_b2upi.0.scf_b2upi.0'} signaled to ubox MCA.&quot;, &quot;mscod: Error from {'PORTID': '0x4a0', 'source_name': 'io0:scf_b2upi.0.scf_b2upi.0'}- Error (from {'PORTID': '0x4a0', 'source_name': 'io0:scf_b2upi.0.scf_b2upi.0'}) error  Error from {'PORTID': '0x4a0', 'source_name': 'io0:scf_b2upi.0.scf_b2upi.0'} signaled to ubox MCA.&quot;, 'Merge Bank6-Punit signaled an MCA to Ubox; Check mc_status of MCA BANKID:6 and  MCA BANK_INDEX:0xb', 'Merge Bank6-Punit signaled an MCA to Ubox; Check mc_status of MCA BANKID:6 and  MCA BANK_INDEX:0xa'],[],['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0.io0.uncore.hwrs.gpsb.poc_straps.txt_plten is not 1!', 'socket1.io0.uncore.hwrs.gpsb.poc_straps.bist_enable is not 1!', 'socket1.io0.uncore.hwrs.gpsb.poc_straps.txt_plten is not 1!'],[],[],[&quot;mscod: Error from {'PORTID': '0x4a0', 'source_name': 'io0:scf_b2upi.0.scf_b2upi.0'}- Error (from {'PORTID': '0x4a0', 'source_name': 'io0:scf_b2upi.0.scf_b2upi.0'}) error  Error from {'PORTID': '0x4a0', 'source_name': 'io0:scf_b2upi.0.scf_b2upi.0'} signaled to ubox MCA.&quot;, '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9', 'Merge Bank7-CHA0 signaled an MCA to Ubox; Check mc_status of MCA BANKID:7 and  MCA BANK_INDEX:0x0', 'Merge Bank5-UPI signaled an MCA to Ubox; Check mc_status of MCA BANKID:5 and  MCA BANK_INDEX:0x1', 'Merge Bank6-Punit signaled an MCA to Ubox; Check mc_status of MCA BANKID:6 and  MCA BANK_INDEX:0x4',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socket1.io0.uncore.hwrs.gpsb.poc_straps.bist_enable is not 1!'],[],[],[&quot;mscod: Error from {'PORTID': '0x4a0', 'source_name': 'io0:scf_b2upi.0.scf_b2upi.0'}- Error (from {'PORTID': '0x4a0', 'source_name': 'io0:scf_b2upi.0.scf_b2upi.0'}) error  Error from {'PORTID': '0x4a0', 'source_name': 'io0:scf_b2upi.0.scf_b2upi.0'} signaled to ubox MCA.&quot;, &quot;mscod: Error from {'PORTID': '0x4a0', 'source_name': 'io0:scf_b2upi.0.scf_b2upi.0'}- Error (from {'PORTID': '0x4a0', 'source_name': 'io0:scf_b2upi.0.scf_b2upi.0'}) error  Error from {'PORTID': '0x4a0', 'source_name': 'io0:scf_b2upi.0.scf_b2upi.0'} signaled to ubox MCA.&quot;, 'Merge Bank6-Punit signaled an MCA to Ubox; Check mc_status of MCA BANKID:6 and  MCA BANK_INDEX:0xa', 'Merge Bank6-Punit signaled an MCA to Ubox; Check mc_status of MCA BANKID:6 and  MCA BANK_INDEX:0x0', 'Merge Bank7-CHA0 signaled an MCA to Ubox; Check mc_status of MCA BANKID:7 and  MCA BANK_INDEX:0xe'],[],['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 'socket1.io0.uncore.hwrs.gpsb.poc_straps.bist_enable is not 1!', 'Jumpers J5562 and J5563 set to 1-2 which enables a0_debug_strap. This is not POR and could cause issues with DRNG. Uninstall the jumpers if this is an issue.'],[],[],[&quot;mscod: Error from {'PORTID': '0x4a0', 'source_name': 'io0:scf_b2upi.0.scf_b2upi.0'}- Error (from {'PORTID': '0x4a0', 'source_name': 'io0:scf_b2upi.0.scf_b2upi.0'}) error  Error from {'PORTID': '0x4a0', 'source_name': 'io0:scf_b2upi.0.scf_b2upi.0'} signaled to ubox MCA.&quot;, 'Merge Bank6-Punit signaled an MCA to Ubox; Check mc_status of MCA BANKID:6 and  MCA BANK_INDEX:0x0', 'Merge Bank7-CHA0 signaled an MCA to Ubox; Check mc_status of MCA BANKID:7 and  MCA BANK_INDEX:0x5', 'Merge Bank6-Punit signaled an MCA to Ubox; Check mc_status of MCA BANKID:6 and  MCA BANK_INDEX:0x0', 'LOCK Hard Hang, did not return to idle in 1s'],[],['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socket1.io0.uncore.hwrs.gpsb.poc_straps.bist_enable is not 1!'],[],[],[&quot;mscod: Error from {'PORTID': '0x4a0', 'source_name': 'io0:scf_b2upi.0.scf_b2upi.0'}- Error (from {'PORTID': '0x4a0', 'source_name': 'io0:scf_b2upi.0.scf_b2upi.0'}) error  Error from {'PORTID': '0x4a0', 'source_name': 'io0:scf_b2upi.0.scf_b2upi.0'} signaled to ubox MCA.&quot;, &quot;mscod: Error from {'PORTID': '0x4a0', 'source_name': 'io0:scf_b2upi.0.scf_b2upi.0'}- Error (from {'PORTID': '0x4a0', 'source_name': 'io0:scf_b2upi.0.scf_b2upi.0'}) error  Error from {'PORTID': '0x4a0', 'source_name': 'io0:scf_b2upi.0.scf_b2upi.0'} signaled to ubox MCA.&quot;, 'Merge Bank6-Punit signaled an MCA to Ubox; Check mc_status of MCA BANKID:6 and  MCA BANK_INDEX:0x0', 'Merge Bank6-Punit signaled an MCA to Ubox; Check mc_status of MCA BANKID:6 and  MCA BANK_INDEX:0x4'],[],['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mscod: MCE when MCIP bit is set-Error signaled by the core and logged in Ubox. Check the core for more details.', &quot;mscod: Error from {'PORTID': '0x4a0', 'source_name': 'io0:scf_b2upi.0.scf_b2upi.0'}- Error (from {'PORTID': '0x4a0', 'source_name': 'io0:scf_b2upi.0.scf_b2upi.0'}) error  Error from {'PORTID': '0x4a0', 'source_name': 'io0:scf_b2upi.0.scf_b2upi.0'} signaled to ubox MCA.&quot;, 'Merge Bank5-UPI signaled an MCA to Ubox; Check mc_status of MCA BANKID:5 and  MCA BANK_INDEX:0x1', 'Merge Bank6-Punit signaled an MCA to Ubox; Check mc_status of MCA BANKID:6 and  MCA BANK_INDEX:0x0', 'Merge Bank7-CHA0 signaled an MCA to Ubox; Check mc_status of MCA BANKID:7 and  MCA BANK_INDEX:0x0', 'Merge Bank5-UPI signaled an MCA to Ubox; Check mc_status of MCA BANKID:5 and  MCA BANK_INDEX:0x1', 'Merge Bank6-Punit signaled an MCA to Ubox; Check mc_status of MCA BANKID:6 and  MCA BANK_INDEX:0xb', 'Merge Bank7-CHA0 signaled an MCA to Ubox; Check mc_status of MCA BANKID:7 and  MCA BANK_INDEX:0x2'],[],['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socket0.io0.uncore.hwrs.gpsb.poc_straps.bist_enable is not 1!', 'socket1.io0.uncore.hwrs.gpsb.poc_straps.bist_enable is not 1!'],[],[],[&quot;mscod: SBO_BL_DATA_PAR_ERR- SCF IP (from SBO {'PORTID': '0x5a54', 'source_name': 'compute2:scf_sbo.0.ddimb.53'}) error  SBO_BL_DATA_PAR_ERR signaled to ubox MCA.&quot;, 'Merge Bank6-Punit signaled an MCA to Ubox; Check mc_status of MCA BANKID:6 and  MCA BANK_INDEX:0x0', 'Merge Bank6-Punit signaled an MCA to Ubox; Check mc_status of MCA BANKID:6 and  MCA BANK_INDEX:0xa', 'Merge Bank9-LLC0 signaled an MCA to Ubox; Check mc_status of MCA BANKID:9 and  MCA BANK_INDEX:0x41'],[],['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 'socket1.io0.uncore.hwrs.gpsb.poc_straps.bist_enable is not 1!', 'Jumpers J5562 and J5563 set to 1-2 which enables a0_debug_strap. This is not POR and could cause issues with DRNG. Uninstall the jumpers if this is an issue.'],[],[],['uncersts_oob.received_an_unsupported_request', 'corerrsts_oob.advisory_non_fatal_error_status', 'msm_mbx_error_sts.mbx_overflow', 'uncersts_oob.received_an_unsupported_request', 'corerrsts_oob.advisory_non_fatal_error_status', 'msm_mbx_error_sts.mbx_overflow'],[],[],nan,nan,nan,nan,nan"/>
        <s v="['socket0.io0.uncore.hwrs.gpsb.poc_straps.bist_enable is not 1!', 'socket1.io0.uncore.hwrs.gpsb.poc_straps.bist_enable is not 1!'],[],[],['corerrsts_msm.advisory_non_fatal_error_status', 'corerrsts_oob.advisory_non_fatal_error_status', 'msm_mbx_error_sts.mbx_overflow', 'corerrsts_msm.advisory_non_fatal_error_status', 'corerrsts_oob.advisory_non_fatal_error_status', 'msm_mbx_error_sts.mbx_overflow'],[],[],nan,nan,nan,nan,nan"/>
        <s v="[],[],['socket0.io0.uncore.hwrs.gpsb.poc_straps.bist_enable is not 1!', 'socket1.io0.uncore.hwrs.gpsb.poc_straps.bist_enable is not 1!'],[],[],['Merge Bank6-Punit signaled an MCA to Ubox; Check mc_status of MCA BANKID:6 and  MCA BANK_INDEX:0xa', 'Merge Bank6-Punit signaled an MCA to Ubox; Check mc_status of MCA BANKID:6 and  MCA BANK_INDEX:0xa'],[],['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corerrsts_msm.advisory_non_fatal_error_status', 'corerrsts_oob.advisory_non_fatal_error_status'],[],nan,nan,nan,nan,nan"/>
        <s v="[],['socket0.io0.uncore.hwrs.gpsb.poc_straps.bist_enable is not 1!'],['IOMMU TLB Arbiter is non idle', 'IOMMU TLB Arbiter is non idle', 'IOMMU TLB Arbiter is non idle'],[],[&quot;mscod: SBO_BL_DATA_PAR_ERR- SCF IP (from SBO {'PORTID': '0x4a66', 'source_name': 'compute0:scf_sbo.0.ddimb.15'}) error  SBO_BL_DATA_PAR_ERR signaled to ubox MCA.&quot;, 'Merge Bank6-Punit signaled an MCA to Ubox; Check mc_status of MCA BANKID:6 and  MCA BANK_INDEX:0x9', 'Merge Bank7-CHA0 signaled an MCA to Ubox; Check mc_status of MCA BANKID:7 and  MCA BANK_INDEX:0x1c', 'Merge Bank9-LLC0 signaled an MCA to Ubox; Check mc_status of MCA BANKID:9 and  MCA BANK_INDEX:0x1b'],[],['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 'socket1.io0.uncore.hwrs.gpsb.poc_straps.bist_enable is not 1!'],[],[],['mscod: MCE when MCIP bit is set-Error signaled by the core and logged in Ubox. Check the core for more details.', 'Merge Bank6-Punit signaled an MCA to Ubox; Check mc_status of MCA BANKID:6 and  MCA BANK_INDEX:0x0', 'Merge Bank6-Punit signaled an MCA to Ubox; Check mc_status of MCA BANKID:6 and  MCA BANK_INDEX:0x4'],['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unit Error)( mscod:0x10 desc: IERR_GENERIC)', 'PUNIT ERROR ( mcacod:0x402 desc:Pcode Error)( mscod:0x1400 desc: MCA_HPM_MSG_SEND_TIMEOUT)', 'PUNIT ERROR ( mcacod:0x402 desc:Punit Error)( mscod:0x10 desc: IERR_GENERIC)', 'PUNIT ERROR ( mcacod:0x402 desc:Punit Error)( mscod:0x10 desc: IERR_GENERIC)', 'PUNIT ERROR ( mcacod:0x402 desc:Punit Error)( mscod:0x10 desc: IERR_GENERIC)'],['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1.io0.uncore.hwrs.gpsb.poc_straps.bist_enable is not 1!', 'Jumpers J5562 and J5563 set to 1-2 which enables a0_debug_strap. This is not POR and could cause issues with DRNG. Uninstall the jumpers if this is an issue.'],[],[],[&quot;mscod: Error from {'PORTID': '0x4a0', 'source_name': 'io0:scf_b2upi.0.scf_b2upi.0'}- Error (from {'PORTID': '0x4a0', 'source_name': 'io0:scf_b2upi.0.scf_b2upi.0'}) error  Error from {'PORTID': '0x4a0', 'source_name': 'io0:scf_b2upi.0.scf_b2upi.0'} signaled to ubox MCA.&quot;, 'mscod: MCE when CR4.MCE is clear-Error signaled by the core and logged in Ubox. Check the core for more details.', 'Merge Bank5-UPI signaled an MCA to Ubox; Check mc_status of MCA BANKID:5 and  MCA BANK_INDEX:0x1', 'Merge Bank6-Punit signaled an MCA to Ubox; Check mc_status of MCA BANKID:6 and  MCA BANK_INDEX:0x9', 'Merge Bank7-CHA0 signaled an MCA to Ubox; Check mc_status of MCA BANKID:7 and  MCA BANK_INDEX:0x0', 'Merge Bank5-UPI signaled an MCA to Ubox; Check mc_status of MCA BANKID:5 and  MCA BANK_INDEX:0x1', 'Merge Bank6-Punit signaled an MCA to Ubox; Check mc_status of MCA BANKID:6 and  MCA BANK_INDEX:0x9'],[],['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socket0.io0.uncore.hwrs.gpsb.poc_straps.bist_enable is not 1!'],[],[],['mscod: MCE when MCIP bit is set-Error signaled by the core and logged in Ubox. Check the core for more details.', 'Merge Bank6-Punit signaled an MCA to Ubox; Check mc_status of MCA BANKID:6 and  MCA BANK_INDEX:0x9', 'Merge Bank7-CHA0 signaled an MCA to Ubox; Check mc_status of MCA BANKID:7 and  MCA BANK_INDEX:0x10'],['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CHA ERROR ( mcacod:0x17a desc:Cache Errors: EVICT.G.L2)( mscod:0x40 desc: MCCHAN UnCorr Spare Error)', 'CHA ERROR ( mcacod:0x1136 desc:Cache Errors (Filtered): DRD.D.L2)( mscod:0xc desc: CHA TOR_TIMEOUT)', 'CHA ERROR ( mcacod:0x17a desc:Cache Errors: EVICT.G.L2)( mscod:0x40 desc: MCCHAN UnCorr Spare Error)', 'CHA ERROR ( mcacod:0x1136 desc:Cache Errors (Filtered): DRD.D.L2)( mscod:0xc desc: CHA TOR_TIMEOUT)'],['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Corrected global error dev8_co_sts from uncore.pi5.pxp0.rp6', 'Corrected global error dev2_co_sts from uncore.pi5.pxp1.rp0'],[],nan,nan"/>
        <s v="['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0.io0.uncore.hwrs.gpsb.poc_straps.txt_plten is not 1!', 'socket1.io0.uncore.hwrs.gpsb.poc_straps.bist_enable is not 1!', 'socket1.io0.uncore.hwrs.gpsb.poc_straps.txt_plten is not 1!'],[],[],[&quot;mscod: Error from {'PORTID': '0x4a0', 'source_name': 'io0:scf_b2upi.0.scf_b2upi.0'}- Error (from {'PORTID': '0x4a0', 'source_name': 'io0:scf_b2upi.0.scf_b2upi.0'}) error  Error from {'PORTID': '0x4a0', 'source_name': 'io0:scf_b2upi.0.scf_b2upi.0'} signaled to ubox MCA.&quot;, 'Merge Bank5-UPI signaled an MCA to Ubox; Check mc_status of MCA BANKID:5 and  MCA BANK_INDEX:0x1', 'Merge Bank6-Punit signaled an MCA to Ubox; Check mc_status of MCA BANKID:6 and  MCA BANK_INDEX:0x4', 'Merge Bank7-CHA0 signaled an MCA to Ubox; Check mc_status of MCA BANKID:7 and  MCA BANK_INDEX:0x1', 'Merge Bank5-UPI signaled an MCA to Ubox; Check mc_status of MCA BANKID:5 and  MCA BANK_INDEX:0x1', 'Merge Bank6-Punit signaled an MCA to Ubox; Check mc_status of MCA BANKID:6 and  MCA BANK_INDEX:0x9', 'Merge Bank7-CHA0 signaled an MCA to Ubox; Check mc_status of MCA BANKID:7 and  MCA BANK_INDEX:0x12'],[],['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socket1.io0.uncore.hwrs.gpsb.poc_straps.bist_enable is not 1!', 'Jumpers J5562 and J5563 set to 1-2 which enables a0_debug_strap. This is not POR and could cause issues with DRNG. Uninstall the jumpers if this is an issue.'],[],[],[&quot;mscod: Error from {'PORTID': '0x4a0', 'source_name': 'io0:scf_b2upi.0.scf_b2upi.0'}- Error (from {'PORTID': '0x4a0', 'source_name': 'io0:scf_b2upi.0.scf_b2upi.0'}) error  Error from {'PORTID': '0x4a0', 'source_name': 'io0:scf_b2upi.0.scf_b2upi.0'} signaled to ubox MCA.&quot;, &quot;mscod: Error from {'PORTID': '0x4a0', 'source_name': 'io0:scf_b2upi.0.scf_b2upi.0'}- Error (from {'PORTID': '0x4a0', 'source_name': 'io0:scf_b2upi.0.scf_b2upi.0'}) error  Error from {'PORTID': '0x4a0', 'source_name': 'io0:scf_b2upi.0.scf_b2upi.0'} signaled to ubox MCA.&quot;, 'Merge Bank6-Punit signaled an MCA to Ubox; Check mc_status of MCA BANKID:6 and  MCA BANK_INDEX:0x0', 'Merge Bank7-CHA0 signaled an MCA to Ubox; Check mc_status of MCA BANKID:7 and  MCA BANK_INDEX:0x5', 'Merge Bank6-Punit signaled an MCA to Ubox; Check mc_status of MCA BANKID:6 and  MCA BANK_INDEX:0x0', 'Merge Bank7-CHA0 signaled an MCA to Ubox; Check mc_status of MCA BANKID:7 and  MCA BANK_INDEX:0x1'],[],['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TLB Arbiter is non idle'],[],['Merge Bank5-UPI signaled an MCA to Ubox; Check mc_status of MCA BANKID:5 and  MCA BANK_INDEX:0x1', 'Merge Bank6-Punit signaled an MCA to Ubox; Check mc_status of MCA BANKID:6 and  MCA BANK_INDEX:0x9', 'Merge Bank7-CHA0 signaled an MCA to Ubox; Check mc_status of MCA BANKID:7 and  MCA BANK_INDEX:0x0', 'Merge Bank5-UPI signaled an MCA to Ubox; Check mc_status of MCA BANKID:5 and  MCA BANK_INDEX:0x1', 'Merge Bank6-Punit signaled an MCA to Ubox; Check mc_status of MCA BANKID:6 and  MCA BANK_INDEX:0x0'],[],['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socket0.io0.uncore.hwrs.gpsb.poc_straps.bist_enable is not 1!', 'socket1.io0.uncore.hwrs.gpsb.poc_straps.bist_enable is not 1!'],[],[],['Merge Bank6-Punit signaled an MCA to Ubox; Check mc_status of MCA BANKID:6 and  MCA BANK_INDEX:0xb', 'Merge Bank6-Punit signaled an MCA to Ubox; Check mc_status of MCA BANKID:6 and  MCA BANK_INDEX:0x4'],[],['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 'socket1.io0.uncore.hwrs.gpsb.poc_straps.bist_enable is not 1!'],[],[],['Merge Bank6-Punit signaled an MCA to Ubox; Check mc_status of MCA BANKID:6 and  MCA BANK_INDEX:0x0', 'Merge Bank7-CHA0 signaled an MCA to Ubox; Check mc_status of MCA BANKID:7 and  MCA BANK_INDEX:0x19', 'Merge Bank6-Punit signaled an MCA to Ubox; Check mc_status of MCA BANKID:6 and  MCA BANK_INDEX:0x0', 'Merge Bank7-CHA0 signaled an MCA to Ubox; Check mc_status of MCA BANKID:7 and  MCA BANK_INDEX:0x19'],[],['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msm_mbx_error_sts.mbx_overflow', 'corerrsts_msm.advisory_non_fatal_error_status', 'msm_mbx_error_sts.mbx_overflow'],[],[],nan,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code sent an invalid response to another pcode during PkgS', 'PRIMECODE_WATCHDOG_TIMER_EXPIRED', 'Pcode sent an invalid response to another pcode during PkgS', 'PRIMECODE_WATCHDOG_TIMER_EXPIRED'],[],[],['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0', 'Merge Bank5-UPI signaled an MCA to Ubox; Check mc_status of MCA BANKID:5 and  MCA BANK_INDEX:0x0', 'Merge Bank6-Punit signaled an MCA to Ubox; Check mc_status of MCA BANKID:6 and  MCA BANK_INDEX:0x0'],[],['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corerrsts_msm.advisory_non_fatal_error_status', 'corerrsts_oob.advisory_non_fatal_error_status', 'corerrsts_msm.advisory_non_fatal_error_status', 'corerrsts_oob.advisory_non_fatal_error_status'],[],[],nan,nan,nan,nan"/>
        <s v="[],[],['socket0.io0.uncore.hwrs.gpsb.poc_straps.bist_enable is not 1!'],[],[],['mscod: MCE when MCIP bit is set-Error signaled by the core and logged in Ubox. Check the core for more details.', 'Merge Bank6-Punit signaled an MCA to Ubox; Check mc_status of MCA BANKID:6 and  MCA BANK_INDEX:0x9', 'Merge Bank7-CHA0 signaled an MCA to Ubox; Check mc_status of MCA BANKID:7 and  MCA BANK_INDEX:0x26'],['UBOX ERROR ( mcacod:0x40c desc:Shutdown suppression)( mscod:0x2 desc: Error signaled by the core and logged in Ubox. Check the core for more details.)', 'PUNIT ERROR ( mcacod:0x402 desc:Punit Error)( mscod:0x10 desc: IERR_GENERIC)', 'PUNIT ERROR ( mcacod:0x402 desc:Punit Error)( mscod:0x10 desc: IERR_GENERIC)', 'PUNIT ERROR ( mcacod:0x402 desc:Punit Error)( mscod:0x10 desc: IERR_GENERIC)', 'CHA ERROR ( mcacod:0x1136 desc:Cache Errors (Filtered): DRD.D.L2)( mscod:0xc desc: CHA TOR_TIMEOUT)'],['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 'socket1.io0.uncore.hwrs.gpsb.poc_straps.bist_enable is not 1!'],[],[],['Merge Bank6-Punit signaled an MCA to Ubox; Check mc_status of MCA BANKID:6 and  MCA BANK_INDEX:0x0', 'Merge Bank6-Punit signaled an MCA to Ubox; Check mc_status of MCA BANKID:6 and  MCA BANK_INDEX:0x4'],[],['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global_viral: Global Viral Crashlog Trigger along with IERR assertion from PUNIT', '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nan"/>
        <s v="['socket0.io0.uncore.hwrs.gpsb.poc_straps.bist_enable is not 1!', 'socket1.io0.uncore.hwrs.gpsb.poc_straps.bist_enable is not 1!'],[],[],['corerrsts_msm.advisory_non_fatal_error_status', 'msm_mbx_error_sts.mbx_overflow', 'corerrsts_msm.advisory_non_fatal_error_status', 'msm_mbx_error_sts.mbx_overflow'],[],[],nan,nan,nan,nan,nan"/>
        <s v="['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corerrsts_oob.advisory_non_fatal_error_status', 'msm_mbx_error_sts.mbx_overflow', 'corerrsts_msm.advisory_non_fatal_error_status', 'corerrsts_oob.advisory_non_fatal_error_status', 'msm_mbx_error_sts.mbx_overflow'],[],[],nan,nan,nan,nan,nan"/>
        <s v="['socket1.io0.uncore.hwrs.gpsb.poc_straps.bist_enable is not 1!', 'Jumpers J5562 and J5563 set to 1-2 which enables a0_debug_strap. This is not POR and could cause issues with DRNG. Uninstall the jumpers if this is an issue.'],[],[],['corerrsts_msm.advisory_non_fatal_error_status', 'corerrsts_oob.advisory_non_fatal_error_status', 'msm_mbx_error_sts.mbx_overflow', 'corerrsts_msm.advisory_non_fatal_error_status', 'corerrsts_oob.advisory_non_fatal_error_status', 'msm_mbx_error_sts.mbx_overflow'],[],[],nan,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corerrsts_msm.advisory_non_fatal_error_status', 'msm_mbx_error_sts.mbx_overflow', 'corerrsts_msm.advisory_non_fatal_error_status', 'msm_mbx_error_sts.mbx_overflow'],[],[],nan,nan,nan"/>
        <s v="[],['socket0.io0.uncore.hwrs.gpsb.poc_straps.bist_enable is not 1!', 'socket1.io0.uncore.hwrs.gpsb.poc_straps.bist_enable is not 1!'],[],[],['corerrsts_msm.advisory_non_fatal_error_status', 'msm_mbx_error_sts.mbx_overflow', 'corerrsts_msm.advisory_non_fatal_error_status', 'msm_mbx_error_sts.mbx_overflow'],[],[],nan,nan,nan,nan"/>
        <s v="[],['socket0.io0.uncore.hwrs.gpsb.poc_straps.bist_enable is not 1!'],['IOMMU TLB Arbiter is non idle', 'IOMMU TLB Arbiter is non idle'],[],[&quot;mscod: SBO_BL_DATA_PAR_ERR- SCF IP (from SBO {'PORTID': '0x4a54', 'source_name': 'compute0:scf_sbo.0.ddimb.13'}) error  SBO_BL_DATA_PAR_ERR signaled to ubox MCA.&quot;, 'Merge Bank6-Punit signaled an MCA to Ubox; Check mc_status of MCA BANKID:6 and  MCA BANK_INDEX:0x9', 'Merge Bank7-CHA0 signaled an MCA to Ubox; Check mc_status of MCA BANKID:7 and  MCA BANK_INDEX:0x15'],[],['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 'socket0.io0.uncore.hwrs.gpsb.poc_straps.txt_plten is not 1!'],[],[],[],[],['msm_global_status_ctrl_reg.global_viral: Global Viral Crashlog Trigger along with IERR assertion from PUNIT', 'msm_global_status_ctrl_reg.ierr: oobmsm saw that CPU has logged an ierr', 'uncersts_msm.received_an_unsupported_request: OOBMSM recieved an unsupported request', 'corerrsts_msm.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msm_mbx_error_sts.mbx_overflow', 'corerrsts_msm.advisory_non_fatal_error_status', 'msm_mbx_error_sts.mbx_overflow'],[],[],nan,nan,nan"/>
        <s v="[],[],[],['socket0.io0.uncore.hwrs.gpsb.poc_straps.bist_enable is not 1!'],[],[],['corerrsts_oob.advisory_non_fatal_error_status', 'corerrsts_msm.advisory_non_fatal_error_status', 'corerrsts_oob.advisory_non_fatal_error_status', 'msm_mbx_error_sts.mbx_overflow'],[],[],nan,nan"/>
        <s v="[],['Either an S3M HW error, S3M FW error, or ISCLK FuSa error'],['socket0.io0.uncore.hwrs.gpsb.poc_straps.bist_enable is not 1!', 'socket1.io0.uncore.hwrs.gpsb.poc_straps.bist_enable is not 1!'],[],[],['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nan,nan,nan,nan"/>
        <s v="[],['socket0.io0.uncore.hwrs.gpsb.poc_straps.bist_enable is not 1!', 'socket1.io0.uncore.hwrs.gpsb.poc_straps.bist_enable is not 1!'],['IOMMU vtd fault - ppf', 'IOMMU vtd fault - pfo'],[],['corerrsts_msm.advisory_non_fatal_error_status', 'corerrsts_oob.advisory_non_fatal_error_status', 'msm_mbx_error_sts.mbx_overflow', 'corerrsts_msm.advisory_non_fatal_error_status', 'corerrsts_oob.advisory_non_fatal_error_status', 'msm_mbx_error_sts.mbx_overflow'],[],[],nan,nan,nan,nan"/>
        <s v="['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 'IOMMU TLB Arbiter is non idle'],[],['corerrsts_msm.advisory_non_fatal_error_status', 'corerrsts_oob.advisory_non_fatal_error_status', 'msm_mbx_error_sts.mbx_overflow', 'corerrsts_msm.advisory_non_fatal_error_status', 'corerrsts_oob.advisory_non_fatal_error_status', 'msm_mbx_error_sts.mbx_overflow'],[],[],nan,nan,nan,nan,nan"/>
        <s v="['socket0.io0.uncore.hwrs.gpsb.poc_straps.bist_enable is not 1!', 'socket1.io0.uncore.hwrs.gpsb.poc_straps.bist_enable is not 1!'],[],[],['corerrsts_oob.advisory_non_fatal_error_status', 'corerrsts_oob.advisory_non_fatal_error_status'],[],[],nan,nan,nan,nan,nan"/>
        <s v="['socket1.io0.uncore.hwrs.gpsb.poc_straps.bist_enable is not 1!'],[],[],['corerrsts_oob.advisory_non_fatal_error_status', 'corerrsts_oob.advisory_non_fatal_error_status'],[],[],nan,nan,nan,nan,nan"/>
        <s v="[],['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Merge Bank5-UPI signaled an MCA to Ubox; Check mc_status of MCA BANKID:5 and  MCA BANK_INDEX:0x1', 'Merge Bank6-Punit signaled an MCA to Ubox; Check mc_status of MCA BANKID:6 and  MCA BANK_INDEX:0xb', 'Merge Bank7-CHA0 signaled an MCA to Ubox; Check mc_status of MCA BANKID:7 and  MCA BANK_INDEX:0x5c', 'Merge Bank5-UPI signaled an MCA to Ubox; Check mc_status of MCA BANKID:5 and  MCA BANK_INDEX:0x1', 'Merge Bank6-Punit signaled an MCA to Ubox; Check mc_status of MCA BANKID:6 and  MCA BANK_INDEX:0xb', 'Merge Bank7-CHA0 signaled an MCA to Ubox; Check mc_status of MCA BANKID:7 and  MCA BANK_INDEX:0x58'],[],['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 'IOMMU TLB Arbiter is non idle'],[],['Merge Bank5-UPI signaled an MCA to Ubox; Check mc_status of MCA BANKID:5 and  MCA BANK_INDEX:0x1', 'Merge Bank6-Punit signaled an MCA to Ubox; Check mc_status of MCA BANKID:6 and  MCA BANK_INDEX:0xa', 'Merge Bank5-UPI signaled an MCA to Ubox; Check mc_status of MCA BANKID:5 and  MCA BANK_INDEX:0x1', 'Merge Bank6-Punit signaled an MCA to Ubox; Check mc_status of MCA BANKID:6 and  MCA BANK_INDEX:0x9', 'Merge Bank7-CHA0 signaled an MCA to Ubox; Check mc_status of MCA BANKID:7 and  MCA BANK_INDEX:0x5'],[],['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1.io0.uncore.hwrs.gpsb.poc_straps.bist_enable is not 1!'],['IOMMU vtd fault - pfo'],[],['corerrsts_msm.advisory_non_fatal_error_status', 'corerrsts_oob.advisory_non_fatal_error_status', 'msm_mbx_error_sts.mbx_overflow', 'corerrsts_msm.advisory_non_fatal_error_status', 'corerrsts_oob.advisory_non_fatal_error_status', 'msm_mbx_error_sts.mbx_overflow'],[],[],nan,nan,nan,nan,nan"/>
        <s v="['socket1.io0.uncore.hwrs.gpsb.poc_straps.bist_enable is not 1!'],[],[],['corerrsts_msm.advisory_non_fatal_error_status', 'corerrsts_oob.advisory_non_fatal_error_status', 'msm_mbx_error_sts.mbx_overflow', 'corerrsts_msm.advisory_non_fatal_error_status', 'corerrsts_oob.advisory_non_fatal_error_status', 'msm_mbx_error_sts.mbx_overflow'],[],[],nan,nan,nan,nan,nan"/>
        <s v="[],['socket1.io0.uncore.hwrs.gpsb.poc_straps.bist_enable is not 1!'],[],[],['corerrsts_msm.advisory_non_fatal_error_status', 'corerrsts_oob.advisory_non_fatal_error_status', 'msm_mbx_error_sts.mbx_overflow', 'corerrsts_msm.advisory_non_fatal_error_status', 'corerrsts_oob.advisory_non_fatal_error_status', 'msm_mbx_error_sts.mbx_overflow'],[],[],nan,nan,nan,nan"/>
        <s v="['socket0.io0.uncore.hwrs.gpsb.poc_straps.bist_enable is not 1!', 'socket1.io0.uncore.hwrs.gpsb.poc_straps.bist_enable is not 1!'],['IOMMU vtd fault - pfo', 'IOMMU vtd fault - pfo', 'IOMMU vtd fault - pfo', 'IOMMU vtd fault - pfo'],[],['corerrsts_msm.advisory_non_fatal_error_status', 'corerrsts_oob.advisory_non_fatal_error_status', 'msm_mbx_error_sts.mbx_overflow', 'corerrsts_msm.advisory_non_fatal_error_status', 'corerrsts_oob.advisory_non_fatal_error_status', 'msm_mbx_error_sts.mbx_overflow'],[],[],nan,nan,nan,nan,nan"/>
        <s v="[],['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corerrsts_oob.advisory_non_fatal_error_status', 'msm_mbx_error_sts.mbx_overflow', 'corerrsts_msm.advisory_non_fatal_error_status', 'corerrsts_oob.advisory_non_fatal_error_status', 'msm_mbx_error_sts.mbx_overflow'],[],[],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erge Bank5-UPI signaled an MCA to Ubox; Check mc_status of MCA BANKID:5 and  MCA BANK_INDEX:0x0', 'Merge Bank6-Punit signaled an MCA to Ubox; Check mc_status of MCA BANKID:6 and  MCA BANK_INDEX:0x0'],[],['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uncersts_msm.received_an_unsupported_request: OOBMSM recieved an unsupported request', 'corerrsts_msm.advisory_non_fatal_error_status', 'uncersts_oob.received_an_unsupported_request', 'corerrsts_oob.advisory_non_fatal_error_status', 'uncersts_msm.received_an_unsupported_request: OOBMSM recieved an unsupported request', 'corerrsts_msm.advisory_non_fatal_error_status', 'uncersts_oob.received_an_unsupported_request', 'corerrsts_oob.advisory_non_fatal_error_status'],[],[],nan,nan,nan,nan"/>
        <s v="[],['socket0.io0.uncore.hwrs.gpsb.poc_straps.bist_enable is not 1!', 'socket1.io0.uncore.hwrs.gpsb.poc_straps.bist_enable is not 1!'],[],[],['mscod: MCE when MCIP bit is set-Error signaled by the core and logged in Ubox. Check the core for more details.', 'Merge Bank6-Punit signaled an MCA to Ubox; Check mc_status of MCA BANKID:6 and  MCA BANK_INDEX:0x9', 'Merge Bank6-Punit signaled an MCA to Ubox; Check mc_status of MCA BANKID:6 and  MCA BANK_INDEX:0x4'],[],['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SW triple fault shutdown-Error signaled by the core and logged in Ubox. Check the core for more details.', 'mscod: MCE when MCIP bit is set-Error signaled by the core and logged in Ubox. Check the core for more details.', 'Merge Bank5-UPI signaled an MCA to Ubox; Check mc_status of MCA BANKID:5 and  MCA BANK_INDEX:0x0', 'Merge Bank6-Punit signaled an MCA to Ubox; Check mc_status of MCA BANKID:6 and  MCA BANK_INDEX:0x0', 'Merge Bank5-UPI signaled an MCA to Ubox; Check mc_status of MCA BANKID:5 and  MCA BANK_INDEX:0x1', 'Merge Bank6-Punit signaled an MCA to Ubox; Check mc_status of MCA BANKID:6 and  MCA BANK_INDEX:0xa'],[],['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safe_mode_boot is not 0! This is potentially unsafe electrically/thermally.'],[],[],['mscod: MCE under WFS-Error signaled by the core and logged in Ubox. Check the core for more details.', 'mscod: MCE under WFS-Error signaled by the core and logged in Ubox. Check the core for more details.', 'Merge Bank5-UPI signaled an MCA to Ubox; Check mc_status of MCA BANKID:5 and  MCA BANK_INDEX:0x2', 'Merge Bank6-Punit signaled an MCA to Ubox; Check mc_status of MCA BANKID:6 and  MCA BANK_INDEX:0xb', 'Merge Bank7-CHA0 signaled an MCA to Ubox; Check mc_status of MCA BANKID:7 and  MCA BANK_INDEX:0x0', 'Merge Bank5-UPI signaled an MCA to Ubox; Check mc_status of MCA BANKID:5 and  MCA BANK_INDEX:0x3', 'Merge Bank6-Punit signaled an MCA to Ubox; Check mc_status of MCA BANKID:6 and  MCA BANK_INDEX:0x4', 'Merge Bank7-CHA0 signaled an MCA to Ubox; Check mc_status of MCA BANKID:7 and  MCA BANK_INDEX:0x28'],[],['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socket0.io0.uncore.hwrs.gpsb.poc_straps.bist_enable is not 1!', 'socket1.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9', 'Merge Bank7-CHA0 signaled an MCA to Ubox; Check mc_status of MCA BANKID:7 and  MCA BANK_INDEX:0x4f', 'Merge Bank6-Punit signaled an MCA to Ubox; Check mc_status of MCA BANKID:6 and  MCA BANK_INDEX:0x0', 'Merge Bank7-CHA0 signaled an MCA to Ubox; Check mc_status of MCA BANKID:7 and  MCA BANK_INDEX:0x2f', 'LOCK Hard Hang, did not return to idle in 1s'],[],['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bist_enable is not 1!', 'socket1.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0', 'Merge Bank7-CHA0 signaled an MCA to Ubox; Check mc_status of MCA BANKID:7 and  MCA BANK_INDEX:0x55', 'Merge Bank6-Punit signaled an MCA to Ubox; Check mc_status of MCA BANKID:6 and  MCA BANK_INDEX:0xa', 'Merge Bank7-CHA0 signaled an MCA to Ubox; Check mc_status of MCA BANKID:7 and  MCA BANK_INDEX:0x24', 'LOCK Hard Hang, did not return to idle in 1s'],[],['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bist_enable is not 1!', 'socket1.io0.uncore.hwrs.gpsb.poc_straps.bist_enable is not 1!'],[],[],['Merge Bank6-Punit signaled an MCA to Ubox; Check mc_status of MCA BANKID:6 and  MCA BANK_INDEX:0x4', 'Merge Bank6-Punit signaled an MCA to Ubox; Check mc_status of MCA BANKID:6 and  MCA BANK_INDEX:0x4'],[],['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bist_enable is not 1!', 'socket1.io0.uncore.hwrs.gpsb.poc_straps.bist_enable is not 1!', 'Jumpers J5562 and J5563 set to 1-2 which enables a0_debug_strap. This is not POR and could cause issues with DRNG. Uninstall the jumpers if this is an issue.'],[],[],[],[],['uncersts_oob.received_an_unsupported_request', 'corerrsts_oob.advisory_non_fatal_error_status', 'msm_global_status_ctrl_reg.pcode_err: PCI_ERR logged and occurred going to PUNIT', 'msm_global_status_ctrl_reg.peci_err: PCI_ERR logged and sent (maybe) for PECI', 'msm_global_status_ctrl_reg.msm_pmsb_err: Error on PMSB (PCI_ERR logged for PMSB)', 'uncersts_oob.received_an_unsupported_request', 'corerrsts_oob.advisory_non_fatal_error_status', 'msm_global_status_ctrl_reg.pcode_err: PCI_ERR logged and occurred going to PUNIT', 'msm_global_status_ctrl_reg.peci_err: PCI_ERR logged and sent (maybe) for PECI', 'msm_global_status_ctrl_reg.msm_pmsb_err: Error on PMSB (PCI_ERR logged for PMSB)'],['Corrected global error dev2_co_sts from uncore.pi5.pxp0.rp0', 'Non-fatal global error dev3_nf_sts from uncore.pi5.pxp1.rp1'],[],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safe_mode_boot is not 0! This is potentially unsafe electrically/thermally.'],[],[],['mscod: MCE when MCIP bit is set-Error signaled by the core and logged in Ubox. Check the core for more details.', 'mscod: MCE when MCIP bit is set-Error signaled by the core and logged in Ubox. Check the core for more details.', 'Merge Bank5-UPI signaled an MCA to Ubox; Check mc_status of MCA BANKID:5 and  MCA BANK_INDEX:0x4', 'Merge Bank6-Punit signaled an MCA to Ubox; Check mc_status of MCA BANKID:6 and  MCA BANK_INDEX:0x9', 'Merge Bank5-UPI signaled an MCA to Ubox; Check mc_status of MCA BANKID:5 and  MCA BANK_INDEX:0x5', 'Merge Bank6-Punit signaled an MCA to Ubox; Check mc_status of MCA BANKID:6 and  MCA BANK_INDEX:0x0'],[],['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socket0.io0.uncore.hwrs.gpsb.poc_straps.bist_enable is not 1!', '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SW triple fault shutdown-Error signaled by the core and logged in Ubox. Check the core for more details.', '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0', 'Merge Bank5-UPI signaled an MCA to Ubox; Check mc_status of MCA BANKID:5 and  MCA BANK_INDEX:0x1', 'Merge Bank6-Punit signaled an MCA to Ubox; Check mc_status of MCA BANKID:6 and  MCA BANK_INDEX:0x4'],[],['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 'Jumpers J5562 and J5563 set to 1-2 which enables a0_debug_strap. This is not POR and could cause issues with DRNG. Uninstall the jumpers if this is an issue.'],[],[],['mscod: MCE when MCIP bit is set-Error signaled by the core and logged in Ubox. Check the core for more details.', 'Merge Bank6-Punit signaled an MCA to Ubox; Check mc_status of MCA BANKID:6 and  MCA BANK_INDEX:0x4', 'Merge Bank7-CHA0 signaled an MCA to Ubox; Check mc_status of MCA BANKID:7 and  MCA BANK_INDEX:0x2e', 'Merge Bank6-Punit signaled an MCA to Ubox; Check mc_status of MCA BANKID:6 and  MCA BANK_INDEX:0xb', 'Merge Bank7-CHA0 signaled an MCA to Ubox; Check mc_status of MCA BANKID:7 and  MCA BANK_INDEX:0x37'],[],['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 'Merge Bank6-Punit signaled an MCA to Ubox; Check mc_status of MCA BANKID:6 and  MCA BANK_INDEX:0x9', 'Merge Bank7-CHA0 signaled an MCA to Ubox; Check mc_status of MCA BANKID:7 and  MCA BANK_INDEX:0x37', 'Merge Bank6-Punit signaled an MCA to Ubox; Check mc_status of MCA BANKID:6 and  MCA BANK_INDEX:0xb', 'Merge Bank7-CHA0 signaled an MCA to Ubox; Check mc_status of MCA BANKID:7 and  MCA BANK_INDEX:0x3'],[],['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5', 'Merge Bank6-Punit signaled an MCA to Ubox; Check mc_status of MCA BANKID:6 and  MCA BANK_INDEX:0x9', 'Merge Bank5-UPI signaled an MCA to Ubox; Check mc_status of MCA BANKID:5 and  MCA BANK_INDEX:0x4', 'Merge Bank6-Punit signaled an MCA to Ubox; Check mc_status of MCA BANKID:6 and  MCA BANK_INDEX:0xa'],[],['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code sent an invalid response to another pcode during PkgS', 'Pcode sent an invalid response to another pcode during PkgS'],[],[],['socket0.io0.uncore.hwrs.gpsb.poc_straps.bist_enable is not 1!', 'socket1.io0.uncore.hwrs.gpsb.poc_straps.bist_enable is not 1!', 'Jumpers J5562 and J5563 set to 1-2 which enables a0_debug_strap. This is not POR and could cause issues with DRNG. Uninstall the jumpers if this is an issue.'],[],[],['Merge Bank6-Punit signaled an MCA to Ubox; Check mc_status of MCA BANKID:6 and  MCA BANK_INDEX:0x0', 'Merge Bank6-Punit signaled an MCA to Ubox; Check mc_status of MCA BANKID:6 and  MCA BANK_INDEX:0x0'],[],['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4', 'Merge Bank7-CHA0 signaled an MCA to Ubox; Check mc_status of MCA BANKID:7 and  MCA BANK_INDEX:0x10', 'Merge Bank5-UPI signaled an MCA to Ubox; Check mc_status of MCA BANKID:5 and  MCA BANK_INDEX:0x1', 'Merge Bank6-Punit signaled an MCA to Ubox; Check mc_status of MCA BANKID:6 and  MCA BANK_INDEX:0xb'],[],['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quot;mscod: SBO_BL_DATA_PAR_ERR- SCF IP (from SBO {'PORTID': '0x49df', 'source_name': 'compute0:scf_sbo.0.ddimb.0'}) error  SBO_BL_DATA_PAR_ERR signaled to ubox MCA.&quot;, 'Merge Bank5-UPI signaled an MCA to Ubox; Check mc_status of MCA BANKID:5 and  MCA BANK_INDEX:0x1', 'Merge Bank6-Punit signaled an MCA to Ubox; Check mc_status of MCA BANKID:6 and  MCA BANK_INDEX:0x9', 'Merge Bank9-LLC0 signaled an MCA to Ubox; Check mc_status of MCA BANKID:9 and  MCA BANK_INDEX:0x0', 'Merge Bank11-MSE signaled an MCA to Ubox; Check mc_status of MCA BANKID:11 and  MCA BANK_INDEX:0x2', 'Merge Bank5-UPI signaled an MCA to Ubox; Check mc_status of MCA BANKID:5 and  MCA BANK_INDEX:0x1', 'Merge Bank6-Punit signaled an MCA to Ubox; Check mc_status of MCA BANKID:6 and  MCA BANK_INDEX:0x4'],[],['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IOMMU TLB Arbiter is non idle'],[],[&quot;mscod: SBO_BL_DATA_PAR_ERR- SCF IP (from SBO {'PORTID': '0x4a0c', 'source_name': 'compute0:scf_sbo.0.ddimb.5'}) error  SBO_BL_DATA_PAR_ERR signaled to ubox MCA.&quot;, 'Merge Bank5-UPI signaled an MCA to Ubox; Check mc_status of MCA BANKID:5 and  MCA BANK_INDEX:0x1', 'Merge Bank6-Punit signaled an MCA to Ubox; Check mc_status of MCA BANKID:6 and  MCA BANK_INDEX:0xb', 'Merge Bank7-CHA0 signaled an MCA to Ubox; Check mc_status of MCA BANKID:7 and  MCA BANK_INDEX:0x13', 'Merge Bank9-LLC0 signaled an MCA to Ubox; Check mc_status of MCA BANKID:9 and  MCA BANK_INDEX:0xd', 'Merge Bank11-MSE signaled an MCA to Ubox; Check mc_status of MCA BANKID:11 and  MCA BANK_INDEX:0x6', 'Merge Bank5-UPI signaled an MCA to Ubox; Check mc_status of MCA BANKID:5 and  MCA BANK_INDEX:0x1', 'Merge Bank6-Punit signaled an MCA to Ubox; Check mc_status of MCA BANKID:6 and  MCA BANK_INDEX:0x4'],[],['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quot;mscod: SBO_BL_DATA_PAR_ERR- SCF IP (from SBO {'PORTID': '0x4a30', 'source_name': 'compute0:scf_sbo.0.ddimb.9'}) error  SBO_BL_DATA_PAR_ERR signaled to ubox MCA.&quot;, 'Merge Bank5-UPI signaled an MCA to Ubox; Check mc_status of MCA BANKID:5 and  MCA BANK_INDEX:0x1', 'Merge Bank6-Punit signaled an MCA to Ubox; Check mc_status of MCA BANKID:6 and  MCA BANK_INDEX:0x9', 'Merge Bank11-MSE signaled an MCA to Ubox; Check mc_status of MCA BANKID:11 and  MCA BANK_INDEX:0x3', 'Merge Bank5-UPI signaled an MCA to Ubox; Check mc_status of MCA BANKID:5 and  MCA BANK_INDEX:0x1', 'Merge Bank6-Punit signaled an MCA to Ubox; Check mc_status of MCA BANKID:6 and  MCA BANK_INDEX:0x0', 'Merge Bank7-CHA0 signaled an MCA to Ubox; Check mc_status of MCA BANKID:7 and  MCA BANK_INDEX:0x7'],[],['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1.io0.uncore.hwrs.gpsb.poc_straps.bist_enable is not 1!'],[],[],[&quot;mscod: SBO_BL_DATA_PAR_ERR- SCF IP (from SBO {'PORTID': '0x4a03', 'source_name': 'compute0:scf_sbo.0.ddimb.4'}) error  SBO_BL_DATA_PAR_ERR signaled to ubox MCA.&quot;, 'Merge Bank5-UPI signaled an MCA to Ubox; Check mc_status of MCA BANKID:5 and  MCA BANK_INDEX:0x1', 'Merge Bank6-Punit signaled an MCA to Ubox; Check mc_status of MCA BANKID:6 and  MCA BANK_INDEX:0xa', 'Merge Bank5-UPI signaled an MCA to Ubox; Check mc_status of MCA BANKID:5 and  MCA BANK_INDEX:0x1', 'Merge Bank6-Punit signaled an MCA to Ubox; Check mc_status of MCA BANKID:6 and  MCA BANK_INDEX:0x4'],[],['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IOMMU TLB Arbiter is non idle', 'IOMMU TLB Arbiter is non idle'],[],['mscod: MCE when MCIP bit is set-Error signaled by the core and logged in Ubox. Check the core for more details.', 'Merge Bank6-Punit signaled an MCA to Ubox; Check mc_status of MCA BANKID:6 and  MCA BANK_INDEX:0x4', 'Merge Bank7-CHA0 signaled an MCA to Ubox; Check mc_status of MCA BANKID:7 and  MCA BANK_INDEX:0xb', 'Merge Bank6-Punit signaled an MCA to Ubox; Check mc_status of MCA BANKID:6 and  MCA BANK_INDEX:0xb'],[],['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
        <s v="[],['socket1.io0.uncore.hwrs.gpsb.poc_straps.bist_enable is not 1!'],[],[],[],[],['corerrsts_oob.advisory_non_fatal_error_status', 'corerrsts_oob.advisory_non_fatal_error_status', '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oob.advisory_non_fatal_error_status', 'corerrsts_msm.advisory_non_fatal_error_status', 'corerrsts_oob.advisory_non_fatal_error_status', 'msm_mbx_error_sts.mbx_overflow', 'corerrsts_oob.advisory_non_fatal_error_status'],[],[],nan,nan"/>
        <s v="[],['socket0.io0.uncore.hwrs.gpsb.poc_straps.bist_enable is not 1!', 'socket1.io0.uncore.hwrs.gpsb.poc_straps.bist_enable is not 1!', 'Jumpers J5562 and J5563 set to 1-2 which enables a0_debug_strap. This is not POR and could cause issues with DRNG. Uninstall the jumpers if this is an issue.'],[],[],['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 'IOMMU TLB Arbiter is non idle', 'IOMMU TLB Arbiter is non idle', 'IOMMU TLB Arbiter is non idle'],[],['mscod: MCE when MCIP bit is set-Error signaled by the core and logged in Ubox. Check the core for more details.', &quot;mscod: SBO_BL_DATA_PAR_ERR- SCF IP (from SBO {'PORTID': '0x5a6f', 'source_name': 'compute2:scf_sbo.0.ddimb.56'}) error  SBO_BL_DATA_PAR_ERR signaled to ubox MCA.&quot;, 'Merge Bank6-Punit signaled an MCA to Ubox; Check mc_status of MCA BANKID:6 and  MCA BANK_INDEX:0x4', 'Merge Bank7-CHA0 signaled an MCA to Ubox; Check mc_status of MCA BANKID:7 and  MCA BANK_INDEX:0x41', 'Merge Bank6-Punit signaled an MCA to Ubox; Check mc_status of MCA BANKID:6 and  MCA BANK_INDEX:0x4', 'Merge Bank7-CHA0 signaled an MCA to Ubox; Check mc_status of MCA BANKID:7 and  MCA BANK_INDEX:0xa'],[],['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 'IOMMU vtd fault - pfo'],[],['Merge Bank5-UPI signaled an MCA to Ubox; Check mc_status of MCA BANKID:5 and  MCA BANK_INDEX:0x1', 'Merge Bank6-Punit signaled an MCA to Ubox; Check mc_status of MCA BANKID:6 and  MCA BANK_INDEX:0xa', 'Merge Bank7-CHA0 signaled an MCA to Ubox; Check mc_status of MCA BANKID:7 and  MCA BANK_INDEX:0x42', 'Merge Bank5-UPI signaled an MCA to Ubox; Check mc_status of MCA BANKID:5 and  MCA BANK_INDEX:0x1', 'Merge Bank6-Punit signaled an MCA to Ubox; Check mc_status of MCA BANKID:6 and  MCA BANK_INDEX:0x9', 'Merge Bank7-CHA0 signaled an MCA to Ubox; Check mc_status of MCA BANKID:7 and  MCA BANK_INDEX:0x42'],[],['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4', 'Merge Bank7-CHA0 signaled an MCA to Ubox; Check mc_status of MCA BANKID:7 and  MCA BANK_INDEX:0x19', 'Merge Bank5-UPI signaled an MCA to Ubox; Check mc_status of MCA BANKID:5 and  MCA BANK_INDEX:0x1', 'Merge Bank6-Punit signaled an MCA to Ubox; Check mc_status of MCA BANKID:6 and  MCA BANK_INDEX:0x0', 'Merge Bank7-CHA0 signaled an MCA to Ubox; Check mc_status of MCA BANKID:7 and  MCA BANK_INDEX:0x2a', 'LOCK Hard Hang, did not return to idle in 1s'],[],['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 'Jumpers J5562 and J5563 set to 1-2 which enables a0_debug_strap. This is not POR and could cause issues with DRNG. Uninstall the jumpers if this is an issue.'],['IOMMU TLB Arbiter is non idle'],[],[&quot;mscod: SBO_BL_DATA_PAR_ERR- SCF IP (from SBO {'PORTID': '0x5278', 'source_name': 'compute1:scf_sbo.0.ddimb.37'}) error  SBO_BL_DATA_PAR_ERR signaled to ubox MCA.&quot;, 'Merge Bank5-UPI signaled an MCA to Ubox; Check mc_status of MCA BANKID:5 and  MCA BANK_INDEX:0x1', 'Merge Bank6-Punit signaled an MCA to Ubox; Check mc_status of MCA BANKID:6 and  MCA BANK_INDEX:0x0', 'Merge Bank5-UPI signaled an MCA to Ubox; Check mc_status of MCA BANKID:5 and  MCA BANK_INDEX:0x1', 'Merge Bank6-Punit signaled an MCA to Ubox; Check mc_status of MCA BANKID:6 and  MCA BANK_INDEX:0xb'],[],['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scod: LOCK_MASTER_TIMEOUT-Waiting on a remote Ubox to complete, check the remote Ubox MC status', 'Merge Bank5-UPI signaled an MCA to Ubox; Check mc_status of MCA BANKID:5 and  MCA BANK_INDEX:0x1', 'Merge Bank6-Punit signaled an MCA to Ubox; Check mc_status of MCA BANKID:6 and  MCA BANK_INDEX:0x0', 'Merge Bank7-CHA0 signaled an MCA to Ubox; Check mc_status of MCA BANKID:7 and  MCA BANK_INDEX:0x3a', 'Merge Bank5-UPI signaled an MCA to Ubox; Check mc_status of MCA BANKID:5 and  MCA BANK_INDEX:0x1', 'Merge Bank6-Punit signaled an MCA to Ubox; Check mc_status of MCA BANKID:6 and  MCA BANK_INDEX:0x4', 'Merge Bank7-CHA0 signaled an MCA to Ubox; Check mc_status of MCA BANKID:7 and  MCA BANK_INDEX:0x11', 'LOCK Hard Hang, did not return to idle in 1s'],[],['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Corrected global error dev2_co_sts from uncore.pi5.pxp0.rp0', 'Corrected global error dev4_co_sts from uncore.pi5.pxp0.rp2', 'Corrected global error dev2_co_sts from uncore.pi5.pxp0.rp0', 'Corrected global error dev4_co_sts from uncore.pi5.pxp0.rp2', 'Corrected global error dev2_co_sts from uncore.pi5.pxp0.rp0', 'Corrected global error dev1_co_sts from uncore.hiop.hiop3']"/>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 'PRIMECODE_WATCHDOG_TIMER_EXPIRED'],[],[],['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0', 'Merge Bank7-CHA0 signaled an MCA to Ubox; Check mc_status of MCA BANKID:7 and  MCA BANK_INDEX:0x7', 'Merge Bank5-UPI signaled an MCA to Ubox; Check mc_status of MCA BANKID:5 and  MCA BANK_INDEX:0x1', 'Merge Bank6-Punit signaled an MCA to Ubox; Check mc_status of MCA BANKID:6 and  MCA BANK_INDEX:0x0'],[],['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socket1.io0.uncore.hwrs.gpsb.poc_straps.bist_enable is not 1!'],[],[],['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1.io0.uncore.hwrs.gpsb.poc_straps.bist_enable is not 1!'],[],[],['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safe_mode_boot is not 0! This is potentially unsafe electrically/thermally.'],[],[],['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bist_enable is not 1!'],[],[],['mscod: IOMCA error from Global IEH-IOMCA (from BUS=0x0, DEV=0x0, FUNC=0x2) signaled to ubox via global IEH. Check the global and satellite IEHs for more info', 'Merge Bank6-Punit signaled an MCA to Ubox; Check mc_status of MCA BANKID:6 and  MCA BANK_INDEX:0x0'],[],['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safe_mode_boot is not 0! This is potentially unsafe electrically/thermally.'],[],[],['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
        <s v="[],[],['socket1.io0.uncore.hwrs.gpsb.poc_straps.bist_enable is not 1!'],[],[],['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1.io0.uncore.hwrs.gpsb.poc_straps.bist_enable is not 1!'],[],[],['Merge Bank5-UPI signaled an MCA to Ubox; Check mc_status of MCA BANKID:5 and  MCA BANK_INDEX:0x1', 'Merge Bank7-CHA0 signaled an MCA to Ubox; Check mc_status of MCA BANKID:7 and  MCA BANK_INDEX:0x12', 'Merge Bank5-UPI signaled an MCA to Ubox; Check mc_status of MCA BANKID:5 and  MCA BANK_INDEX:0x1', 'Merge Bank7-CHA0 signaled an MCA to Ubox; Check mc_status of MCA BANKID:7 and  MCA BANK_INDEX:0x19'],[],['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1.io0.uncore.hwrs.gpsb.poc_straps.bist_enable is not 1!'],[],[],['mscod: LOCK_MASTER_TIMEOUT-Waiting on local cores to drain, so check if any non-lock request is in the local CHA TORs or core SuperQs', 'Merge Bank5-UPI signaled an MCA to Ubox; Check mc_status of MCA BANKID:5 and  MCA BANK_INDEX:0x1', 'Merge Bank7-CHA0 signaled an MCA to Ubox; Check mc_status of MCA BANKID:7 and  MCA BANK_INDEX:0x0', 'Merge Bank5-UPI signaled an MCA to Ubox; Check mc_status of MCA BANKID:5 and  MCA BANK_INDEX:0x1', 'LOCK Hard Hang, did not return to idle in 1s'],[],['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Corrected global error dev2_co_sts from uncore.pi5.pxp0.rp0'],[]"/>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socket0.io0.uncore.hwrs.gpsb.poc_straps.safe_mode_boot is not 0! This is potentially unsafe electrically/thermally.'],[],[],['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
        <s v="['socket0.io0.uncore.hwrs.gpsb.poc_straps.bist_enable is not 1!', 'socket1.io0.uncore.hwrs.gpsb.poc_straps.bist_enable is not 1!'],[],[],['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nan"/>
        <s v="[],[],['socket1.io0.uncore.hwrs.gpsb.poc_straps.bist_enable is not 1!'],[],[],['Merge Bank6-Punit signaled an MCA to Ubox; Check mc_status of MCA BANKID:6 and  MCA BANK_INDEX:0x0', 'Merge Bank6-Punit signaled an MCA to Ubox; Check mc_status of MCA BANKID:6 and  MCA BANK_INDEX:0x4'],[],['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msm_mbx_error_sts.mbx_overflow',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1.io0.uncore.hwrs.gpsb.poc_straps.bist_enable is not 1!'],['IOMMU TLB Arbiter is non idle', 'IOMMU TLB Arbiter is non idle'],[],['Merge Bank5-UPI signaled an MCA to Ubox; Check mc_status of MCA BANKID:5 and  MCA BANK_INDEX:0x1', 'Merge Bank5-UPI signaled an MCA to Ubox; Check mc_status of MCA BANKID:5 and  MCA BANK_INDEX:0x1'],[],['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corerrsts_oob.advisory_non_fatal_error_status',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safe_mode_boot is not 0! This is potentially unsafe electrically/thermally.'],[],[],['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safe_mode_boot is not 0! This is potentially unsafe electrically/thermally.'],[],[],['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safe_mode_boot is not 0! This is potentially unsafe electrically/thermally.'],[],[],['mscod: MCE when MCIP bit is set-Error signaled by the core and logged in Ubox. Check the core for more details.', 'mscod: MCE when MCIP bit is set-Error signaled by the core and logged in Ubox. Check the core for more details.', 'Merge Bank7-CHA0 signaled an MCA to Ubox; Check mc_status of MCA BANKID:7 and  MCA BANK_INDEX:0x0'],[],['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IOMMU TLB Arbiter is non idle', 'IOMMU TLB Arbiter is non idle', 'IOMMU TLB Arbiter is non idle', 'IOMMU TLB Arbiter is non idle'],[],[&quot;mscod: SBO_AD_CTRL_PAR_ERR- SCF IP (from SBO {'PORTID': '0x5a5d', 'source_name': 'compute2:scf_sbo.0.ddimb.54'}) error  SBO_AD_CTRL_PAR_ERR signaled to ubox MCA.&quot;, 'Merge Bank5-UPI signaled an MCA to Ubox; Check mc_status of MCA BANKID:5 and  MCA BANK_INDEX:0x1', 'Merge Bank5-UPI signaled an MCA to Ubox; Check mc_status of MCA BANKID:5 and  MCA BANK_INDEX:0x1'],[],['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bist_enable is not 1!', 'socket1.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
        <s v="[],['socket0.io0.uncore.hwrs.gpsb.poc_straps.bist_enable is not 1!', 'socket1.io0.uncore.hwrs.gpsb.poc_straps.bist_enable is not 1!'],[],[],['corerrsts_oob.advisory_non_fatal_error_status', 'corerrsts_oob.advisory_non_fatal_error_status', '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bist_enable is not 1!', 'socket1.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uncersts_msm.received_an_unsupported_request: OOBMSM recieved an unsupported request', 'corerrsts_msm.advisory_non_fatal_error_status',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uncersts_msm.received_an_unsupported_request: OOBMSM recieved an unsupported request', 'corerrsts_msm.advisory_non_fatal_error_status',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
        <s v="[],['socket0.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safe_mode_boot is not 0! This is potentially unsafe electrically/thermally.'],[],[],['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
        <s v="[],[],['socket0.io0.uncore.hwrs.gpsb.poc_straps.bist_enable is not 1!'],[],[],['Merge Bank6-Punit signaled an MCA to Ubox; Check mc_status of MCA BANKID:6 and  MCA BANK_INDEX:0x0', 'Merge Bank6-Punit signaled an MCA to Ubox; Check mc_status of MCA BANKID:6 and  MCA BANK_INDEX:0x0'],[],['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msm.advisory_non_fatal_error_status', 'corerrsts_oob.advisory_non_fatal_error_status', 'msm_mbx_error_sts.mbx_overflow',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nan"/>
        <s v="[],[],['socket0.io0.uncore.hwrs.gpsb.poc_straps.bist_enable is not 1!'],[],[],['Merge Bank6-Punit signaled an MCA to Ubox; Check mc_status of MCA BANKID:6 and  MCA BANK_INDEX:0x0', 'Merge Bank6-Punit signaled an MCA to Ubox; Check mc_status of MCA BANKID:6 and  MCA BANK_INDEX:0x0'],[],['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uncorecrashlog_ctrl.haderror: Crashlog collection flow for Un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nan"/>
        <s v="[],['socket0.io0.uncore.hwrs.gpsb.poc_straps.safe_mode_boot is not 0! This is potentially unsafe electrically/thermally.'],[],[],['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
        <s v="[],['socket0.io0.uncore.hwrs.gpsb.poc_straps.safe_mode_boot is not 0! This is potentially unsafe electrically/thermally.'],[],[],['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safe_mode_boot is not 0! This is potentially unsafe electrically/thermally.'],[],[],['corerrsts_oob.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 'Merge Bank7-CHA0 signaled an MCA to Ubox; Check mc_status of MCA BANKID:7 and  MCA BANK_INDEX:0x4'],[],['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eci_err: PCI_ERR logged and sent (maybe) for PECI', 'msm_global_status_ctrl_reg.msm_prim_err: MSM Failed to communicate on primary ({PCI_ERR logged for Primary host and peci)',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 'socket1.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nan,nan,nan,nan,nan"/>
        <s v="['socket0.io0.uncore.hwrs.gpsb.poc_straps.bist_enable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nan,nan,nan,nan,nan"/>
        <s v="[],['socket0.io0.uncore.hwrs.gpsb.poc_straps.bist_enable is not 1!', 'socket1.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bist_enable is not 1!', 'Jumpers J5562 and J5563 set to 1-2 which enables a0_debug_strap. This is not POR and could cause issues with DRNG. Uninstall the jumpers if this is an issue.'],[],[],['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
        <s v="[],['socket0.io0.uncore.hwrs.gpsb.poc_straps.bist_enable is not 1!', 'socket1.io0.uncore.hwrs.gpsb.poc_straps.bist_enable is not 1!'],[],[],['corerrsts_oob.advisory_non_fatal_error_status', 'corerrsts_oob.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bist_enable is not 1!', 'socket1.io0.uncore.hwrs.gpsb.poc_straps.bist_enable is not 1!'],[],[],['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bist_enable is not 1!', 'socket1.io0.uncore.hwrs.gpsb.poc_straps.bist_enable is not 1!'],[],[],['Merge Bank6-Punit signaled an MCA to Ubox; Check mc_status of MCA BANKID:6 and  MCA BANK_INDEX:0x0'],[],['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 'corerrsts_msm.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0', 'Merge Bank5-UPI signaled an MCA to Ubox; Check mc_status of MCA BANKID:5 and  MCA BANK_INDEX:0x1'],[],['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Merge Bank6-Punit signaled an MCA to Ubox; Check mc_status of MCA BANKID:6 and  MCA BANK_INDEX:0x9'],[],['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bist_enable is not 1!', 'socket1.io0.uncore.hwrs.gpsb.poc_straps.bist_enable is not 1!'],[],[],['Merge Bank7-CHA0 signaled an MCA to Ubox; Check mc_status of MCA BANKID:7 and  MCA BANK_INDEX:0x32'],[],['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
        <s v="[],[],[],[],['corerrsts_msm.advisory_non_fatal_error_status'],[],[],nan,nan,nan,nan"/>
        <s v="[],['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 'Merge Bank7-CHA0 signaled an MCA to Ubox; Check mc_status of MCA BANKID:7 and  MCA BANK_INDEX:0x1c', 'Merge Bank7-CHA0 signaled an MCA to Ubox; Check mc_status of MCA BANKID:7 and  MCA BANK_INDEX:0x27', 'LOCK Hard Hang, did not return to idle in 1s'],[],['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 '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b', 'Merge Bank5-UPI signaled an MCA to Ubox; Check mc_status of MCA BANKID:5 and  MCA BANK_INDEX:0x1'],[],['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scod: MCE when MCIP bit is set-Error signaled by the core and logged in Ubox. Check the core for more details.', 'Merge Bank5-UPI signaled an MCA to Ubox; Check mc_status of MCA BANKID:5 and  MCA BANK_INDEX:0x1', 'Merge Bank6-Punit signaled an MCA to Ubox; Check mc_status of MCA BANKID:6 and  MCA BANK_INDEX:0xb', 'Merge Bank5-UPI signaled an MCA to Ubox; Check mc_status of MCA BANKID:5 and  MCA BANK_INDEX:0x1'],[],['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PMSB does not respond within timeout value'],[],[],['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9', 'Merge Bank5-UPI signaled an MCA to Ubox; Check mc_status of MCA BANKID:5 and  MCA BANK_INDEX:0x1'],[],['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9', 'Merge Bank5-UPI signaled an MCA to Ubox; Check mc_status of MCA BANKID:5 and  MCA BANK_INDEX:0x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a', 'Merge Bank5-UPI signaled an MCA to Ubox; Check mc_status of MCA BANKID:5 and  MCA BANK_INDEX:0x1'],[],['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scod: MCE when MCIP bit is set-Error signaled by the core and logged in Ubox. Check the core for more details.', 'Merge Bank5-UPI signaled an MCA to Ubox; Check mc_status of MCA BANKID:5 and  MCA BANK_INDEX:0x1', 'Merge Bank5-UPI signaled an MCA to Ubox; Check mc_status of MCA BANKID:5 and  MCA BANK_INDEX:0x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Merge Bank6-Punit signaled an MCA to Ubox; Check mc_status of MCA BANKID:6 and  MCA BANK_INDEX:0x9'],[],['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
        <s v="[],['socket0.io0.uncore.hwrs.gpsb.poc_straps.bist_enable is not 1!', 'socket1.io0.uncore.hwrs.gpsb.poc_straps.bist_enable is not 1!'],[],[],['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Merge Bank5-UPI signaled an MCA to Ubox; Check mc_status of MCA BANKID:5 and  MCA BANK_INDEX:0x1', 'Merge Bank6-Punit signaled an MCA to Ubox; Check mc_status of MCA BANKID:6 and  MCA BANK_INDEX:0x9', 'Merge Bank5-UPI signaled an MCA to Ubox; Check mc_status of MCA BANKID:5 and  MCA BANK_INDEX:0x1'],[],['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socket0.io0.uncore.hwrs.gpsb.poc_straps.txt_plten is not 1!', 'socket1.io0.uncore.hwrs.gpsb.poc_straps.txt_plten is not 1!'],[],[],['mscod: MCE when MCIP bit is set-Error signaled by the core and logged in Ubox. Check the core for more details.', 'mscod: MCE when MCIP bit is set-Error signaled by the core and logged in Ubox. Check the core for more details.', 'Merge Bank7-CHA0 signaled an MCA to Ubox; Check mc_status of MCA BANKID:7 and  MCA BANK_INDEX:0x14'],[],['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
        <s v="[],['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 'Merge Bank6-Punit signaled an MCA to Ubox; Check mc_status of MCA BANKID:6 and  MCA BANK_INDEX:0xa'],[],['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IOMMU TLB Arbiter is non idle'],[],[],[],['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 '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socket0.io0.uncore.hwrs.gpsb.poc_straps.safe_mode_boot is not 0! This is potentially unsafe electrically/thermally.', 'socket0.io0.uncore.hwrs.gpsb.poc_straps.txt_plten is not 1!', 'socket1.io0.uncore.hwrs.gpsb.poc_straps.txt_plten is not 1!'],[],[],['mscod: MCE when MCIP bit is set-Error signaled by the core and logged in Ubox. Check the core for more details.', 'Merge Bank6-Punit signaled an MCA to Ubox; Check mc_status of MCA BANKID:6 and  MCA BANK_INDEX:0xb'],[],['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
        <s v="[],['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nan"/>
        <s v="[],['socket0.io0.uncore.hwrs.gpsb.poc_straps.txt_plten is not 1!', 'socket1.io0.uncore.hwrs.gpsb.poc_straps.txt_plten is not 1!'],[],[],['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nan"/>
        <s v="[],['socket0.io0.uncore.hwrs.gpsb.poc_straps.bist_enable is not 1!', 'socket1.io0.uncore.hwrs.gpsb.poc_straps.bist_enable is not 1!'],[],[],['mscod: MCE when MCIP bit is set-Error signaled by the core and logged in Ubox. Check the core for more details.', 'mscod: MCE when MCIP bit is set-Error signaled by the core and logged in Ubox. Check the core for more details.'],[],['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nan"/>
        <s v="[],['socket0.io0.uncore.hwrs.gpsb.poc_straps.bist_enable is not 1!', 'socket1.io0.uncore.hwrs.gpsb.poc_straps.bist_enable is not 1!'],[],[],['Merge Bank7-CHA0 signaled an MCA to Ubox; Check mc_status of MCA BANKID:7 and  MCA BANK_INDEX:0x20', 'Merge Bank12-B2CMI signaled an MCA to Ubox; Check mc_status of MCA BANKID:12 and  MCA BANK_INDEX:0x2', 'Merge Bank7-CHA0 signaled an MCA to Ubox; Check mc_status of MCA BANKID:7 and  MCA BANK_INDEX:0x1e'],[],['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 'socket1.io0.uncore.hwrs.gpsb.poc_straps.bist_enable is not 1!'],[],[],['Merge Bank6-Punit signaled an MCA to Ubox; Check mc_status of MCA BANKID:6 and  MCA BANK_INDEX:0x9'],[],['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6-Punit signaled an MCA to Ubox; Check mc_status of MCA BANKID:6 and  MCA BANK_INDEX:0x9'],[],['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
        <s v="[],['socket0.io0.uncore.hwrs.gpsb.poc_straps.bist_enable is not 1!', 'socket1.io0.uncore.hwrs.gpsb.poc_straps.bist_enable is not 1!'],['IOMMU TLB Arbiter is non idle'],[],['Merge Bank7-CHA0 signaled an MCA to Ubox; Check mc_status of MCA BANKID:7 and  MCA BANK_INDEX:0x20', 'Merge Bank7-CHA0 signaled an MCA to Ubox; Check mc_status of MCA BANKID:7 and  MCA BANK_INDEX:0x20'],[],['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ither an S3M HW error, S3M FW error, or ISCLK FuSa error'],[],[],['socket0.io0.uncore.hwrs.gpsb.poc_straps.bist_enable is not 1!', 'socket1.io0.uncore.hwrs.gpsb.poc_straps.bist_enable is not 1!'],[],[],['Merge Bank5-UPI signaled an MCA to Ubox; Check mc_status of MCA BANKID:5 and  MCA BANK_INDEX:0x1', 'Merge Bank6-Punit signaled an MCA to Ubox; Check mc_status of MCA BANKID:6 and  MCA BANK_INDEX:0x0', 'Merge Bank5-UPI signaled an MCA to Ubox; Check mc_status of MCA BANKID:5 and  MCA BANK_INDEX:0x1'],[],['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nan,nan,nan"/>
        <s v="[],[],['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mscod: MCE when MCIP bit is set-Error signaled by the core and logged in Ubox. Check the core for more details.', 'Merge Bank6-Punit signaled an MCA to Ubox; Check mc_status of MCA BANKID:6 and  MCA BANK_INDEX:0x0'],[],['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global_viral: Global Viral Crashlog Trigger along with IERR assertion from PUNIT',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
        <s v="[],['socket0.io0.uncore.hwrs.gpsb.poc_straps.txt_agent has the unexpected value of 0x0', 'socket0.io0.uncore.hwrs.gpsb.poc_straps.txt_plten is not 1!', 'socket1.io0.uncore.hwrs.gpsb.poc_straps.txt_plten is not 1!'],[],[],['corerrsts_msm.advisory_non_fatal_error_status', 'corerrsts_oob.advisory_non_fatal_error_status', 'msm_mbx_error_sts.mbx_overflow', 'corerrsts_msm.advisory_non_fatal_error_status', 'corerrsts_oob.advisory_non_fatal_error_status', 'msm_mbx_error_sts.mbx_overflow'],[],[],nan,nan,nan,nan"/>
        <s v="['socket0.io0.uncore.hwrs.gpsb.poc_straps.txt_agent has the unexpected value of 0x0', 'socket0.io0.uncore.hwrs.gpsb.poc_straps.txt_plten is not 1!', 'socket1.io0.uncore.hwrs.gpsb.poc_straps.txt_plten is not 1!'],[],[],['corerrsts_oob.advisory_non_fatal_error_status', 'msm_mbx_error_sts.mbx_general_error', 'corerrsts_oob.advisory_non_fatal_error_status', 'msm_mbx_error_sts.mbx_general_error', 'msm_mbx_error_sts.mbx_general_error', 'corerrsts_oob.advisory_non_fatal_error_status', 'msm_mbx_error_sts.mbx_general_error', 'corerrsts_oob.advisory_non_fatal_error_status', 'msm_mbx_error_sts.mbx_general_error', 'msm_mbx_error_sts.mbx_general_error',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nan"/>
        <s v="['socket0.io0.uncore.hwrs.gpsb.poc_straps.txt_agent has the unexpected value of 0x0', 'socket0.io0.uncore.hwrs.gpsb.poc_straps.txt_plten is not 1!', 'socket1.io0.uncore.hwrs.gpsb.poc_straps.txt_plten is not 1!'],[],[],['corerrsts_oob.advisory_non_fatal_error_status', 'corerrsts_oob.advisory_non_fatal_error_status', 'corerrsts_oob.advisory_non_fatal_error_status', 'corerrsts_oob.advisory_non_fatal_error_status', 'corerrsts_oob.advisory_non_fatal_error_status', 'corerrsts_oob.advisory_non_fatal_error_status', 'corerrsts_msm.advisory_non_fatal_error_status', 'corerrsts_oob.advisory_non_fatal_error_status', 'corerrsts_msm.advisory_non_fatal_error_status', 'corerrsts_oob.advisory_non_fatal_error_status'],[],[],nan,nan,nan,nan,nan"/>
        <s v="['socket0.io0.uncore.hwrs.gpsb.poc_straps.txt_agent has the unexpected value of 0x0', 'socket0.io0.uncore.hwrs.gpsb.poc_straps.txt_plten is not 1!', 'socket1.io0.uncore.hwrs.gpsb.poc_straps.txt_plten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oob.advisory_non_fatal_error_status'],[],[],nan,nan,nan,nan,nan"/>
        <s v="[],['socket0.io0.uncore.hwrs.gpsb.poc_straps.txt_agent has the unexpected value of 0x0', 'socket0.io0.uncore.hwrs.gpsb.poc_straps.txt_plten is not 1!', 'socket1.io0.uncore.hwrs.gpsb.poc_straps.txt_plten is not 1!'],[],[],['msm_mbx_error_sts.mbx_general_error', 'msm_mbx_error_sts.mbx_general_error', 'msm_mbx_error_sts.mbx_general_error', 'msm_mbx_error_sts.mbx_general_error', 'msm_mbx_error_sts.mbx_general_error', 'msm_mbx_error_sts.mbx_general_error',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msm_mbx_error_sts.mbx_general_error',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msm_mbx_error_sts.mbx_general_error'],[],[],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txt_agent has the unexpected value of 0x0', 'socket0.io0.uncore.hwrs.gpsb.poc_straps.txt_plten is not 1!', 'socket1.io0.uncore.hwrs.gpsb.poc_straps.txt_plten is not 1!'],[],[],['mscod: MCE when MCIP bit is set-Error signaled by the core and logged in Ubox. Check the core for more details.', 'Merge Bank5-UPI signaled an MCA to Ubox; Check mc_status of MCA BANKID:5 and  MCA BANK_INDEX:0x1', 'Merge Bank5-UPI signaled an MCA to Ubox; Check mc_status of MCA BANKID:5 and  MCA BANK_INDEX:0x1'],[],['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nan"/>
        <s v="[],['socket0.io0.uncore.hwrs.gpsb.poc_straps.txt_agent has the unexpected value of 0x0', 'socket0.io0.uncore.hwrs.gpsb.poc_straps.txt_plten is not 1!', 'socket1.io0.uncore.hwrs.gpsb.poc_straps.txt_plten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0.io0.uncore.hwrs.gpsb.poc_straps.safe_mode_boot is not 0! This is potentially unsafe electrically/thermally.'],[],[],['Merge Bank6-Punit signaled an MCA to Ubox; Check mc_status of MCA BANKID:6 and  MCA BANK_INDEX:0x9'],[],['msm_mbx_error_sts.mbx_timeout', 'msm_global_status_ctrl_reg.global_viral: Global Viral Crashlog Trigger along with IERR assertion from PUNIT', 'msm_global_status_ctrl_reg.ierr: oobmsm saw that CPU has logged an ierr', 'msm_mbx_error_sts.mbx_timeout', 'msm_global_status_ctrl_reg.global_viral: Global Viral Crashlog Trigger along with IERR assertion from PUNIT', 'msm_global_status_ctrl_reg.ierr: oobmsm saw that CPU has logged an ierr', 'msm_mbx_error_sts.mbx_timeout',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corerrsts_oob.advisory_non_fatal_error_status', 'msm_mbx_error_sts.mbx_timeout',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nan"/>
        <s v="['socket0.io0.uncore.hwrs.gpsb.poc_straps.txt_agent has the unexpected value of 0x0', 'socket0.io0.uncore.hwrs.gpsb.poc_straps.txt_plten is not 1!', 'socket1.io0.uncore.hwrs.gpsb.poc_straps.txt_plten is not 1!'],[],[],['mscod: MCE under WFS-Error signaled by the core and logged in Ubox. Check the core for more details.', 'mscod: MCE under WFS-Error signaled by the core and logged in Ubox. Check the core for more details.', 'Merge Bank6-Punit signaled an MCA to Ubox; Check mc_status of MCA BANKID:6 and  MCA BANK_INDEX:0x0'],[],['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corerrsts_oob.advisory_non_fatal_error_status', 'msm_global_status_ctrl_reg.global_viral: Global Viral Crashlog Trigger along with IERR assertion from PUNIT', 'corerrsts_oob.advisory_non_fatal_error_status', 'msm_global_status_ctrl_reg.global_viral: Global Viral Crashlog Trigger along with IERR assertion from PUNIT',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oob.advisory_non_fatal_error_status',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nan,nan,nan,nan"/>
        <s v="[],['socket0.io0.uncore.hwrs.gpsb.poc_straps.safe_mode_boot is not 0! This is potentially unsafe electrically/thermally.', 'socket0.io0.uncore.hwrs.gpsb.poc_straps.txt_agent has the unexpected value of 0x0', 'socket0.io0.uncore.hwrs.gpsb.poc_straps.txt_plten is not 1!', 'socket1.io0.uncore.hwrs.gpsb.poc_straps.txt_plten is not 1!'],[],[],['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torcrashlog_ctrl.haderror: Crashlog collection flow for ToR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nan,nan,nan,nan"/>
        <s v="['socket0.io0.uncore.hwrs.gpsb.poc_straps.txt_agent has the unexpected value of 0x0', 'socket0.io0.uncore.hwrs.gpsb.poc_straps.txt_plten is not 1!', 'socket1.io0.uncore.hwrs.gpsb.poc_straps.txt_plten is not 1!'],[],[],['corerrsts_oob.advisory_non_fatal_error_status', 'corerrsts_oob.advisory_non_fatal_error_status',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uncersts_oob.received_an_unsupported_request',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nan"/>
        <s v="['socket0.io0.uncore.hwrs.gpsb.poc_straps.txt_agent has the unexpected value of 0x0', 'socket0.io0.uncore.hwrs.gpsb.poc_straps.txt_plten is not 1!', 'socket1.io0.uncore.hwrs.gpsb.poc_straps.txt_plten is not 1!'],[],[],['mscod: MCE when MCIP bit is set-Error signaled by the core and logged in Ubox. Check the core for more details.', 'mscod: MCE when MCIP bit is set-Error signaled by the core and logged in Ubox. Check the core for more details.'],[],['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uncersts_msm.received_an_unsupported_request: OOBMSM recieved an unsupported request', 'corerrsts_msm.advisory_non_fatal_error_status', 'uncersts_oob.received_an_unsupported_request',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mbx_error_sts.mbx_general_error', 'msm_global_status_ctrl_reg.global_viral: Global Viral Crashlog Trigger along with IERR assertion from PUNIT', 'msm_global_status_ctrl_reg.general_mca: oobmsm saw that CPU has logged an MCA', 'msm_global_status_ctrl_reg.ierr: oobmsm saw that CPU has logged an ierr'],[],[],nan,nan,nan"/>
        <s v="[],['socket0.io0.uncore.hwrs.gpsb.poc_straps.txt_agent has the unexpected value of 0x0', 'socket0.io0.uncore.hwrs.gpsb.poc_straps.txt_plten is not 1!', 'socket1.io0.uncore.hwrs.gpsb.poc_straps.txt_plten is not 1!'],[],[],['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
        <s v="['socket0.io0.uncore.hwrs.gpsb.poc_straps.txt_agent has the unexpected value of 0x0', 'socket0.io0.uncore.hwrs.gpsb.poc_straps.txt_plten is not 1!', 'socket1.io0.uncore.hwrs.gpsb.poc_straps.txt_plten is not 1!'],[],[],['corerrsts_oob.advisory_non_fatal_error_status', 'corerrsts_oob.advisory_non_fatal_error_status', 'corerrsts_oob.advisory_non_fatal_error_status', 'corerrsts_oob.advisory_non_fatal_error_status', 'corerrsts_msm.advisory_non_fatal_error_status', 'corerrsts_oob.advisory_non_fatal_error_status', 'msm_mbx_error_sts.mbx_overflow', 'corerrsts_msm.advisory_non_fatal_error_status', 'corerrsts_oob.advisory_non_fatal_error_status', 'msm_mbx_error_sts.mbx_overflow'],[],[],nan,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EDS) GPSB does not respond within timeout value'],[],[],['socket0.io0.uncore.hwrs.gpsb.poc_straps.txt_agent has the unexpected value of 0x0', 'socket0.io0.uncore.hwrs.gpsb.poc_straps.txt_plten is not 1!', 'socket1.io0.uncore.hwrs.gpsb.poc_straps.txt_plten is not 1!'],[],[],['Merge Bank5-UPI signaled an MCA to Ubox; Check mc_status of MCA BANKID:5 and  MCA BANK_INDEX:0x1', 'Merge Bank7-CHA0 signaled an MCA to Ubox; Check mc_status of MCA BANKID:7 and  MCA BANK_INDEX:0x78', 'Merge Bank5-UPI signaled an MCA to Ubox; Check mc_status of MCA BANKID:5 and  MCA BANK_INDEX:0x1', 'Merge Bank6-Punit signaled an MCA to Ubox; Check mc_status of MCA BANKID:6 and  MCA BANK_INDEX:0x0', 'Merge Bank7-CHA0 signaled an MCA to Ubox; Check mc_status of MCA BANKID:7 and  MCA BANK_INDEX:0x19'],[],['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global_viral: Global Viral Crashlog Trigger along with IERR assertion from PUNIT',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lobal_viral: Global Viral Crashlog Trigger along with IERR assertion from PUNIT', 'msm_global_status_ctrl_reg.ierr: oobmsm saw that CPU has logged an ierr'],[]"/>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IOMMU TLB Arbiter is non idle'],[],['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pcode_err: PCI_ERR logged and occurred going to PUNIT', 'msm_global_status_ctrl_reg.peci_err: PCI_ERR logged and sent (maybe) for PECI', 'msm_global_status_ctrl_reg.msm_pmsb_err: Error on PMSB (PCI_ERR logged for PMSB)',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mbx_error_sts.mbx_overflow',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
        <s v="[],['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corerrsts_oob.advisory_non_fatal_error_status', '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nan,nan,nan,nan"/>
        <s v="[],['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corerrsts_oob.advisory_non_fatal_error_status',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mbx_error_sts.mbx_overflow', 'msm_global_status_ctrl_reg.pcode_err: PCI_ERR logged and occurred going to PUNIT', 'msm_global_status_ctrl_reg.peci_err: PCI_ERR logged and sent (maybe) for PECI', 'msm_global_status_ctrl_reg.msm_pmsb_err: Error on PMSB (PCI_ERR logged for PMSB)'],[],[],nan,nan,nan,nan"/>
        <s v="[],['socket1.io0.uncore.hwrs.gpsb.poc_straps.bist_enable is not 1!'],[],[],['corerrsts_msm.advisory_non_fatal_error_status', 'corerrsts_oob.advisory_non_fatal_error_status', 'corerrsts_msm.advisory_non_fatal_error_status', 'corerrsts_oob.advisory_non_fatal_error_status'],[],[],nan,nan,nan,nan"/>
        <s v="[],['socket0.io0.uncore.hwrs.gpsb.poc_straps.bist_enable is not 1!', 'socket0.io0.uncore.hwrs.gpsb.poc_straps.txt_agent has the unexpected value of 0x0', 'socket0.io0.uncore.hwrs.gpsb.poc_straps.txt_plten is not 1!', 'socket1.io0.uncore.hwrs.gpsb.poc_straps.bist_enable is not 1!', 'socket1.io0.uncore.hwrs.gpsb.poc_straps.txt_plten is not 1!'],[],[],['corerrsts_msm.advisory_non_fatal_error_status', 'corerrsts_oob.advisory_non_fatal_error_status', 'msm_mbx_error_sts.mbx_overflow', 'corerrsts_msm.advisory_non_fatal_error_status', 'corerrsts_oob.advisory_non_fatal_error_status', 'msm_mbx_error_sts.mbx_overflow'],[],[],nan,nan,nan,nan"/>
        <s v="[],['socket0.io0.uncore.hwrs.gpsb.poc_straps.safe_mode_boot is not 0! This is potentially unsafe electrically/thermally.'],[],[],['msm_mbx_error_sts.mbx_timeout', 'msm_global_status_ctrl_reg.global_viral: Global Viral Crashlog Trigger along with IERR assertion from PUNIT', 'msm_global_status_ctrl_reg.general_mca: oobmsm saw that CPU has logged an MCA', 'msm_global_status_ctrl_reg.ierr: oobmsm saw that CPU has logged an ierr', 'msm_mbx_error_sts.mbx_timeout', 'msm_global_status_ctrl_reg.global_viral: Global Viral Crashlog Trigger along with IERR assertion from PUNIT', 'msm_global_status_ctrl_reg.general_mca: oobmsm saw that CPU has logged an MCA', 'msm_global_status_ctrl_reg.ierr: oobmsm saw that CPU has logged an ierr', 'corerrsts_oob.advisory_non_fatal_error_status',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oob.advisory_non_fatal_error_status', 'msm_mbx_error_sts.mbx_timeout', 'msm_global_status_ctrl_reg.global_viral: Global Viral Crashlog Trigger along with IERR assertion from PUNIT', 'msm_global_status_ctrl_reg.general_mca: oobmsm saw that CPU has logged an MCA', 'msm_global_status_ctrl_reg.ierr: oobmsm saw that CPU has logged an ierr', 'msm_mbx_error_sts.mbx_timeout', 'msm_global_status_ctrl_reg.global_viral: Global Viral Crashlog Trigger along with IERR assertion from PUNIT', 'msm_global_status_ctrl_reg.general_mca: oobmsm saw that CPU has logged an MCA', 'msm_global_status_ctrl_reg.ierr: oobmsm saw that CPU has logged an ierr', 'msm_corecrashlog_ctrl.haderror: Crashlog collection flow for Core Crashlog record had an error', 'msm_global_status_ctrl_reg.global_viral: Global Viral Crashlog Trigger along with IERR assertion from PUNIT', 'msm_global_status_ctrl_reg.crashlog_err: error occurred during the automated CrashLog flow', 'msm_global_status_ctrl_reg.general_mca: oobmsm saw that CPU has logged an MCA',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 'corerrsts_msm.advisory_non_fatal_error_status', 'corerrsts_oob.advisory_non_fatal_error_status', 'msm_global_status_ctrl_reg.global_viral: Global Viral Crashlog Trigger along with IERR assertion from PUNIT', 'msm_global_status_ctrl_reg.general_mca: oobmsm saw that CPU has logged an MCA', 'msm_global_status_ctrl_reg.ierr: oobmsm saw that CPU has logged an ierr', 'msm_global_status_ctrl_reg.global_viral: Global Viral Crashlog Trigger along with IERR assertion from PUNIT', 'msm_global_status_ctrl_reg.general_mca: oobmsm saw that CPU has logged an MCA', 'msm_global_status_ctrl_reg.ierr: oobmsm saw that CPU has logged an ierr'],[],[],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Dispatcher busy beyond timeout'],[],[],['socket0.io0.uncore.hwrs.gpsb.poc_straps.bist_enable is not 1!', 'socket1.io0.uncore.hwrs.gpsb.poc_straps.bist_enable is not 1!'],[],[],['Merge Bank5-UPI signaled an MCA to Ubox; Check mc_status of MCA BANKID:5 and  MCA BANK_INDEX:0x1', 'Merge Bank5-UPI signaled an MCA to Ubox; Check mc_status of MCA BANKID:5 and  MCA BANK_INDEX:0x1', 'Merge Bank6-Punit signaled an MCA to Ubox; Check mc_status of MCA BANKID:6 and  MCA BANK_INDEX:0xa'],[],['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corerrsts_msm.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 'msm_global_status_ctrl_reg.global_viral: Global Viral Crashlog Trigger along with IERR assertion from PUNIT', 'msm_global_status_ctrl_reg.ierr: oobmsm saw that CPU has logged an ierr', 'msm_global_status_ctrl_reg.global_viral: Global Viral Crashlog Trigger along with IERR assertion from PUNIT', 'msm_global_status_ctrl_reg.ierr: oobmsm saw that CPU has logged an ierr'],[]"/>
        <s v="['socket0.io0.uncore.hwrs.gpsb.poc_straps.bist_enable is not 1!', 'socket1.io0.uncore.hwrs.gpsb.poc_straps.bist_enable is not 1!'],[],[],['corerrsts_msm.advisory_non_fatal_error_status', 'corerrsts_oob.advisory_non_fatal_error_status', 'msm_global_status_ctrl_reg.pcode_err: PCI_ERR logged and occurred going to PUNIT', 'msm_global_status_ctrl_reg.peci_err: PCI_ERR logged and sent (maybe) for PECI', 'msm_global_status_ctrl_reg.msm_pmsb_err: Error on PMSB (PCI_ERR logged for PMSB)', 'corerrsts_msm.advisory_non_fatal_error_status', 'corerrsts_oob.advisory_non_fatal_error_status'],[],[],nan,nan,nan,nan,nan"/>
        <s v="['socket0.io0.uncore.hwrs.gpsb.poc_straps.bist_enable is not 1!', 'socket1.io0.uncore.hwrs.gpsb.poc_straps.bist_enable is not 1!'],[],[],['corerrsts_msm.advisory_non_fatal_error_status', 'corerrsts_oob.advisory_non_fatal_error_status', 'corerrsts_msm.advisory_non_fatal_error_status', 'corerrsts_oob.advisory_non_fatal_error_status'],[],[],nan,nan,nan,nan,nan"/>
        <s v="['mismatch on Tx/Rx flits (this may be ok if traffic was inflight at the time of the capture)', 'mismatch on Tx/Rx flits (this may be ok if traffic was inflight at the time of the capture)', 'mismatch on Tx/Rx flits (this may be ok if traffic was inflight at the time of the capture)', 'mismatch on Tx/Rx flits (this may be ok if traffic was inflight at the time of the capture)'],[],['socket0.io0.uncore.hwrs.gpsb.poc_straps.bist_enable is not 1!', 'socket1.io0.uncore.hwrs.gpsb.poc_straps.bist_enable is not 1!'],[],[],['corerrsts_msm.advisory_non_fatal_error_status', 'corerrsts_oob.advisory_non_fatal_error_status', 'corerrsts_msm.advisory_non_fatal_error_status', 'corerrsts_oob.advisory_non_fatal_error_status'],[],[],nan,nan,nan"/>
        <s v="['socket0.io0.uncore.hwrs.gpsb.poc_straps.bist_enable is not 1!', 'socket0.io0.uncore.hwrs.gpsb.poc_straps.txt_plten is not 1!', 'socket1.io0.uncore.hwrs.gpsb.poc_straps.bist_enable is not 1!', 'socket1.io0.uncore.hwrs.gpsb.poc_straps.txt_plten is not 1!'],[],[],['corerrsts_oob.advisory_non_fatal_error_status', 'corerrsts_oob.advisory_non_fatal_error_status', 'corerrsts_msm.advisory_non_fatal_error_status', 'corerrsts_oob.advisory_non_fatal_error_status', 'corerrsts_msm.advisory_non_fatal_error_status', 'corerrsts_oob.advisory_non_fatal_error_status'],[],[],nan,nan,nan,nan,nan"/>
        <m/>
      </sharedItems>
    </cacheField>
    <cacheField name="kmeans_LocallyLinearEmbedding_BERT11" numFmtId="0">
      <sharedItems containsString="0" containsBlank="1" containsNumber="1" containsInteger="1" minValue="0" maxValue="20"/>
    </cacheField>
    <cacheField name="agglomerativeClustering_LocallyLinearEmbedding_BERT11" numFmtId="0">
      <sharedItems containsString="0" containsBlank="1" containsNumber="1" containsInteger="1" minValue="0" maxValue="20" count="22">
        <n v="18"/>
        <n v="15"/>
        <n v="11"/>
        <n v="0"/>
        <n v="16"/>
        <n v="2"/>
        <n v="8"/>
        <n v="5"/>
        <n v="3"/>
        <n v="13"/>
        <n v="20"/>
        <n v="6"/>
        <n v="10"/>
        <n v="9"/>
        <n v="7"/>
        <n v="1"/>
        <n v="4"/>
        <n v="14"/>
        <n v="12"/>
        <n v="17"/>
        <n v="19"/>
        <m/>
      </sharedItems>
    </cacheField>
    <cacheField name="kmeans_SpectralEmbedding_BERT4" numFmtId="0">
      <sharedItems containsString="0" containsBlank="1" containsNumber="1" containsInteg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2">
  <r>
    <x v="0"/>
    <x v="0"/>
    <n v="15"/>
    <x v="0"/>
    <n v="2"/>
  </r>
  <r>
    <x v="0"/>
    <x v="1"/>
    <n v="19"/>
    <x v="1"/>
    <n v="2"/>
  </r>
  <r>
    <x v="1"/>
    <x v="2"/>
    <n v="19"/>
    <x v="2"/>
    <n v="2"/>
  </r>
  <r>
    <x v="0"/>
    <x v="3"/>
    <n v="11"/>
    <x v="1"/>
    <n v="2"/>
  </r>
  <r>
    <x v="1"/>
    <x v="4"/>
    <n v="11"/>
    <x v="1"/>
    <n v="2"/>
  </r>
  <r>
    <x v="1"/>
    <x v="4"/>
    <n v="11"/>
    <x v="1"/>
    <n v="2"/>
  </r>
  <r>
    <x v="1"/>
    <x v="5"/>
    <n v="11"/>
    <x v="1"/>
    <n v="2"/>
  </r>
  <r>
    <x v="1"/>
    <x v="6"/>
    <n v="11"/>
    <x v="1"/>
    <n v="2"/>
  </r>
  <r>
    <x v="1"/>
    <x v="7"/>
    <n v="11"/>
    <x v="1"/>
    <n v="2"/>
  </r>
  <r>
    <x v="1"/>
    <x v="7"/>
    <n v="11"/>
    <x v="1"/>
    <n v="2"/>
  </r>
  <r>
    <x v="2"/>
    <x v="8"/>
    <n v="6"/>
    <x v="3"/>
    <n v="0"/>
  </r>
  <r>
    <x v="3"/>
    <x v="9"/>
    <n v="15"/>
    <x v="0"/>
    <n v="2"/>
  </r>
  <r>
    <x v="3"/>
    <x v="10"/>
    <n v="15"/>
    <x v="0"/>
    <n v="2"/>
  </r>
  <r>
    <x v="3"/>
    <x v="11"/>
    <n v="11"/>
    <x v="1"/>
    <n v="2"/>
  </r>
  <r>
    <x v="3"/>
    <x v="12"/>
    <n v="11"/>
    <x v="1"/>
    <n v="2"/>
  </r>
  <r>
    <x v="4"/>
    <x v="13"/>
    <n v="11"/>
    <x v="1"/>
    <n v="2"/>
  </r>
  <r>
    <x v="4"/>
    <x v="14"/>
    <n v="11"/>
    <x v="1"/>
    <n v="2"/>
  </r>
  <r>
    <x v="4"/>
    <x v="15"/>
    <n v="11"/>
    <x v="1"/>
    <n v="2"/>
  </r>
  <r>
    <x v="5"/>
    <x v="16"/>
    <n v="11"/>
    <x v="1"/>
    <n v="2"/>
  </r>
  <r>
    <x v="6"/>
    <x v="17"/>
    <n v="11"/>
    <x v="1"/>
    <n v="2"/>
  </r>
  <r>
    <x v="4"/>
    <x v="18"/>
    <n v="11"/>
    <x v="1"/>
    <n v="2"/>
  </r>
  <r>
    <x v="4"/>
    <x v="19"/>
    <n v="11"/>
    <x v="1"/>
    <n v="2"/>
  </r>
  <r>
    <x v="6"/>
    <x v="20"/>
    <n v="11"/>
    <x v="1"/>
    <n v="2"/>
  </r>
  <r>
    <x v="6"/>
    <x v="21"/>
    <n v="19"/>
    <x v="2"/>
    <n v="2"/>
  </r>
  <r>
    <x v="6"/>
    <x v="22"/>
    <n v="11"/>
    <x v="1"/>
    <n v="2"/>
  </r>
  <r>
    <x v="6"/>
    <x v="23"/>
    <n v="11"/>
    <x v="1"/>
    <n v="2"/>
  </r>
  <r>
    <x v="6"/>
    <x v="24"/>
    <n v="11"/>
    <x v="1"/>
    <n v="2"/>
  </r>
  <r>
    <x v="6"/>
    <x v="25"/>
    <n v="11"/>
    <x v="1"/>
    <n v="2"/>
  </r>
  <r>
    <x v="2"/>
    <x v="26"/>
    <n v="11"/>
    <x v="1"/>
    <n v="3"/>
  </r>
  <r>
    <x v="6"/>
    <x v="27"/>
    <n v="11"/>
    <x v="1"/>
    <n v="2"/>
  </r>
  <r>
    <x v="6"/>
    <x v="28"/>
    <n v="15"/>
    <x v="0"/>
    <n v="2"/>
  </r>
  <r>
    <x v="6"/>
    <x v="28"/>
    <n v="15"/>
    <x v="0"/>
    <n v="2"/>
  </r>
  <r>
    <x v="6"/>
    <x v="28"/>
    <n v="15"/>
    <x v="0"/>
    <n v="2"/>
  </r>
  <r>
    <x v="7"/>
    <x v="29"/>
    <n v="11"/>
    <x v="1"/>
    <n v="2"/>
  </r>
  <r>
    <x v="2"/>
    <x v="30"/>
    <n v="11"/>
    <x v="1"/>
    <n v="2"/>
  </r>
  <r>
    <x v="6"/>
    <x v="31"/>
    <n v="11"/>
    <x v="1"/>
    <n v="2"/>
  </r>
  <r>
    <x v="2"/>
    <x v="32"/>
    <n v="19"/>
    <x v="2"/>
    <n v="2"/>
  </r>
  <r>
    <x v="2"/>
    <x v="26"/>
    <n v="11"/>
    <x v="1"/>
    <n v="3"/>
  </r>
  <r>
    <x v="6"/>
    <x v="33"/>
    <n v="19"/>
    <x v="2"/>
    <n v="2"/>
  </r>
  <r>
    <x v="6"/>
    <x v="34"/>
    <n v="11"/>
    <x v="1"/>
    <n v="2"/>
  </r>
  <r>
    <x v="2"/>
    <x v="30"/>
    <n v="11"/>
    <x v="1"/>
    <n v="2"/>
  </r>
  <r>
    <x v="6"/>
    <x v="35"/>
    <n v="11"/>
    <x v="1"/>
    <n v="2"/>
  </r>
  <r>
    <x v="6"/>
    <x v="36"/>
    <n v="11"/>
    <x v="1"/>
    <n v="2"/>
  </r>
  <r>
    <x v="6"/>
    <x v="24"/>
    <n v="11"/>
    <x v="1"/>
    <n v="2"/>
  </r>
  <r>
    <x v="3"/>
    <x v="37"/>
    <n v="19"/>
    <x v="1"/>
    <n v="2"/>
  </r>
  <r>
    <x v="4"/>
    <x v="38"/>
    <n v="11"/>
    <x v="1"/>
    <n v="2"/>
  </r>
  <r>
    <x v="6"/>
    <x v="39"/>
    <n v="11"/>
    <x v="1"/>
    <n v="2"/>
  </r>
  <r>
    <x v="4"/>
    <x v="40"/>
    <n v="11"/>
    <x v="1"/>
    <n v="2"/>
  </r>
  <r>
    <x v="4"/>
    <x v="41"/>
    <n v="11"/>
    <x v="1"/>
    <n v="2"/>
  </r>
  <r>
    <x v="4"/>
    <x v="42"/>
    <n v="11"/>
    <x v="1"/>
    <n v="2"/>
  </r>
  <r>
    <x v="2"/>
    <x v="26"/>
    <n v="11"/>
    <x v="1"/>
    <n v="3"/>
  </r>
  <r>
    <x v="4"/>
    <x v="43"/>
    <n v="11"/>
    <x v="1"/>
    <n v="2"/>
  </r>
  <r>
    <x v="2"/>
    <x v="44"/>
    <n v="12"/>
    <x v="4"/>
    <n v="0"/>
  </r>
  <r>
    <x v="5"/>
    <x v="45"/>
    <n v="11"/>
    <x v="1"/>
    <n v="2"/>
  </r>
  <r>
    <x v="2"/>
    <x v="46"/>
    <n v="3"/>
    <x v="5"/>
    <n v="0"/>
  </r>
  <r>
    <x v="2"/>
    <x v="44"/>
    <n v="12"/>
    <x v="4"/>
    <n v="0"/>
  </r>
  <r>
    <x v="2"/>
    <x v="47"/>
    <n v="19"/>
    <x v="1"/>
    <n v="2"/>
  </r>
  <r>
    <x v="4"/>
    <x v="48"/>
    <n v="11"/>
    <x v="1"/>
    <n v="2"/>
  </r>
  <r>
    <x v="6"/>
    <x v="49"/>
    <n v="11"/>
    <x v="1"/>
    <n v="2"/>
  </r>
  <r>
    <x v="4"/>
    <x v="50"/>
    <n v="11"/>
    <x v="1"/>
    <n v="2"/>
  </r>
  <r>
    <x v="2"/>
    <x v="51"/>
    <n v="11"/>
    <x v="1"/>
    <n v="2"/>
  </r>
  <r>
    <x v="8"/>
    <x v="52"/>
    <n v="11"/>
    <x v="1"/>
    <n v="2"/>
  </r>
  <r>
    <x v="4"/>
    <x v="53"/>
    <n v="11"/>
    <x v="1"/>
    <n v="2"/>
  </r>
  <r>
    <x v="4"/>
    <x v="54"/>
    <n v="11"/>
    <x v="1"/>
    <n v="2"/>
  </r>
  <r>
    <x v="2"/>
    <x v="44"/>
    <n v="12"/>
    <x v="4"/>
    <n v="0"/>
  </r>
  <r>
    <x v="4"/>
    <x v="55"/>
    <n v="11"/>
    <x v="1"/>
    <n v="2"/>
  </r>
  <r>
    <x v="6"/>
    <x v="56"/>
    <n v="11"/>
    <x v="1"/>
    <n v="2"/>
  </r>
  <r>
    <x v="5"/>
    <x v="57"/>
    <n v="11"/>
    <x v="1"/>
    <n v="2"/>
  </r>
  <r>
    <x v="2"/>
    <x v="58"/>
    <n v="11"/>
    <x v="1"/>
    <n v="3"/>
  </r>
  <r>
    <x v="4"/>
    <x v="59"/>
    <n v="11"/>
    <x v="1"/>
    <n v="2"/>
  </r>
  <r>
    <x v="4"/>
    <x v="60"/>
    <n v="11"/>
    <x v="1"/>
    <n v="2"/>
  </r>
  <r>
    <x v="4"/>
    <x v="61"/>
    <n v="11"/>
    <x v="1"/>
    <n v="2"/>
  </r>
  <r>
    <x v="2"/>
    <x v="62"/>
    <n v="11"/>
    <x v="1"/>
    <n v="2"/>
  </r>
  <r>
    <x v="4"/>
    <x v="63"/>
    <n v="11"/>
    <x v="1"/>
    <n v="2"/>
  </r>
  <r>
    <x v="4"/>
    <x v="64"/>
    <n v="11"/>
    <x v="1"/>
    <n v="2"/>
  </r>
  <r>
    <x v="2"/>
    <x v="65"/>
    <n v="8"/>
    <x v="6"/>
    <n v="0"/>
  </r>
  <r>
    <x v="2"/>
    <x v="66"/>
    <n v="11"/>
    <x v="1"/>
    <n v="0"/>
  </r>
  <r>
    <x v="9"/>
    <x v="67"/>
    <n v="11"/>
    <x v="1"/>
    <n v="2"/>
  </r>
  <r>
    <x v="2"/>
    <x v="68"/>
    <n v="9"/>
    <x v="7"/>
    <n v="0"/>
  </r>
  <r>
    <x v="2"/>
    <x v="69"/>
    <n v="11"/>
    <x v="1"/>
    <n v="0"/>
  </r>
  <r>
    <x v="2"/>
    <x v="69"/>
    <n v="11"/>
    <x v="1"/>
    <n v="0"/>
  </r>
  <r>
    <x v="2"/>
    <x v="69"/>
    <n v="11"/>
    <x v="1"/>
    <n v="0"/>
  </r>
  <r>
    <x v="2"/>
    <x v="68"/>
    <n v="9"/>
    <x v="7"/>
    <n v="0"/>
  </r>
  <r>
    <x v="2"/>
    <x v="70"/>
    <n v="4"/>
    <x v="8"/>
    <n v="0"/>
  </r>
  <r>
    <x v="10"/>
    <x v="71"/>
    <n v="11"/>
    <x v="1"/>
    <n v="2"/>
  </r>
  <r>
    <x v="2"/>
    <x v="72"/>
    <n v="10"/>
    <x v="9"/>
    <n v="0"/>
  </r>
  <r>
    <x v="2"/>
    <x v="69"/>
    <n v="11"/>
    <x v="1"/>
    <n v="0"/>
  </r>
  <r>
    <x v="2"/>
    <x v="73"/>
    <n v="17"/>
    <x v="10"/>
    <n v="0"/>
  </r>
  <r>
    <x v="2"/>
    <x v="72"/>
    <n v="10"/>
    <x v="9"/>
    <n v="0"/>
  </r>
  <r>
    <x v="2"/>
    <x v="66"/>
    <n v="11"/>
    <x v="1"/>
    <n v="0"/>
  </r>
  <r>
    <x v="2"/>
    <x v="69"/>
    <n v="11"/>
    <x v="1"/>
    <n v="0"/>
  </r>
  <r>
    <x v="2"/>
    <x v="69"/>
    <n v="11"/>
    <x v="1"/>
    <n v="0"/>
  </r>
  <r>
    <x v="11"/>
    <x v="74"/>
    <n v="11"/>
    <x v="1"/>
    <n v="2"/>
  </r>
  <r>
    <x v="2"/>
    <x v="72"/>
    <n v="10"/>
    <x v="9"/>
    <n v="0"/>
  </r>
  <r>
    <x v="2"/>
    <x v="75"/>
    <n v="15"/>
    <x v="0"/>
    <n v="0"/>
  </r>
  <r>
    <x v="2"/>
    <x v="76"/>
    <n v="7"/>
    <x v="11"/>
    <n v="0"/>
  </r>
  <r>
    <x v="2"/>
    <x v="46"/>
    <n v="3"/>
    <x v="5"/>
    <n v="0"/>
  </r>
  <r>
    <x v="2"/>
    <x v="77"/>
    <n v="14"/>
    <x v="12"/>
    <n v="0"/>
  </r>
  <r>
    <x v="4"/>
    <x v="78"/>
    <n v="11"/>
    <x v="1"/>
    <n v="2"/>
  </r>
  <r>
    <x v="2"/>
    <x v="79"/>
    <n v="12"/>
    <x v="4"/>
    <n v="0"/>
  </r>
  <r>
    <x v="2"/>
    <x v="77"/>
    <n v="14"/>
    <x v="12"/>
    <n v="0"/>
  </r>
  <r>
    <x v="4"/>
    <x v="80"/>
    <n v="11"/>
    <x v="1"/>
    <n v="2"/>
  </r>
  <r>
    <x v="2"/>
    <x v="79"/>
    <n v="12"/>
    <x v="4"/>
    <n v="0"/>
  </r>
  <r>
    <x v="2"/>
    <x v="81"/>
    <n v="10"/>
    <x v="9"/>
    <n v="0"/>
  </r>
  <r>
    <x v="12"/>
    <x v="82"/>
    <n v="12"/>
    <x v="4"/>
    <n v="0"/>
  </r>
  <r>
    <x v="2"/>
    <x v="83"/>
    <n v="15"/>
    <x v="0"/>
    <n v="0"/>
  </r>
  <r>
    <x v="2"/>
    <x v="84"/>
    <n v="5"/>
    <x v="13"/>
    <n v="0"/>
  </r>
  <r>
    <x v="2"/>
    <x v="77"/>
    <n v="14"/>
    <x v="12"/>
    <n v="0"/>
  </r>
  <r>
    <x v="2"/>
    <x v="81"/>
    <n v="10"/>
    <x v="9"/>
    <n v="0"/>
  </r>
  <r>
    <x v="2"/>
    <x v="85"/>
    <n v="3"/>
    <x v="5"/>
    <n v="0"/>
  </r>
  <r>
    <x v="2"/>
    <x v="81"/>
    <n v="10"/>
    <x v="9"/>
    <n v="0"/>
  </r>
  <r>
    <x v="2"/>
    <x v="86"/>
    <n v="0"/>
    <x v="14"/>
    <n v="0"/>
  </r>
  <r>
    <x v="2"/>
    <x v="77"/>
    <n v="14"/>
    <x v="12"/>
    <n v="0"/>
  </r>
  <r>
    <x v="2"/>
    <x v="77"/>
    <n v="14"/>
    <x v="12"/>
    <n v="0"/>
  </r>
  <r>
    <x v="2"/>
    <x v="77"/>
    <n v="14"/>
    <x v="12"/>
    <n v="0"/>
  </r>
  <r>
    <x v="2"/>
    <x v="81"/>
    <n v="10"/>
    <x v="9"/>
    <n v="0"/>
  </r>
  <r>
    <x v="2"/>
    <x v="83"/>
    <n v="15"/>
    <x v="0"/>
    <n v="0"/>
  </r>
  <r>
    <x v="2"/>
    <x v="77"/>
    <n v="14"/>
    <x v="12"/>
    <n v="0"/>
  </r>
  <r>
    <x v="2"/>
    <x v="84"/>
    <n v="5"/>
    <x v="13"/>
    <n v="0"/>
  </r>
  <r>
    <x v="13"/>
    <x v="87"/>
    <n v="3"/>
    <x v="5"/>
    <n v="0"/>
  </r>
  <r>
    <x v="2"/>
    <x v="83"/>
    <n v="15"/>
    <x v="0"/>
    <n v="0"/>
  </r>
  <r>
    <x v="2"/>
    <x v="77"/>
    <n v="14"/>
    <x v="12"/>
    <n v="0"/>
  </r>
  <r>
    <x v="2"/>
    <x v="83"/>
    <n v="15"/>
    <x v="0"/>
    <n v="0"/>
  </r>
  <r>
    <x v="2"/>
    <x v="77"/>
    <n v="14"/>
    <x v="12"/>
    <n v="0"/>
  </r>
  <r>
    <x v="2"/>
    <x v="77"/>
    <n v="14"/>
    <x v="12"/>
    <n v="0"/>
  </r>
  <r>
    <x v="2"/>
    <x v="83"/>
    <n v="15"/>
    <x v="0"/>
    <n v="0"/>
  </r>
  <r>
    <x v="2"/>
    <x v="77"/>
    <n v="14"/>
    <x v="12"/>
    <n v="0"/>
  </r>
  <r>
    <x v="6"/>
    <x v="88"/>
    <n v="11"/>
    <x v="1"/>
    <n v="2"/>
  </r>
  <r>
    <x v="2"/>
    <x v="77"/>
    <n v="14"/>
    <x v="12"/>
    <n v="0"/>
  </r>
  <r>
    <x v="2"/>
    <x v="77"/>
    <n v="14"/>
    <x v="12"/>
    <n v="0"/>
  </r>
  <r>
    <x v="2"/>
    <x v="86"/>
    <n v="0"/>
    <x v="14"/>
    <n v="0"/>
  </r>
  <r>
    <x v="2"/>
    <x v="77"/>
    <n v="14"/>
    <x v="12"/>
    <n v="0"/>
  </r>
  <r>
    <x v="2"/>
    <x v="81"/>
    <n v="10"/>
    <x v="9"/>
    <n v="0"/>
  </r>
  <r>
    <x v="2"/>
    <x v="77"/>
    <n v="14"/>
    <x v="12"/>
    <n v="0"/>
  </r>
  <r>
    <x v="2"/>
    <x v="77"/>
    <n v="14"/>
    <x v="12"/>
    <n v="0"/>
  </r>
  <r>
    <x v="2"/>
    <x v="77"/>
    <n v="14"/>
    <x v="12"/>
    <n v="0"/>
  </r>
  <r>
    <x v="2"/>
    <x v="77"/>
    <n v="14"/>
    <x v="12"/>
    <n v="0"/>
  </r>
  <r>
    <x v="2"/>
    <x v="81"/>
    <n v="10"/>
    <x v="9"/>
    <n v="0"/>
  </r>
  <r>
    <x v="2"/>
    <x v="81"/>
    <n v="10"/>
    <x v="9"/>
    <n v="0"/>
  </r>
  <r>
    <x v="2"/>
    <x v="81"/>
    <n v="10"/>
    <x v="9"/>
    <n v="0"/>
  </r>
  <r>
    <x v="2"/>
    <x v="77"/>
    <n v="14"/>
    <x v="12"/>
    <n v="0"/>
  </r>
  <r>
    <x v="2"/>
    <x v="81"/>
    <n v="10"/>
    <x v="9"/>
    <n v="0"/>
  </r>
  <r>
    <x v="14"/>
    <x v="89"/>
    <n v="11"/>
    <x v="1"/>
    <n v="2"/>
  </r>
  <r>
    <x v="12"/>
    <x v="82"/>
    <n v="12"/>
    <x v="4"/>
    <n v="0"/>
  </r>
  <r>
    <x v="2"/>
    <x v="75"/>
    <n v="15"/>
    <x v="0"/>
    <n v="0"/>
  </r>
  <r>
    <x v="4"/>
    <x v="90"/>
    <n v="11"/>
    <x v="1"/>
    <n v="2"/>
  </r>
  <r>
    <x v="6"/>
    <x v="88"/>
    <n v="11"/>
    <x v="1"/>
    <n v="2"/>
  </r>
  <r>
    <x v="2"/>
    <x v="81"/>
    <n v="10"/>
    <x v="9"/>
    <n v="0"/>
  </r>
  <r>
    <x v="2"/>
    <x v="77"/>
    <n v="14"/>
    <x v="12"/>
    <n v="0"/>
  </r>
  <r>
    <x v="2"/>
    <x v="77"/>
    <n v="14"/>
    <x v="12"/>
    <n v="0"/>
  </r>
  <r>
    <x v="2"/>
    <x v="85"/>
    <n v="3"/>
    <x v="5"/>
    <n v="0"/>
  </r>
  <r>
    <x v="2"/>
    <x v="85"/>
    <n v="3"/>
    <x v="5"/>
    <n v="0"/>
  </r>
  <r>
    <x v="2"/>
    <x v="81"/>
    <n v="10"/>
    <x v="9"/>
    <n v="0"/>
  </r>
  <r>
    <x v="2"/>
    <x v="83"/>
    <n v="15"/>
    <x v="0"/>
    <n v="0"/>
  </r>
  <r>
    <x v="2"/>
    <x v="77"/>
    <n v="14"/>
    <x v="12"/>
    <n v="0"/>
  </r>
  <r>
    <x v="2"/>
    <x v="77"/>
    <n v="14"/>
    <x v="12"/>
    <n v="0"/>
  </r>
  <r>
    <x v="2"/>
    <x v="81"/>
    <n v="10"/>
    <x v="9"/>
    <n v="0"/>
  </r>
  <r>
    <x v="2"/>
    <x v="81"/>
    <n v="10"/>
    <x v="9"/>
    <n v="0"/>
  </r>
  <r>
    <x v="2"/>
    <x v="84"/>
    <n v="5"/>
    <x v="13"/>
    <n v="0"/>
  </r>
  <r>
    <x v="2"/>
    <x v="77"/>
    <n v="14"/>
    <x v="12"/>
    <n v="0"/>
  </r>
  <r>
    <x v="2"/>
    <x v="81"/>
    <n v="10"/>
    <x v="9"/>
    <n v="0"/>
  </r>
  <r>
    <x v="4"/>
    <x v="91"/>
    <n v="11"/>
    <x v="1"/>
    <n v="2"/>
  </r>
  <r>
    <x v="2"/>
    <x v="81"/>
    <n v="10"/>
    <x v="9"/>
    <n v="0"/>
  </r>
  <r>
    <x v="2"/>
    <x v="83"/>
    <n v="15"/>
    <x v="0"/>
    <n v="0"/>
  </r>
  <r>
    <x v="2"/>
    <x v="92"/>
    <n v="20"/>
    <x v="12"/>
    <n v="0"/>
  </r>
  <r>
    <x v="15"/>
    <x v="93"/>
    <n v="11"/>
    <x v="1"/>
    <n v="2"/>
  </r>
  <r>
    <x v="2"/>
    <x v="81"/>
    <n v="10"/>
    <x v="9"/>
    <n v="0"/>
  </r>
  <r>
    <x v="2"/>
    <x v="77"/>
    <n v="14"/>
    <x v="12"/>
    <n v="0"/>
  </r>
  <r>
    <x v="14"/>
    <x v="94"/>
    <n v="11"/>
    <x v="1"/>
    <n v="2"/>
  </r>
  <r>
    <x v="14"/>
    <x v="95"/>
    <n v="11"/>
    <x v="1"/>
    <n v="2"/>
  </r>
  <r>
    <x v="2"/>
    <x v="77"/>
    <n v="14"/>
    <x v="12"/>
    <n v="0"/>
  </r>
  <r>
    <x v="2"/>
    <x v="77"/>
    <n v="14"/>
    <x v="12"/>
    <n v="0"/>
  </r>
  <r>
    <x v="2"/>
    <x v="96"/>
    <n v="0"/>
    <x v="14"/>
    <n v="0"/>
  </r>
  <r>
    <x v="2"/>
    <x v="81"/>
    <n v="10"/>
    <x v="9"/>
    <n v="0"/>
  </r>
  <r>
    <x v="2"/>
    <x v="77"/>
    <n v="14"/>
    <x v="12"/>
    <n v="0"/>
  </r>
  <r>
    <x v="2"/>
    <x v="81"/>
    <n v="10"/>
    <x v="9"/>
    <n v="0"/>
  </r>
  <r>
    <x v="2"/>
    <x v="81"/>
    <n v="10"/>
    <x v="9"/>
    <n v="0"/>
  </r>
  <r>
    <x v="2"/>
    <x v="81"/>
    <n v="10"/>
    <x v="9"/>
    <n v="0"/>
  </r>
  <r>
    <x v="2"/>
    <x v="77"/>
    <n v="14"/>
    <x v="12"/>
    <n v="0"/>
  </r>
  <r>
    <x v="2"/>
    <x v="97"/>
    <n v="2"/>
    <x v="15"/>
    <n v="0"/>
  </r>
  <r>
    <x v="2"/>
    <x v="83"/>
    <n v="15"/>
    <x v="0"/>
    <n v="0"/>
  </r>
  <r>
    <x v="2"/>
    <x v="81"/>
    <n v="10"/>
    <x v="9"/>
    <n v="0"/>
  </r>
  <r>
    <x v="2"/>
    <x v="83"/>
    <n v="15"/>
    <x v="0"/>
    <n v="0"/>
  </r>
  <r>
    <x v="12"/>
    <x v="82"/>
    <n v="12"/>
    <x v="4"/>
    <n v="0"/>
  </r>
  <r>
    <x v="2"/>
    <x v="44"/>
    <n v="12"/>
    <x v="4"/>
    <n v="0"/>
  </r>
  <r>
    <x v="2"/>
    <x v="77"/>
    <n v="14"/>
    <x v="12"/>
    <n v="0"/>
  </r>
  <r>
    <x v="2"/>
    <x v="83"/>
    <n v="15"/>
    <x v="0"/>
    <n v="0"/>
  </r>
  <r>
    <x v="2"/>
    <x v="97"/>
    <n v="2"/>
    <x v="15"/>
    <n v="0"/>
  </r>
  <r>
    <x v="2"/>
    <x v="81"/>
    <n v="10"/>
    <x v="9"/>
    <n v="0"/>
  </r>
  <r>
    <x v="2"/>
    <x v="77"/>
    <n v="14"/>
    <x v="12"/>
    <n v="0"/>
  </r>
  <r>
    <x v="2"/>
    <x v="98"/>
    <n v="20"/>
    <x v="12"/>
    <n v="0"/>
  </r>
  <r>
    <x v="2"/>
    <x v="83"/>
    <n v="15"/>
    <x v="0"/>
    <n v="0"/>
  </r>
  <r>
    <x v="2"/>
    <x v="77"/>
    <n v="14"/>
    <x v="12"/>
    <n v="0"/>
  </r>
  <r>
    <x v="2"/>
    <x v="81"/>
    <n v="10"/>
    <x v="9"/>
    <n v="0"/>
  </r>
  <r>
    <x v="2"/>
    <x v="46"/>
    <n v="3"/>
    <x v="5"/>
    <n v="0"/>
  </r>
  <r>
    <x v="2"/>
    <x v="77"/>
    <n v="14"/>
    <x v="12"/>
    <n v="0"/>
  </r>
  <r>
    <x v="2"/>
    <x v="77"/>
    <n v="14"/>
    <x v="12"/>
    <n v="0"/>
  </r>
  <r>
    <x v="2"/>
    <x v="83"/>
    <n v="15"/>
    <x v="0"/>
    <n v="0"/>
  </r>
  <r>
    <x v="2"/>
    <x v="77"/>
    <n v="14"/>
    <x v="12"/>
    <n v="0"/>
  </r>
  <r>
    <x v="6"/>
    <x v="77"/>
    <n v="10"/>
    <x v="9"/>
    <n v="0"/>
  </r>
  <r>
    <x v="2"/>
    <x v="85"/>
    <n v="3"/>
    <x v="5"/>
    <n v="0"/>
  </r>
  <r>
    <x v="2"/>
    <x v="77"/>
    <n v="14"/>
    <x v="12"/>
    <n v="0"/>
  </r>
  <r>
    <x v="16"/>
    <x v="99"/>
    <n v="19"/>
    <x v="2"/>
    <n v="2"/>
  </r>
  <r>
    <x v="2"/>
    <x v="81"/>
    <n v="10"/>
    <x v="9"/>
    <n v="0"/>
  </r>
  <r>
    <x v="2"/>
    <x v="100"/>
    <n v="12"/>
    <x v="4"/>
    <n v="0"/>
  </r>
  <r>
    <x v="2"/>
    <x v="85"/>
    <n v="3"/>
    <x v="5"/>
    <n v="0"/>
  </r>
  <r>
    <x v="2"/>
    <x v="101"/>
    <n v="12"/>
    <x v="4"/>
    <n v="0"/>
  </r>
  <r>
    <x v="13"/>
    <x v="102"/>
    <n v="3"/>
    <x v="5"/>
    <n v="0"/>
  </r>
  <r>
    <x v="2"/>
    <x v="103"/>
    <n v="12"/>
    <x v="4"/>
    <n v="0"/>
  </r>
  <r>
    <x v="2"/>
    <x v="86"/>
    <n v="0"/>
    <x v="14"/>
    <n v="0"/>
  </r>
  <r>
    <x v="6"/>
    <x v="88"/>
    <n v="11"/>
    <x v="1"/>
    <n v="2"/>
  </r>
  <r>
    <x v="2"/>
    <x v="85"/>
    <n v="3"/>
    <x v="5"/>
    <n v="0"/>
  </r>
  <r>
    <x v="2"/>
    <x v="77"/>
    <n v="14"/>
    <x v="12"/>
    <n v="0"/>
  </r>
  <r>
    <x v="2"/>
    <x v="86"/>
    <n v="0"/>
    <x v="14"/>
    <n v="0"/>
  </r>
  <r>
    <x v="2"/>
    <x v="81"/>
    <n v="10"/>
    <x v="9"/>
    <n v="0"/>
  </r>
  <r>
    <x v="15"/>
    <x v="104"/>
    <n v="11"/>
    <x v="1"/>
    <n v="2"/>
  </r>
  <r>
    <x v="2"/>
    <x v="83"/>
    <n v="15"/>
    <x v="0"/>
    <n v="0"/>
  </r>
  <r>
    <x v="6"/>
    <x v="105"/>
    <n v="11"/>
    <x v="1"/>
    <n v="2"/>
  </r>
  <r>
    <x v="2"/>
    <x v="106"/>
    <n v="10"/>
    <x v="9"/>
    <n v="0"/>
  </r>
  <r>
    <x v="2"/>
    <x v="77"/>
    <n v="14"/>
    <x v="12"/>
    <n v="0"/>
  </r>
  <r>
    <x v="2"/>
    <x v="77"/>
    <n v="14"/>
    <x v="12"/>
    <n v="0"/>
  </r>
  <r>
    <x v="2"/>
    <x v="83"/>
    <n v="15"/>
    <x v="0"/>
    <n v="0"/>
  </r>
  <r>
    <x v="2"/>
    <x v="77"/>
    <n v="14"/>
    <x v="12"/>
    <n v="0"/>
  </r>
  <r>
    <x v="6"/>
    <x v="105"/>
    <n v="11"/>
    <x v="1"/>
    <n v="2"/>
  </r>
  <r>
    <x v="6"/>
    <x v="107"/>
    <n v="19"/>
    <x v="2"/>
    <n v="2"/>
  </r>
  <r>
    <x v="6"/>
    <x v="108"/>
    <n v="19"/>
    <x v="2"/>
    <n v="2"/>
  </r>
  <r>
    <x v="6"/>
    <x v="107"/>
    <n v="19"/>
    <x v="2"/>
    <n v="2"/>
  </r>
  <r>
    <x v="2"/>
    <x v="46"/>
    <n v="3"/>
    <x v="5"/>
    <n v="0"/>
  </r>
  <r>
    <x v="6"/>
    <x v="109"/>
    <n v="15"/>
    <x v="0"/>
    <n v="2"/>
  </r>
  <r>
    <x v="2"/>
    <x v="83"/>
    <n v="19"/>
    <x v="2"/>
    <n v="0"/>
  </r>
  <r>
    <x v="2"/>
    <x v="77"/>
    <n v="14"/>
    <x v="12"/>
    <n v="0"/>
  </r>
  <r>
    <x v="2"/>
    <x v="83"/>
    <n v="19"/>
    <x v="2"/>
    <n v="0"/>
  </r>
  <r>
    <x v="12"/>
    <x v="82"/>
    <n v="12"/>
    <x v="4"/>
    <n v="0"/>
  </r>
  <r>
    <x v="6"/>
    <x v="105"/>
    <n v="11"/>
    <x v="1"/>
    <n v="2"/>
  </r>
  <r>
    <x v="12"/>
    <x v="82"/>
    <n v="12"/>
    <x v="4"/>
    <n v="0"/>
  </r>
  <r>
    <x v="2"/>
    <x v="86"/>
    <n v="0"/>
    <x v="14"/>
    <n v="0"/>
  </r>
  <r>
    <x v="2"/>
    <x v="77"/>
    <n v="14"/>
    <x v="12"/>
    <n v="0"/>
  </r>
  <r>
    <x v="2"/>
    <x v="101"/>
    <n v="12"/>
    <x v="4"/>
    <n v="0"/>
  </r>
  <r>
    <x v="6"/>
    <x v="105"/>
    <n v="11"/>
    <x v="1"/>
    <n v="2"/>
  </r>
  <r>
    <x v="6"/>
    <x v="105"/>
    <n v="11"/>
    <x v="1"/>
    <n v="2"/>
  </r>
  <r>
    <x v="2"/>
    <x v="83"/>
    <n v="19"/>
    <x v="2"/>
    <n v="0"/>
  </r>
  <r>
    <x v="2"/>
    <x v="77"/>
    <n v="14"/>
    <x v="12"/>
    <n v="0"/>
  </r>
  <r>
    <x v="2"/>
    <x v="83"/>
    <n v="19"/>
    <x v="2"/>
    <n v="0"/>
  </r>
  <r>
    <x v="17"/>
    <x v="110"/>
    <n v="15"/>
    <x v="0"/>
    <n v="2"/>
  </r>
  <r>
    <x v="2"/>
    <x v="100"/>
    <n v="12"/>
    <x v="4"/>
    <n v="0"/>
  </r>
  <r>
    <x v="2"/>
    <x v="83"/>
    <n v="19"/>
    <x v="2"/>
    <n v="0"/>
  </r>
  <r>
    <x v="2"/>
    <x v="83"/>
    <n v="19"/>
    <x v="2"/>
    <n v="0"/>
  </r>
  <r>
    <x v="17"/>
    <x v="111"/>
    <n v="15"/>
    <x v="0"/>
    <n v="2"/>
  </r>
  <r>
    <x v="2"/>
    <x v="81"/>
    <n v="10"/>
    <x v="9"/>
    <n v="0"/>
  </r>
  <r>
    <x v="6"/>
    <x v="105"/>
    <n v="11"/>
    <x v="1"/>
    <n v="2"/>
  </r>
  <r>
    <x v="6"/>
    <x v="105"/>
    <n v="11"/>
    <x v="1"/>
    <n v="2"/>
  </r>
  <r>
    <x v="17"/>
    <x v="112"/>
    <n v="15"/>
    <x v="0"/>
    <n v="2"/>
  </r>
  <r>
    <x v="6"/>
    <x v="105"/>
    <n v="11"/>
    <x v="1"/>
    <n v="2"/>
  </r>
  <r>
    <x v="6"/>
    <x v="105"/>
    <n v="11"/>
    <x v="1"/>
    <n v="2"/>
  </r>
  <r>
    <x v="6"/>
    <x v="105"/>
    <n v="11"/>
    <x v="1"/>
    <n v="2"/>
  </r>
  <r>
    <x v="6"/>
    <x v="105"/>
    <n v="11"/>
    <x v="1"/>
    <n v="2"/>
  </r>
  <r>
    <x v="6"/>
    <x v="105"/>
    <n v="11"/>
    <x v="1"/>
    <n v="2"/>
  </r>
  <r>
    <x v="14"/>
    <x v="113"/>
    <n v="11"/>
    <x v="1"/>
    <n v="2"/>
  </r>
  <r>
    <x v="17"/>
    <x v="111"/>
    <n v="15"/>
    <x v="0"/>
    <n v="2"/>
  </r>
  <r>
    <x v="14"/>
    <x v="114"/>
    <n v="11"/>
    <x v="1"/>
    <n v="2"/>
  </r>
  <r>
    <x v="17"/>
    <x v="115"/>
    <n v="15"/>
    <x v="0"/>
    <n v="2"/>
  </r>
  <r>
    <x v="18"/>
    <x v="116"/>
    <n v="11"/>
    <x v="1"/>
    <n v="2"/>
  </r>
  <r>
    <x v="19"/>
    <x v="117"/>
    <n v="11"/>
    <x v="1"/>
    <n v="2"/>
  </r>
  <r>
    <x v="15"/>
    <x v="118"/>
    <n v="11"/>
    <x v="1"/>
    <n v="2"/>
  </r>
  <r>
    <x v="17"/>
    <x v="115"/>
    <n v="15"/>
    <x v="0"/>
    <n v="2"/>
  </r>
  <r>
    <x v="2"/>
    <x v="92"/>
    <n v="20"/>
    <x v="12"/>
    <n v="0"/>
  </r>
  <r>
    <x v="17"/>
    <x v="119"/>
    <n v="15"/>
    <x v="0"/>
    <n v="2"/>
  </r>
  <r>
    <x v="4"/>
    <x v="120"/>
    <n v="11"/>
    <x v="1"/>
    <n v="2"/>
  </r>
  <r>
    <x v="20"/>
    <x v="121"/>
    <n v="11"/>
    <x v="1"/>
    <n v="2"/>
  </r>
  <r>
    <x v="9"/>
    <x v="122"/>
    <n v="11"/>
    <x v="1"/>
    <n v="2"/>
  </r>
  <r>
    <x v="21"/>
    <x v="123"/>
    <n v="11"/>
    <x v="1"/>
    <n v="2"/>
  </r>
  <r>
    <x v="20"/>
    <x v="124"/>
    <n v="11"/>
    <x v="1"/>
    <n v="2"/>
  </r>
  <r>
    <x v="2"/>
    <x v="83"/>
    <n v="15"/>
    <x v="0"/>
    <n v="0"/>
  </r>
  <r>
    <x v="22"/>
    <x v="125"/>
    <n v="11"/>
    <x v="1"/>
    <n v="2"/>
  </r>
  <r>
    <x v="14"/>
    <x v="126"/>
    <n v="11"/>
    <x v="1"/>
    <n v="2"/>
  </r>
  <r>
    <x v="23"/>
    <x v="127"/>
    <n v="11"/>
    <x v="1"/>
    <n v="2"/>
  </r>
  <r>
    <x v="8"/>
    <x v="128"/>
    <n v="11"/>
    <x v="1"/>
    <n v="2"/>
  </r>
  <r>
    <x v="4"/>
    <x v="120"/>
    <n v="11"/>
    <x v="1"/>
    <n v="2"/>
  </r>
  <r>
    <x v="2"/>
    <x v="129"/>
    <n v="12"/>
    <x v="4"/>
    <n v="0"/>
  </r>
  <r>
    <x v="24"/>
    <x v="130"/>
    <n v="11"/>
    <x v="1"/>
    <n v="2"/>
  </r>
  <r>
    <x v="4"/>
    <x v="131"/>
    <n v="11"/>
    <x v="1"/>
    <n v="2"/>
  </r>
  <r>
    <x v="6"/>
    <x v="132"/>
    <n v="11"/>
    <x v="1"/>
    <n v="2"/>
  </r>
  <r>
    <x v="25"/>
    <x v="133"/>
    <n v="19"/>
    <x v="2"/>
    <n v="2"/>
  </r>
  <r>
    <x v="2"/>
    <x v="134"/>
    <n v="19"/>
    <x v="2"/>
    <n v="0"/>
  </r>
  <r>
    <x v="26"/>
    <x v="135"/>
    <n v="11"/>
    <x v="1"/>
    <n v="2"/>
  </r>
  <r>
    <x v="27"/>
    <x v="136"/>
    <n v="11"/>
    <x v="1"/>
    <n v="2"/>
  </r>
  <r>
    <x v="28"/>
    <x v="137"/>
    <n v="11"/>
    <x v="1"/>
    <n v="2"/>
  </r>
  <r>
    <x v="29"/>
    <x v="138"/>
    <n v="11"/>
    <x v="1"/>
    <n v="2"/>
  </r>
  <r>
    <x v="26"/>
    <x v="139"/>
    <n v="11"/>
    <x v="1"/>
    <n v="2"/>
  </r>
  <r>
    <x v="30"/>
    <x v="140"/>
    <n v="11"/>
    <x v="1"/>
    <n v="2"/>
  </r>
  <r>
    <x v="31"/>
    <x v="141"/>
    <n v="11"/>
    <x v="1"/>
    <n v="2"/>
  </r>
  <r>
    <x v="2"/>
    <x v="142"/>
    <n v="1"/>
    <x v="16"/>
    <n v="0"/>
  </r>
  <r>
    <x v="2"/>
    <x v="143"/>
    <n v="20"/>
    <x v="12"/>
    <n v="0"/>
  </r>
  <r>
    <x v="32"/>
    <x v="144"/>
    <n v="11"/>
    <x v="1"/>
    <n v="2"/>
  </r>
  <r>
    <x v="33"/>
    <x v="145"/>
    <n v="12"/>
    <x v="4"/>
    <n v="0"/>
  </r>
  <r>
    <x v="34"/>
    <x v="146"/>
    <n v="11"/>
    <x v="1"/>
    <n v="2"/>
  </r>
  <r>
    <x v="4"/>
    <x v="147"/>
    <n v="11"/>
    <x v="1"/>
    <n v="2"/>
  </r>
  <r>
    <x v="30"/>
    <x v="148"/>
    <n v="11"/>
    <x v="1"/>
    <n v="2"/>
  </r>
  <r>
    <x v="20"/>
    <x v="149"/>
    <n v="11"/>
    <x v="1"/>
    <n v="2"/>
  </r>
  <r>
    <x v="2"/>
    <x v="81"/>
    <n v="10"/>
    <x v="9"/>
    <n v="0"/>
  </r>
  <r>
    <x v="27"/>
    <x v="150"/>
    <n v="11"/>
    <x v="1"/>
    <n v="2"/>
  </r>
  <r>
    <x v="29"/>
    <x v="151"/>
    <n v="11"/>
    <x v="1"/>
    <n v="2"/>
  </r>
  <r>
    <x v="35"/>
    <x v="152"/>
    <n v="11"/>
    <x v="1"/>
    <n v="2"/>
  </r>
  <r>
    <x v="32"/>
    <x v="153"/>
    <n v="11"/>
    <x v="1"/>
    <n v="2"/>
  </r>
  <r>
    <x v="36"/>
    <x v="154"/>
    <n v="11"/>
    <x v="1"/>
    <n v="2"/>
  </r>
  <r>
    <x v="2"/>
    <x v="155"/>
    <n v="1"/>
    <x v="16"/>
    <n v="0"/>
  </r>
  <r>
    <x v="37"/>
    <x v="156"/>
    <n v="11"/>
    <x v="1"/>
    <n v="2"/>
  </r>
  <r>
    <x v="2"/>
    <x v="75"/>
    <n v="15"/>
    <x v="0"/>
    <n v="0"/>
  </r>
  <r>
    <x v="38"/>
    <x v="157"/>
    <n v="20"/>
    <x v="12"/>
    <n v="0"/>
  </r>
  <r>
    <x v="5"/>
    <x v="158"/>
    <n v="11"/>
    <x v="1"/>
    <n v="2"/>
  </r>
  <r>
    <x v="37"/>
    <x v="159"/>
    <n v="11"/>
    <x v="1"/>
    <n v="2"/>
  </r>
  <r>
    <x v="39"/>
    <x v="160"/>
    <n v="10"/>
    <x v="9"/>
    <n v="0"/>
  </r>
  <r>
    <x v="39"/>
    <x v="143"/>
    <n v="20"/>
    <x v="12"/>
    <n v="0"/>
  </r>
  <r>
    <x v="39"/>
    <x v="161"/>
    <n v="1"/>
    <x v="16"/>
    <n v="0"/>
  </r>
  <r>
    <x v="39"/>
    <x v="162"/>
    <n v="1"/>
    <x v="16"/>
    <n v="0"/>
  </r>
  <r>
    <x v="40"/>
    <x v="163"/>
    <n v="2"/>
    <x v="15"/>
    <n v="0"/>
  </r>
  <r>
    <x v="41"/>
    <x v="155"/>
    <n v="1"/>
    <x v="16"/>
    <n v="0"/>
  </r>
  <r>
    <x v="42"/>
    <x v="98"/>
    <n v="10"/>
    <x v="9"/>
    <n v="0"/>
  </r>
  <r>
    <x v="39"/>
    <x v="143"/>
    <n v="20"/>
    <x v="12"/>
    <n v="0"/>
  </r>
  <r>
    <x v="39"/>
    <x v="143"/>
    <n v="20"/>
    <x v="12"/>
    <n v="0"/>
  </r>
  <r>
    <x v="42"/>
    <x v="164"/>
    <n v="10"/>
    <x v="9"/>
    <n v="0"/>
  </r>
  <r>
    <x v="43"/>
    <x v="98"/>
    <n v="20"/>
    <x v="12"/>
    <n v="0"/>
  </r>
  <r>
    <x v="44"/>
    <x v="165"/>
    <n v="11"/>
    <x v="1"/>
    <n v="2"/>
  </r>
  <r>
    <x v="45"/>
    <x v="166"/>
    <n v="11"/>
    <x v="1"/>
    <n v="2"/>
  </r>
  <r>
    <x v="46"/>
    <x v="167"/>
    <n v="4"/>
    <x v="8"/>
    <n v="0"/>
  </r>
  <r>
    <x v="2"/>
    <x v="168"/>
    <n v="12"/>
    <x v="4"/>
    <n v="0"/>
  </r>
  <r>
    <x v="39"/>
    <x v="143"/>
    <n v="20"/>
    <x v="12"/>
    <n v="0"/>
  </r>
  <r>
    <x v="39"/>
    <x v="143"/>
    <n v="20"/>
    <x v="12"/>
    <n v="0"/>
  </r>
  <r>
    <x v="39"/>
    <x v="143"/>
    <n v="20"/>
    <x v="12"/>
    <n v="0"/>
  </r>
  <r>
    <x v="39"/>
    <x v="98"/>
    <n v="10"/>
    <x v="9"/>
    <n v="0"/>
  </r>
  <r>
    <x v="39"/>
    <x v="98"/>
    <n v="10"/>
    <x v="9"/>
    <n v="0"/>
  </r>
  <r>
    <x v="39"/>
    <x v="155"/>
    <n v="1"/>
    <x v="16"/>
    <n v="0"/>
  </r>
  <r>
    <x v="39"/>
    <x v="98"/>
    <n v="10"/>
    <x v="9"/>
    <n v="0"/>
  </r>
  <r>
    <x v="47"/>
    <x v="169"/>
    <n v="11"/>
    <x v="1"/>
    <n v="2"/>
  </r>
  <r>
    <x v="39"/>
    <x v="98"/>
    <n v="10"/>
    <x v="9"/>
    <n v="0"/>
  </r>
  <r>
    <x v="39"/>
    <x v="143"/>
    <n v="20"/>
    <x v="12"/>
    <n v="0"/>
  </r>
  <r>
    <x v="2"/>
    <x v="155"/>
    <n v="1"/>
    <x v="16"/>
    <n v="0"/>
  </r>
  <r>
    <x v="2"/>
    <x v="98"/>
    <n v="20"/>
    <x v="12"/>
    <n v="0"/>
  </r>
  <r>
    <x v="48"/>
    <x v="155"/>
    <n v="1"/>
    <x v="16"/>
    <n v="0"/>
  </r>
  <r>
    <x v="39"/>
    <x v="98"/>
    <n v="10"/>
    <x v="9"/>
    <n v="0"/>
  </r>
  <r>
    <x v="39"/>
    <x v="170"/>
    <n v="10"/>
    <x v="9"/>
    <n v="0"/>
  </r>
  <r>
    <x v="49"/>
    <x v="171"/>
    <n v="1"/>
    <x v="16"/>
    <n v="0"/>
  </r>
  <r>
    <x v="33"/>
    <x v="172"/>
    <n v="19"/>
    <x v="1"/>
    <n v="0"/>
  </r>
  <r>
    <x v="33"/>
    <x v="173"/>
    <n v="12"/>
    <x v="4"/>
    <n v="0"/>
  </r>
  <r>
    <x v="50"/>
    <x v="174"/>
    <n v="11"/>
    <x v="1"/>
    <n v="2"/>
  </r>
  <r>
    <x v="39"/>
    <x v="98"/>
    <n v="10"/>
    <x v="9"/>
    <n v="0"/>
  </r>
  <r>
    <x v="39"/>
    <x v="143"/>
    <n v="20"/>
    <x v="12"/>
    <n v="0"/>
  </r>
  <r>
    <x v="39"/>
    <x v="160"/>
    <n v="10"/>
    <x v="9"/>
    <n v="0"/>
  </r>
  <r>
    <x v="39"/>
    <x v="160"/>
    <n v="10"/>
    <x v="9"/>
    <n v="0"/>
  </r>
  <r>
    <x v="39"/>
    <x v="98"/>
    <n v="10"/>
    <x v="9"/>
    <n v="0"/>
  </r>
  <r>
    <x v="39"/>
    <x v="143"/>
    <n v="20"/>
    <x v="12"/>
    <n v="0"/>
  </r>
  <r>
    <x v="51"/>
    <x v="175"/>
    <n v="11"/>
    <x v="1"/>
    <n v="2"/>
  </r>
  <r>
    <x v="39"/>
    <x v="176"/>
    <n v="17"/>
    <x v="10"/>
    <n v="0"/>
  </r>
  <r>
    <x v="39"/>
    <x v="177"/>
    <n v="17"/>
    <x v="10"/>
    <n v="0"/>
  </r>
  <r>
    <x v="39"/>
    <x v="178"/>
    <n v="17"/>
    <x v="10"/>
    <n v="0"/>
  </r>
  <r>
    <x v="39"/>
    <x v="143"/>
    <n v="20"/>
    <x v="12"/>
    <n v="0"/>
  </r>
  <r>
    <x v="39"/>
    <x v="179"/>
    <n v="10"/>
    <x v="9"/>
    <n v="0"/>
  </r>
  <r>
    <x v="39"/>
    <x v="180"/>
    <n v="1"/>
    <x v="16"/>
    <n v="0"/>
  </r>
  <r>
    <x v="52"/>
    <x v="181"/>
    <n v="11"/>
    <x v="1"/>
    <n v="2"/>
  </r>
  <r>
    <x v="43"/>
    <x v="98"/>
    <n v="20"/>
    <x v="12"/>
    <n v="0"/>
  </r>
  <r>
    <x v="39"/>
    <x v="155"/>
    <n v="1"/>
    <x v="16"/>
    <n v="0"/>
  </r>
  <r>
    <x v="39"/>
    <x v="143"/>
    <n v="20"/>
    <x v="12"/>
    <n v="0"/>
  </r>
  <r>
    <x v="39"/>
    <x v="143"/>
    <n v="20"/>
    <x v="12"/>
    <n v="0"/>
  </r>
  <r>
    <x v="53"/>
    <x v="182"/>
    <n v="15"/>
    <x v="0"/>
    <n v="0"/>
  </r>
  <r>
    <x v="54"/>
    <x v="183"/>
    <n v="11"/>
    <x v="1"/>
    <n v="2"/>
  </r>
  <r>
    <x v="39"/>
    <x v="180"/>
    <n v="1"/>
    <x v="16"/>
    <n v="0"/>
  </r>
  <r>
    <x v="55"/>
    <x v="184"/>
    <n v="11"/>
    <x v="1"/>
    <n v="2"/>
  </r>
  <r>
    <x v="39"/>
    <x v="98"/>
    <n v="10"/>
    <x v="9"/>
    <n v="0"/>
  </r>
  <r>
    <x v="39"/>
    <x v="98"/>
    <n v="10"/>
    <x v="9"/>
    <n v="0"/>
  </r>
  <r>
    <x v="28"/>
    <x v="185"/>
    <n v="11"/>
    <x v="1"/>
    <n v="2"/>
  </r>
  <r>
    <x v="39"/>
    <x v="178"/>
    <n v="17"/>
    <x v="10"/>
    <n v="0"/>
  </r>
  <r>
    <x v="39"/>
    <x v="98"/>
    <n v="10"/>
    <x v="9"/>
    <n v="0"/>
  </r>
  <r>
    <x v="39"/>
    <x v="143"/>
    <n v="20"/>
    <x v="12"/>
    <n v="0"/>
  </r>
  <r>
    <x v="56"/>
    <x v="186"/>
    <n v="11"/>
    <x v="1"/>
    <n v="2"/>
  </r>
  <r>
    <x v="39"/>
    <x v="143"/>
    <n v="20"/>
    <x v="12"/>
    <n v="0"/>
  </r>
  <r>
    <x v="56"/>
    <x v="187"/>
    <n v="11"/>
    <x v="1"/>
    <n v="2"/>
  </r>
  <r>
    <x v="2"/>
    <x v="180"/>
    <n v="1"/>
    <x v="16"/>
    <n v="0"/>
  </r>
  <r>
    <x v="39"/>
    <x v="155"/>
    <n v="1"/>
    <x v="16"/>
    <n v="0"/>
  </r>
  <r>
    <x v="57"/>
    <x v="188"/>
    <n v="11"/>
    <x v="1"/>
    <n v="2"/>
  </r>
  <r>
    <x v="2"/>
    <x v="189"/>
    <n v="10"/>
    <x v="9"/>
    <n v="1"/>
  </r>
  <r>
    <x v="58"/>
    <x v="190"/>
    <n v="11"/>
    <x v="1"/>
    <n v="2"/>
  </r>
  <r>
    <x v="39"/>
    <x v="191"/>
    <n v="14"/>
    <x v="12"/>
    <n v="1"/>
  </r>
  <r>
    <x v="55"/>
    <x v="192"/>
    <n v="11"/>
    <x v="1"/>
    <n v="2"/>
  </r>
  <r>
    <x v="39"/>
    <x v="177"/>
    <n v="17"/>
    <x v="10"/>
    <n v="0"/>
  </r>
  <r>
    <x v="53"/>
    <x v="193"/>
    <n v="11"/>
    <x v="1"/>
    <n v="2"/>
  </r>
  <r>
    <x v="53"/>
    <x v="194"/>
    <n v="11"/>
    <x v="1"/>
    <n v="2"/>
  </r>
  <r>
    <x v="59"/>
    <x v="195"/>
    <n v="11"/>
    <x v="1"/>
    <n v="2"/>
  </r>
  <r>
    <x v="57"/>
    <x v="196"/>
    <n v="11"/>
    <x v="1"/>
    <n v="2"/>
  </r>
  <r>
    <x v="60"/>
    <x v="197"/>
    <n v="11"/>
    <x v="1"/>
    <n v="2"/>
  </r>
  <r>
    <x v="39"/>
    <x v="143"/>
    <n v="20"/>
    <x v="12"/>
    <n v="0"/>
  </r>
  <r>
    <x v="39"/>
    <x v="143"/>
    <n v="20"/>
    <x v="12"/>
    <n v="0"/>
  </r>
  <r>
    <x v="61"/>
    <x v="191"/>
    <n v="14"/>
    <x v="12"/>
    <n v="1"/>
  </r>
  <r>
    <x v="39"/>
    <x v="98"/>
    <n v="10"/>
    <x v="9"/>
    <n v="0"/>
  </r>
  <r>
    <x v="62"/>
    <x v="198"/>
    <n v="14"/>
    <x v="12"/>
    <n v="1"/>
  </r>
  <r>
    <x v="39"/>
    <x v="191"/>
    <n v="14"/>
    <x v="12"/>
    <n v="1"/>
  </r>
  <r>
    <x v="39"/>
    <x v="98"/>
    <n v="10"/>
    <x v="9"/>
    <n v="0"/>
  </r>
  <r>
    <x v="63"/>
    <x v="143"/>
    <n v="20"/>
    <x v="12"/>
    <n v="0"/>
  </r>
  <r>
    <x v="39"/>
    <x v="191"/>
    <n v="14"/>
    <x v="12"/>
    <n v="1"/>
  </r>
  <r>
    <x v="64"/>
    <x v="199"/>
    <n v="11"/>
    <x v="1"/>
    <n v="2"/>
  </r>
  <r>
    <x v="65"/>
    <x v="200"/>
    <n v="12"/>
    <x v="4"/>
    <n v="1"/>
  </r>
  <r>
    <x v="39"/>
    <x v="178"/>
    <n v="17"/>
    <x v="10"/>
    <n v="0"/>
  </r>
  <r>
    <x v="39"/>
    <x v="191"/>
    <n v="14"/>
    <x v="12"/>
    <n v="1"/>
  </r>
  <r>
    <x v="39"/>
    <x v="98"/>
    <n v="10"/>
    <x v="9"/>
    <n v="0"/>
  </r>
  <r>
    <x v="39"/>
    <x v="98"/>
    <n v="10"/>
    <x v="9"/>
    <n v="0"/>
  </r>
  <r>
    <x v="66"/>
    <x v="201"/>
    <n v="11"/>
    <x v="1"/>
    <n v="2"/>
  </r>
  <r>
    <x v="39"/>
    <x v="143"/>
    <n v="20"/>
    <x v="12"/>
    <n v="0"/>
  </r>
  <r>
    <x v="39"/>
    <x v="191"/>
    <n v="14"/>
    <x v="12"/>
    <n v="1"/>
  </r>
  <r>
    <x v="39"/>
    <x v="143"/>
    <n v="20"/>
    <x v="12"/>
    <n v="0"/>
  </r>
  <r>
    <x v="67"/>
    <x v="202"/>
    <n v="11"/>
    <x v="1"/>
    <n v="2"/>
  </r>
  <r>
    <x v="39"/>
    <x v="191"/>
    <n v="14"/>
    <x v="12"/>
    <n v="1"/>
  </r>
  <r>
    <x v="68"/>
    <x v="203"/>
    <n v="11"/>
    <x v="1"/>
    <n v="2"/>
  </r>
  <r>
    <x v="69"/>
    <x v="204"/>
    <n v="11"/>
    <x v="1"/>
    <n v="2"/>
  </r>
  <r>
    <x v="39"/>
    <x v="180"/>
    <n v="1"/>
    <x v="16"/>
    <n v="0"/>
  </r>
  <r>
    <x v="70"/>
    <x v="205"/>
    <n v="18"/>
    <x v="17"/>
    <n v="0"/>
  </r>
  <r>
    <x v="71"/>
    <x v="155"/>
    <n v="1"/>
    <x v="16"/>
    <n v="0"/>
  </r>
  <r>
    <x v="39"/>
    <x v="206"/>
    <n v="10"/>
    <x v="18"/>
    <n v="1"/>
  </r>
  <r>
    <x v="39"/>
    <x v="178"/>
    <n v="17"/>
    <x v="10"/>
    <n v="0"/>
  </r>
  <r>
    <x v="39"/>
    <x v="178"/>
    <n v="17"/>
    <x v="10"/>
    <n v="0"/>
  </r>
  <r>
    <x v="65"/>
    <x v="206"/>
    <n v="10"/>
    <x v="9"/>
    <n v="1"/>
  </r>
  <r>
    <x v="39"/>
    <x v="191"/>
    <n v="14"/>
    <x v="12"/>
    <n v="1"/>
  </r>
  <r>
    <x v="57"/>
    <x v="196"/>
    <n v="11"/>
    <x v="1"/>
    <n v="2"/>
  </r>
  <r>
    <x v="39"/>
    <x v="207"/>
    <n v="14"/>
    <x v="12"/>
    <n v="1"/>
  </r>
  <r>
    <x v="72"/>
    <x v="208"/>
    <n v="11"/>
    <x v="1"/>
    <n v="2"/>
  </r>
  <r>
    <x v="73"/>
    <x v="209"/>
    <n v="14"/>
    <x v="12"/>
    <n v="1"/>
  </r>
  <r>
    <x v="74"/>
    <x v="210"/>
    <n v="11"/>
    <x v="1"/>
    <n v="2"/>
  </r>
  <r>
    <x v="60"/>
    <x v="211"/>
    <n v="11"/>
    <x v="1"/>
    <n v="2"/>
  </r>
  <r>
    <x v="68"/>
    <x v="212"/>
    <n v="11"/>
    <x v="1"/>
    <n v="2"/>
  </r>
  <r>
    <x v="75"/>
    <x v="213"/>
    <n v="11"/>
    <x v="1"/>
    <n v="2"/>
  </r>
  <r>
    <x v="76"/>
    <x v="214"/>
    <n v="11"/>
    <x v="1"/>
    <n v="2"/>
  </r>
  <r>
    <x v="39"/>
    <x v="215"/>
    <n v="14"/>
    <x v="12"/>
    <n v="1"/>
  </r>
  <r>
    <x v="39"/>
    <x v="215"/>
    <n v="14"/>
    <x v="12"/>
    <n v="1"/>
  </r>
  <r>
    <x v="54"/>
    <x v="216"/>
    <n v="11"/>
    <x v="1"/>
    <n v="2"/>
  </r>
  <r>
    <x v="26"/>
    <x v="217"/>
    <n v="11"/>
    <x v="1"/>
    <n v="2"/>
  </r>
  <r>
    <x v="41"/>
    <x v="198"/>
    <n v="14"/>
    <x v="12"/>
    <n v="1"/>
  </r>
  <r>
    <x v="54"/>
    <x v="218"/>
    <n v="11"/>
    <x v="1"/>
    <n v="2"/>
  </r>
  <r>
    <x v="26"/>
    <x v="219"/>
    <n v="11"/>
    <x v="1"/>
    <n v="2"/>
  </r>
  <r>
    <x v="54"/>
    <x v="220"/>
    <n v="11"/>
    <x v="1"/>
    <n v="2"/>
  </r>
  <r>
    <x v="77"/>
    <x v="221"/>
    <n v="11"/>
    <x v="1"/>
    <n v="2"/>
  </r>
  <r>
    <x v="78"/>
    <x v="222"/>
    <n v="11"/>
    <x v="1"/>
    <n v="2"/>
  </r>
  <r>
    <x v="79"/>
    <x v="223"/>
    <n v="11"/>
    <x v="1"/>
    <n v="2"/>
  </r>
  <r>
    <x v="80"/>
    <x v="224"/>
    <n v="6"/>
    <x v="3"/>
    <n v="0"/>
  </r>
  <r>
    <x v="80"/>
    <x v="207"/>
    <n v="14"/>
    <x v="12"/>
    <n v="1"/>
  </r>
  <r>
    <x v="81"/>
    <x v="198"/>
    <n v="14"/>
    <x v="12"/>
    <n v="1"/>
  </r>
  <r>
    <x v="2"/>
    <x v="198"/>
    <n v="14"/>
    <x v="12"/>
    <n v="1"/>
  </r>
  <r>
    <x v="82"/>
    <x v="98"/>
    <n v="20"/>
    <x v="12"/>
    <n v="0"/>
  </r>
  <r>
    <x v="82"/>
    <x v="225"/>
    <n v="16"/>
    <x v="18"/>
    <n v="1"/>
  </r>
  <r>
    <x v="83"/>
    <x v="226"/>
    <n v="11"/>
    <x v="1"/>
    <n v="2"/>
  </r>
  <r>
    <x v="84"/>
    <x v="227"/>
    <n v="11"/>
    <x v="1"/>
    <n v="2"/>
  </r>
  <r>
    <x v="85"/>
    <x v="228"/>
    <n v="12"/>
    <x v="4"/>
    <n v="1"/>
  </r>
  <r>
    <x v="86"/>
    <x v="229"/>
    <n v="13"/>
    <x v="19"/>
    <n v="1"/>
  </r>
  <r>
    <x v="87"/>
    <x v="230"/>
    <n v="14"/>
    <x v="12"/>
    <n v="1"/>
  </r>
  <r>
    <x v="88"/>
    <x v="231"/>
    <n v="11"/>
    <x v="1"/>
    <n v="2"/>
  </r>
  <r>
    <x v="89"/>
    <x v="232"/>
    <n v="11"/>
    <x v="1"/>
    <n v="2"/>
  </r>
  <r>
    <x v="90"/>
    <x v="233"/>
    <n v="14"/>
    <x v="12"/>
    <n v="1"/>
  </r>
  <r>
    <x v="91"/>
    <x v="234"/>
    <n v="12"/>
    <x v="4"/>
    <n v="1"/>
  </r>
  <r>
    <x v="92"/>
    <x v="235"/>
    <n v="13"/>
    <x v="19"/>
    <n v="1"/>
  </r>
  <r>
    <x v="93"/>
    <x v="236"/>
    <n v="12"/>
    <x v="4"/>
    <n v="1"/>
  </r>
  <r>
    <x v="94"/>
    <x v="237"/>
    <n v="13"/>
    <x v="19"/>
    <n v="1"/>
  </r>
  <r>
    <x v="95"/>
    <x v="238"/>
    <n v="14"/>
    <x v="12"/>
    <n v="1"/>
  </r>
  <r>
    <x v="96"/>
    <x v="239"/>
    <n v="19"/>
    <x v="1"/>
    <n v="2"/>
  </r>
  <r>
    <x v="96"/>
    <x v="240"/>
    <n v="11"/>
    <x v="1"/>
    <n v="2"/>
  </r>
  <r>
    <x v="97"/>
    <x v="241"/>
    <n v="13"/>
    <x v="19"/>
    <n v="1"/>
  </r>
  <r>
    <x v="98"/>
    <x v="242"/>
    <n v="13"/>
    <x v="19"/>
    <n v="1"/>
  </r>
  <r>
    <x v="86"/>
    <x v="243"/>
    <n v="13"/>
    <x v="19"/>
    <n v="1"/>
  </r>
  <r>
    <x v="82"/>
    <x v="243"/>
    <n v="13"/>
    <x v="19"/>
    <n v="1"/>
  </r>
  <r>
    <x v="86"/>
    <x v="230"/>
    <n v="14"/>
    <x v="12"/>
    <n v="1"/>
  </r>
  <r>
    <x v="99"/>
    <x v="230"/>
    <n v="14"/>
    <x v="12"/>
    <n v="1"/>
  </r>
  <r>
    <x v="100"/>
    <x v="198"/>
    <n v="14"/>
    <x v="12"/>
    <n v="1"/>
  </r>
  <r>
    <x v="101"/>
    <x v="244"/>
    <n v="11"/>
    <x v="1"/>
    <n v="2"/>
  </r>
  <r>
    <x v="102"/>
    <x v="245"/>
    <n v="14"/>
    <x v="12"/>
    <n v="1"/>
  </r>
  <r>
    <x v="102"/>
    <x v="246"/>
    <n v="12"/>
    <x v="4"/>
    <n v="1"/>
  </r>
  <r>
    <x v="103"/>
    <x v="247"/>
    <n v="13"/>
    <x v="19"/>
    <n v="1"/>
  </r>
  <r>
    <x v="104"/>
    <x v="207"/>
    <n v="14"/>
    <x v="12"/>
    <n v="1"/>
  </r>
  <r>
    <x v="105"/>
    <x v="198"/>
    <n v="14"/>
    <x v="12"/>
    <n v="1"/>
  </r>
  <r>
    <x v="106"/>
    <x v="248"/>
    <n v="3"/>
    <x v="20"/>
    <n v="0"/>
  </r>
  <r>
    <x v="82"/>
    <x v="249"/>
    <n v="13"/>
    <x v="19"/>
    <n v="1"/>
  </r>
  <r>
    <x v="107"/>
    <x v="207"/>
    <n v="14"/>
    <x v="12"/>
    <n v="1"/>
  </r>
  <r>
    <x v="108"/>
    <x v="250"/>
    <n v="13"/>
    <x v="19"/>
    <n v="1"/>
  </r>
  <r>
    <x v="109"/>
    <x v="251"/>
    <n v="11"/>
    <x v="1"/>
    <n v="2"/>
  </r>
  <r>
    <x v="110"/>
    <x v="252"/>
    <n v="11"/>
    <x v="1"/>
    <n v="2"/>
  </r>
  <r>
    <x v="111"/>
    <x v="253"/>
    <n v="11"/>
    <x v="1"/>
    <n v="2"/>
  </r>
  <r>
    <x v="112"/>
    <x v="254"/>
    <n v="11"/>
    <x v="1"/>
    <n v="2"/>
  </r>
  <r>
    <x v="113"/>
    <x v="255"/>
    <n v="12"/>
    <x v="4"/>
    <n v="0"/>
  </r>
  <r>
    <x v="114"/>
    <x v="256"/>
    <n v="11"/>
    <x v="1"/>
    <n v="2"/>
  </r>
  <r>
    <x v="115"/>
    <x v="257"/>
    <n v="11"/>
    <x v="1"/>
    <n v="2"/>
  </r>
  <r>
    <x v="116"/>
    <x v="258"/>
    <n v="11"/>
    <x v="1"/>
    <n v="2"/>
  </r>
  <r>
    <x v="117"/>
    <x v="259"/>
    <n v="11"/>
    <x v="1"/>
    <n v="2"/>
  </r>
  <r>
    <x v="118"/>
    <x v="260"/>
    <n v="11"/>
    <x v="1"/>
    <n v="2"/>
  </r>
  <r>
    <x v="119"/>
    <x v="261"/>
    <n v="11"/>
    <x v="1"/>
    <n v="2"/>
  </r>
  <r>
    <x v="120"/>
    <x v="262"/>
    <n v="11"/>
    <x v="1"/>
    <n v="2"/>
  </r>
  <r>
    <x v="121"/>
    <x v="263"/>
    <n v="11"/>
    <x v="1"/>
    <n v="2"/>
  </r>
  <r>
    <x v="122"/>
    <x v="264"/>
    <n v="11"/>
    <x v="1"/>
    <n v="2"/>
  </r>
  <r>
    <x v="123"/>
    <x v="265"/>
    <n v="11"/>
    <x v="1"/>
    <n v="2"/>
  </r>
  <r>
    <x v="119"/>
    <x v="266"/>
    <n v="11"/>
    <x v="1"/>
    <n v="2"/>
  </r>
  <r>
    <x v="124"/>
    <x v="267"/>
    <n v="18"/>
    <x v="17"/>
    <n v="0"/>
  </r>
  <r>
    <x v="125"/>
    <x v="268"/>
    <n v="11"/>
    <x v="1"/>
    <n v="2"/>
  </r>
  <r>
    <x v="126"/>
    <x v="269"/>
    <n v="11"/>
    <x v="1"/>
    <n v="2"/>
  </r>
  <r>
    <x v="127"/>
    <x v="270"/>
    <n v="11"/>
    <x v="1"/>
    <n v="2"/>
  </r>
  <r>
    <x v="128"/>
    <x v="271"/>
    <n v="11"/>
    <x v="1"/>
    <n v="2"/>
  </r>
  <r>
    <x v="129"/>
    <x v="272"/>
    <n v="11"/>
    <x v="1"/>
    <n v="2"/>
  </r>
  <r>
    <x v="130"/>
    <x v="273"/>
    <n v="11"/>
    <x v="1"/>
    <n v="2"/>
  </r>
  <r>
    <x v="131"/>
    <x v="274"/>
    <n v="11"/>
    <x v="1"/>
    <n v="2"/>
  </r>
  <r>
    <x v="132"/>
    <x v="275"/>
    <n v="11"/>
    <x v="1"/>
    <n v="2"/>
  </r>
  <r>
    <x v="133"/>
    <x v="276"/>
    <n v="11"/>
    <x v="1"/>
    <n v="2"/>
  </r>
  <r>
    <x v="134"/>
    <x v="277"/>
    <n v="11"/>
    <x v="1"/>
    <n v="2"/>
  </r>
  <r>
    <x v="135"/>
    <x v="278"/>
    <n v="11"/>
    <x v="1"/>
    <n v="2"/>
  </r>
  <r>
    <x v="136"/>
    <x v="279"/>
    <n v="11"/>
    <x v="1"/>
    <n v="2"/>
  </r>
  <r>
    <x v="137"/>
    <x v="280"/>
    <n v="11"/>
    <x v="1"/>
    <n v="2"/>
  </r>
  <r>
    <x v="138"/>
    <x v="281"/>
    <n v="11"/>
    <x v="1"/>
    <n v="2"/>
  </r>
  <r>
    <x v="102"/>
    <x v="282"/>
    <n v="18"/>
    <x v="17"/>
    <n v="0"/>
  </r>
  <r>
    <x v="139"/>
    <x v="283"/>
    <n v="11"/>
    <x v="1"/>
    <n v="2"/>
  </r>
  <r>
    <x v="140"/>
    <x v="284"/>
    <n v="11"/>
    <x v="1"/>
    <n v="2"/>
  </r>
  <r>
    <x v="141"/>
    <x v="285"/>
    <n v="11"/>
    <x v="1"/>
    <n v="2"/>
  </r>
  <r>
    <x v="82"/>
    <x v="286"/>
    <n v="11"/>
    <x v="1"/>
    <n v="2"/>
  </r>
  <r>
    <x v="142"/>
    <x v="287"/>
    <n v="11"/>
    <x v="1"/>
    <n v="2"/>
  </r>
  <r>
    <x v="82"/>
    <x v="288"/>
    <n v="20"/>
    <x v="12"/>
    <n v="0"/>
  </r>
  <r>
    <x v="82"/>
    <x v="289"/>
    <n v="13"/>
    <x v="19"/>
    <n v="1"/>
  </r>
  <r>
    <x v="82"/>
    <x v="288"/>
    <n v="20"/>
    <x v="12"/>
    <n v="0"/>
  </r>
  <r>
    <x v="82"/>
    <x v="290"/>
    <n v="18"/>
    <x v="17"/>
    <n v="0"/>
  </r>
  <r>
    <x v="82"/>
    <x v="291"/>
    <n v="16"/>
    <x v="18"/>
    <n v="1"/>
  </r>
  <r>
    <x v="143"/>
    <x v="292"/>
    <n v="13"/>
    <x v="19"/>
    <n v="1"/>
  </r>
  <r>
    <x v="144"/>
    <x v="293"/>
    <n v="11"/>
    <x v="1"/>
    <n v="2"/>
  </r>
  <r>
    <x v="82"/>
    <x v="294"/>
    <n v="16"/>
    <x v="18"/>
    <n v="1"/>
  </r>
  <r>
    <x v="83"/>
    <x v="295"/>
    <n v="11"/>
    <x v="1"/>
    <n v="2"/>
  </r>
  <r>
    <x v="145"/>
    <x v="296"/>
    <n v="11"/>
    <x v="1"/>
    <n v="2"/>
  </r>
  <r>
    <x v="82"/>
    <x v="297"/>
    <n v="11"/>
    <x v="1"/>
    <n v="2"/>
  </r>
  <r>
    <x v="82"/>
    <x v="298"/>
    <n v="16"/>
    <x v="18"/>
    <n v="1"/>
  </r>
  <r>
    <x v="146"/>
    <x v="299"/>
    <n v="11"/>
    <x v="1"/>
    <n v="2"/>
  </r>
  <r>
    <x v="82"/>
    <x v="300"/>
    <n v="12"/>
    <x v="4"/>
    <n v="1"/>
  </r>
  <r>
    <x v="82"/>
    <x v="294"/>
    <n v="16"/>
    <x v="18"/>
    <n v="1"/>
  </r>
  <r>
    <x v="82"/>
    <x v="301"/>
    <n v="18"/>
    <x v="17"/>
    <n v="0"/>
  </r>
  <r>
    <x v="147"/>
    <x v="302"/>
    <n v="11"/>
    <x v="1"/>
    <n v="2"/>
  </r>
  <r>
    <x v="143"/>
    <x v="298"/>
    <n v="10"/>
    <x v="18"/>
    <n v="1"/>
  </r>
  <r>
    <x v="82"/>
    <x v="298"/>
    <n v="16"/>
    <x v="18"/>
    <n v="1"/>
  </r>
  <r>
    <x v="82"/>
    <x v="294"/>
    <n v="16"/>
    <x v="18"/>
    <n v="1"/>
  </r>
  <r>
    <x v="148"/>
    <x v="303"/>
    <n v="11"/>
    <x v="1"/>
    <n v="2"/>
  </r>
  <r>
    <x v="82"/>
    <x v="294"/>
    <n v="16"/>
    <x v="18"/>
    <n v="1"/>
  </r>
  <r>
    <x v="82"/>
    <x v="294"/>
    <n v="16"/>
    <x v="18"/>
    <n v="1"/>
  </r>
  <r>
    <x v="82"/>
    <x v="304"/>
    <n v="12"/>
    <x v="4"/>
    <n v="1"/>
  </r>
  <r>
    <x v="82"/>
    <x v="305"/>
    <n v="16"/>
    <x v="18"/>
    <n v="1"/>
  </r>
  <r>
    <x v="82"/>
    <x v="306"/>
    <n v="17"/>
    <x v="10"/>
    <n v="0"/>
  </r>
  <r>
    <x v="143"/>
    <x v="307"/>
    <n v="10"/>
    <x v="9"/>
    <n v="0"/>
  </r>
  <r>
    <x v="82"/>
    <x v="294"/>
    <n v="16"/>
    <x v="18"/>
    <n v="1"/>
  </r>
  <r>
    <x v="82"/>
    <x v="308"/>
    <n v="11"/>
    <x v="1"/>
    <n v="2"/>
  </r>
  <r>
    <x v="82"/>
    <x v="157"/>
    <n v="20"/>
    <x v="12"/>
    <n v="0"/>
  </r>
  <r>
    <x v="149"/>
    <x v="309"/>
    <n v="11"/>
    <x v="1"/>
    <n v="2"/>
  </r>
  <r>
    <x v="82"/>
    <x v="157"/>
    <n v="20"/>
    <x v="12"/>
    <n v="0"/>
  </r>
  <r>
    <x v="82"/>
    <x v="310"/>
    <n v="12"/>
    <x v="4"/>
    <n v="1"/>
  </r>
  <r>
    <x v="82"/>
    <x v="311"/>
    <n v="20"/>
    <x v="12"/>
    <n v="0"/>
  </r>
  <r>
    <x v="82"/>
    <x v="312"/>
    <n v="9"/>
    <x v="7"/>
    <n v="0"/>
  </r>
  <r>
    <x v="82"/>
    <x v="313"/>
    <n v="10"/>
    <x v="9"/>
    <n v="0"/>
  </r>
  <r>
    <x v="150"/>
    <x v="314"/>
    <m/>
    <x v="2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C1ACFB-E0E2-4E5B-99EF-AD2E60ADE74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6" firstHeaderRow="1" firstDataRow="1" firstDataCol="1"/>
  <pivotFields count="5">
    <pivotField showAll="0">
      <items count="152">
        <item x="106"/>
        <item x="135"/>
        <item x="133"/>
        <item x="62"/>
        <item x="117"/>
        <item x="99"/>
        <item x="91"/>
        <item x="118"/>
        <item x="87"/>
        <item x="80"/>
        <item x="121"/>
        <item x="115"/>
        <item x="141"/>
        <item x="101"/>
        <item x="140"/>
        <item x="82"/>
        <item x="148"/>
        <item x="139"/>
        <item x="89"/>
        <item x="130"/>
        <item x="84"/>
        <item x="114"/>
        <item x="126"/>
        <item x="88"/>
        <item x="147"/>
        <item x="112"/>
        <item x="136"/>
        <item x="123"/>
        <item x="122"/>
        <item x="146"/>
        <item x="144"/>
        <item x="145"/>
        <item x="127"/>
        <item x="128"/>
        <item x="142"/>
        <item x="132"/>
        <item x="149"/>
        <item x="138"/>
        <item x="137"/>
        <item x="129"/>
        <item x="83"/>
        <item x="131"/>
        <item x="120"/>
        <item x="110"/>
        <item x="116"/>
        <item x="125"/>
        <item x="119"/>
        <item x="109"/>
        <item x="96"/>
        <item x="111"/>
        <item x="134"/>
        <item x="100"/>
        <item x="143"/>
        <item x="104"/>
        <item x="92"/>
        <item x="93"/>
        <item x="105"/>
        <item x="94"/>
        <item x="95"/>
        <item x="103"/>
        <item x="107"/>
        <item x="124"/>
        <item x="86"/>
        <item x="85"/>
        <item x="90"/>
        <item x="108"/>
        <item x="98"/>
        <item x="102"/>
        <item x="97"/>
        <item x="113"/>
        <item x="33"/>
        <item x="2"/>
        <item x="66"/>
        <item x="34"/>
        <item x="67"/>
        <item x="44"/>
        <item x="69"/>
        <item x="72"/>
        <item x="51"/>
        <item x="35"/>
        <item x="64"/>
        <item x="31"/>
        <item x="68"/>
        <item x="74"/>
        <item x="24"/>
        <item x="49"/>
        <item x="23"/>
        <item x="1"/>
        <item x="16"/>
        <item x="0"/>
        <item x="29"/>
        <item x="27"/>
        <item x="78"/>
        <item x="28"/>
        <item x="53"/>
        <item x="75"/>
        <item x="30"/>
        <item x="36"/>
        <item x="56"/>
        <item x="60"/>
        <item x="76"/>
        <item x="77"/>
        <item x="70"/>
        <item x="52"/>
        <item x="25"/>
        <item x="26"/>
        <item x="54"/>
        <item x="55"/>
        <item x="58"/>
        <item x="32"/>
        <item x="50"/>
        <item x="45"/>
        <item x="57"/>
        <item x="59"/>
        <item x="37"/>
        <item x="79"/>
        <item x="18"/>
        <item x="20"/>
        <item x="5"/>
        <item x="8"/>
        <item x="14"/>
        <item x="10"/>
        <item x="11"/>
        <item x="65"/>
        <item x="41"/>
        <item x="71"/>
        <item x="39"/>
        <item x="42"/>
        <item x="40"/>
        <item x="46"/>
        <item x="63"/>
        <item x="43"/>
        <item x="17"/>
        <item x="48"/>
        <item x="61"/>
        <item x="22"/>
        <item x="73"/>
        <item x="3"/>
        <item x="21"/>
        <item x="4"/>
        <item x="9"/>
        <item x="12"/>
        <item x="15"/>
        <item x="47"/>
        <item x="19"/>
        <item x="6"/>
        <item x="7"/>
        <item x="13"/>
        <item x="81"/>
        <item x="38"/>
        <item x="150"/>
        <item t="default"/>
      </items>
    </pivotField>
    <pivotField showAll="0">
      <items count="316">
        <item x="255"/>
        <item x="82"/>
        <item x="168"/>
        <item x="51"/>
        <item x="71"/>
        <item x="63"/>
        <item x="8"/>
        <item x="49"/>
        <item x="114"/>
        <item x="95"/>
        <item x="110"/>
        <item x="287"/>
        <item x="187"/>
        <item x="126"/>
        <item x="186"/>
        <item x="193"/>
        <item x="141"/>
        <item x="159"/>
        <item x="93"/>
        <item x="154"/>
        <item x="188"/>
        <item x="88"/>
        <item x="280"/>
        <item x="266"/>
        <item x="144"/>
        <item x="261"/>
        <item x="153"/>
        <item x="116"/>
        <item x="78"/>
        <item x="123"/>
        <item x="120"/>
        <item x="147"/>
        <item x="121"/>
        <item x="204"/>
        <item x="48"/>
        <item x="28"/>
        <item x="22"/>
        <item x="27"/>
        <item x="24"/>
        <item x="31"/>
        <item x="133"/>
        <item x="239"/>
        <item x="240"/>
        <item x="94"/>
        <item x="119"/>
        <item x="125"/>
        <item x="113"/>
        <item x="89"/>
        <item x="108"/>
        <item x="109"/>
        <item x="105"/>
        <item x="115"/>
        <item x="253"/>
        <item x="107"/>
        <item x="218"/>
        <item x="55"/>
        <item x="80"/>
        <item x="91"/>
        <item x="53"/>
        <item x="41"/>
        <item x="90"/>
        <item x="45"/>
        <item x="43"/>
        <item x="38"/>
        <item x="158"/>
        <item x="54"/>
        <item x="275"/>
        <item x="295"/>
        <item x="219"/>
        <item x="217"/>
        <item x="226"/>
        <item x="216"/>
        <item x="220"/>
        <item x="67"/>
        <item x="169"/>
        <item x="11"/>
        <item x="64"/>
        <item x="65"/>
        <item x="69"/>
        <item x="68"/>
        <item x="29"/>
        <item x="136"/>
        <item x="174"/>
        <item x="122"/>
        <item x="117"/>
        <item x="128"/>
        <item x="148"/>
        <item x="17"/>
        <item x="16"/>
        <item x="14"/>
        <item x="20"/>
        <item x="21"/>
        <item x="248"/>
        <item x="37"/>
        <item x="97"/>
        <item x="60"/>
        <item x="307"/>
        <item x="305"/>
        <item x="304"/>
        <item x="166"/>
        <item x="118"/>
        <item x="138"/>
        <item x="189"/>
        <item x="180"/>
        <item x="206"/>
        <item x="85"/>
        <item x="208"/>
        <item x="135"/>
        <item x="157"/>
        <item x="98"/>
        <item x="198"/>
        <item x="164"/>
        <item x="282"/>
        <item x="267"/>
        <item x="234"/>
        <item x="249"/>
        <item x="247"/>
        <item x="233"/>
        <item x="250"/>
        <item x="235"/>
        <item x="251"/>
        <item x="279"/>
        <item x="183"/>
        <item x="194"/>
        <item x="270"/>
        <item x="256"/>
        <item x="244"/>
        <item x="278"/>
        <item x="276"/>
        <item x="286"/>
        <item x="96"/>
        <item x="83"/>
        <item x="182"/>
        <item x="92"/>
        <item x="283"/>
        <item x="131"/>
        <item x="170"/>
        <item x="76"/>
        <item x="33"/>
        <item x="23"/>
        <item x="209"/>
        <item x="236"/>
        <item x="100"/>
        <item x="145"/>
        <item x="228"/>
        <item x="237"/>
        <item x="39"/>
        <item x="56"/>
        <item x="111"/>
        <item x="104"/>
        <item x="112"/>
        <item x="124"/>
        <item x="149"/>
        <item x="30"/>
        <item x="26"/>
        <item x="106"/>
        <item x="77"/>
        <item x="129"/>
        <item x="146"/>
        <item x="165"/>
        <item x="59"/>
        <item x="297"/>
        <item x="224"/>
        <item x="230"/>
        <item x="243"/>
        <item x="238"/>
        <item x="229"/>
        <item x="242"/>
        <item x="241"/>
        <item x="132"/>
        <item x="231"/>
        <item x="308"/>
        <item x="288"/>
        <item x="294"/>
        <item x="300"/>
        <item x="292"/>
        <item x="277"/>
        <item x="151"/>
        <item x="139"/>
        <item x="137"/>
        <item x="205"/>
        <item x="306"/>
        <item x="178"/>
        <item x="207"/>
        <item x="215"/>
        <item x="73"/>
        <item x="3"/>
        <item x="0"/>
        <item x="1"/>
        <item x="2"/>
        <item x="7"/>
        <item x="5"/>
        <item x="12"/>
        <item x="9"/>
        <item x="10"/>
        <item x="66"/>
        <item x="4"/>
        <item x="6"/>
        <item x="302"/>
        <item x="257"/>
        <item x="252"/>
        <item x="260"/>
        <item x="258"/>
        <item x="259"/>
        <item x="303"/>
        <item x="272"/>
        <item x="181"/>
        <item x="223"/>
        <item x="264"/>
        <item x="285"/>
        <item x="265"/>
        <item x="87"/>
        <item x="273"/>
        <item x="293"/>
        <item x="221"/>
        <item x="222"/>
        <item x="227"/>
        <item x="167"/>
        <item x="312"/>
        <item x="163"/>
        <item x="102"/>
        <item x="232"/>
        <item x="274"/>
        <item x="309"/>
        <item x="262"/>
        <item x="263"/>
        <item x="281"/>
        <item x="268"/>
        <item x="284"/>
        <item x="196"/>
        <item x="156"/>
        <item x="210"/>
        <item x="212"/>
        <item x="199"/>
        <item x="202"/>
        <item x="214"/>
        <item x="211"/>
        <item x="195"/>
        <item x="213"/>
        <item x="201"/>
        <item x="152"/>
        <item x="190"/>
        <item x="203"/>
        <item x="175"/>
        <item x="197"/>
        <item x="184"/>
        <item x="192"/>
        <item x="130"/>
        <item x="127"/>
        <item x="61"/>
        <item x="13"/>
        <item x="57"/>
        <item x="70"/>
        <item x="36"/>
        <item x="19"/>
        <item x="18"/>
        <item x="34"/>
        <item x="35"/>
        <item x="50"/>
        <item x="52"/>
        <item x="25"/>
        <item x="42"/>
        <item x="40"/>
        <item x="15"/>
        <item x="74"/>
        <item x="140"/>
        <item x="185"/>
        <item x="150"/>
        <item x="84"/>
        <item x="313"/>
        <item x="101"/>
        <item x="47"/>
        <item x="79"/>
        <item x="161"/>
        <item x="155"/>
        <item x="46"/>
        <item x="142"/>
        <item x="171"/>
        <item x="311"/>
        <item x="310"/>
        <item x="143"/>
        <item x="245"/>
        <item x="191"/>
        <item x="200"/>
        <item x="160"/>
        <item x="225"/>
        <item x="172"/>
        <item x="254"/>
        <item x="271"/>
        <item x="86"/>
        <item x="75"/>
        <item x="99"/>
        <item x="179"/>
        <item x="32"/>
        <item x="246"/>
        <item x="103"/>
        <item x="58"/>
        <item x="81"/>
        <item x="44"/>
        <item x="134"/>
        <item x="291"/>
        <item x="301"/>
        <item x="290"/>
        <item x="298"/>
        <item x="289"/>
        <item x="296"/>
        <item x="299"/>
        <item x="269"/>
        <item x="62"/>
        <item x="72"/>
        <item x="162"/>
        <item x="177"/>
        <item x="173"/>
        <item x="176"/>
        <item x="314"/>
        <item t="default"/>
      </items>
    </pivotField>
    <pivotField showAll="0"/>
    <pivotField axis="axisRow" dataField="1" showAll="0">
      <items count="23">
        <item x="3"/>
        <item x="15"/>
        <item x="5"/>
        <item x="8"/>
        <item x="16"/>
        <item x="7"/>
        <item x="11"/>
        <item x="14"/>
        <item x="6"/>
        <item x="13"/>
        <item x="12"/>
        <item x="2"/>
        <item x="18"/>
        <item x="9"/>
        <item x="17"/>
        <item x="1"/>
        <item x="4"/>
        <item x="19"/>
        <item x="0"/>
        <item x="20"/>
        <item x="10"/>
        <item x="21"/>
        <item t="default"/>
      </items>
    </pivotField>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agglomerativeClustering_LocallyLinearEmbedding_BERT11"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F8CAD25-45C6-4377-A33D-73DE3F19A878}" name="Table11" displayName="Table11" ref="A1:E552" totalsRowShown="0">
  <autoFilter ref="A1:E552" xr:uid="{BF8CAD25-45C6-4377-A33D-73DE3F19A878}"/>
  <tableColumns count="5">
    <tableColumn id="1" xr3:uid="{198C1B91-B899-4B85-8093-3D9D892F043E}" name="Failure Tags"/>
    <tableColumn id="2" xr3:uid="{BDC8E7CE-7A0C-4E42-960B-DB0119EDD257}" name="Errors"/>
    <tableColumn id="3" xr3:uid="{65A2892C-1479-41C8-B77F-896377A3FDA5}" name="kmeans_LocallyLinearEmbedding_BERT11"/>
    <tableColumn id="4" xr3:uid="{AC7D5C07-CC17-4323-9F4C-83D270C89734}" name="agglomerativeClustering_LocallyLinearEmbedding_BERT11"/>
    <tableColumn id="5" xr3:uid="{78C02FF5-65F0-42FD-A1E3-357C60A63070}" name="kmeans_SpectralEmbedding_BERT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A2" sqref="A2:XFD2"/>
    </sheetView>
  </sheetViews>
  <sheetFormatPr defaultRowHeight="14.5" x14ac:dyDescent="0.35"/>
  <cols>
    <col min="1" max="1" width="49.90625" bestFit="1" customWidth="1"/>
    <col min="5" max="5" width="31.90625" bestFit="1" customWidth="1"/>
  </cols>
  <sheetData>
    <row r="1" spans="1:6" x14ac:dyDescent="0.35">
      <c r="A1" s="1" t="s">
        <v>0</v>
      </c>
      <c r="B1" s="1" t="s">
        <v>1</v>
      </c>
      <c r="C1" s="1" t="s">
        <v>2</v>
      </c>
      <c r="D1" s="1" t="s">
        <v>3</v>
      </c>
      <c r="E1" s="1" t="s">
        <v>4</v>
      </c>
      <c r="F1" s="1" t="s">
        <v>5</v>
      </c>
    </row>
    <row r="2" spans="1:6" x14ac:dyDescent="0.35">
      <c r="A2" t="s">
        <v>6</v>
      </c>
      <c r="B2">
        <v>428625.88509504992</v>
      </c>
      <c r="C2">
        <v>0.7152101912466251</v>
      </c>
      <c r="D2">
        <v>0.33807342783534078</v>
      </c>
      <c r="E2">
        <v>1</v>
      </c>
      <c r="F2">
        <v>1</v>
      </c>
    </row>
    <row r="3" spans="1:6" x14ac:dyDescent="0.35">
      <c r="A3" t="s">
        <v>7</v>
      </c>
      <c r="B3">
        <v>298472.13282756251</v>
      </c>
      <c r="C3">
        <v>0.72376245571766518</v>
      </c>
      <c r="D3">
        <v>0.33682318469779821</v>
      </c>
      <c r="E3">
        <v>0.6963425769998316</v>
      </c>
      <c r="F3">
        <v>2</v>
      </c>
    </row>
    <row r="4" spans="1:6" x14ac:dyDescent="0.35">
      <c r="A4" t="s">
        <v>8</v>
      </c>
      <c r="B4">
        <v>38082.484372558938</v>
      </c>
      <c r="C4">
        <v>0.95141813607195536</v>
      </c>
      <c r="D4">
        <v>7.0087051237092926E-2</v>
      </c>
      <c r="E4">
        <v>8.8836083731271942E-2</v>
      </c>
      <c r="F4">
        <v>3.5</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549E4-2E7E-4FD8-9145-85BDE8EECB4A}">
  <dimension ref="A3:B26"/>
  <sheetViews>
    <sheetView topLeftCell="A7" zoomScale="71" workbookViewId="0">
      <selection activeCell="B6" sqref="B6"/>
    </sheetView>
  </sheetViews>
  <sheetFormatPr defaultRowHeight="14.5" x14ac:dyDescent="0.35"/>
  <cols>
    <col min="1" max="1" width="13.81640625" bestFit="1" customWidth="1"/>
    <col min="2" max="2" width="61.453125" bestFit="1" customWidth="1"/>
  </cols>
  <sheetData>
    <row r="3" spans="1:2" x14ac:dyDescent="0.35">
      <c r="A3" s="2" t="s">
        <v>475</v>
      </c>
      <c r="B3" t="s">
        <v>478</v>
      </c>
    </row>
    <row r="4" spans="1:2" x14ac:dyDescent="0.35">
      <c r="A4" s="3">
        <v>0</v>
      </c>
      <c r="B4">
        <v>2</v>
      </c>
    </row>
    <row r="5" spans="1:2" x14ac:dyDescent="0.35">
      <c r="A5" s="3">
        <v>1</v>
      </c>
      <c r="B5">
        <v>3</v>
      </c>
    </row>
    <row r="6" spans="1:2" x14ac:dyDescent="0.35">
      <c r="A6" s="3">
        <v>2</v>
      </c>
      <c r="B6">
        <v>12</v>
      </c>
    </row>
    <row r="7" spans="1:2" x14ac:dyDescent="0.35">
      <c r="A7" s="3">
        <v>3</v>
      </c>
      <c r="B7">
        <v>2</v>
      </c>
    </row>
    <row r="8" spans="1:2" x14ac:dyDescent="0.35">
      <c r="A8" s="3">
        <v>4</v>
      </c>
      <c r="B8">
        <v>16</v>
      </c>
    </row>
    <row r="9" spans="1:2" x14ac:dyDescent="0.35">
      <c r="A9" s="3">
        <v>5</v>
      </c>
      <c r="B9">
        <v>3</v>
      </c>
    </row>
    <row r="10" spans="1:2" x14ac:dyDescent="0.35">
      <c r="A10" s="3">
        <v>6</v>
      </c>
      <c r="B10">
        <v>1</v>
      </c>
    </row>
    <row r="11" spans="1:2" x14ac:dyDescent="0.35">
      <c r="A11" s="3">
        <v>7</v>
      </c>
      <c r="B11">
        <v>6</v>
      </c>
    </row>
    <row r="12" spans="1:2" x14ac:dyDescent="0.35">
      <c r="A12" s="3">
        <v>8</v>
      </c>
      <c r="B12">
        <v>1</v>
      </c>
    </row>
    <row r="13" spans="1:2" x14ac:dyDescent="0.35">
      <c r="A13" s="3">
        <v>9</v>
      </c>
      <c r="B13">
        <v>3</v>
      </c>
    </row>
    <row r="14" spans="1:2" x14ac:dyDescent="0.35">
      <c r="A14" s="3">
        <v>10</v>
      </c>
      <c r="B14">
        <v>103</v>
      </c>
    </row>
    <row r="15" spans="1:2" x14ac:dyDescent="0.35">
      <c r="A15" s="3">
        <v>11</v>
      </c>
      <c r="B15">
        <v>16</v>
      </c>
    </row>
    <row r="16" spans="1:2" x14ac:dyDescent="0.35">
      <c r="A16" s="3">
        <v>12</v>
      </c>
      <c r="B16">
        <v>13</v>
      </c>
    </row>
    <row r="17" spans="1:2" x14ac:dyDescent="0.35">
      <c r="A17" s="3">
        <v>13</v>
      </c>
      <c r="B17">
        <v>57</v>
      </c>
    </row>
    <row r="18" spans="1:2" x14ac:dyDescent="0.35">
      <c r="A18" s="3">
        <v>14</v>
      </c>
      <c r="B18">
        <v>5</v>
      </c>
    </row>
    <row r="19" spans="1:2" x14ac:dyDescent="0.35">
      <c r="A19" s="3">
        <v>15</v>
      </c>
      <c r="B19">
        <v>223</v>
      </c>
    </row>
    <row r="20" spans="1:2" x14ac:dyDescent="0.35">
      <c r="A20" s="3">
        <v>16</v>
      </c>
      <c r="B20">
        <v>29</v>
      </c>
    </row>
    <row r="21" spans="1:2" x14ac:dyDescent="0.35">
      <c r="A21" s="3">
        <v>17</v>
      </c>
      <c r="B21">
        <v>12</v>
      </c>
    </row>
    <row r="22" spans="1:2" x14ac:dyDescent="0.35">
      <c r="A22" s="3">
        <v>18</v>
      </c>
      <c r="B22">
        <v>33</v>
      </c>
    </row>
    <row r="23" spans="1:2" x14ac:dyDescent="0.35">
      <c r="A23" s="3">
        <v>19</v>
      </c>
      <c r="B23">
        <v>1</v>
      </c>
    </row>
    <row r="24" spans="1:2" x14ac:dyDescent="0.35">
      <c r="A24" s="3">
        <v>20</v>
      </c>
      <c r="B24">
        <v>10</v>
      </c>
    </row>
    <row r="25" spans="1:2" x14ac:dyDescent="0.35">
      <c r="A25" s="3" t="s">
        <v>476</v>
      </c>
    </row>
    <row r="26" spans="1:2" x14ac:dyDescent="0.35">
      <c r="A26" s="3" t="s">
        <v>477</v>
      </c>
      <c r="B26">
        <v>551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7AD40-6E17-49E8-B699-D168D142A50B}">
  <dimension ref="A1:E552"/>
  <sheetViews>
    <sheetView workbookViewId="0">
      <selection activeCell="D554" sqref="D554"/>
    </sheetView>
  </sheetViews>
  <sheetFormatPr defaultRowHeight="14.5" x14ac:dyDescent="0.35"/>
  <cols>
    <col min="1" max="1" width="12.6328125" customWidth="1"/>
    <col min="3" max="3" width="37.54296875" customWidth="1"/>
    <col min="4" max="4" width="46.7265625" customWidth="1"/>
    <col min="5" max="5" width="32.6328125" customWidth="1"/>
  </cols>
  <sheetData>
    <row r="1" spans="1:5" x14ac:dyDescent="0.35">
      <c r="A1" t="s">
        <v>9</v>
      </c>
      <c r="B1" t="s">
        <v>10</v>
      </c>
      <c r="C1" t="s">
        <v>7</v>
      </c>
      <c r="D1" t="s">
        <v>6</v>
      </c>
      <c r="E1" t="s">
        <v>8</v>
      </c>
    </row>
    <row r="2" spans="1:5" x14ac:dyDescent="0.35">
      <c r="A2" t="s">
        <v>315</v>
      </c>
      <c r="B2" t="s">
        <v>316</v>
      </c>
      <c r="C2">
        <v>6</v>
      </c>
      <c r="D2">
        <v>0</v>
      </c>
      <c r="E2">
        <v>0</v>
      </c>
    </row>
    <row r="3" spans="1:5" x14ac:dyDescent="0.35">
      <c r="A3" t="s">
        <v>21</v>
      </c>
      <c r="B3" t="s">
        <v>22</v>
      </c>
      <c r="C3">
        <v>6</v>
      </c>
      <c r="D3">
        <v>0</v>
      </c>
      <c r="E3">
        <v>0</v>
      </c>
    </row>
    <row r="4" spans="1:5" x14ac:dyDescent="0.35">
      <c r="A4" t="s">
        <v>214</v>
      </c>
      <c r="B4" t="s">
        <v>215</v>
      </c>
      <c r="C4">
        <v>2</v>
      </c>
      <c r="D4">
        <v>1</v>
      </c>
      <c r="E4">
        <v>0</v>
      </c>
    </row>
    <row r="5" spans="1:5" x14ac:dyDescent="0.35">
      <c r="A5" t="s">
        <v>21</v>
      </c>
      <c r="B5" t="s">
        <v>124</v>
      </c>
      <c r="C5">
        <v>2</v>
      </c>
      <c r="D5">
        <v>1</v>
      </c>
      <c r="E5">
        <v>0</v>
      </c>
    </row>
    <row r="6" spans="1:5" x14ac:dyDescent="0.35">
      <c r="A6" t="s">
        <v>21</v>
      </c>
      <c r="B6" t="s">
        <v>124</v>
      </c>
      <c r="C6">
        <v>2</v>
      </c>
      <c r="D6">
        <v>1</v>
      </c>
      <c r="E6">
        <v>0</v>
      </c>
    </row>
    <row r="7" spans="1:5" x14ac:dyDescent="0.35">
      <c r="A7" t="s">
        <v>21</v>
      </c>
      <c r="B7" t="s">
        <v>65</v>
      </c>
      <c r="C7">
        <v>3</v>
      </c>
      <c r="D7">
        <v>2</v>
      </c>
      <c r="E7">
        <v>0</v>
      </c>
    </row>
    <row r="8" spans="1:5" x14ac:dyDescent="0.35">
      <c r="A8" t="s">
        <v>21</v>
      </c>
      <c r="B8" t="s">
        <v>109</v>
      </c>
      <c r="C8">
        <v>3</v>
      </c>
      <c r="D8">
        <v>2</v>
      </c>
      <c r="E8">
        <v>0</v>
      </c>
    </row>
    <row r="9" spans="1:5" x14ac:dyDescent="0.35">
      <c r="A9" t="s">
        <v>111</v>
      </c>
      <c r="B9" t="s">
        <v>130</v>
      </c>
      <c r="C9">
        <v>3</v>
      </c>
      <c r="D9">
        <v>2</v>
      </c>
      <c r="E9">
        <v>0</v>
      </c>
    </row>
    <row r="10" spans="1:5" x14ac:dyDescent="0.35">
      <c r="A10" t="s">
        <v>21</v>
      </c>
      <c r="B10" t="s">
        <v>109</v>
      </c>
      <c r="C10">
        <v>3</v>
      </c>
      <c r="D10">
        <v>2</v>
      </c>
      <c r="E10">
        <v>0</v>
      </c>
    </row>
    <row r="11" spans="1:5" x14ac:dyDescent="0.35">
      <c r="A11" t="s">
        <v>21</v>
      </c>
      <c r="B11" t="s">
        <v>109</v>
      </c>
      <c r="C11">
        <v>3</v>
      </c>
      <c r="D11">
        <v>2</v>
      </c>
      <c r="E11">
        <v>0</v>
      </c>
    </row>
    <row r="12" spans="1:5" x14ac:dyDescent="0.35">
      <c r="A12" t="s">
        <v>21</v>
      </c>
      <c r="B12" t="s">
        <v>65</v>
      </c>
      <c r="C12">
        <v>3</v>
      </c>
      <c r="D12">
        <v>2</v>
      </c>
      <c r="E12">
        <v>0</v>
      </c>
    </row>
    <row r="13" spans="1:5" x14ac:dyDescent="0.35">
      <c r="A13" t="s">
        <v>21</v>
      </c>
      <c r="B13" t="s">
        <v>109</v>
      </c>
      <c r="C13">
        <v>3</v>
      </c>
      <c r="D13">
        <v>2</v>
      </c>
      <c r="E13">
        <v>0</v>
      </c>
    </row>
    <row r="14" spans="1:5" x14ac:dyDescent="0.35">
      <c r="A14" t="s">
        <v>21</v>
      </c>
      <c r="B14" t="s">
        <v>109</v>
      </c>
      <c r="C14">
        <v>3</v>
      </c>
      <c r="D14">
        <v>2</v>
      </c>
      <c r="E14">
        <v>0</v>
      </c>
    </row>
    <row r="15" spans="1:5" x14ac:dyDescent="0.35">
      <c r="A15" t="s">
        <v>111</v>
      </c>
      <c r="B15" t="s">
        <v>112</v>
      </c>
      <c r="C15">
        <v>3</v>
      </c>
      <c r="D15">
        <v>2</v>
      </c>
      <c r="E15">
        <v>0</v>
      </c>
    </row>
    <row r="16" spans="1:5" x14ac:dyDescent="0.35">
      <c r="A16" t="s">
        <v>21</v>
      </c>
      <c r="B16" t="s">
        <v>109</v>
      </c>
      <c r="C16">
        <v>3</v>
      </c>
      <c r="D16">
        <v>2</v>
      </c>
      <c r="E16">
        <v>0</v>
      </c>
    </row>
    <row r="17" spans="1:5" x14ac:dyDescent="0.35">
      <c r="A17" t="s">
        <v>21</v>
      </c>
      <c r="B17" t="s">
        <v>65</v>
      </c>
      <c r="C17">
        <v>3</v>
      </c>
      <c r="D17">
        <v>2</v>
      </c>
      <c r="E17">
        <v>0</v>
      </c>
    </row>
    <row r="18" spans="1:5" x14ac:dyDescent="0.35">
      <c r="A18" t="s">
        <v>21</v>
      </c>
      <c r="B18" t="s">
        <v>65</v>
      </c>
      <c r="C18">
        <v>3</v>
      </c>
      <c r="D18">
        <v>2</v>
      </c>
      <c r="E18">
        <v>0</v>
      </c>
    </row>
    <row r="19" spans="1:5" x14ac:dyDescent="0.35">
      <c r="A19" t="s">
        <v>224</v>
      </c>
      <c r="B19" t="s">
        <v>225</v>
      </c>
      <c r="C19">
        <v>4</v>
      </c>
      <c r="D19">
        <v>3</v>
      </c>
      <c r="E19">
        <v>0</v>
      </c>
    </row>
    <row r="20" spans="1:5" x14ac:dyDescent="0.35">
      <c r="A20" t="s">
        <v>21</v>
      </c>
      <c r="B20" t="s">
        <v>91</v>
      </c>
      <c r="C20">
        <v>4</v>
      </c>
      <c r="D20">
        <v>3</v>
      </c>
      <c r="E20">
        <v>0</v>
      </c>
    </row>
    <row r="21" spans="1:5" x14ac:dyDescent="0.35">
      <c r="A21" t="s">
        <v>288</v>
      </c>
      <c r="B21" t="s">
        <v>203</v>
      </c>
      <c r="C21">
        <v>1</v>
      </c>
      <c r="D21">
        <v>4</v>
      </c>
      <c r="E21">
        <v>0</v>
      </c>
    </row>
    <row r="22" spans="1:5" x14ac:dyDescent="0.35">
      <c r="A22" t="s">
        <v>210</v>
      </c>
      <c r="B22" t="s">
        <v>243</v>
      </c>
      <c r="C22">
        <v>1</v>
      </c>
      <c r="D22">
        <v>4</v>
      </c>
      <c r="E22">
        <v>0</v>
      </c>
    </row>
    <row r="23" spans="1:5" x14ac:dyDescent="0.35">
      <c r="A23" t="s">
        <v>210</v>
      </c>
      <c r="B23" t="s">
        <v>203</v>
      </c>
      <c r="C23">
        <v>1</v>
      </c>
      <c r="D23">
        <v>4</v>
      </c>
      <c r="E23">
        <v>0</v>
      </c>
    </row>
    <row r="24" spans="1:5" x14ac:dyDescent="0.35">
      <c r="A24" t="s">
        <v>21</v>
      </c>
      <c r="B24" t="s">
        <v>243</v>
      </c>
      <c r="C24">
        <v>1</v>
      </c>
      <c r="D24">
        <v>4</v>
      </c>
      <c r="E24">
        <v>0</v>
      </c>
    </row>
    <row r="25" spans="1:5" x14ac:dyDescent="0.35">
      <c r="A25" t="s">
        <v>210</v>
      </c>
      <c r="B25" t="s">
        <v>243</v>
      </c>
      <c r="C25">
        <v>1</v>
      </c>
      <c r="D25">
        <v>4</v>
      </c>
      <c r="E25">
        <v>0</v>
      </c>
    </row>
    <row r="26" spans="1:5" x14ac:dyDescent="0.35">
      <c r="A26" t="s">
        <v>210</v>
      </c>
      <c r="B26" t="s">
        <v>203</v>
      </c>
      <c r="C26">
        <v>1</v>
      </c>
      <c r="D26">
        <v>4</v>
      </c>
      <c r="E26">
        <v>0</v>
      </c>
    </row>
    <row r="27" spans="1:5" x14ac:dyDescent="0.35">
      <c r="A27" t="s">
        <v>210</v>
      </c>
      <c r="B27" t="s">
        <v>243</v>
      </c>
      <c r="C27">
        <v>1</v>
      </c>
      <c r="D27">
        <v>4</v>
      </c>
      <c r="E27">
        <v>0</v>
      </c>
    </row>
    <row r="28" spans="1:5" x14ac:dyDescent="0.35">
      <c r="A28" t="s">
        <v>231</v>
      </c>
      <c r="B28" t="s">
        <v>232</v>
      </c>
      <c r="C28">
        <v>1</v>
      </c>
      <c r="D28">
        <v>4</v>
      </c>
      <c r="E28">
        <v>0</v>
      </c>
    </row>
    <row r="29" spans="1:5" x14ac:dyDescent="0.35">
      <c r="A29" t="s">
        <v>229</v>
      </c>
      <c r="B29" t="s">
        <v>203</v>
      </c>
      <c r="C29">
        <v>1</v>
      </c>
      <c r="D29">
        <v>4</v>
      </c>
      <c r="E29">
        <v>0</v>
      </c>
    </row>
    <row r="30" spans="1:5" x14ac:dyDescent="0.35">
      <c r="A30" t="s">
        <v>21</v>
      </c>
      <c r="B30" t="s">
        <v>203</v>
      </c>
      <c r="C30">
        <v>1</v>
      </c>
      <c r="D30">
        <v>4</v>
      </c>
      <c r="E30">
        <v>0</v>
      </c>
    </row>
    <row r="31" spans="1:5" x14ac:dyDescent="0.35">
      <c r="A31" t="s">
        <v>210</v>
      </c>
      <c r="B31" t="s">
        <v>203</v>
      </c>
      <c r="C31">
        <v>1</v>
      </c>
      <c r="D31">
        <v>4</v>
      </c>
      <c r="E31">
        <v>0</v>
      </c>
    </row>
    <row r="32" spans="1:5" x14ac:dyDescent="0.35">
      <c r="A32" t="s">
        <v>216</v>
      </c>
      <c r="B32" t="s">
        <v>203</v>
      </c>
      <c r="C32">
        <v>1</v>
      </c>
      <c r="D32">
        <v>4</v>
      </c>
      <c r="E32">
        <v>0</v>
      </c>
    </row>
    <row r="33" spans="1:5" x14ac:dyDescent="0.35">
      <c r="A33" t="s">
        <v>210</v>
      </c>
      <c r="B33" t="s">
        <v>213</v>
      </c>
      <c r="C33">
        <v>1</v>
      </c>
      <c r="D33">
        <v>4</v>
      </c>
      <c r="E33">
        <v>0</v>
      </c>
    </row>
    <row r="34" spans="1:5" x14ac:dyDescent="0.35">
      <c r="A34" t="s">
        <v>210</v>
      </c>
      <c r="B34" t="s">
        <v>212</v>
      </c>
      <c r="C34">
        <v>1</v>
      </c>
      <c r="D34">
        <v>4</v>
      </c>
      <c r="E34">
        <v>0</v>
      </c>
    </row>
    <row r="35" spans="1:5" x14ac:dyDescent="0.35">
      <c r="A35" t="s">
        <v>21</v>
      </c>
      <c r="B35" t="s">
        <v>203</v>
      </c>
      <c r="C35">
        <v>1</v>
      </c>
      <c r="D35">
        <v>4</v>
      </c>
      <c r="E35">
        <v>0</v>
      </c>
    </row>
    <row r="36" spans="1:5" x14ac:dyDescent="0.35">
      <c r="A36" t="s">
        <v>21</v>
      </c>
      <c r="B36" t="s">
        <v>185</v>
      </c>
      <c r="C36">
        <v>1</v>
      </c>
      <c r="D36">
        <v>4</v>
      </c>
      <c r="E36">
        <v>0</v>
      </c>
    </row>
    <row r="37" spans="1:5" x14ac:dyDescent="0.35">
      <c r="A37" t="s">
        <v>318</v>
      </c>
      <c r="B37" t="s">
        <v>473</v>
      </c>
      <c r="C37">
        <v>9</v>
      </c>
      <c r="D37">
        <v>5</v>
      </c>
      <c r="E37">
        <v>0</v>
      </c>
    </row>
    <row r="38" spans="1:5" x14ac:dyDescent="0.35">
      <c r="A38" t="s">
        <v>21</v>
      </c>
      <c r="B38" t="s">
        <v>89</v>
      </c>
      <c r="C38">
        <v>9</v>
      </c>
      <c r="D38">
        <v>5</v>
      </c>
      <c r="E38">
        <v>0</v>
      </c>
    </row>
    <row r="39" spans="1:5" x14ac:dyDescent="0.35">
      <c r="A39" t="s">
        <v>21</v>
      </c>
      <c r="B39" t="s">
        <v>89</v>
      </c>
      <c r="C39">
        <v>9</v>
      </c>
      <c r="D39">
        <v>5</v>
      </c>
      <c r="E39">
        <v>0</v>
      </c>
    </row>
    <row r="40" spans="1:5" x14ac:dyDescent="0.35">
      <c r="A40" t="s">
        <v>21</v>
      </c>
      <c r="B40" t="s">
        <v>99</v>
      </c>
      <c r="C40">
        <v>7</v>
      </c>
      <c r="D40">
        <v>6</v>
      </c>
      <c r="E40">
        <v>0</v>
      </c>
    </row>
    <row r="41" spans="1:5" x14ac:dyDescent="0.35">
      <c r="A41" t="s">
        <v>21</v>
      </c>
      <c r="B41" t="s">
        <v>110</v>
      </c>
      <c r="C41">
        <v>0</v>
      </c>
      <c r="D41">
        <v>7</v>
      </c>
      <c r="E41">
        <v>0</v>
      </c>
    </row>
    <row r="42" spans="1:5" x14ac:dyDescent="0.35">
      <c r="A42" t="s">
        <v>21</v>
      </c>
      <c r="B42" t="s">
        <v>110</v>
      </c>
      <c r="C42">
        <v>0</v>
      </c>
      <c r="D42">
        <v>7</v>
      </c>
      <c r="E42">
        <v>0</v>
      </c>
    </row>
    <row r="43" spans="1:5" x14ac:dyDescent="0.35">
      <c r="A43" t="s">
        <v>21</v>
      </c>
      <c r="B43" t="s">
        <v>110</v>
      </c>
      <c r="C43">
        <v>0</v>
      </c>
      <c r="D43">
        <v>7</v>
      </c>
      <c r="E43">
        <v>0</v>
      </c>
    </row>
    <row r="44" spans="1:5" x14ac:dyDescent="0.35">
      <c r="A44" t="s">
        <v>21</v>
      </c>
      <c r="B44" t="s">
        <v>123</v>
      </c>
      <c r="C44">
        <v>0</v>
      </c>
      <c r="D44">
        <v>7</v>
      </c>
      <c r="E44">
        <v>0</v>
      </c>
    </row>
    <row r="45" spans="1:5" x14ac:dyDescent="0.35">
      <c r="A45" t="s">
        <v>21</v>
      </c>
      <c r="B45" t="s">
        <v>110</v>
      </c>
      <c r="C45">
        <v>0</v>
      </c>
      <c r="D45">
        <v>7</v>
      </c>
      <c r="E45">
        <v>0</v>
      </c>
    </row>
    <row r="46" spans="1:5" x14ac:dyDescent="0.35">
      <c r="A46" t="s">
        <v>21</v>
      </c>
      <c r="B46" t="s">
        <v>110</v>
      </c>
      <c r="C46">
        <v>0</v>
      </c>
      <c r="D46">
        <v>7</v>
      </c>
      <c r="E46">
        <v>0</v>
      </c>
    </row>
    <row r="47" spans="1:5" x14ac:dyDescent="0.35">
      <c r="A47" t="s">
        <v>21</v>
      </c>
      <c r="B47" t="s">
        <v>85</v>
      </c>
      <c r="C47">
        <v>8</v>
      </c>
      <c r="D47">
        <v>8</v>
      </c>
      <c r="E47">
        <v>0</v>
      </c>
    </row>
    <row r="48" spans="1:5" x14ac:dyDescent="0.35">
      <c r="A48" t="s">
        <v>21</v>
      </c>
      <c r="B48" t="s">
        <v>108</v>
      </c>
      <c r="C48">
        <v>5</v>
      </c>
      <c r="D48">
        <v>9</v>
      </c>
      <c r="E48">
        <v>0</v>
      </c>
    </row>
    <row r="49" spans="1:5" x14ac:dyDescent="0.35">
      <c r="A49" t="s">
        <v>21</v>
      </c>
      <c r="B49" t="s">
        <v>108</v>
      </c>
      <c r="C49">
        <v>5</v>
      </c>
      <c r="D49">
        <v>9</v>
      </c>
      <c r="E49">
        <v>0</v>
      </c>
    </row>
    <row r="50" spans="1:5" x14ac:dyDescent="0.35">
      <c r="A50" t="s">
        <v>21</v>
      </c>
      <c r="B50" t="s">
        <v>108</v>
      </c>
      <c r="C50">
        <v>5</v>
      </c>
      <c r="D50">
        <v>9</v>
      </c>
      <c r="E50">
        <v>0</v>
      </c>
    </row>
    <row r="51" spans="1:5" x14ac:dyDescent="0.35">
      <c r="A51" t="s">
        <v>318</v>
      </c>
      <c r="B51" t="s">
        <v>472</v>
      </c>
      <c r="C51">
        <v>20</v>
      </c>
      <c r="D51">
        <v>10</v>
      </c>
      <c r="E51">
        <v>0</v>
      </c>
    </row>
    <row r="52" spans="1:5" x14ac:dyDescent="0.35">
      <c r="A52" t="s">
        <v>318</v>
      </c>
      <c r="B52" t="s">
        <v>207</v>
      </c>
      <c r="C52">
        <v>20</v>
      </c>
      <c r="D52">
        <v>10</v>
      </c>
      <c r="E52">
        <v>0</v>
      </c>
    </row>
    <row r="53" spans="1:5" x14ac:dyDescent="0.35">
      <c r="A53" t="s">
        <v>318</v>
      </c>
      <c r="B53" t="s">
        <v>207</v>
      </c>
      <c r="C53">
        <v>20</v>
      </c>
      <c r="D53">
        <v>10</v>
      </c>
      <c r="E53">
        <v>0</v>
      </c>
    </row>
    <row r="54" spans="1:5" x14ac:dyDescent="0.35">
      <c r="A54" t="s">
        <v>318</v>
      </c>
      <c r="B54" t="s">
        <v>442</v>
      </c>
      <c r="C54">
        <v>20</v>
      </c>
      <c r="D54">
        <v>10</v>
      </c>
      <c r="E54">
        <v>0</v>
      </c>
    </row>
    <row r="55" spans="1:5" x14ac:dyDescent="0.35">
      <c r="A55" t="s">
        <v>318</v>
      </c>
      <c r="B55" t="s">
        <v>442</v>
      </c>
      <c r="C55">
        <v>20</v>
      </c>
      <c r="D55">
        <v>10</v>
      </c>
      <c r="E55">
        <v>0</v>
      </c>
    </row>
    <row r="56" spans="1:5" x14ac:dyDescent="0.35">
      <c r="A56" t="s">
        <v>368</v>
      </c>
      <c r="B56" t="s">
        <v>290</v>
      </c>
      <c r="C56">
        <v>14</v>
      </c>
      <c r="D56">
        <v>10</v>
      </c>
      <c r="E56">
        <v>1</v>
      </c>
    </row>
    <row r="57" spans="1:5" x14ac:dyDescent="0.35">
      <c r="A57" t="s">
        <v>364</v>
      </c>
      <c r="B57" t="s">
        <v>272</v>
      </c>
      <c r="C57">
        <v>14</v>
      </c>
      <c r="D57">
        <v>10</v>
      </c>
      <c r="E57">
        <v>1</v>
      </c>
    </row>
    <row r="58" spans="1:5" x14ac:dyDescent="0.35">
      <c r="A58" t="s">
        <v>363</v>
      </c>
      <c r="B58" t="s">
        <v>290</v>
      </c>
      <c r="C58">
        <v>14</v>
      </c>
      <c r="D58">
        <v>10</v>
      </c>
      <c r="E58">
        <v>1</v>
      </c>
    </row>
    <row r="59" spans="1:5" x14ac:dyDescent="0.35">
      <c r="A59" t="s">
        <v>358</v>
      </c>
      <c r="B59" t="s">
        <v>359</v>
      </c>
      <c r="C59">
        <v>14</v>
      </c>
      <c r="D59">
        <v>10</v>
      </c>
      <c r="E59">
        <v>1</v>
      </c>
    </row>
    <row r="60" spans="1:5" x14ac:dyDescent="0.35">
      <c r="A60" t="s">
        <v>355</v>
      </c>
      <c r="B60" t="s">
        <v>272</v>
      </c>
      <c r="C60">
        <v>14</v>
      </c>
      <c r="D60">
        <v>10</v>
      </c>
      <c r="E60">
        <v>1</v>
      </c>
    </row>
    <row r="61" spans="1:5" x14ac:dyDescent="0.35">
      <c r="A61" t="s">
        <v>354</v>
      </c>
      <c r="B61" t="s">
        <v>329</v>
      </c>
      <c r="C61">
        <v>14</v>
      </c>
      <c r="D61">
        <v>10</v>
      </c>
      <c r="E61">
        <v>1</v>
      </c>
    </row>
    <row r="62" spans="1:5" x14ac:dyDescent="0.35">
      <c r="A62" t="s">
        <v>326</v>
      </c>
      <c r="B62" t="s">
        <v>329</v>
      </c>
      <c r="C62">
        <v>14</v>
      </c>
      <c r="D62">
        <v>10</v>
      </c>
      <c r="E62">
        <v>1</v>
      </c>
    </row>
    <row r="63" spans="1:5" x14ac:dyDescent="0.35">
      <c r="A63" t="s">
        <v>344</v>
      </c>
      <c r="B63" t="s">
        <v>345</v>
      </c>
      <c r="C63">
        <v>14</v>
      </c>
      <c r="D63">
        <v>10</v>
      </c>
      <c r="E63">
        <v>1</v>
      </c>
    </row>
    <row r="64" spans="1:5" x14ac:dyDescent="0.35">
      <c r="A64" t="s">
        <v>334</v>
      </c>
      <c r="B64" t="s">
        <v>335</v>
      </c>
      <c r="C64">
        <v>14</v>
      </c>
      <c r="D64">
        <v>10</v>
      </c>
      <c r="E64">
        <v>1</v>
      </c>
    </row>
    <row r="65" spans="1:5" x14ac:dyDescent="0.35">
      <c r="A65" t="s">
        <v>328</v>
      </c>
      <c r="B65" t="s">
        <v>329</v>
      </c>
      <c r="C65">
        <v>14</v>
      </c>
      <c r="D65">
        <v>10</v>
      </c>
      <c r="E65">
        <v>1</v>
      </c>
    </row>
    <row r="66" spans="1:5" x14ac:dyDescent="0.35">
      <c r="A66" t="s">
        <v>318</v>
      </c>
      <c r="B66" t="s">
        <v>125</v>
      </c>
      <c r="C66">
        <v>20</v>
      </c>
      <c r="D66">
        <v>10</v>
      </c>
      <c r="E66">
        <v>0</v>
      </c>
    </row>
    <row r="67" spans="1:5" x14ac:dyDescent="0.35">
      <c r="A67" t="s">
        <v>21</v>
      </c>
      <c r="B67" t="s">
        <v>272</v>
      </c>
      <c r="C67">
        <v>14</v>
      </c>
      <c r="D67">
        <v>10</v>
      </c>
      <c r="E67">
        <v>1</v>
      </c>
    </row>
    <row r="68" spans="1:5" x14ac:dyDescent="0.35">
      <c r="A68" t="s">
        <v>317</v>
      </c>
      <c r="B68" t="s">
        <v>272</v>
      </c>
      <c r="C68">
        <v>14</v>
      </c>
      <c r="D68">
        <v>10</v>
      </c>
      <c r="E68">
        <v>1</v>
      </c>
    </row>
    <row r="69" spans="1:5" x14ac:dyDescent="0.35">
      <c r="A69" t="s">
        <v>315</v>
      </c>
      <c r="B69" t="s">
        <v>290</v>
      </c>
      <c r="C69">
        <v>14</v>
      </c>
      <c r="D69">
        <v>10</v>
      </c>
      <c r="E69">
        <v>1</v>
      </c>
    </row>
    <row r="70" spans="1:5" x14ac:dyDescent="0.35">
      <c r="A70" t="s">
        <v>216</v>
      </c>
      <c r="B70" t="s">
        <v>272</v>
      </c>
      <c r="C70">
        <v>14</v>
      </c>
      <c r="D70">
        <v>10</v>
      </c>
      <c r="E70">
        <v>1</v>
      </c>
    </row>
    <row r="71" spans="1:5" x14ac:dyDescent="0.35">
      <c r="A71" t="s">
        <v>210</v>
      </c>
      <c r="B71" t="s">
        <v>303</v>
      </c>
      <c r="C71">
        <v>14</v>
      </c>
      <c r="D71">
        <v>10</v>
      </c>
      <c r="E71">
        <v>1</v>
      </c>
    </row>
    <row r="72" spans="1:5" x14ac:dyDescent="0.35">
      <c r="A72" t="s">
        <v>210</v>
      </c>
      <c r="B72" t="s">
        <v>303</v>
      </c>
      <c r="C72">
        <v>14</v>
      </c>
      <c r="D72">
        <v>10</v>
      </c>
      <c r="E72">
        <v>1</v>
      </c>
    </row>
    <row r="73" spans="1:5" x14ac:dyDescent="0.35">
      <c r="A73" t="s">
        <v>293</v>
      </c>
      <c r="B73" t="s">
        <v>294</v>
      </c>
      <c r="C73">
        <v>14</v>
      </c>
      <c r="D73">
        <v>10</v>
      </c>
      <c r="E73">
        <v>1</v>
      </c>
    </row>
    <row r="74" spans="1:5" x14ac:dyDescent="0.35">
      <c r="A74" t="s">
        <v>210</v>
      </c>
      <c r="B74" t="s">
        <v>290</v>
      </c>
      <c r="C74">
        <v>14</v>
      </c>
      <c r="D74">
        <v>10</v>
      </c>
      <c r="E74">
        <v>1</v>
      </c>
    </row>
    <row r="75" spans="1:5" x14ac:dyDescent="0.35">
      <c r="A75" t="s">
        <v>210</v>
      </c>
      <c r="B75" t="s">
        <v>261</v>
      </c>
      <c r="C75">
        <v>14</v>
      </c>
      <c r="D75">
        <v>10</v>
      </c>
      <c r="E75">
        <v>1</v>
      </c>
    </row>
    <row r="76" spans="1:5" x14ac:dyDescent="0.35">
      <c r="A76" t="s">
        <v>210</v>
      </c>
      <c r="B76" t="s">
        <v>261</v>
      </c>
      <c r="C76">
        <v>14</v>
      </c>
      <c r="D76">
        <v>10</v>
      </c>
      <c r="E76">
        <v>1</v>
      </c>
    </row>
    <row r="77" spans="1:5" x14ac:dyDescent="0.35">
      <c r="A77" t="s">
        <v>210</v>
      </c>
      <c r="B77" t="s">
        <v>186</v>
      </c>
      <c r="C77">
        <v>20</v>
      </c>
      <c r="D77">
        <v>10</v>
      </c>
      <c r="E77">
        <v>0</v>
      </c>
    </row>
    <row r="78" spans="1:5" x14ac:dyDescent="0.35">
      <c r="A78" t="s">
        <v>210</v>
      </c>
      <c r="B78" t="s">
        <v>261</v>
      </c>
      <c r="C78">
        <v>14</v>
      </c>
      <c r="D78">
        <v>10</v>
      </c>
      <c r="E78">
        <v>1</v>
      </c>
    </row>
    <row r="79" spans="1:5" x14ac:dyDescent="0.35">
      <c r="A79" t="s">
        <v>210</v>
      </c>
      <c r="B79" t="s">
        <v>186</v>
      </c>
      <c r="C79">
        <v>20</v>
      </c>
      <c r="D79">
        <v>10</v>
      </c>
      <c r="E79">
        <v>0</v>
      </c>
    </row>
    <row r="80" spans="1:5" x14ac:dyDescent="0.35">
      <c r="A80" t="s">
        <v>210</v>
      </c>
      <c r="B80" t="s">
        <v>261</v>
      </c>
      <c r="C80">
        <v>14</v>
      </c>
      <c r="D80">
        <v>10</v>
      </c>
      <c r="E80">
        <v>1</v>
      </c>
    </row>
    <row r="81" spans="1:5" x14ac:dyDescent="0.35">
      <c r="A81" t="s">
        <v>210</v>
      </c>
      <c r="B81" t="s">
        <v>261</v>
      </c>
      <c r="C81">
        <v>14</v>
      </c>
      <c r="D81">
        <v>10</v>
      </c>
      <c r="E81">
        <v>1</v>
      </c>
    </row>
    <row r="82" spans="1:5" x14ac:dyDescent="0.35">
      <c r="A82" t="s">
        <v>273</v>
      </c>
      <c r="B82" t="s">
        <v>186</v>
      </c>
      <c r="C82">
        <v>20</v>
      </c>
      <c r="D82">
        <v>10</v>
      </c>
      <c r="E82">
        <v>0</v>
      </c>
    </row>
    <row r="83" spans="1:5" x14ac:dyDescent="0.35">
      <c r="A83" t="s">
        <v>210</v>
      </c>
      <c r="B83" t="s">
        <v>261</v>
      </c>
      <c r="C83">
        <v>14</v>
      </c>
      <c r="D83">
        <v>10</v>
      </c>
      <c r="E83">
        <v>1</v>
      </c>
    </row>
    <row r="84" spans="1:5" x14ac:dyDescent="0.35">
      <c r="A84" t="s">
        <v>271</v>
      </c>
      <c r="B84" t="s">
        <v>272</v>
      </c>
      <c r="C84">
        <v>14</v>
      </c>
      <c r="D84">
        <v>10</v>
      </c>
      <c r="E84">
        <v>1</v>
      </c>
    </row>
    <row r="85" spans="1:5" x14ac:dyDescent="0.35">
      <c r="A85" t="s">
        <v>270</v>
      </c>
      <c r="B85" t="s">
        <v>261</v>
      </c>
      <c r="C85">
        <v>14</v>
      </c>
      <c r="D85">
        <v>10</v>
      </c>
      <c r="E85">
        <v>1</v>
      </c>
    </row>
    <row r="86" spans="1:5" x14ac:dyDescent="0.35">
      <c r="A86" t="s">
        <v>210</v>
      </c>
      <c r="B86" t="s">
        <v>186</v>
      </c>
      <c r="C86">
        <v>20</v>
      </c>
      <c r="D86">
        <v>10</v>
      </c>
      <c r="E86">
        <v>0</v>
      </c>
    </row>
    <row r="87" spans="1:5" x14ac:dyDescent="0.35">
      <c r="A87" t="s">
        <v>210</v>
      </c>
      <c r="B87" t="s">
        <v>186</v>
      </c>
      <c r="C87">
        <v>20</v>
      </c>
      <c r="D87">
        <v>10</v>
      </c>
      <c r="E87">
        <v>0</v>
      </c>
    </row>
    <row r="88" spans="1:5" x14ac:dyDescent="0.35">
      <c r="A88" t="s">
        <v>210</v>
      </c>
      <c r="B88" t="s">
        <v>261</v>
      </c>
      <c r="C88">
        <v>14</v>
      </c>
      <c r="D88">
        <v>10</v>
      </c>
      <c r="E88">
        <v>1</v>
      </c>
    </row>
    <row r="89" spans="1:5" x14ac:dyDescent="0.35">
      <c r="A89" t="s">
        <v>210</v>
      </c>
      <c r="B89" t="s">
        <v>186</v>
      </c>
      <c r="C89">
        <v>20</v>
      </c>
      <c r="D89">
        <v>10</v>
      </c>
      <c r="E89">
        <v>0</v>
      </c>
    </row>
    <row r="90" spans="1:5" x14ac:dyDescent="0.35">
      <c r="A90" t="s">
        <v>210</v>
      </c>
      <c r="B90" t="s">
        <v>186</v>
      </c>
      <c r="C90">
        <v>20</v>
      </c>
      <c r="D90">
        <v>10</v>
      </c>
      <c r="E90">
        <v>0</v>
      </c>
    </row>
    <row r="91" spans="1:5" x14ac:dyDescent="0.35">
      <c r="A91" t="s">
        <v>210</v>
      </c>
      <c r="B91" t="s">
        <v>186</v>
      </c>
      <c r="C91">
        <v>20</v>
      </c>
      <c r="D91">
        <v>10</v>
      </c>
      <c r="E91">
        <v>0</v>
      </c>
    </row>
    <row r="92" spans="1:5" x14ac:dyDescent="0.35">
      <c r="A92" t="s">
        <v>210</v>
      </c>
      <c r="B92" t="s">
        <v>186</v>
      </c>
      <c r="C92">
        <v>20</v>
      </c>
      <c r="D92">
        <v>10</v>
      </c>
      <c r="E92">
        <v>0</v>
      </c>
    </row>
    <row r="93" spans="1:5" x14ac:dyDescent="0.35">
      <c r="A93" t="s">
        <v>219</v>
      </c>
      <c r="B93" t="s">
        <v>125</v>
      </c>
      <c r="C93">
        <v>20</v>
      </c>
      <c r="D93">
        <v>10</v>
      </c>
      <c r="E93">
        <v>0</v>
      </c>
    </row>
    <row r="94" spans="1:5" x14ac:dyDescent="0.35">
      <c r="A94" t="s">
        <v>210</v>
      </c>
      <c r="B94" t="s">
        <v>186</v>
      </c>
      <c r="C94">
        <v>20</v>
      </c>
      <c r="D94">
        <v>10</v>
      </c>
      <c r="E94">
        <v>0</v>
      </c>
    </row>
    <row r="95" spans="1:5" x14ac:dyDescent="0.35">
      <c r="A95" t="s">
        <v>210</v>
      </c>
      <c r="B95" t="s">
        <v>186</v>
      </c>
      <c r="C95">
        <v>20</v>
      </c>
      <c r="D95">
        <v>10</v>
      </c>
      <c r="E95">
        <v>0</v>
      </c>
    </row>
    <row r="96" spans="1:5" x14ac:dyDescent="0.35">
      <c r="A96" t="s">
        <v>210</v>
      </c>
      <c r="B96" t="s">
        <v>186</v>
      </c>
      <c r="C96">
        <v>20</v>
      </c>
      <c r="D96">
        <v>10</v>
      </c>
      <c r="E96">
        <v>0</v>
      </c>
    </row>
    <row r="97" spans="1:5" x14ac:dyDescent="0.35">
      <c r="A97" t="s">
        <v>21</v>
      </c>
      <c r="B97" t="s">
        <v>125</v>
      </c>
      <c r="C97">
        <v>20</v>
      </c>
      <c r="D97">
        <v>10</v>
      </c>
      <c r="E97">
        <v>0</v>
      </c>
    </row>
    <row r="98" spans="1:5" x14ac:dyDescent="0.35">
      <c r="A98" t="s">
        <v>210</v>
      </c>
      <c r="B98" t="s">
        <v>186</v>
      </c>
      <c r="C98">
        <v>20</v>
      </c>
      <c r="D98">
        <v>10</v>
      </c>
      <c r="E98">
        <v>0</v>
      </c>
    </row>
    <row r="99" spans="1:5" x14ac:dyDescent="0.35">
      <c r="A99" t="s">
        <v>210</v>
      </c>
      <c r="B99" t="s">
        <v>186</v>
      </c>
      <c r="C99">
        <v>20</v>
      </c>
      <c r="D99">
        <v>10</v>
      </c>
      <c r="E99">
        <v>0</v>
      </c>
    </row>
    <row r="100" spans="1:5" x14ac:dyDescent="0.35">
      <c r="A100" t="s">
        <v>210</v>
      </c>
      <c r="B100" t="s">
        <v>186</v>
      </c>
      <c r="C100">
        <v>20</v>
      </c>
      <c r="D100">
        <v>10</v>
      </c>
      <c r="E100">
        <v>0</v>
      </c>
    </row>
    <row r="101" spans="1:5" x14ac:dyDescent="0.35">
      <c r="A101" t="s">
        <v>210</v>
      </c>
      <c r="B101" t="s">
        <v>186</v>
      </c>
      <c r="C101">
        <v>20</v>
      </c>
      <c r="D101">
        <v>10</v>
      </c>
      <c r="E101">
        <v>0</v>
      </c>
    </row>
    <row r="102" spans="1:5" x14ac:dyDescent="0.35">
      <c r="A102" t="s">
        <v>219</v>
      </c>
      <c r="B102" t="s">
        <v>125</v>
      </c>
      <c r="C102">
        <v>20</v>
      </c>
      <c r="D102">
        <v>10</v>
      </c>
      <c r="E102">
        <v>0</v>
      </c>
    </row>
    <row r="103" spans="1:5" x14ac:dyDescent="0.35">
      <c r="A103" t="s">
        <v>210</v>
      </c>
      <c r="B103" t="s">
        <v>186</v>
      </c>
      <c r="C103">
        <v>20</v>
      </c>
      <c r="D103">
        <v>10</v>
      </c>
      <c r="E103">
        <v>0</v>
      </c>
    </row>
    <row r="104" spans="1:5" x14ac:dyDescent="0.35">
      <c r="A104" t="s">
        <v>210</v>
      </c>
      <c r="B104" t="s">
        <v>186</v>
      </c>
      <c r="C104">
        <v>20</v>
      </c>
      <c r="D104">
        <v>10</v>
      </c>
      <c r="E104">
        <v>0</v>
      </c>
    </row>
    <row r="105" spans="1:5" x14ac:dyDescent="0.35">
      <c r="A105" t="s">
        <v>210</v>
      </c>
      <c r="B105" t="s">
        <v>186</v>
      </c>
      <c r="C105">
        <v>20</v>
      </c>
      <c r="D105">
        <v>10</v>
      </c>
      <c r="E105">
        <v>0</v>
      </c>
    </row>
    <row r="106" spans="1:5" x14ac:dyDescent="0.35">
      <c r="A106" t="s">
        <v>206</v>
      </c>
      <c r="B106" t="s">
        <v>207</v>
      </c>
      <c r="C106">
        <v>20</v>
      </c>
      <c r="D106">
        <v>10</v>
      </c>
      <c r="E106">
        <v>0</v>
      </c>
    </row>
    <row r="107" spans="1:5" x14ac:dyDescent="0.35">
      <c r="A107" t="s">
        <v>21</v>
      </c>
      <c r="B107" t="s">
        <v>186</v>
      </c>
      <c r="C107">
        <v>20</v>
      </c>
      <c r="D107">
        <v>10</v>
      </c>
      <c r="E107">
        <v>0</v>
      </c>
    </row>
    <row r="108" spans="1:5" x14ac:dyDescent="0.35">
      <c r="A108" t="s">
        <v>21</v>
      </c>
      <c r="B108" t="s">
        <v>118</v>
      </c>
      <c r="C108">
        <v>20</v>
      </c>
      <c r="D108">
        <v>10</v>
      </c>
      <c r="E108">
        <v>0</v>
      </c>
    </row>
    <row r="109" spans="1:5" x14ac:dyDescent="0.35">
      <c r="A109" t="s">
        <v>21</v>
      </c>
      <c r="B109" t="s">
        <v>100</v>
      </c>
      <c r="C109">
        <v>14</v>
      </c>
      <c r="D109">
        <v>10</v>
      </c>
      <c r="E109">
        <v>0</v>
      </c>
    </row>
    <row r="110" spans="1:5" x14ac:dyDescent="0.35">
      <c r="A110" t="s">
        <v>21</v>
      </c>
      <c r="B110" t="s">
        <v>100</v>
      </c>
      <c r="C110">
        <v>14</v>
      </c>
      <c r="D110">
        <v>10</v>
      </c>
      <c r="E110">
        <v>0</v>
      </c>
    </row>
    <row r="111" spans="1:5" x14ac:dyDescent="0.35">
      <c r="A111" t="s">
        <v>21</v>
      </c>
      <c r="B111" t="s">
        <v>100</v>
      </c>
      <c r="C111">
        <v>14</v>
      </c>
      <c r="D111">
        <v>10</v>
      </c>
      <c r="E111">
        <v>0</v>
      </c>
    </row>
    <row r="112" spans="1:5" x14ac:dyDescent="0.35">
      <c r="A112" t="s">
        <v>21</v>
      </c>
      <c r="B112" t="s">
        <v>100</v>
      </c>
      <c r="C112">
        <v>14</v>
      </c>
      <c r="D112">
        <v>10</v>
      </c>
      <c r="E112">
        <v>0</v>
      </c>
    </row>
    <row r="113" spans="1:5" x14ac:dyDescent="0.35">
      <c r="A113" t="s">
        <v>21</v>
      </c>
      <c r="B113" t="s">
        <v>100</v>
      </c>
      <c r="C113">
        <v>14</v>
      </c>
      <c r="D113">
        <v>10</v>
      </c>
      <c r="E113">
        <v>0</v>
      </c>
    </row>
    <row r="114" spans="1:5" x14ac:dyDescent="0.35">
      <c r="A114" t="s">
        <v>21</v>
      </c>
      <c r="B114" t="s">
        <v>100</v>
      </c>
      <c r="C114">
        <v>14</v>
      </c>
      <c r="D114">
        <v>10</v>
      </c>
      <c r="E114">
        <v>0</v>
      </c>
    </row>
    <row r="115" spans="1:5" x14ac:dyDescent="0.35">
      <c r="A115" t="s">
        <v>21</v>
      </c>
      <c r="B115" t="s">
        <v>100</v>
      </c>
      <c r="C115">
        <v>14</v>
      </c>
      <c r="D115">
        <v>10</v>
      </c>
      <c r="E115">
        <v>0</v>
      </c>
    </row>
    <row r="116" spans="1:5" x14ac:dyDescent="0.35">
      <c r="A116" t="s">
        <v>21</v>
      </c>
      <c r="B116" t="s">
        <v>100</v>
      </c>
      <c r="C116">
        <v>14</v>
      </c>
      <c r="D116">
        <v>10</v>
      </c>
      <c r="E116">
        <v>0</v>
      </c>
    </row>
    <row r="117" spans="1:5" x14ac:dyDescent="0.35">
      <c r="A117" t="s">
        <v>21</v>
      </c>
      <c r="B117" t="s">
        <v>100</v>
      </c>
      <c r="C117">
        <v>14</v>
      </c>
      <c r="D117">
        <v>10</v>
      </c>
      <c r="E117">
        <v>0</v>
      </c>
    </row>
    <row r="118" spans="1:5" x14ac:dyDescent="0.35">
      <c r="A118" t="s">
        <v>21</v>
      </c>
      <c r="B118" t="s">
        <v>100</v>
      </c>
      <c r="C118">
        <v>14</v>
      </c>
      <c r="D118">
        <v>10</v>
      </c>
      <c r="E118">
        <v>0</v>
      </c>
    </row>
    <row r="119" spans="1:5" x14ac:dyDescent="0.35">
      <c r="A119" t="s">
        <v>21</v>
      </c>
      <c r="B119" t="s">
        <v>100</v>
      </c>
      <c r="C119">
        <v>14</v>
      </c>
      <c r="D119">
        <v>10</v>
      </c>
      <c r="E119">
        <v>0</v>
      </c>
    </row>
    <row r="120" spans="1:5" x14ac:dyDescent="0.35">
      <c r="A120" t="s">
        <v>21</v>
      </c>
      <c r="B120" t="s">
        <v>100</v>
      </c>
      <c r="C120">
        <v>14</v>
      </c>
      <c r="D120">
        <v>10</v>
      </c>
      <c r="E120">
        <v>0</v>
      </c>
    </row>
    <row r="121" spans="1:5" x14ac:dyDescent="0.35">
      <c r="A121" t="s">
        <v>21</v>
      </c>
      <c r="B121" t="s">
        <v>125</v>
      </c>
      <c r="C121">
        <v>20</v>
      </c>
      <c r="D121">
        <v>10</v>
      </c>
      <c r="E121">
        <v>0</v>
      </c>
    </row>
    <row r="122" spans="1:5" x14ac:dyDescent="0.35">
      <c r="A122" t="s">
        <v>21</v>
      </c>
      <c r="B122" t="s">
        <v>100</v>
      </c>
      <c r="C122">
        <v>14</v>
      </c>
      <c r="D122">
        <v>10</v>
      </c>
      <c r="E122">
        <v>0</v>
      </c>
    </row>
    <row r="123" spans="1:5" x14ac:dyDescent="0.35">
      <c r="A123" t="s">
        <v>21</v>
      </c>
      <c r="B123" t="s">
        <v>100</v>
      </c>
      <c r="C123">
        <v>14</v>
      </c>
      <c r="D123">
        <v>10</v>
      </c>
      <c r="E123">
        <v>0</v>
      </c>
    </row>
    <row r="124" spans="1:5" x14ac:dyDescent="0.35">
      <c r="A124" t="s">
        <v>21</v>
      </c>
      <c r="B124" t="s">
        <v>100</v>
      </c>
      <c r="C124">
        <v>14</v>
      </c>
      <c r="D124">
        <v>10</v>
      </c>
      <c r="E124">
        <v>0</v>
      </c>
    </row>
    <row r="125" spans="1:5" x14ac:dyDescent="0.35">
      <c r="A125" t="s">
        <v>21</v>
      </c>
      <c r="B125" t="s">
        <v>100</v>
      </c>
      <c r="C125">
        <v>14</v>
      </c>
      <c r="D125">
        <v>10</v>
      </c>
      <c r="E125">
        <v>0</v>
      </c>
    </row>
    <row r="126" spans="1:5" x14ac:dyDescent="0.35">
      <c r="A126" t="s">
        <v>21</v>
      </c>
      <c r="B126" t="s">
        <v>100</v>
      </c>
      <c r="C126">
        <v>14</v>
      </c>
      <c r="D126">
        <v>10</v>
      </c>
      <c r="E126">
        <v>0</v>
      </c>
    </row>
    <row r="127" spans="1:5" x14ac:dyDescent="0.35">
      <c r="A127" t="s">
        <v>21</v>
      </c>
      <c r="B127" t="s">
        <v>100</v>
      </c>
      <c r="C127">
        <v>14</v>
      </c>
      <c r="D127">
        <v>10</v>
      </c>
      <c r="E127">
        <v>0</v>
      </c>
    </row>
    <row r="128" spans="1:5" x14ac:dyDescent="0.35">
      <c r="A128" t="s">
        <v>21</v>
      </c>
      <c r="B128" t="s">
        <v>100</v>
      </c>
      <c r="C128">
        <v>14</v>
      </c>
      <c r="D128">
        <v>10</v>
      </c>
      <c r="E128">
        <v>0</v>
      </c>
    </row>
    <row r="129" spans="1:5" x14ac:dyDescent="0.35">
      <c r="A129" t="s">
        <v>21</v>
      </c>
      <c r="B129" t="s">
        <v>118</v>
      </c>
      <c r="C129">
        <v>20</v>
      </c>
      <c r="D129">
        <v>10</v>
      </c>
      <c r="E129">
        <v>0</v>
      </c>
    </row>
    <row r="130" spans="1:5" x14ac:dyDescent="0.35">
      <c r="A130" t="s">
        <v>21</v>
      </c>
      <c r="B130" t="s">
        <v>100</v>
      </c>
      <c r="C130">
        <v>14</v>
      </c>
      <c r="D130">
        <v>10</v>
      </c>
      <c r="E130">
        <v>0</v>
      </c>
    </row>
    <row r="131" spans="1:5" x14ac:dyDescent="0.35">
      <c r="A131" t="s">
        <v>21</v>
      </c>
      <c r="B131" t="s">
        <v>100</v>
      </c>
      <c r="C131">
        <v>14</v>
      </c>
      <c r="D131">
        <v>10</v>
      </c>
      <c r="E131">
        <v>0</v>
      </c>
    </row>
    <row r="132" spans="1:5" x14ac:dyDescent="0.35">
      <c r="A132" t="s">
        <v>21</v>
      </c>
      <c r="B132" t="s">
        <v>100</v>
      </c>
      <c r="C132">
        <v>14</v>
      </c>
      <c r="D132">
        <v>10</v>
      </c>
      <c r="E132">
        <v>0</v>
      </c>
    </row>
    <row r="133" spans="1:5" x14ac:dyDescent="0.35">
      <c r="A133" t="s">
        <v>21</v>
      </c>
      <c r="B133" t="s">
        <v>100</v>
      </c>
      <c r="C133">
        <v>14</v>
      </c>
      <c r="D133">
        <v>10</v>
      </c>
      <c r="E133">
        <v>0</v>
      </c>
    </row>
    <row r="134" spans="1:5" x14ac:dyDescent="0.35">
      <c r="A134" t="s">
        <v>21</v>
      </c>
      <c r="B134" t="s">
        <v>100</v>
      </c>
      <c r="C134">
        <v>14</v>
      </c>
      <c r="D134">
        <v>10</v>
      </c>
      <c r="E134">
        <v>0</v>
      </c>
    </row>
    <row r="135" spans="1:5" x14ac:dyDescent="0.35">
      <c r="A135" t="s">
        <v>21</v>
      </c>
      <c r="B135" t="s">
        <v>100</v>
      </c>
      <c r="C135">
        <v>14</v>
      </c>
      <c r="D135">
        <v>10</v>
      </c>
      <c r="E135">
        <v>0</v>
      </c>
    </row>
    <row r="136" spans="1:5" x14ac:dyDescent="0.35">
      <c r="A136" t="s">
        <v>21</v>
      </c>
      <c r="B136" t="s">
        <v>100</v>
      </c>
      <c r="C136">
        <v>14</v>
      </c>
      <c r="D136">
        <v>10</v>
      </c>
      <c r="E136">
        <v>0</v>
      </c>
    </row>
    <row r="137" spans="1:5" x14ac:dyDescent="0.35">
      <c r="A137" t="s">
        <v>21</v>
      </c>
      <c r="B137" t="s">
        <v>100</v>
      </c>
      <c r="C137">
        <v>14</v>
      </c>
      <c r="D137">
        <v>10</v>
      </c>
      <c r="E137">
        <v>0</v>
      </c>
    </row>
    <row r="138" spans="1:5" x14ac:dyDescent="0.35">
      <c r="A138" t="s">
        <v>21</v>
      </c>
      <c r="B138" t="s">
        <v>100</v>
      </c>
      <c r="C138">
        <v>14</v>
      </c>
      <c r="D138">
        <v>10</v>
      </c>
      <c r="E138">
        <v>0</v>
      </c>
    </row>
    <row r="139" spans="1:5" x14ac:dyDescent="0.35">
      <c r="A139" t="s">
        <v>21</v>
      </c>
      <c r="B139" t="s">
        <v>100</v>
      </c>
      <c r="C139">
        <v>14</v>
      </c>
      <c r="D139">
        <v>10</v>
      </c>
      <c r="E139">
        <v>0</v>
      </c>
    </row>
    <row r="140" spans="1:5" x14ac:dyDescent="0.35">
      <c r="A140" t="s">
        <v>21</v>
      </c>
      <c r="B140" t="s">
        <v>100</v>
      </c>
      <c r="C140">
        <v>14</v>
      </c>
      <c r="D140">
        <v>10</v>
      </c>
      <c r="E140">
        <v>0</v>
      </c>
    </row>
    <row r="141" spans="1:5" x14ac:dyDescent="0.35">
      <c r="A141" t="s">
        <v>21</v>
      </c>
      <c r="B141" t="s">
        <v>100</v>
      </c>
      <c r="C141">
        <v>14</v>
      </c>
      <c r="D141">
        <v>10</v>
      </c>
      <c r="E141">
        <v>0</v>
      </c>
    </row>
    <row r="142" spans="1:5" x14ac:dyDescent="0.35">
      <c r="A142" t="s">
        <v>21</v>
      </c>
      <c r="B142" t="s">
        <v>100</v>
      </c>
      <c r="C142">
        <v>14</v>
      </c>
      <c r="D142">
        <v>10</v>
      </c>
      <c r="E142">
        <v>0</v>
      </c>
    </row>
    <row r="143" spans="1:5" x14ac:dyDescent="0.35">
      <c r="A143" t="s">
        <v>21</v>
      </c>
      <c r="B143" t="s">
        <v>100</v>
      </c>
      <c r="C143">
        <v>14</v>
      </c>
      <c r="D143">
        <v>10</v>
      </c>
      <c r="E143">
        <v>0</v>
      </c>
    </row>
    <row r="144" spans="1:5" x14ac:dyDescent="0.35">
      <c r="A144" t="s">
        <v>21</v>
      </c>
      <c r="B144" t="s">
        <v>100</v>
      </c>
      <c r="C144">
        <v>14</v>
      </c>
      <c r="D144">
        <v>10</v>
      </c>
      <c r="E144">
        <v>0</v>
      </c>
    </row>
    <row r="145" spans="1:5" x14ac:dyDescent="0.35">
      <c r="A145" t="s">
        <v>21</v>
      </c>
      <c r="B145" t="s">
        <v>100</v>
      </c>
      <c r="C145">
        <v>14</v>
      </c>
      <c r="D145">
        <v>10</v>
      </c>
      <c r="E145">
        <v>0</v>
      </c>
    </row>
    <row r="146" spans="1:5" x14ac:dyDescent="0.35">
      <c r="A146" t="s">
        <v>21</v>
      </c>
      <c r="B146" t="s">
        <v>100</v>
      </c>
      <c r="C146">
        <v>14</v>
      </c>
      <c r="D146">
        <v>10</v>
      </c>
      <c r="E146">
        <v>0</v>
      </c>
    </row>
    <row r="147" spans="1:5" x14ac:dyDescent="0.35">
      <c r="A147" t="s">
        <v>21</v>
      </c>
      <c r="B147" t="s">
        <v>100</v>
      </c>
      <c r="C147">
        <v>14</v>
      </c>
      <c r="D147">
        <v>10</v>
      </c>
      <c r="E147">
        <v>0</v>
      </c>
    </row>
    <row r="148" spans="1:5" x14ac:dyDescent="0.35">
      <c r="A148" t="s">
        <v>21</v>
      </c>
      <c r="B148" t="s">
        <v>100</v>
      </c>
      <c r="C148">
        <v>14</v>
      </c>
      <c r="D148">
        <v>10</v>
      </c>
      <c r="E148">
        <v>0</v>
      </c>
    </row>
    <row r="149" spans="1:5" x14ac:dyDescent="0.35">
      <c r="A149" t="s">
        <v>21</v>
      </c>
      <c r="B149" t="s">
        <v>100</v>
      </c>
      <c r="C149">
        <v>14</v>
      </c>
      <c r="D149">
        <v>10</v>
      </c>
      <c r="E149">
        <v>0</v>
      </c>
    </row>
    <row r="150" spans="1:5" x14ac:dyDescent="0.35">
      <c r="A150" t="s">
        <v>21</v>
      </c>
      <c r="B150" t="s">
        <v>100</v>
      </c>
      <c r="C150">
        <v>14</v>
      </c>
      <c r="D150">
        <v>10</v>
      </c>
      <c r="E150">
        <v>0</v>
      </c>
    </row>
    <row r="151" spans="1:5" x14ac:dyDescent="0.35">
      <c r="A151" t="s">
        <v>21</v>
      </c>
      <c r="B151" t="s">
        <v>100</v>
      </c>
      <c r="C151">
        <v>14</v>
      </c>
      <c r="D151">
        <v>10</v>
      </c>
      <c r="E151">
        <v>0</v>
      </c>
    </row>
    <row r="152" spans="1:5" x14ac:dyDescent="0.35">
      <c r="A152" t="s">
        <v>21</v>
      </c>
      <c r="B152" t="s">
        <v>100</v>
      </c>
      <c r="C152">
        <v>14</v>
      </c>
      <c r="D152">
        <v>10</v>
      </c>
      <c r="E152">
        <v>0</v>
      </c>
    </row>
    <row r="153" spans="1:5" x14ac:dyDescent="0.35">
      <c r="A153" t="s">
        <v>21</v>
      </c>
      <c r="B153" t="s">
        <v>100</v>
      </c>
      <c r="C153">
        <v>14</v>
      </c>
      <c r="D153">
        <v>10</v>
      </c>
      <c r="E153">
        <v>0</v>
      </c>
    </row>
    <row r="154" spans="1:5" x14ac:dyDescent="0.35">
      <c r="A154" t="s">
        <v>21</v>
      </c>
      <c r="B154" t="s">
        <v>171</v>
      </c>
      <c r="C154">
        <v>19</v>
      </c>
      <c r="D154">
        <v>11</v>
      </c>
      <c r="E154">
        <v>0</v>
      </c>
    </row>
    <row r="155" spans="1:5" x14ac:dyDescent="0.35">
      <c r="A155" t="s">
        <v>169</v>
      </c>
      <c r="B155" t="s">
        <v>170</v>
      </c>
      <c r="C155">
        <v>19</v>
      </c>
      <c r="D155">
        <v>11</v>
      </c>
      <c r="E155">
        <v>2</v>
      </c>
    </row>
    <row r="156" spans="1:5" x14ac:dyDescent="0.35">
      <c r="A156" t="s">
        <v>14</v>
      </c>
      <c r="B156" t="s">
        <v>15</v>
      </c>
      <c r="C156">
        <v>19</v>
      </c>
      <c r="D156">
        <v>11</v>
      </c>
      <c r="E156">
        <v>2</v>
      </c>
    </row>
    <row r="157" spans="1:5" x14ac:dyDescent="0.35">
      <c r="A157" t="s">
        <v>21</v>
      </c>
      <c r="B157" t="s">
        <v>107</v>
      </c>
      <c r="C157">
        <v>19</v>
      </c>
      <c r="D157">
        <v>11</v>
      </c>
      <c r="E157">
        <v>0</v>
      </c>
    </row>
    <row r="158" spans="1:5" x14ac:dyDescent="0.35">
      <c r="A158" t="s">
        <v>21</v>
      </c>
      <c r="B158" t="s">
        <v>107</v>
      </c>
      <c r="C158">
        <v>19</v>
      </c>
      <c r="D158">
        <v>11</v>
      </c>
      <c r="E158">
        <v>0</v>
      </c>
    </row>
    <row r="159" spans="1:5" x14ac:dyDescent="0.35">
      <c r="A159" t="s">
        <v>21</v>
      </c>
      <c r="B159" t="s">
        <v>107</v>
      </c>
      <c r="C159">
        <v>19</v>
      </c>
      <c r="D159">
        <v>11</v>
      </c>
      <c r="E159">
        <v>0</v>
      </c>
    </row>
    <row r="160" spans="1:5" x14ac:dyDescent="0.35">
      <c r="A160" t="s">
        <v>21</v>
      </c>
      <c r="B160" t="s">
        <v>107</v>
      </c>
      <c r="C160">
        <v>19</v>
      </c>
      <c r="D160">
        <v>11</v>
      </c>
      <c r="E160">
        <v>0</v>
      </c>
    </row>
    <row r="161" spans="1:5" x14ac:dyDescent="0.35">
      <c r="A161" t="s">
        <v>21</v>
      </c>
      <c r="B161" t="s">
        <v>107</v>
      </c>
      <c r="C161">
        <v>19</v>
      </c>
      <c r="D161">
        <v>11</v>
      </c>
      <c r="E161">
        <v>0</v>
      </c>
    </row>
    <row r="162" spans="1:5" x14ac:dyDescent="0.35">
      <c r="A162" t="s">
        <v>21</v>
      </c>
      <c r="B162" t="s">
        <v>107</v>
      </c>
      <c r="C162">
        <v>19</v>
      </c>
      <c r="D162">
        <v>11</v>
      </c>
      <c r="E162">
        <v>0</v>
      </c>
    </row>
    <row r="163" spans="1:5" x14ac:dyDescent="0.35">
      <c r="A163" t="s">
        <v>34</v>
      </c>
      <c r="B163" t="s">
        <v>135</v>
      </c>
      <c r="C163">
        <v>19</v>
      </c>
      <c r="D163">
        <v>11</v>
      </c>
      <c r="E163">
        <v>2</v>
      </c>
    </row>
    <row r="164" spans="1:5" x14ac:dyDescent="0.35">
      <c r="A164" t="s">
        <v>34</v>
      </c>
      <c r="B164" t="s">
        <v>136</v>
      </c>
      <c r="C164">
        <v>19</v>
      </c>
      <c r="D164">
        <v>11</v>
      </c>
      <c r="E164">
        <v>2</v>
      </c>
    </row>
    <row r="165" spans="1:5" x14ac:dyDescent="0.35">
      <c r="A165" t="s">
        <v>34</v>
      </c>
      <c r="B165" t="s">
        <v>135</v>
      </c>
      <c r="C165">
        <v>19</v>
      </c>
      <c r="D165">
        <v>11</v>
      </c>
      <c r="E165">
        <v>2</v>
      </c>
    </row>
    <row r="166" spans="1:5" x14ac:dyDescent="0.35">
      <c r="A166" t="s">
        <v>126</v>
      </c>
      <c r="B166" t="s">
        <v>127</v>
      </c>
      <c r="C166">
        <v>19</v>
      </c>
      <c r="D166">
        <v>11</v>
      </c>
      <c r="E166">
        <v>2</v>
      </c>
    </row>
    <row r="167" spans="1:5" x14ac:dyDescent="0.35">
      <c r="A167" t="s">
        <v>34</v>
      </c>
      <c r="B167" t="s">
        <v>52</v>
      </c>
      <c r="C167">
        <v>19</v>
      </c>
      <c r="D167">
        <v>11</v>
      </c>
      <c r="E167">
        <v>2</v>
      </c>
    </row>
    <row r="168" spans="1:5" x14ac:dyDescent="0.35">
      <c r="A168" t="s">
        <v>21</v>
      </c>
      <c r="B168" t="s">
        <v>51</v>
      </c>
      <c r="C168">
        <v>19</v>
      </c>
      <c r="D168">
        <v>11</v>
      </c>
      <c r="E168">
        <v>2</v>
      </c>
    </row>
    <row r="169" spans="1:5" x14ac:dyDescent="0.35">
      <c r="A169" t="s">
        <v>34</v>
      </c>
      <c r="B169" t="s">
        <v>39</v>
      </c>
      <c r="C169">
        <v>19</v>
      </c>
      <c r="D169">
        <v>11</v>
      </c>
      <c r="E169">
        <v>2</v>
      </c>
    </row>
    <row r="170" spans="1:5" x14ac:dyDescent="0.35">
      <c r="A170" t="s">
        <v>318</v>
      </c>
      <c r="B170" t="s">
        <v>450</v>
      </c>
      <c r="C170">
        <v>16</v>
      </c>
      <c r="D170">
        <v>12</v>
      </c>
      <c r="E170">
        <v>1</v>
      </c>
    </row>
    <row r="171" spans="1:5" x14ac:dyDescent="0.35">
      <c r="A171" t="s">
        <v>318</v>
      </c>
      <c r="B171" t="s">
        <v>465</v>
      </c>
      <c r="C171">
        <v>16</v>
      </c>
      <c r="D171">
        <v>12</v>
      </c>
      <c r="E171">
        <v>1</v>
      </c>
    </row>
    <row r="172" spans="1:5" x14ac:dyDescent="0.35">
      <c r="A172" t="s">
        <v>318</v>
      </c>
      <c r="B172" t="s">
        <v>450</v>
      </c>
      <c r="C172">
        <v>16</v>
      </c>
      <c r="D172">
        <v>12</v>
      </c>
      <c r="E172">
        <v>1</v>
      </c>
    </row>
    <row r="173" spans="1:5" x14ac:dyDescent="0.35">
      <c r="A173" t="s">
        <v>318</v>
      </c>
      <c r="B173" t="s">
        <v>450</v>
      </c>
      <c r="C173">
        <v>16</v>
      </c>
      <c r="D173">
        <v>12</v>
      </c>
      <c r="E173">
        <v>1</v>
      </c>
    </row>
    <row r="174" spans="1:5" x14ac:dyDescent="0.35">
      <c r="A174" t="s">
        <v>318</v>
      </c>
      <c r="B174" t="s">
        <v>450</v>
      </c>
      <c r="C174">
        <v>16</v>
      </c>
      <c r="D174">
        <v>12</v>
      </c>
      <c r="E174">
        <v>1</v>
      </c>
    </row>
    <row r="175" spans="1:5" x14ac:dyDescent="0.35">
      <c r="A175" t="s">
        <v>318</v>
      </c>
      <c r="B175" t="s">
        <v>455</v>
      </c>
      <c r="C175">
        <v>16</v>
      </c>
      <c r="D175">
        <v>12</v>
      </c>
      <c r="E175">
        <v>1</v>
      </c>
    </row>
    <row r="176" spans="1:5" x14ac:dyDescent="0.35">
      <c r="A176" t="s">
        <v>446</v>
      </c>
      <c r="B176" t="s">
        <v>455</v>
      </c>
      <c r="C176">
        <v>10</v>
      </c>
      <c r="D176">
        <v>12</v>
      </c>
      <c r="E176">
        <v>1</v>
      </c>
    </row>
    <row r="177" spans="1:5" x14ac:dyDescent="0.35">
      <c r="A177" t="s">
        <v>318</v>
      </c>
      <c r="B177" t="s">
        <v>450</v>
      </c>
      <c r="C177">
        <v>16</v>
      </c>
      <c r="D177">
        <v>12</v>
      </c>
      <c r="E177">
        <v>1</v>
      </c>
    </row>
    <row r="178" spans="1:5" x14ac:dyDescent="0.35">
      <c r="A178" t="s">
        <v>318</v>
      </c>
      <c r="B178" t="s">
        <v>455</v>
      </c>
      <c r="C178">
        <v>16</v>
      </c>
      <c r="D178">
        <v>12</v>
      </c>
      <c r="E178">
        <v>1</v>
      </c>
    </row>
    <row r="179" spans="1:5" x14ac:dyDescent="0.35">
      <c r="A179" t="s">
        <v>318</v>
      </c>
      <c r="B179" t="s">
        <v>450</v>
      </c>
      <c r="C179">
        <v>16</v>
      </c>
      <c r="D179">
        <v>12</v>
      </c>
      <c r="E179">
        <v>1</v>
      </c>
    </row>
    <row r="180" spans="1:5" x14ac:dyDescent="0.35">
      <c r="A180" t="s">
        <v>318</v>
      </c>
      <c r="B180" t="s">
        <v>445</v>
      </c>
      <c r="C180">
        <v>16</v>
      </c>
      <c r="D180">
        <v>12</v>
      </c>
      <c r="E180">
        <v>1</v>
      </c>
    </row>
    <row r="181" spans="1:5" x14ac:dyDescent="0.35">
      <c r="A181" t="s">
        <v>318</v>
      </c>
      <c r="B181" t="s">
        <v>319</v>
      </c>
      <c r="C181">
        <v>16</v>
      </c>
      <c r="D181">
        <v>12</v>
      </c>
      <c r="E181">
        <v>1</v>
      </c>
    </row>
    <row r="182" spans="1:5" x14ac:dyDescent="0.35">
      <c r="A182" t="s">
        <v>210</v>
      </c>
      <c r="B182" t="s">
        <v>289</v>
      </c>
      <c r="C182">
        <v>10</v>
      </c>
      <c r="D182">
        <v>12</v>
      </c>
      <c r="E182">
        <v>1</v>
      </c>
    </row>
    <row r="183" spans="1:5" x14ac:dyDescent="0.35">
      <c r="A183" t="s">
        <v>318</v>
      </c>
      <c r="B183" t="s">
        <v>474</v>
      </c>
      <c r="C183">
        <v>10</v>
      </c>
      <c r="D183">
        <v>13</v>
      </c>
      <c r="E183">
        <v>0</v>
      </c>
    </row>
    <row r="184" spans="1:5" x14ac:dyDescent="0.35">
      <c r="A184" t="s">
        <v>446</v>
      </c>
      <c r="B184" t="s">
        <v>467</v>
      </c>
      <c r="C184">
        <v>10</v>
      </c>
      <c r="D184">
        <v>13</v>
      </c>
      <c r="E184">
        <v>0</v>
      </c>
    </row>
    <row r="185" spans="1:5" x14ac:dyDescent="0.35">
      <c r="A185" t="s">
        <v>276</v>
      </c>
      <c r="B185" t="s">
        <v>289</v>
      </c>
      <c r="C185">
        <v>10</v>
      </c>
      <c r="D185">
        <v>13</v>
      </c>
      <c r="E185">
        <v>1</v>
      </c>
    </row>
    <row r="186" spans="1:5" x14ac:dyDescent="0.35">
      <c r="A186" t="s">
        <v>210</v>
      </c>
      <c r="B186" t="s">
        <v>125</v>
      </c>
      <c r="C186">
        <v>10</v>
      </c>
      <c r="D186">
        <v>13</v>
      </c>
      <c r="E186">
        <v>0</v>
      </c>
    </row>
    <row r="187" spans="1:5" x14ac:dyDescent="0.35">
      <c r="A187" t="s">
        <v>210</v>
      </c>
      <c r="B187" t="s">
        <v>125</v>
      </c>
      <c r="C187">
        <v>10</v>
      </c>
      <c r="D187">
        <v>13</v>
      </c>
      <c r="E187">
        <v>0</v>
      </c>
    </row>
    <row r="188" spans="1:5" x14ac:dyDescent="0.35">
      <c r="A188" t="s">
        <v>210</v>
      </c>
      <c r="B188" t="s">
        <v>125</v>
      </c>
      <c r="C188">
        <v>10</v>
      </c>
      <c r="D188">
        <v>13</v>
      </c>
      <c r="E188">
        <v>0</v>
      </c>
    </row>
    <row r="189" spans="1:5" x14ac:dyDescent="0.35">
      <c r="A189" t="s">
        <v>210</v>
      </c>
      <c r="B189" t="s">
        <v>125</v>
      </c>
      <c r="C189">
        <v>10</v>
      </c>
      <c r="D189">
        <v>13</v>
      </c>
      <c r="E189">
        <v>0</v>
      </c>
    </row>
    <row r="190" spans="1:5" x14ac:dyDescent="0.35">
      <c r="A190" t="s">
        <v>21</v>
      </c>
      <c r="B190" t="s">
        <v>258</v>
      </c>
      <c r="C190">
        <v>10</v>
      </c>
      <c r="D190">
        <v>13</v>
      </c>
      <c r="E190">
        <v>1</v>
      </c>
    </row>
    <row r="191" spans="1:5" x14ac:dyDescent="0.35">
      <c r="A191" t="s">
        <v>210</v>
      </c>
      <c r="B191" t="s">
        <v>125</v>
      </c>
      <c r="C191">
        <v>10</v>
      </c>
      <c r="D191">
        <v>13</v>
      </c>
      <c r="E191">
        <v>0</v>
      </c>
    </row>
    <row r="192" spans="1:5" x14ac:dyDescent="0.35">
      <c r="A192" t="s">
        <v>210</v>
      </c>
      <c r="B192" t="s">
        <v>125</v>
      </c>
      <c r="C192">
        <v>10</v>
      </c>
      <c r="D192">
        <v>13</v>
      </c>
      <c r="E192">
        <v>0</v>
      </c>
    </row>
    <row r="193" spans="1:5" x14ac:dyDescent="0.35">
      <c r="A193" t="s">
        <v>210</v>
      </c>
      <c r="B193" t="s">
        <v>125</v>
      </c>
      <c r="C193">
        <v>10</v>
      </c>
      <c r="D193">
        <v>13</v>
      </c>
      <c r="E193">
        <v>0</v>
      </c>
    </row>
    <row r="194" spans="1:5" x14ac:dyDescent="0.35">
      <c r="A194" t="s">
        <v>210</v>
      </c>
      <c r="B194" t="s">
        <v>242</v>
      </c>
      <c r="C194">
        <v>10</v>
      </c>
      <c r="D194">
        <v>13</v>
      </c>
      <c r="E194">
        <v>0</v>
      </c>
    </row>
    <row r="195" spans="1:5" x14ac:dyDescent="0.35">
      <c r="A195" t="s">
        <v>210</v>
      </c>
      <c r="B195" t="s">
        <v>125</v>
      </c>
      <c r="C195">
        <v>10</v>
      </c>
      <c r="D195">
        <v>13</v>
      </c>
      <c r="E195">
        <v>0</v>
      </c>
    </row>
    <row r="196" spans="1:5" x14ac:dyDescent="0.35">
      <c r="A196" t="s">
        <v>210</v>
      </c>
      <c r="B196" t="s">
        <v>211</v>
      </c>
      <c r="C196">
        <v>10</v>
      </c>
      <c r="D196">
        <v>13</v>
      </c>
      <c r="E196">
        <v>0</v>
      </c>
    </row>
    <row r="197" spans="1:5" x14ac:dyDescent="0.35">
      <c r="A197" t="s">
        <v>210</v>
      </c>
      <c r="B197" t="s">
        <v>211</v>
      </c>
      <c r="C197">
        <v>10</v>
      </c>
      <c r="D197">
        <v>13</v>
      </c>
      <c r="E197">
        <v>0</v>
      </c>
    </row>
    <row r="198" spans="1:5" x14ac:dyDescent="0.35">
      <c r="A198" t="s">
        <v>210</v>
      </c>
      <c r="B198" t="s">
        <v>125</v>
      </c>
      <c r="C198">
        <v>10</v>
      </c>
      <c r="D198">
        <v>13</v>
      </c>
      <c r="E198">
        <v>0</v>
      </c>
    </row>
    <row r="199" spans="1:5" x14ac:dyDescent="0.35">
      <c r="A199" t="s">
        <v>210</v>
      </c>
      <c r="B199" t="s">
        <v>230</v>
      </c>
      <c r="C199">
        <v>10</v>
      </c>
      <c r="D199">
        <v>13</v>
      </c>
      <c r="E199">
        <v>0</v>
      </c>
    </row>
    <row r="200" spans="1:5" x14ac:dyDescent="0.35">
      <c r="A200" t="s">
        <v>210</v>
      </c>
      <c r="B200" t="s">
        <v>125</v>
      </c>
      <c r="C200">
        <v>10</v>
      </c>
      <c r="D200">
        <v>13</v>
      </c>
      <c r="E200">
        <v>0</v>
      </c>
    </row>
    <row r="201" spans="1:5" x14ac:dyDescent="0.35">
      <c r="A201" t="s">
        <v>210</v>
      </c>
      <c r="B201" t="s">
        <v>125</v>
      </c>
      <c r="C201">
        <v>10</v>
      </c>
      <c r="D201">
        <v>13</v>
      </c>
      <c r="E201">
        <v>0</v>
      </c>
    </row>
    <row r="202" spans="1:5" x14ac:dyDescent="0.35">
      <c r="A202" t="s">
        <v>210</v>
      </c>
      <c r="B202" t="s">
        <v>125</v>
      </c>
      <c r="C202">
        <v>10</v>
      </c>
      <c r="D202">
        <v>13</v>
      </c>
      <c r="E202">
        <v>0</v>
      </c>
    </row>
    <row r="203" spans="1:5" x14ac:dyDescent="0.35">
      <c r="A203" t="s">
        <v>210</v>
      </c>
      <c r="B203" t="s">
        <v>125</v>
      </c>
      <c r="C203">
        <v>10</v>
      </c>
      <c r="D203">
        <v>13</v>
      </c>
      <c r="E203">
        <v>0</v>
      </c>
    </row>
    <row r="204" spans="1:5" x14ac:dyDescent="0.35">
      <c r="A204" t="s">
        <v>210</v>
      </c>
      <c r="B204" t="s">
        <v>125</v>
      </c>
      <c r="C204">
        <v>10</v>
      </c>
      <c r="D204">
        <v>13</v>
      </c>
      <c r="E204">
        <v>0</v>
      </c>
    </row>
    <row r="205" spans="1:5" x14ac:dyDescent="0.35">
      <c r="A205" t="s">
        <v>217</v>
      </c>
      <c r="B205" t="s">
        <v>218</v>
      </c>
      <c r="C205">
        <v>10</v>
      </c>
      <c r="D205">
        <v>13</v>
      </c>
      <c r="E205">
        <v>0</v>
      </c>
    </row>
    <row r="206" spans="1:5" x14ac:dyDescent="0.35">
      <c r="A206" t="s">
        <v>217</v>
      </c>
      <c r="B206" t="s">
        <v>125</v>
      </c>
      <c r="C206">
        <v>10</v>
      </c>
      <c r="D206">
        <v>13</v>
      </c>
      <c r="E206">
        <v>0</v>
      </c>
    </row>
    <row r="207" spans="1:5" x14ac:dyDescent="0.35">
      <c r="A207" t="s">
        <v>210</v>
      </c>
      <c r="B207" t="s">
        <v>211</v>
      </c>
      <c r="C207">
        <v>10</v>
      </c>
      <c r="D207">
        <v>13</v>
      </c>
      <c r="E207">
        <v>0</v>
      </c>
    </row>
    <row r="208" spans="1:5" x14ac:dyDescent="0.35">
      <c r="A208" t="s">
        <v>21</v>
      </c>
      <c r="B208" t="s">
        <v>104</v>
      </c>
      <c r="C208">
        <v>10</v>
      </c>
      <c r="D208">
        <v>13</v>
      </c>
      <c r="E208">
        <v>0</v>
      </c>
    </row>
    <row r="209" spans="1:5" x14ac:dyDescent="0.35">
      <c r="A209" t="s">
        <v>21</v>
      </c>
      <c r="B209" t="s">
        <v>104</v>
      </c>
      <c r="C209">
        <v>10</v>
      </c>
      <c r="D209">
        <v>13</v>
      </c>
      <c r="E209">
        <v>0</v>
      </c>
    </row>
    <row r="210" spans="1:5" x14ac:dyDescent="0.35">
      <c r="A210" t="s">
        <v>21</v>
      </c>
      <c r="B210" t="s">
        <v>134</v>
      </c>
      <c r="C210">
        <v>10</v>
      </c>
      <c r="D210">
        <v>13</v>
      </c>
      <c r="E210">
        <v>0</v>
      </c>
    </row>
    <row r="211" spans="1:5" x14ac:dyDescent="0.35">
      <c r="A211" t="s">
        <v>21</v>
      </c>
      <c r="B211" t="s">
        <v>104</v>
      </c>
      <c r="C211">
        <v>10</v>
      </c>
      <c r="D211">
        <v>13</v>
      </c>
      <c r="E211">
        <v>0</v>
      </c>
    </row>
    <row r="212" spans="1:5" x14ac:dyDescent="0.35">
      <c r="A212" t="s">
        <v>21</v>
      </c>
      <c r="B212" t="s">
        <v>104</v>
      </c>
      <c r="C212">
        <v>10</v>
      </c>
      <c r="D212">
        <v>13</v>
      </c>
      <c r="E212">
        <v>0</v>
      </c>
    </row>
    <row r="213" spans="1:5" x14ac:dyDescent="0.35">
      <c r="A213" t="s">
        <v>34</v>
      </c>
      <c r="B213" t="s">
        <v>100</v>
      </c>
      <c r="C213">
        <v>10</v>
      </c>
      <c r="D213">
        <v>13</v>
      </c>
      <c r="E213">
        <v>0</v>
      </c>
    </row>
    <row r="214" spans="1:5" x14ac:dyDescent="0.35">
      <c r="A214" t="s">
        <v>21</v>
      </c>
      <c r="B214" t="s">
        <v>104</v>
      </c>
      <c r="C214">
        <v>10</v>
      </c>
      <c r="D214">
        <v>13</v>
      </c>
      <c r="E214">
        <v>0</v>
      </c>
    </row>
    <row r="215" spans="1:5" x14ac:dyDescent="0.35">
      <c r="A215" t="s">
        <v>21</v>
      </c>
      <c r="B215" t="s">
        <v>104</v>
      </c>
      <c r="C215">
        <v>10</v>
      </c>
      <c r="D215">
        <v>13</v>
      </c>
      <c r="E215">
        <v>0</v>
      </c>
    </row>
    <row r="216" spans="1:5" x14ac:dyDescent="0.35">
      <c r="A216" t="s">
        <v>21</v>
      </c>
      <c r="B216" t="s">
        <v>104</v>
      </c>
      <c r="C216">
        <v>10</v>
      </c>
      <c r="D216">
        <v>13</v>
      </c>
      <c r="E216">
        <v>0</v>
      </c>
    </row>
    <row r="217" spans="1:5" x14ac:dyDescent="0.35">
      <c r="A217" t="s">
        <v>21</v>
      </c>
      <c r="B217" t="s">
        <v>104</v>
      </c>
      <c r="C217">
        <v>10</v>
      </c>
      <c r="D217">
        <v>13</v>
      </c>
      <c r="E217">
        <v>0</v>
      </c>
    </row>
    <row r="218" spans="1:5" x14ac:dyDescent="0.35">
      <c r="A218" t="s">
        <v>21</v>
      </c>
      <c r="B218" t="s">
        <v>104</v>
      </c>
      <c r="C218">
        <v>10</v>
      </c>
      <c r="D218">
        <v>13</v>
      </c>
      <c r="E218">
        <v>0</v>
      </c>
    </row>
    <row r="219" spans="1:5" x14ac:dyDescent="0.35">
      <c r="A219" t="s">
        <v>21</v>
      </c>
      <c r="B219" t="s">
        <v>104</v>
      </c>
      <c r="C219">
        <v>10</v>
      </c>
      <c r="D219">
        <v>13</v>
      </c>
      <c r="E219">
        <v>0</v>
      </c>
    </row>
    <row r="220" spans="1:5" x14ac:dyDescent="0.35">
      <c r="A220" t="s">
        <v>21</v>
      </c>
      <c r="B220" t="s">
        <v>104</v>
      </c>
      <c r="C220">
        <v>10</v>
      </c>
      <c r="D220">
        <v>13</v>
      </c>
      <c r="E220">
        <v>0</v>
      </c>
    </row>
    <row r="221" spans="1:5" x14ac:dyDescent="0.35">
      <c r="A221" t="s">
        <v>21</v>
      </c>
      <c r="B221" t="s">
        <v>104</v>
      </c>
      <c r="C221">
        <v>10</v>
      </c>
      <c r="D221">
        <v>13</v>
      </c>
      <c r="E221">
        <v>0</v>
      </c>
    </row>
    <row r="222" spans="1:5" x14ac:dyDescent="0.35">
      <c r="A222" t="s">
        <v>21</v>
      </c>
      <c r="B222" t="s">
        <v>104</v>
      </c>
      <c r="C222">
        <v>10</v>
      </c>
      <c r="D222">
        <v>13</v>
      </c>
      <c r="E222">
        <v>0</v>
      </c>
    </row>
    <row r="223" spans="1:5" x14ac:dyDescent="0.35">
      <c r="A223" t="s">
        <v>21</v>
      </c>
      <c r="B223" t="s">
        <v>104</v>
      </c>
      <c r="C223">
        <v>10</v>
      </c>
      <c r="D223">
        <v>13</v>
      </c>
      <c r="E223">
        <v>0</v>
      </c>
    </row>
    <row r="224" spans="1:5" x14ac:dyDescent="0.35">
      <c r="A224" t="s">
        <v>21</v>
      </c>
      <c r="B224" t="s">
        <v>104</v>
      </c>
      <c r="C224">
        <v>10</v>
      </c>
      <c r="D224">
        <v>13</v>
      </c>
      <c r="E224">
        <v>0</v>
      </c>
    </row>
    <row r="225" spans="1:5" x14ac:dyDescent="0.35">
      <c r="A225" t="s">
        <v>21</v>
      </c>
      <c r="B225" t="s">
        <v>104</v>
      </c>
      <c r="C225">
        <v>10</v>
      </c>
      <c r="D225">
        <v>13</v>
      </c>
      <c r="E225">
        <v>0</v>
      </c>
    </row>
    <row r="226" spans="1:5" x14ac:dyDescent="0.35">
      <c r="A226" t="s">
        <v>21</v>
      </c>
      <c r="B226" t="s">
        <v>104</v>
      </c>
      <c r="C226">
        <v>10</v>
      </c>
      <c r="D226">
        <v>13</v>
      </c>
      <c r="E226">
        <v>0</v>
      </c>
    </row>
    <row r="227" spans="1:5" x14ac:dyDescent="0.35">
      <c r="A227" t="s">
        <v>21</v>
      </c>
      <c r="B227" t="s">
        <v>104</v>
      </c>
      <c r="C227">
        <v>10</v>
      </c>
      <c r="D227">
        <v>13</v>
      </c>
      <c r="E227">
        <v>0</v>
      </c>
    </row>
    <row r="228" spans="1:5" x14ac:dyDescent="0.35">
      <c r="A228" t="s">
        <v>21</v>
      </c>
      <c r="B228" t="s">
        <v>104</v>
      </c>
      <c r="C228">
        <v>10</v>
      </c>
      <c r="D228">
        <v>13</v>
      </c>
      <c r="E228">
        <v>0</v>
      </c>
    </row>
    <row r="229" spans="1:5" x14ac:dyDescent="0.35">
      <c r="A229" t="s">
        <v>21</v>
      </c>
      <c r="B229" t="s">
        <v>104</v>
      </c>
      <c r="C229">
        <v>10</v>
      </c>
      <c r="D229">
        <v>13</v>
      </c>
      <c r="E229">
        <v>0</v>
      </c>
    </row>
    <row r="230" spans="1:5" x14ac:dyDescent="0.35">
      <c r="A230" t="s">
        <v>21</v>
      </c>
      <c r="B230" t="s">
        <v>104</v>
      </c>
      <c r="C230">
        <v>10</v>
      </c>
      <c r="D230">
        <v>13</v>
      </c>
      <c r="E230">
        <v>0</v>
      </c>
    </row>
    <row r="231" spans="1:5" x14ac:dyDescent="0.35">
      <c r="A231" t="s">
        <v>21</v>
      </c>
      <c r="B231" t="s">
        <v>104</v>
      </c>
      <c r="C231">
        <v>10</v>
      </c>
      <c r="D231">
        <v>13</v>
      </c>
      <c r="E231">
        <v>0</v>
      </c>
    </row>
    <row r="232" spans="1:5" x14ac:dyDescent="0.35">
      <c r="A232" t="s">
        <v>21</v>
      </c>
      <c r="B232" t="s">
        <v>104</v>
      </c>
      <c r="C232">
        <v>10</v>
      </c>
      <c r="D232">
        <v>13</v>
      </c>
      <c r="E232">
        <v>0</v>
      </c>
    </row>
    <row r="233" spans="1:5" x14ac:dyDescent="0.35">
      <c r="A233" t="s">
        <v>21</v>
      </c>
      <c r="B233" t="s">
        <v>104</v>
      </c>
      <c r="C233">
        <v>10</v>
      </c>
      <c r="D233">
        <v>13</v>
      </c>
      <c r="E233">
        <v>0</v>
      </c>
    </row>
    <row r="234" spans="1:5" x14ac:dyDescent="0.35">
      <c r="A234" t="s">
        <v>21</v>
      </c>
      <c r="B234" t="s">
        <v>104</v>
      </c>
      <c r="C234">
        <v>10</v>
      </c>
      <c r="D234">
        <v>13</v>
      </c>
      <c r="E234">
        <v>0</v>
      </c>
    </row>
    <row r="235" spans="1:5" x14ac:dyDescent="0.35">
      <c r="A235" t="s">
        <v>21</v>
      </c>
      <c r="B235" t="s">
        <v>104</v>
      </c>
      <c r="C235">
        <v>10</v>
      </c>
      <c r="D235">
        <v>13</v>
      </c>
      <c r="E235">
        <v>0</v>
      </c>
    </row>
    <row r="236" spans="1:5" x14ac:dyDescent="0.35">
      <c r="A236" t="s">
        <v>21</v>
      </c>
      <c r="B236" t="s">
        <v>104</v>
      </c>
      <c r="C236">
        <v>10</v>
      </c>
      <c r="D236">
        <v>13</v>
      </c>
      <c r="E236">
        <v>0</v>
      </c>
    </row>
    <row r="237" spans="1:5" x14ac:dyDescent="0.35">
      <c r="A237" t="s">
        <v>21</v>
      </c>
      <c r="B237" t="s">
        <v>94</v>
      </c>
      <c r="C237">
        <v>10</v>
      </c>
      <c r="D237">
        <v>13</v>
      </c>
      <c r="E237">
        <v>0</v>
      </c>
    </row>
    <row r="238" spans="1:5" x14ac:dyDescent="0.35">
      <c r="A238" t="s">
        <v>21</v>
      </c>
      <c r="B238" t="s">
        <v>94</v>
      </c>
      <c r="C238">
        <v>10</v>
      </c>
      <c r="D238">
        <v>13</v>
      </c>
      <c r="E238">
        <v>0</v>
      </c>
    </row>
    <row r="239" spans="1:5" x14ac:dyDescent="0.35">
      <c r="A239" t="s">
        <v>21</v>
      </c>
      <c r="B239" t="s">
        <v>94</v>
      </c>
      <c r="C239">
        <v>10</v>
      </c>
      <c r="D239">
        <v>13</v>
      </c>
      <c r="E239">
        <v>0</v>
      </c>
    </row>
    <row r="240" spans="1:5" x14ac:dyDescent="0.35">
      <c r="A240" t="s">
        <v>318</v>
      </c>
      <c r="B240" t="s">
        <v>459</v>
      </c>
      <c r="C240">
        <v>18</v>
      </c>
      <c r="D240">
        <v>14</v>
      </c>
      <c r="E240">
        <v>0</v>
      </c>
    </row>
    <row r="241" spans="1:5" x14ac:dyDescent="0.35">
      <c r="A241" t="s">
        <v>318</v>
      </c>
      <c r="B241" t="s">
        <v>444</v>
      </c>
      <c r="C241">
        <v>18</v>
      </c>
      <c r="D241">
        <v>14</v>
      </c>
      <c r="E241">
        <v>0</v>
      </c>
    </row>
    <row r="242" spans="1:5" x14ac:dyDescent="0.35">
      <c r="A242" t="s">
        <v>358</v>
      </c>
      <c r="B242" t="s">
        <v>432</v>
      </c>
      <c r="C242">
        <v>18</v>
      </c>
      <c r="D242">
        <v>14</v>
      </c>
      <c r="E242">
        <v>0</v>
      </c>
    </row>
    <row r="243" spans="1:5" x14ac:dyDescent="0.35">
      <c r="A243" t="s">
        <v>402</v>
      </c>
      <c r="B243" t="s">
        <v>403</v>
      </c>
      <c r="C243">
        <v>18</v>
      </c>
      <c r="D243">
        <v>14</v>
      </c>
      <c r="E243">
        <v>0</v>
      </c>
    </row>
    <row r="244" spans="1:5" x14ac:dyDescent="0.35">
      <c r="A244" t="s">
        <v>286</v>
      </c>
      <c r="B244" t="s">
        <v>287</v>
      </c>
      <c r="C244">
        <v>18</v>
      </c>
      <c r="D244">
        <v>14</v>
      </c>
      <c r="E244">
        <v>0</v>
      </c>
    </row>
    <row r="245" spans="1:5" x14ac:dyDescent="0.35">
      <c r="A245" t="s">
        <v>469</v>
      </c>
      <c r="B245" t="s">
        <v>470</v>
      </c>
      <c r="C245">
        <v>11</v>
      </c>
      <c r="D245">
        <v>15</v>
      </c>
      <c r="E245">
        <v>2</v>
      </c>
    </row>
    <row r="246" spans="1:5" x14ac:dyDescent="0.35">
      <c r="A246" t="s">
        <v>11</v>
      </c>
      <c r="B246" t="s">
        <v>13</v>
      </c>
      <c r="C246">
        <v>19</v>
      </c>
      <c r="D246">
        <v>15</v>
      </c>
      <c r="E246">
        <v>2</v>
      </c>
    </row>
    <row r="247" spans="1:5" x14ac:dyDescent="0.35">
      <c r="A247" t="s">
        <v>318</v>
      </c>
      <c r="B247" t="s">
        <v>468</v>
      </c>
      <c r="C247">
        <v>11</v>
      </c>
      <c r="D247">
        <v>15</v>
      </c>
      <c r="E247">
        <v>2</v>
      </c>
    </row>
    <row r="248" spans="1:5" x14ac:dyDescent="0.35">
      <c r="A248" t="s">
        <v>11</v>
      </c>
      <c r="B248" t="s">
        <v>16</v>
      </c>
      <c r="C248">
        <v>11</v>
      </c>
      <c r="D248">
        <v>15</v>
      </c>
      <c r="E248">
        <v>2</v>
      </c>
    </row>
    <row r="249" spans="1:5" x14ac:dyDescent="0.35">
      <c r="A249" t="s">
        <v>14</v>
      </c>
      <c r="B249" t="s">
        <v>17</v>
      </c>
      <c r="C249">
        <v>11</v>
      </c>
      <c r="D249">
        <v>15</v>
      </c>
      <c r="E249">
        <v>2</v>
      </c>
    </row>
    <row r="250" spans="1:5" x14ac:dyDescent="0.35">
      <c r="A250" t="s">
        <v>14</v>
      </c>
      <c r="B250" t="s">
        <v>17</v>
      </c>
      <c r="C250">
        <v>11</v>
      </c>
      <c r="D250">
        <v>15</v>
      </c>
      <c r="E250">
        <v>2</v>
      </c>
    </row>
    <row r="251" spans="1:5" x14ac:dyDescent="0.35">
      <c r="A251" t="s">
        <v>14</v>
      </c>
      <c r="B251" t="s">
        <v>18</v>
      </c>
      <c r="C251">
        <v>11</v>
      </c>
      <c r="D251">
        <v>15</v>
      </c>
      <c r="E251">
        <v>2</v>
      </c>
    </row>
    <row r="252" spans="1:5" x14ac:dyDescent="0.35">
      <c r="A252" t="s">
        <v>14</v>
      </c>
      <c r="B252" t="s">
        <v>19</v>
      </c>
      <c r="C252">
        <v>11</v>
      </c>
      <c r="D252">
        <v>15</v>
      </c>
      <c r="E252">
        <v>2</v>
      </c>
    </row>
    <row r="253" spans="1:5" x14ac:dyDescent="0.35">
      <c r="A253" t="s">
        <v>14</v>
      </c>
      <c r="B253" t="s">
        <v>20</v>
      </c>
      <c r="C253">
        <v>11</v>
      </c>
      <c r="D253">
        <v>15</v>
      </c>
      <c r="E253">
        <v>2</v>
      </c>
    </row>
    <row r="254" spans="1:5" x14ac:dyDescent="0.35">
      <c r="A254" t="s">
        <v>14</v>
      </c>
      <c r="B254" t="s">
        <v>20</v>
      </c>
      <c r="C254">
        <v>11</v>
      </c>
      <c r="D254">
        <v>15</v>
      </c>
      <c r="E254">
        <v>2</v>
      </c>
    </row>
    <row r="255" spans="1:5" x14ac:dyDescent="0.35">
      <c r="A255" t="s">
        <v>462</v>
      </c>
      <c r="B255" t="s">
        <v>463</v>
      </c>
      <c r="C255">
        <v>11</v>
      </c>
      <c r="D255">
        <v>15</v>
      </c>
      <c r="E255">
        <v>2</v>
      </c>
    </row>
    <row r="256" spans="1:5" x14ac:dyDescent="0.35">
      <c r="A256" t="s">
        <v>460</v>
      </c>
      <c r="B256" t="s">
        <v>461</v>
      </c>
      <c r="C256">
        <v>11</v>
      </c>
      <c r="D256">
        <v>15</v>
      </c>
      <c r="E256">
        <v>2</v>
      </c>
    </row>
    <row r="257" spans="1:5" x14ac:dyDescent="0.35">
      <c r="A257" t="s">
        <v>456</v>
      </c>
      <c r="B257" t="s">
        <v>457</v>
      </c>
      <c r="C257">
        <v>11</v>
      </c>
      <c r="D257">
        <v>15</v>
      </c>
      <c r="E257">
        <v>2</v>
      </c>
    </row>
    <row r="258" spans="1:5" x14ac:dyDescent="0.35">
      <c r="A258" t="s">
        <v>23</v>
      </c>
      <c r="B258" t="s">
        <v>26</v>
      </c>
      <c r="C258">
        <v>11</v>
      </c>
      <c r="D258">
        <v>15</v>
      </c>
      <c r="E258">
        <v>2</v>
      </c>
    </row>
    <row r="259" spans="1:5" x14ac:dyDescent="0.35">
      <c r="A259" t="s">
        <v>23</v>
      </c>
      <c r="B259" t="s">
        <v>27</v>
      </c>
      <c r="C259">
        <v>11</v>
      </c>
      <c r="D259">
        <v>15</v>
      </c>
      <c r="E259">
        <v>2</v>
      </c>
    </row>
    <row r="260" spans="1:5" x14ac:dyDescent="0.35">
      <c r="A260" t="s">
        <v>28</v>
      </c>
      <c r="B260" t="s">
        <v>29</v>
      </c>
      <c r="C260">
        <v>11</v>
      </c>
      <c r="D260">
        <v>15</v>
      </c>
      <c r="E260">
        <v>2</v>
      </c>
    </row>
    <row r="261" spans="1:5" x14ac:dyDescent="0.35">
      <c r="A261" t="s">
        <v>28</v>
      </c>
      <c r="B261" t="s">
        <v>30</v>
      </c>
      <c r="C261">
        <v>11</v>
      </c>
      <c r="D261">
        <v>15</v>
      </c>
      <c r="E261">
        <v>2</v>
      </c>
    </row>
    <row r="262" spans="1:5" x14ac:dyDescent="0.35">
      <c r="A262" t="s">
        <v>28</v>
      </c>
      <c r="B262" t="s">
        <v>31</v>
      </c>
      <c r="C262">
        <v>11</v>
      </c>
      <c r="D262">
        <v>15</v>
      </c>
      <c r="E262">
        <v>2</v>
      </c>
    </row>
    <row r="263" spans="1:5" x14ac:dyDescent="0.35">
      <c r="A263" t="s">
        <v>32</v>
      </c>
      <c r="B263" t="s">
        <v>33</v>
      </c>
      <c r="C263">
        <v>11</v>
      </c>
      <c r="D263">
        <v>15</v>
      </c>
      <c r="E263">
        <v>2</v>
      </c>
    </row>
    <row r="264" spans="1:5" x14ac:dyDescent="0.35">
      <c r="A264" t="s">
        <v>34</v>
      </c>
      <c r="B264" t="s">
        <v>35</v>
      </c>
      <c r="C264">
        <v>11</v>
      </c>
      <c r="D264">
        <v>15</v>
      </c>
      <c r="E264">
        <v>2</v>
      </c>
    </row>
    <row r="265" spans="1:5" x14ac:dyDescent="0.35">
      <c r="A265" t="s">
        <v>28</v>
      </c>
      <c r="B265" t="s">
        <v>36</v>
      </c>
      <c r="C265">
        <v>11</v>
      </c>
      <c r="D265">
        <v>15</v>
      </c>
      <c r="E265">
        <v>2</v>
      </c>
    </row>
    <row r="266" spans="1:5" x14ac:dyDescent="0.35">
      <c r="A266" t="s">
        <v>28</v>
      </c>
      <c r="B266" t="s">
        <v>37</v>
      </c>
      <c r="C266">
        <v>11</v>
      </c>
      <c r="D266">
        <v>15</v>
      </c>
      <c r="E266">
        <v>2</v>
      </c>
    </row>
    <row r="267" spans="1:5" x14ac:dyDescent="0.35">
      <c r="A267" t="s">
        <v>34</v>
      </c>
      <c r="B267" t="s">
        <v>38</v>
      </c>
      <c r="C267">
        <v>11</v>
      </c>
      <c r="D267">
        <v>15</v>
      </c>
      <c r="E267">
        <v>2</v>
      </c>
    </row>
    <row r="268" spans="1:5" x14ac:dyDescent="0.35">
      <c r="A268" t="s">
        <v>318</v>
      </c>
      <c r="B268" t="s">
        <v>454</v>
      </c>
      <c r="C268">
        <v>11</v>
      </c>
      <c r="D268">
        <v>15</v>
      </c>
      <c r="E268">
        <v>2</v>
      </c>
    </row>
    <row r="269" spans="1:5" x14ac:dyDescent="0.35">
      <c r="A269" t="s">
        <v>34</v>
      </c>
      <c r="B269" t="s">
        <v>40</v>
      </c>
      <c r="C269">
        <v>11</v>
      </c>
      <c r="D269">
        <v>15</v>
      </c>
      <c r="E269">
        <v>2</v>
      </c>
    </row>
    <row r="270" spans="1:5" x14ac:dyDescent="0.35">
      <c r="A270" t="s">
        <v>34</v>
      </c>
      <c r="B270" t="s">
        <v>41</v>
      </c>
      <c r="C270">
        <v>11</v>
      </c>
      <c r="D270">
        <v>15</v>
      </c>
      <c r="E270">
        <v>2</v>
      </c>
    </row>
    <row r="271" spans="1:5" x14ac:dyDescent="0.35">
      <c r="A271" t="s">
        <v>34</v>
      </c>
      <c r="B271" t="s">
        <v>42</v>
      </c>
      <c r="C271">
        <v>11</v>
      </c>
      <c r="D271">
        <v>15</v>
      </c>
      <c r="E271">
        <v>2</v>
      </c>
    </row>
    <row r="272" spans="1:5" x14ac:dyDescent="0.35">
      <c r="A272" t="s">
        <v>34</v>
      </c>
      <c r="B272" t="s">
        <v>43</v>
      </c>
      <c r="C272">
        <v>11</v>
      </c>
      <c r="D272">
        <v>15</v>
      </c>
      <c r="E272">
        <v>2</v>
      </c>
    </row>
    <row r="273" spans="1:5" x14ac:dyDescent="0.35">
      <c r="A273" t="s">
        <v>21</v>
      </c>
      <c r="B273" t="s">
        <v>44</v>
      </c>
      <c r="C273">
        <v>11</v>
      </c>
      <c r="D273">
        <v>15</v>
      </c>
      <c r="E273">
        <v>3</v>
      </c>
    </row>
    <row r="274" spans="1:5" x14ac:dyDescent="0.35">
      <c r="A274" t="s">
        <v>34</v>
      </c>
      <c r="B274" t="s">
        <v>45</v>
      </c>
      <c r="C274">
        <v>11</v>
      </c>
      <c r="D274">
        <v>15</v>
      </c>
      <c r="E274">
        <v>2</v>
      </c>
    </row>
    <row r="275" spans="1:5" x14ac:dyDescent="0.35">
      <c r="A275" t="s">
        <v>452</v>
      </c>
      <c r="B275" t="s">
        <v>453</v>
      </c>
      <c r="C275">
        <v>11</v>
      </c>
      <c r="D275">
        <v>15</v>
      </c>
      <c r="E275">
        <v>2</v>
      </c>
    </row>
    <row r="276" spans="1:5" x14ac:dyDescent="0.35">
      <c r="A276" t="s">
        <v>320</v>
      </c>
      <c r="B276" t="s">
        <v>451</v>
      </c>
      <c r="C276">
        <v>11</v>
      </c>
      <c r="D276">
        <v>15</v>
      </c>
      <c r="E276">
        <v>2</v>
      </c>
    </row>
    <row r="277" spans="1:5" x14ac:dyDescent="0.35">
      <c r="A277" t="s">
        <v>448</v>
      </c>
      <c r="B277" t="s">
        <v>449</v>
      </c>
      <c r="C277">
        <v>11</v>
      </c>
      <c r="D277">
        <v>15</v>
      </c>
      <c r="E277">
        <v>2</v>
      </c>
    </row>
    <row r="278" spans="1:5" x14ac:dyDescent="0.35">
      <c r="A278" t="s">
        <v>47</v>
      </c>
      <c r="B278" t="s">
        <v>48</v>
      </c>
      <c r="C278">
        <v>11</v>
      </c>
      <c r="D278">
        <v>15</v>
      </c>
      <c r="E278">
        <v>2</v>
      </c>
    </row>
    <row r="279" spans="1:5" x14ac:dyDescent="0.35">
      <c r="A279" t="s">
        <v>21</v>
      </c>
      <c r="B279" t="s">
        <v>49</v>
      </c>
      <c r="C279">
        <v>11</v>
      </c>
      <c r="D279">
        <v>15</v>
      </c>
      <c r="E279">
        <v>2</v>
      </c>
    </row>
    <row r="280" spans="1:5" x14ac:dyDescent="0.35">
      <c r="A280" t="s">
        <v>34</v>
      </c>
      <c r="B280" t="s">
        <v>50</v>
      </c>
      <c r="C280">
        <v>11</v>
      </c>
      <c r="D280">
        <v>15</v>
      </c>
      <c r="E280">
        <v>2</v>
      </c>
    </row>
    <row r="281" spans="1:5" x14ac:dyDescent="0.35">
      <c r="A281" t="s">
        <v>440</v>
      </c>
      <c r="B281" t="s">
        <v>441</v>
      </c>
      <c r="C281">
        <v>11</v>
      </c>
      <c r="D281">
        <v>15</v>
      </c>
      <c r="E281">
        <v>2</v>
      </c>
    </row>
    <row r="282" spans="1:5" x14ac:dyDescent="0.35">
      <c r="A282" t="s">
        <v>21</v>
      </c>
      <c r="B282" t="s">
        <v>44</v>
      </c>
      <c r="C282">
        <v>11</v>
      </c>
      <c r="D282">
        <v>15</v>
      </c>
      <c r="E282">
        <v>3</v>
      </c>
    </row>
    <row r="283" spans="1:5" x14ac:dyDescent="0.35">
      <c r="A283" t="s">
        <v>318</v>
      </c>
      <c r="B283" t="s">
        <v>439</v>
      </c>
      <c r="C283">
        <v>11</v>
      </c>
      <c r="D283">
        <v>15</v>
      </c>
      <c r="E283">
        <v>2</v>
      </c>
    </row>
    <row r="284" spans="1:5" x14ac:dyDescent="0.35">
      <c r="A284" t="s">
        <v>34</v>
      </c>
      <c r="B284" t="s">
        <v>53</v>
      </c>
      <c r="C284">
        <v>11</v>
      </c>
      <c r="D284">
        <v>15</v>
      </c>
      <c r="E284">
        <v>2</v>
      </c>
    </row>
    <row r="285" spans="1:5" x14ac:dyDescent="0.35">
      <c r="A285" t="s">
        <v>21</v>
      </c>
      <c r="B285" t="s">
        <v>49</v>
      </c>
      <c r="C285">
        <v>11</v>
      </c>
      <c r="D285">
        <v>15</v>
      </c>
      <c r="E285">
        <v>2</v>
      </c>
    </row>
    <row r="286" spans="1:5" x14ac:dyDescent="0.35">
      <c r="A286" t="s">
        <v>34</v>
      </c>
      <c r="B286" t="s">
        <v>54</v>
      </c>
      <c r="C286">
        <v>11</v>
      </c>
      <c r="D286">
        <v>15</v>
      </c>
      <c r="E286">
        <v>2</v>
      </c>
    </row>
    <row r="287" spans="1:5" x14ac:dyDescent="0.35">
      <c r="A287" t="s">
        <v>34</v>
      </c>
      <c r="B287" t="s">
        <v>55</v>
      </c>
      <c r="C287">
        <v>11</v>
      </c>
      <c r="D287">
        <v>15</v>
      </c>
      <c r="E287">
        <v>2</v>
      </c>
    </row>
    <row r="288" spans="1:5" x14ac:dyDescent="0.35">
      <c r="A288" t="s">
        <v>34</v>
      </c>
      <c r="B288" t="s">
        <v>42</v>
      </c>
      <c r="C288">
        <v>11</v>
      </c>
      <c r="D288">
        <v>15</v>
      </c>
      <c r="E288">
        <v>2</v>
      </c>
    </row>
    <row r="289" spans="1:5" x14ac:dyDescent="0.35">
      <c r="A289" t="s">
        <v>23</v>
      </c>
      <c r="B289" t="s">
        <v>56</v>
      </c>
      <c r="C289">
        <v>19</v>
      </c>
      <c r="D289">
        <v>15</v>
      </c>
      <c r="E289">
        <v>2</v>
      </c>
    </row>
    <row r="290" spans="1:5" x14ac:dyDescent="0.35">
      <c r="A290" t="s">
        <v>28</v>
      </c>
      <c r="B290" t="s">
        <v>57</v>
      </c>
      <c r="C290">
        <v>11</v>
      </c>
      <c r="D290">
        <v>15</v>
      </c>
      <c r="E290">
        <v>2</v>
      </c>
    </row>
    <row r="291" spans="1:5" x14ac:dyDescent="0.35">
      <c r="A291" t="s">
        <v>34</v>
      </c>
      <c r="B291" t="s">
        <v>58</v>
      </c>
      <c r="C291">
        <v>11</v>
      </c>
      <c r="D291">
        <v>15</v>
      </c>
      <c r="E291">
        <v>2</v>
      </c>
    </row>
    <row r="292" spans="1:5" x14ac:dyDescent="0.35">
      <c r="A292" t="s">
        <v>28</v>
      </c>
      <c r="B292" t="s">
        <v>59</v>
      </c>
      <c r="C292">
        <v>11</v>
      </c>
      <c r="D292">
        <v>15</v>
      </c>
      <c r="E292">
        <v>2</v>
      </c>
    </row>
    <row r="293" spans="1:5" x14ac:dyDescent="0.35">
      <c r="A293" t="s">
        <v>28</v>
      </c>
      <c r="B293" t="s">
        <v>60</v>
      </c>
      <c r="C293">
        <v>11</v>
      </c>
      <c r="D293">
        <v>15</v>
      </c>
      <c r="E293">
        <v>2</v>
      </c>
    </row>
    <row r="294" spans="1:5" x14ac:dyDescent="0.35">
      <c r="A294" t="s">
        <v>28</v>
      </c>
      <c r="B294" t="s">
        <v>61</v>
      </c>
      <c r="C294">
        <v>11</v>
      </c>
      <c r="D294">
        <v>15</v>
      </c>
      <c r="E294">
        <v>2</v>
      </c>
    </row>
    <row r="295" spans="1:5" x14ac:dyDescent="0.35">
      <c r="A295" t="s">
        <v>21</v>
      </c>
      <c r="B295" t="s">
        <v>44</v>
      </c>
      <c r="C295">
        <v>11</v>
      </c>
      <c r="D295">
        <v>15</v>
      </c>
      <c r="E295">
        <v>3</v>
      </c>
    </row>
    <row r="296" spans="1:5" x14ac:dyDescent="0.35">
      <c r="A296" t="s">
        <v>28</v>
      </c>
      <c r="B296" t="s">
        <v>62</v>
      </c>
      <c r="C296">
        <v>11</v>
      </c>
      <c r="D296">
        <v>15</v>
      </c>
      <c r="E296">
        <v>2</v>
      </c>
    </row>
    <row r="297" spans="1:5" x14ac:dyDescent="0.35">
      <c r="A297" t="s">
        <v>437</v>
      </c>
      <c r="B297" t="s">
        <v>438</v>
      </c>
      <c r="C297">
        <v>11</v>
      </c>
      <c r="D297">
        <v>15</v>
      </c>
      <c r="E297">
        <v>2</v>
      </c>
    </row>
    <row r="298" spans="1:5" x14ac:dyDescent="0.35">
      <c r="A298" t="s">
        <v>32</v>
      </c>
      <c r="B298" t="s">
        <v>64</v>
      </c>
      <c r="C298">
        <v>11</v>
      </c>
      <c r="D298">
        <v>15</v>
      </c>
      <c r="E298">
        <v>2</v>
      </c>
    </row>
    <row r="299" spans="1:5" x14ac:dyDescent="0.35">
      <c r="A299" t="s">
        <v>435</v>
      </c>
      <c r="B299" t="s">
        <v>436</v>
      </c>
      <c r="C299">
        <v>11</v>
      </c>
      <c r="D299">
        <v>15</v>
      </c>
      <c r="E299">
        <v>2</v>
      </c>
    </row>
    <row r="300" spans="1:5" x14ac:dyDescent="0.35">
      <c r="A300" t="s">
        <v>433</v>
      </c>
      <c r="B300" t="s">
        <v>434</v>
      </c>
      <c r="C300">
        <v>11</v>
      </c>
      <c r="D300">
        <v>15</v>
      </c>
      <c r="E300">
        <v>2</v>
      </c>
    </row>
    <row r="301" spans="1:5" x14ac:dyDescent="0.35">
      <c r="A301" t="s">
        <v>21</v>
      </c>
      <c r="B301" t="s">
        <v>66</v>
      </c>
      <c r="C301">
        <v>19</v>
      </c>
      <c r="D301">
        <v>15</v>
      </c>
      <c r="E301">
        <v>2</v>
      </c>
    </row>
    <row r="302" spans="1:5" x14ac:dyDescent="0.35">
      <c r="A302" t="s">
        <v>28</v>
      </c>
      <c r="B302" t="s">
        <v>67</v>
      </c>
      <c r="C302">
        <v>11</v>
      </c>
      <c r="D302">
        <v>15</v>
      </c>
      <c r="E302">
        <v>2</v>
      </c>
    </row>
    <row r="303" spans="1:5" x14ac:dyDescent="0.35">
      <c r="A303" t="s">
        <v>34</v>
      </c>
      <c r="B303" t="s">
        <v>68</v>
      </c>
      <c r="C303">
        <v>11</v>
      </c>
      <c r="D303">
        <v>15</v>
      </c>
      <c r="E303">
        <v>2</v>
      </c>
    </row>
    <row r="304" spans="1:5" x14ac:dyDescent="0.35">
      <c r="A304" t="s">
        <v>28</v>
      </c>
      <c r="B304" t="s">
        <v>69</v>
      </c>
      <c r="C304">
        <v>11</v>
      </c>
      <c r="D304">
        <v>15</v>
      </c>
      <c r="E304">
        <v>2</v>
      </c>
    </row>
    <row r="305" spans="1:5" x14ac:dyDescent="0.35">
      <c r="A305" t="s">
        <v>21</v>
      </c>
      <c r="B305" t="s">
        <v>70</v>
      </c>
      <c r="C305">
        <v>11</v>
      </c>
      <c r="D305">
        <v>15</v>
      </c>
      <c r="E305">
        <v>2</v>
      </c>
    </row>
    <row r="306" spans="1:5" x14ac:dyDescent="0.35">
      <c r="A306" t="s">
        <v>71</v>
      </c>
      <c r="B306" t="s">
        <v>72</v>
      </c>
      <c r="C306">
        <v>11</v>
      </c>
      <c r="D306">
        <v>15</v>
      </c>
      <c r="E306">
        <v>2</v>
      </c>
    </row>
    <row r="307" spans="1:5" x14ac:dyDescent="0.35">
      <c r="A307" t="s">
        <v>28</v>
      </c>
      <c r="B307" t="s">
        <v>73</v>
      </c>
      <c r="C307">
        <v>11</v>
      </c>
      <c r="D307">
        <v>15</v>
      </c>
      <c r="E307">
        <v>2</v>
      </c>
    </row>
    <row r="308" spans="1:5" x14ac:dyDescent="0.35">
      <c r="A308" t="s">
        <v>28</v>
      </c>
      <c r="B308" t="s">
        <v>74</v>
      </c>
      <c r="C308">
        <v>11</v>
      </c>
      <c r="D308">
        <v>15</v>
      </c>
      <c r="E308">
        <v>2</v>
      </c>
    </row>
    <row r="309" spans="1:5" x14ac:dyDescent="0.35">
      <c r="A309" t="s">
        <v>430</v>
      </c>
      <c r="B309" t="s">
        <v>431</v>
      </c>
      <c r="C309">
        <v>11</v>
      </c>
      <c r="D309">
        <v>15</v>
      </c>
      <c r="E309">
        <v>2</v>
      </c>
    </row>
    <row r="310" spans="1:5" x14ac:dyDescent="0.35">
      <c r="A310" t="s">
        <v>28</v>
      </c>
      <c r="B310" t="s">
        <v>75</v>
      </c>
      <c r="C310">
        <v>11</v>
      </c>
      <c r="D310">
        <v>15</v>
      </c>
      <c r="E310">
        <v>2</v>
      </c>
    </row>
    <row r="311" spans="1:5" x14ac:dyDescent="0.35">
      <c r="A311" t="s">
        <v>34</v>
      </c>
      <c r="B311" t="s">
        <v>76</v>
      </c>
      <c r="C311">
        <v>11</v>
      </c>
      <c r="D311">
        <v>15</v>
      </c>
      <c r="E311">
        <v>2</v>
      </c>
    </row>
    <row r="312" spans="1:5" x14ac:dyDescent="0.35">
      <c r="A312" t="s">
        <v>32</v>
      </c>
      <c r="B312" t="s">
        <v>77</v>
      </c>
      <c r="C312">
        <v>11</v>
      </c>
      <c r="D312">
        <v>15</v>
      </c>
      <c r="E312">
        <v>2</v>
      </c>
    </row>
    <row r="313" spans="1:5" x14ac:dyDescent="0.35">
      <c r="A313" t="s">
        <v>21</v>
      </c>
      <c r="B313" t="s">
        <v>78</v>
      </c>
      <c r="C313">
        <v>11</v>
      </c>
      <c r="D313">
        <v>15</v>
      </c>
      <c r="E313">
        <v>3</v>
      </c>
    </row>
    <row r="314" spans="1:5" x14ac:dyDescent="0.35">
      <c r="A314" t="s">
        <v>28</v>
      </c>
      <c r="B314" t="s">
        <v>79</v>
      </c>
      <c r="C314">
        <v>11</v>
      </c>
      <c r="D314">
        <v>15</v>
      </c>
      <c r="E314">
        <v>2</v>
      </c>
    </row>
    <row r="315" spans="1:5" x14ac:dyDescent="0.35">
      <c r="A315" t="s">
        <v>28</v>
      </c>
      <c r="B315" t="s">
        <v>80</v>
      </c>
      <c r="C315">
        <v>11</v>
      </c>
      <c r="D315">
        <v>15</v>
      </c>
      <c r="E315">
        <v>2</v>
      </c>
    </row>
    <row r="316" spans="1:5" x14ac:dyDescent="0.35">
      <c r="A316" t="s">
        <v>28</v>
      </c>
      <c r="B316" t="s">
        <v>81</v>
      </c>
      <c r="C316">
        <v>11</v>
      </c>
      <c r="D316">
        <v>15</v>
      </c>
      <c r="E316">
        <v>2</v>
      </c>
    </row>
    <row r="317" spans="1:5" x14ac:dyDescent="0.35">
      <c r="A317" t="s">
        <v>21</v>
      </c>
      <c r="B317" t="s">
        <v>82</v>
      </c>
      <c r="C317">
        <v>11</v>
      </c>
      <c r="D317">
        <v>15</v>
      </c>
      <c r="E317">
        <v>2</v>
      </c>
    </row>
    <row r="318" spans="1:5" x14ac:dyDescent="0.35">
      <c r="A318" t="s">
        <v>28</v>
      </c>
      <c r="B318" t="s">
        <v>83</v>
      </c>
      <c r="C318">
        <v>11</v>
      </c>
      <c r="D318">
        <v>15</v>
      </c>
      <c r="E318">
        <v>2</v>
      </c>
    </row>
    <row r="319" spans="1:5" x14ac:dyDescent="0.35">
      <c r="A319" t="s">
        <v>28</v>
      </c>
      <c r="B319" t="s">
        <v>84</v>
      </c>
      <c r="C319">
        <v>11</v>
      </c>
      <c r="D319">
        <v>15</v>
      </c>
      <c r="E319">
        <v>2</v>
      </c>
    </row>
    <row r="320" spans="1:5" x14ac:dyDescent="0.35">
      <c r="A320" t="s">
        <v>428</v>
      </c>
      <c r="B320" t="s">
        <v>429</v>
      </c>
      <c r="C320">
        <v>11</v>
      </c>
      <c r="D320">
        <v>15</v>
      </c>
      <c r="E320">
        <v>2</v>
      </c>
    </row>
    <row r="321" spans="1:5" x14ac:dyDescent="0.35">
      <c r="A321" t="s">
        <v>21</v>
      </c>
      <c r="B321" t="s">
        <v>86</v>
      </c>
      <c r="C321">
        <v>11</v>
      </c>
      <c r="D321">
        <v>15</v>
      </c>
      <c r="E321">
        <v>0</v>
      </c>
    </row>
    <row r="322" spans="1:5" x14ac:dyDescent="0.35">
      <c r="A322" t="s">
        <v>87</v>
      </c>
      <c r="B322" t="s">
        <v>88</v>
      </c>
      <c r="C322">
        <v>11</v>
      </c>
      <c r="D322">
        <v>15</v>
      </c>
      <c r="E322">
        <v>2</v>
      </c>
    </row>
    <row r="323" spans="1:5" x14ac:dyDescent="0.35">
      <c r="A323" t="s">
        <v>426</v>
      </c>
      <c r="B323" t="s">
        <v>427</v>
      </c>
      <c r="C323">
        <v>11</v>
      </c>
      <c r="D323">
        <v>15</v>
      </c>
      <c r="E323">
        <v>2</v>
      </c>
    </row>
    <row r="324" spans="1:5" x14ac:dyDescent="0.35">
      <c r="A324" t="s">
        <v>21</v>
      </c>
      <c r="B324" t="s">
        <v>90</v>
      </c>
      <c r="C324">
        <v>11</v>
      </c>
      <c r="D324">
        <v>15</v>
      </c>
      <c r="E324">
        <v>0</v>
      </c>
    </row>
    <row r="325" spans="1:5" x14ac:dyDescent="0.35">
      <c r="A325" t="s">
        <v>21</v>
      </c>
      <c r="B325" t="s">
        <v>90</v>
      </c>
      <c r="C325">
        <v>11</v>
      </c>
      <c r="D325">
        <v>15</v>
      </c>
      <c r="E325">
        <v>0</v>
      </c>
    </row>
    <row r="326" spans="1:5" x14ac:dyDescent="0.35">
      <c r="A326" t="s">
        <v>21</v>
      </c>
      <c r="B326" t="s">
        <v>90</v>
      </c>
      <c r="C326">
        <v>11</v>
      </c>
      <c r="D326">
        <v>15</v>
      </c>
      <c r="E326">
        <v>0</v>
      </c>
    </row>
    <row r="327" spans="1:5" x14ac:dyDescent="0.35">
      <c r="A327" t="s">
        <v>424</v>
      </c>
      <c r="B327" t="s">
        <v>425</v>
      </c>
      <c r="C327">
        <v>11</v>
      </c>
      <c r="D327">
        <v>15</v>
      </c>
      <c r="E327">
        <v>2</v>
      </c>
    </row>
    <row r="328" spans="1:5" x14ac:dyDescent="0.35">
      <c r="A328" t="s">
        <v>422</v>
      </c>
      <c r="B328" t="s">
        <v>423</v>
      </c>
      <c r="C328">
        <v>11</v>
      </c>
      <c r="D328">
        <v>15</v>
      </c>
      <c r="E328">
        <v>2</v>
      </c>
    </row>
    <row r="329" spans="1:5" x14ac:dyDescent="0.35">
      <c r="A329" t="s">
        <v>92</v>
      </c>
      <c r="B329" t="s">
        <v>93</v>
      </c>
      <c r="C329">
        <v>11</v>
      </c>
      <c r="D329">
        <v>15</v>
      </c>
      <c r="E329">
        <v>2</v>
      </c>
    </row>
    <row r="330" spans="1:5" x14ac:dyDescent="0.35">
      <c r="A330" t="s">
        <v>420</v>
      </c>
      <c r="B330" t="s">
        <v>421</v>
      </c>
      <c r="C330">
        <v>11</v>
      </c>
      <c r="D330">
        <v>15</v>
      </c>
      <c r="E330">
        <v>2</v>
      </c>
    </row>
    <row r="331" spans="1:5" x14ac:dyDescent="0.35">
      <c r="A331" t="s">
        <v>21</v>
      </c>
      <c r="B331" t="s">
        <v>90</v>
      </c>
      <c r="C331">
        <v>11</v>
      </c>
      <c r="D331">
        <v>15</v>
      </c>
      <c r="E331">
        <v>0</v>
      </c>
    </row>
    <row r="332" spans="1:5" x14ac:dyDescent="0.35">
      <c r="A332" t="s">
        <v>418</v>
      </c>
      <c r="B332" t="s">
        <v>419</v>
      </c>
      <c r="C332">
        <v>11</v>
      </c>
      <c r="D332">
        <v>15</v>
      </c>
      <c r="E332">
        <v>2</v>
      </c>
    </row>
    <row r="333" spans="1:5" x14ac:dyDescent="0.35">
      <c r="A333" t="s">
        <v>416</v>
      </c>
      <c r="B333" t="s">
        <v>417</v>
      </c>
      <c r="C333">
        <v>11</v>
      </c>
      <c r="D333">
        <v>15</v>
      </c>
      <c r="E333">
        <v>2</v>
      </c>
    </row>
    <row r="334" spans="1:5" x14ac:dyDescent="0.35">
      <c r="A334" t="s">
        <v>21</v>
      </c>
      <c r="B334" t="s">
        <v>86</v>
      </c>
      <c r="C334">
        <v>11</v>
      </c>
      <c r="D334">
        <v>15</v>
      </c>
      <c r="E334">
        <v>0</v>
      </c>
    </row>
    <row r="335" spans="1:5" x14ac:dyDescent="0.35">
      <c r="A335" t="s">
        <v>21</v>
      </c>
      <c r="B335" t="s">
        <v>90</v>
      </c>
      <c r="C335">
        <v>11</v>
      </c>
      <c r="D335">
        <v>15</v>
      </c>
      <c r="E335">
        <v>0</v>
      </c>
    </row>
    <row r="336" spans="1:5" x14ac:dyDescent="0.35">
      <c r="A336" t="s">
        <v>21</v>
      </c>
      <c r="B336" t="s">
        <v>90</v>
      </c>
      <c r="C336">
        <v>11</v>
      </c>
      <c r="D336">
        <v>15</v>
      </c>
      <c r="E336">
        <v>0</v>
      </c>
    </row>
    <row r="337" spans="1:5" x14ac:dyDescent="0.35">
      <c r="A337" t="s">
        <v>96</v>
      </c>
      <c r="B337" t="s">
        <v>97</v>
      </c>
      <c r="C337">
        <v>11</v>
      </c>
      <c r="D337">
        <v>15</v>
      </c>
      <c r="E337">
        <v>2</v>
      </c>
    </row>
    <row r="338" spans="1:5" x14ac:dyDescent="0.35">
      <c r="A338" t="s">
        <v>414</v>
      </c>
      <c r="B338" t="s">
        <v>415</v>
      </c>
      <c r="C338">
        <v>11</v>
      </c>
      <c r="D338">
        <v>15</v>
      </c>
      <c r="E338">
        <v>2</v>
      </c>
    </row>
    <row r="339" spans="1:5" x14ac:dyDescent="0.35">
      <c r="A339" t="s">
        <v>412</v>
      </c>
      <c r="B339" t="s">
        <v>413</v>
      </c>
      <c r="C339">
        <v>11</v>
      </c>
      <c r="D339">
        <v>15</v>
      </c>
      <c r="E339">
        <v>2</v>
      </c>
    </row>
    <row r="340" spans="1:5" x14ac:dyDescent="0.35">
      <c r="A340" t="s">
        <v>410</v>
      </c>
      <c r="B340" t="s">
        <v>411</v>
      </c>
      <c r="C340">
        <v>11</v>
      </c>
      <c r="D340">
        <v>15</v>
      </c>
      <c r="E340">
        <v>2</v>
      </c>
    </row>
    <row r="341" spans="1:5" x14ac:dyDescent="0.35">
      <c r="A341" t="s">
        <v>408</v>
      </c>
      <c r="B341" t="s">
        <v>409</v>
      </c>
      <c r="C341">
        <v>11</v>
      </c>
      <c r="D341">
        <v>15</v>
      </c>
      <c r="E341">
        <v>2</v>
      </c>
    </row>
    <row r="342" spans="1:5" x14ac:dyDescent="0.35">
      <c r="A342" t="s">
        <v>406</v>
      </c>
      <c r="B342" t="s">
        <v>407</v>
      </c>
      <c r="C342">
        <v>11</v>
      </c>
      <c r="D342">
        <v>15</v>
      </c>
      <c r="E342">
        <v>2</v>
      </c>
    </row>
    <row r="343" spans="1:5" x14ac:dyDescent="0.35">
      <c r="A343" t="s">
        <v>28</v>
      </c>
      <c r="B343" t="s">
        <v>101</v>
      </c>
      <c r="C343">
        <v>11</v>
      </c>
      <c r="D343">
        <v>15</v>
      </c>
      <c r="E343">
        <v>2</v>
      </c>
    </row>
    <row r="344" spans="1:5" x14ac:dyDescent="0.35">
      <c r="A344" t="s">
        <v>404</v>
      </c>
      <c r="B344" t="s">
        <v>405</v>
      </c>
      <c r="C344">
        <v>11</v>
      </c>
      <c r="D344">
        <v>15</v>
      </c>
      <c r="E344">
        <v>2</v>
      </c>
    </row>
    <row r="345" spans="1:5" x14ac:dyDescent="0.35">
      <c r="A345" t="s">
        <v>391</v>
      </c>
      <c r="B345" t="s">
        <v>401</v>
      </c>
      <c r="C345">
        <v>11</v>
      </c>
      <c r="D345">
        <v>15</v>
      </c>
      <c r="E345">
        <v>2</v>
      </c>
    </row>
    <row r="346" spans="1:5" x14ac:dyDescent="0.35">
      <c r="A346" t="s">
        <v>28</v>
      </c>
      <c r="B346" t="s">
        <v>103</v>
      </c>
      <c r="C346">
        <v>11</v>
      </c>
      <c r="D346">
        <v>15</v>
      </c>
      <c r="E346">
        <v>2</v>
      </c>
    </row>
    <row r="347" spans="1:5" x14ac:dyDescent="0.35">
      <c r="A347" t="s">
        <v>399</v>
      </c>
      <c r="B347" t="s">
        <v>400</v>
      </c>
      <c r="C347">
        <v>11</v>
      </c>
      <c r="D347">
        <v>15</v>
      </c>
      <c r="E347">
        <v>2</v>
      </c>
    </row>
    <row r="348" spans="1:5" x14ac:dyDescent="0.35">
      <c r="A348" t="s">
        <v>397</v>
      </c>
      <c r="B348" t="s">
        <v>398</v>
      </c>
      <c r="C348">
        <v>11</v>
      </c>
      <c r="D348">
        <v>15</v>
      </c>
      <c r="E348">
        <v>2</v>
      </c>
    </row>
    <row r="349" spans="1:5" x14ac:dyDescent="0.35">
      <c r="A349" t="s">
        <v>395</v>
      </c>
      <c r="B349" t="s">
        <v>396</v>
      </c>
      <c r="C349">
        <v>11</v>
      </c>
      <c r="D349">
        <v>15</v>
      </c>
      <c r="E349">
        <v>2</v>
      </c>
    </row>
    <row r="350" spans="1:5" x14ac:dyDescent="0.35">
      <c r="A350" t="s">
        <v>393</v>
      </c>
      <c r="B350" t="s">
        <v>394</v>
      </c>
      <c r="C350">
        <v>11</v>
      </c>
      <c r="D350">
        <v>15</v>
      </c>
      <c r="E350">
        <v>2</v>
      </c>
    </row>
    <row r="351" spans="1:5" x14ac:dyDescent="0.35">
      <c r="A351" t="s">
        <v>391</v>
      </c>
      <c r="B351" t="s">
        <v>392</v>
      </c>
      <c r="C351">
        <v>11</v>
      </c>
      <c r="D351">
        <v>15</v>
      </c>
      <c r="E351">
        <v>2</v>
      </c>
    </row>
    <row r="352" spans="1:5" x14ac:dyDescent="0.35">
      <c r="A352" t="s">
        <v>389</v>
      </c>
      <c r="B352" t="s">
        <v>390</v>
      </c>
      <c r="C352">
        <v>11</v>
      </c>
      <c r="D352">
        <v>15</v>
      </c>
      <c r="E352">
        <v>2</v>
      </c>
    </row>
    <row r="353" spans="1:5" x14ac:dyDescent="0.35">
      <c r="A353" t="s">
        <v>387</v>
      </c>
      <c r="B353" t="s">
        <v>388</v>
      </c>
      <c r="C353">
        <v>11</v>
      </c>
      <c r="D353">
        <v>15</v>
      </c>
      <c r="E353">
        <v>2</v>
      </c>
    </row>
    <row r="354" spans="1:5" x14ac:dyDescent="0.35">
      <c r="A354" t="s">
        <v>385</v>
      </c>
      <c r="B354" t="s">
        <v>386</v>
      </c>
      <c r="C354">
        <v>11</v>
      </c>
      <c r="D354">
        <v>15</v>
      </c>
      <c r="E354">
        <v>2</v>
      </c>
    </row>
    <row r="355" spans="1:5" x14ac:dyDescent="0.35">
      <c r="A355" t="s">
        <v>383</v>
      </c>
      <c r="B355" t="s">
        <v>384</v>
      </c>
      <c r="C355">
        <v>11</v>
      </c>
      <c r="D355">
        <v>15</v>
      </c>
      <c r="E355">
        <v>2</v>
      </c>
    </row>
    <row r="356" spans="1:5" x14ac:dyDescent="0.35">
      <c r="A356" t="s">
        <v>381</v>
      </c>
      <c r="B356" t="s">
        <v>382</v>
      </c>
      <c r="C356">
        <v>11</v>
      </c>
      <c r="D356">
        <v>15</v>
      </c>
      <c r="E356">
        <v>2</v>
      </c>
    </row>
    <row r="357" spans="1:5" x14ac:dyDescent="0.35">
      <c r="A357" t="s">
        <v>377</v>
      </c>
      <c r="B357" t="s">
        <v>378</v>
      </c>
      <c r="C357">
        <v>11</v>
      </c>
      <c r="D357">
        <v>15</v>
      </c>
      <c r="E357">
        <v>2</v>
      </c>
    </row>
    <row r="358" spans="1:5" x14ac:dyDescent="0.35">
      <c r="A358" t="s">
        <v>375</v>
      </c>
      <c r="B358" t="s">
        <v>376</v>
      </c>
      <c r="C358">
        <v>11</v>
      </c>
      <c r="D358">
        <v>15</v>
      </c>
      <c r="E358">
        <v>2</v>
      </c>
    </row>
    <row r="359" spans="1:5" x14ac:dyDescent="0.35">
      <c r="A359" t="s">
        <v>373</v>
      </c>
      <c r="B359" t="s">
        <v>374</v>
      </c>
      <c r="C359">
        <v>11</v>
      </c>
      <c r="D359">
        <v>15</v>
      </c>
      <c r="E359">
        <v>2</v>
      </c>
    </row>
    <row r="360" spans="1:5" x14ac:dyDescent="0.35">
      <c r="A360" t="s">
        <v>371</v>
      </c>
      <c r="B360" t="s">
        <v>372</v>
      </c>
      <c r="C360">
        <v>11</v>
      </c>
      <c r="D360">
        <v>15</v>
      </c>
      <c r="E360">
        <v>2</v>
      </c>
    </row>
    <row r="361" spans="1:5" x14ac:dyDescent="0.35">
      <c r="A361" t="s">
        <v>356</v>
      </c>
      <c r="B361" t="s">
        <v>357</v>
      </c>
      <c r="C361">
        <v>11</v>
      </c>
      <c r="D361">
        <v>15</v>
      </c>
      <c r="E361">
        <v>2</v>
      </c>
    </row>
    <row r="362" spans="1:5" x14ac:dyDescent="0.35">
      <c r="A362" t="s">
        <v>346</v>
      </c>
      <c r="B362" t="s">
        <v>348</v>
      </c>
      <c r="C362">
        <v>11</v>
      </c>
      <c r="D362">
        <v>15</v>
      </c>
      <c r="E362">
        <v>2</v>
      </c>
    </row>
    <row r="363" spans="1:5" x14ac:dyDescent="0.35">
      <c r="A363" t="s">
        <v>346</v>
      </c>
      <c r="B363" t="s">
        <v>347</v>
      </c>
      <c r="C363">
        <v>19</v>
      </c>
      <c r="D363">
        <v>15</v>
      </c>
      <c r="E363">
        <v>2</v>
      </c>
    </row>
    <row r="364" spans="1:5" x14ac:dyDescent="0.35">
      <c r="A364" t="s">
        <v>332</v>
      </c>
      <c r="B364" t="s">
        <v>333</v>
      </c>
      <c r="C364">
        <v>11</v>
      </c>
      <c r="D364">
        <v>15</v>
      </c>
      <c r="E364">
        <v>2</v>
      </c>
    </row>
    <row r="365" spans="1:5" x14ac:dyDescent="0.35">
      <c r="A365" t="s">
        <v>330</v>
      </c>
      <c r="B365" t="s">
        <v>331</v>
      </c>
      <c r="C365">
        <v>11</v>
      </c>
      <c r="D365">
        <v>15</v>
      </c>
      <c r="E365">
        <v>2</v>
      </c>
    </row>
    <row r="366" spans="1:5" x14ac:dyDescent="0.35">
      <c r="A366" t="s">
        <v>322</v>
      </c>
      <c r="B366" t="s">
        <v>323</v>
      </c>
      <c r="C366">
        <v>11</v>
      </c>
      <c r="D366">
        <v>15</v>
      </c>
      <c r="E366">
        <v>2</v>
      </c>
    </row>
    <row r="367" spans="1:5" x14ac:dyDescent="0.35">
      <c r="A367" t="s">
        <v>320</v>
      </c>
      <c r="B367" t="s">
        <v>321</v>
      </c>
      <c r="C367">
        <v>11</v>
      </c>
      <c r="D367">
        <v>15</v>
      </c>
      <c r="E367">
        <v>2</v>
      </c>
    </row>
    <row r="368" spans="1:5" x14ac:dyDescent="0.35">
      <c r="A368" t="s">
        <v>313</v>
      </c>
      <c r="B368" t="s">
        <v>314</v>
      </c>
      <c r="C368">
        <v>11</v>
      </c>
      <c r="D368">
        <v>15</v>
      </c>
      <c r="E368">
        <v>2</v>
      </c>
    </row>
    <row r="369" spans="1:5" x14ac:dyDescent="0.35">
      <c r="A369" t="s">
        <v>311</v>
      </c>
      <c r="B369" t="s">
        <v>312</v>
      </c>
      <c r="C369">
        <v>11</v>
      </c>
      <c r="D369">
        <v>15</v>
      </c>
      <c r="E369">
        <v>2</v>
      </c>
    </row>
    <row r="370" spans="1:5" x14ac:dyDescent="0.35">
      <c r="A370" t="s">
        <v>309</v>
      </c>
      <c r="B370" t="s">
        <v>310</v>
      </c>
      <c r="C370">
        <v>11</v>
      </c>
      <c r="D370">
        <v>15</v>
      </c>
      <c r="E370">
        <v>2</v>
      </c>
    </row>
    <row r="371" spans="1:5" x14ac:dyDescent="0.35">
      <c r="A371" t="s">
        <v>248</v>
      </c>
      <c r="B371" t="s">
        <v>308</v>
      </c>
      <c r="C371">
        <v>11</v>
      </c>
      <c r="D371">
        <v>15</v>
      </c>
      <c r="E371">
        <v>2</v>
      </c>
    </row>
    <row r="372" spans="1:5" x14ac:dyDescent="0.35">
      <c r="A372" t="s">
        <v>34</v>
      </c>
      <c r="B372" t="s">
        <v>113</v>
      </c>
      <c r="C372">
        <v>11</v>
      </c>
      <c r="D372">
        <v>15</v>
      </c>
      <c r="E372">
        <v>2</v>
      </c>
    </row>
    <row r="373" spans="1:5" x14ac:dyDescent="0.35">
      <c r="A373" t="s">
        <v>172</v>
      </c>
      <c r="B373" t="s">
        <v>307</v>
      </c>
      <c r="C373">
        <v>11</v>
      </c>
      <c r="D373">
        <v>15</v>
      </c>
      <c r="E373">
        <v>2</v>
      </c>
    </row>
    <row r="374" spans="1:5" x14ac:dyDescent="0.35">
      <c r="A374" t="s">
        <v>248</v>
      </c>
      <c r="B374" t="s">
        <v>306</v>
      </c>
      <c r="C374">
        <v>11</v>
      </c>
      <c r="D374">
        <v>15</v>
      </c>
      <c r="E374">
        <v>2</v>
      </c>
    </row>
    <row r="375" spans="1:5" x14ac:dyDescent="0.35">
      <c r="A375" t="s">
        <v>172</v>
      </c>
      <c r="B375" t="s">
        <v>305</v>
      </c>
      <c r="C375">
        <v>11</v>
      </c>
      <c r="D375">
        <v>15</v>
      </c>
      <c r="E375">
        <v>2</v>
      </c>
    </row>
    <row r="376" spans="1:5" x14ac:dyDescent="0.35">
      <c r="A376" t="s">
        <v>248</v>
      </c>
      <c r="B376" t="s">
        <v>304</v>
      </c>
      <c r="C376">
        <v>11</v>
      </c>
      <c r="D376">
        <v>15</v>
      </c>
      <c r="E376">
        <v>2</v>
      </c>
    </row>
    <row r="377" spans="1:5" x14ac:dyDescent="0.35">
      <c r="A377" t="s">
        <v>301</v>
      </c>
      <c r="B377" t="s">
        <v>302</v>
      </c>
      <c r="C377">
        <v>11</v>
      </c>
      <c r="D377">
        <v>15</v>
      </c>
      <c r="E377">
        <v>2</v>
      </c>
    </row>
    <row r="378" spans="1:5" x14ac:dyDescent="0.35">
      <c r="A378" t="s">
        <v>299</v>
      </c>
      <c r="B378" t="s">
        <v>300</v>
      </c>
      <c r="C378">
        <v>11</v>
      </c>
      <c r="D378">
        <v>15</v>
      </c>
      <c r="E378">
        <v>2</v>
      </c>
    </row>
    <row r="379" spans="1:5" x14ac:dyDescent="0.35">
      <c r="A379" t="s">
        <v>282</v>
      </c>
      <c r="B379" t="s">
        <v>298</v>
      </c>
      <c r="C379">
        <v>11</v>
      </c>
      <c r="D379">
        <v>15</v>
      </c>
      <c r="E379">
        <v>2</v>
      </c>
    </row>
    <row r="380" spans="1:5" x14ac:dyDescent="0.35">
      <c r="A380" t="s">
        <v>268</v>
      </c>
      <c r="B380" t="s">
        <v>297</v>
      </c>
      <c r="C380">
        <v>11</v>
      </c>
      <c r="D380">
        <v>15</v>
      </c>
      <c r="E380">
        <v>2</v>
      </c>
    </row>
    <row r="381" spans="1:5" x14ac:dyDescent="0.35">
      <c r="A381" t="s">
        <v>295</v>
      </c>
      <c r="B381" t="s">
        <v>296</v>
      </c>
      <c r="C381">
        <v>11</v>
      </c>
      <c r="D381">
        <v>15</v>
      </c>
      <c r="E381">
        <v>2</v>
      </c>
    </row>
    <row r="382" spans="1:5" x14ac:dyDescent="0.35">
      <c r="A382" t="s">
        <v>291</v>
      </c>
      <c r="B382" t="s">
        <v>292</v>
      </c>
      <c r="C382">
        <v>11</v>
      </c>
      <c r="D382">
        <v>15</v>
      </c>
      <c r="E382">
        <v>2</v>
      </c>
    </row>
    <row r="383" spans="1:5" x14ac:dyDescent="0.35">
      <c r="A383" t="s">
        <v>256</v>
      </c>
      <c r="B383" t="s">
        <v>267</v>
      </c>
      <c r="C383">
        <v>11</v>
      </c>
      <c r="D383">
        <v>15</v>
      </c>
      <c r="E383">
        <v>2</v>
      </c>
    </row>
    <row r="384" spans="1:5" x14ac:dyDescent="0.35">
      <c r="A384" t="s">
        <v>284</v>
      </c>
      <c r="B384" t="s">
        <v>285</v>
      </c>
      <c r="C384">
        <v>11</v>
      </c>
      <c r="D384">
        <v>15</v>
      </c>
      <c r="E384">
        <v>2</v>
      </c>
    </row>
    <row r="385" spans="1:5" x14ac:dyDescent="0.35">
      <c r="A385" t="s">
        <v>282</v>
      </c>
      <c r="B385" t="s">
        <v>283</v>
      </c>
      <c r="C385">
        <v>11</v>
      </c>
      <c r="D385">
        <v>15</v>
      </c>
      <c r="E385">
        <v>2</v>
      </c>
    </row>
    <row r="386" spans="1:5" x14ac:dyDescent="0.35">
      <c r="A386" t="s">
        <v>280</v>
      </c>
      <c r="B386" t="s">
        <v>281</v>
      </c>
      <c r="C386">
        <v>11</v>
      </c>
      <c r="D386">
        <v>15</v>
      </c>
      <c r="E386">
        <v>2</v>
      </c>
    </row>
    <row r="387" spans="1:5" x14ac:dyDescent="0.35">
      <c r="A387" t="s">
        <v>114</v>
      </c>
      <c r="B387" t="s">
        <v>115</v>
      </c>
      <c r="C387">
        <v>11</v>
      </c>
      <c r="D387">
        <v>15</v>
      </c>
      <c r="E387">
        <v>2</v>
      </c>
    </row>
    <row r="388" spans="1:5" x14ac:dyDescent="0.35">
      <c r="A388" t="s">
        <v>278</v>
      </c>
      <c r="B388" t="s">
        <v>279</v>
      </c>
      <c r="C388">
        <v>11</v>
      </c>
      <c r="D388">
        <v>15</v>
      </c>
      <c r="E388">
        <v>2</v>
      </c>
    </row>
    <row r="389" spans="1:5" x14ac:dyDescent="0.35">
      <c r="A389" t="s">
        <v>274</v>
      </c>
      <c r="B389" t="s">
        <v>275</v>
      </c>
      <c r="C389">
        <v>11</v>
      </c>
      <c r="D389">
        <v>15</v>
      </c>
      <c r="E389">
        <v>2</v>
      </c>
    </row>
    <row r="390" spans="1:5" x14ac:dyDescent="0.35">
      <c r="A390" t="s">
        <v>28</v>
      </c>
      <c r="B390" t="s">
        <v>116</v>
      </c>
      <c r="C390">
        <v>11</v>
      </c>
      <c r="D390">
        <v>15</v>
      </c>
      <c r="E390">
        <v>2</v>
      </c>
    </row>
    <row r="391" spans="1:5" x14ac:dyDescent="0.35">
      <c r="A391" t="s">
        <v>34</v>
      </c>
      <c r="B391" t="s">
        <v>113</v>
      </c>
      <c r="C391">
        <v>11</v>
      </c>
      <c r="D391">
        <v>15</v>
      </c>
      <c r="E391">
        <v>2</v>
      </c>
    </row>
    <row r="392" spans="1:5" x14ac:dyDescent="0.35">
      <c r="A392" t="s">
        <v>268</v>
      </c>
      <c r="B392" t="s">
        <v>269</v>
      </c>
      <c r="C392">
        <v>11</v>
      </c>
      <c r="D392">
        <v>15</v>
      </c>
      <c r="E392">
        <v>2</v>
      </c>
    </row>
    <row r="393" spans="1:5" x14ac:dyDescent="0.35">
      <c r="A393" t="s">
        <v>256</v>
      </c>
      <c r="B393" t="s">
        <v>267</v>
      </c>
      <c r="C393">
        <v>11</v>
      </c>
      <c r="D393">
        <v>15</v>
      </c>
      <c r="E393">
        <v>2</v>
      </c>
    </row>
    <row r="394" spans="1:5" x14ac:dyDescent="0.35">
      <c r="A394" t="s">
        <v>265</v>
      </c>
      <c r="B394" t="s">
        <v>266</v>
      </c>
      <c r="C394">
        <v>11</v>
      </c>
      <c r="D394">
        <v>15</v>
      </c>
      <c r="E394">
        <v>2</v>
      </c>
    </row>
    <row r="395" spans="1:5" x14ac:dyDescent="0.35">
      <c r="A395" t="s">
        <v>246</v>
      </c>
      <c r="B395" t="s">
        <v>264</v>
      </c>
      <c r="C395">
        <v>11</v>
      </c>
      <c r="D395">
        <v>15</v>
      </c>
      <c r="E395">
        <v>2</v>
      </c>
    </row>
    <row r="396" spans="1:5" x14ac:dyDescent="0.35">
      <c r="A396" t="s">
        <v>246</v>
      </c>
      <c r="B396" t="s">
        <v>263</v>
      </c>
      <c r="C396">
        <v>11</v>
      </c>
      <c r="D396">
        <v>15</v>
      </c>
      <c r="E396">
        <v>2</v>
      </c>
    </row>
    <row r="397" spans="1:5" x14ac:dyDescent="0.35">
      <c r="A397" t="s">
        <v>250</v>
      </c>
      <c r="B397" t="s">
        <v>262</v>
      </c>
      <c r="C397">
        <v>11</v>
      </c>
      <c r="D397">
        <v>15</v>
      </c>
      <c r="E397">
        <v>2</v>
      </c>
    </row>
    <row r="398" spans="1:5" x14ac:dyDescent="0.35">
      <c r="A398" t="s">
        <v>259</v>
      </c>
      <c r="B398" t="s">
        <v>260</v>
      </c>
      <c r="C398">
        <v>11</v>
      </c>
      <c r="D398">
        <v>15</v>
      </c>
      <c r="E398">
        <v>2</v>
      </c>
    </row>
    <row r="399" spans="1:5" x14ac:dyDescent="0.35">
      <c r="A399" t="s">
        <v>256</v>
      </c>
      <c r="B399" t="s">
        <v>257</v>
      </c>
      <c r="C399">
        <v>11</v>
      </c>
      <c r="D399">
        <v>15</v>
      </c>
      <c r="E399">
        <v>2</v>
      </c>
    </row>
    <row r="400" spans="1:5" x14ac:dyDescent="0.35">
      <c r="A400" t="s">
        <v>253</v>
      </c>
      <c r="B400" t="s">
        <v>255</v>
      </c>
      <c r="C400">
        <v>11</v>
      </c>
      <c r="D400">
        <v>15</v>
      </c>
      <c r="E400">
        <v>2</v>
      </c>
    </row>
    <row r="401" spans="1:5" x14ac:dyDescent="0.35">
      <c r="A401" t="s">
        <v>253</v>
      </c>
      <c r="B401" t="s">
        <v>254</v>
      </c>
      <c r="C401">
        <v>11</v>
      </c>
      <c r="D401">
        <v>15</v>
      </c>
      <c r="E401">
        <v>2</v>
      </c>
    </row>
    <row r="402" spans="1:5" x14ac:dyDescent="0.35">
      <c r="A402" t="s">
        <v>176</v>
      </c>
      <c r="B402" t="s">
        <v>252</v>
      </c>
      <c r="C402">
        <v>11</v>
      </c>
      <c r="D402">
        <v>15</v>
      </c>
      <c r="E402">
        <v>2</v>
      </c>
    </row>
    <row r="403" spans="1:5" x14ac:dyDescent="0.35">
      <c r="A403" t="s">
        <v>250</v>
      </c>
      <c r="B403" t="s">
        <v>251</v>
      </c>
      <c r="C403">
        <v>11</v>
      </c>
      <c r="D403">
        <v>15</v>
      </c>
      <c r="E403">
        <v>2</v>
      </c>
    </row>
    <row r="404" spans="1:5" x14ac:dyDescent="0.35">
      <c r="A404" t="s">
        <v>248</v>
      </c>
      <c r="B404" t="s">
        <v>249</v>
      </c>
      <c r="C404">
        <v>11</v>
      </c>
      <c r="D404">
        <v>15</v>
      </c>
      <c r="E404">
        <v>2</v>
      </c>
    </row>
    <row r="405" spans="1:5" x14ac:dyDescent="0.35">
      <c r="A405" t="s">
        <v>244</v>
      </c>
      <c r="B405" t="s">
        <v>245</v>
      </c>
      <c r="C405">
        <v>11</v>
      </c>
      <c r="D405">
        <v>15</v>
      </c>
      <c r="E405">
        <v>2</v>
      </c>
    </row>
    <row r="406" spans="1:5" x14ac:dyDescent="0.35">
      <c r="A406" t="s">
        <v>28</v>
      </c>
      <c r="B406" t="s">
        <v>117</v>
      </c>
      <c r="C406">
        <v>11</v>
      </c>
      <c r="D406">
        <v>15</v>
      </c>
      <c r="E406">
        <v>2</v>
      </c>
    </row>
    <row r="407" spans="1:5" x14ac:dyDescent="0.35">
      <c r="A407" t="s">
        <v>237</v>
      </c>
      <c r="B407" t="s">
        <v>238</v>
      </c>
      <c r="C407">
        <v>11</v>
      </c>
      <c r="D407">
        <v>15</v>
      </c>
      <c r="E407">
        <v>2</v>
      </c>
    </row>
    <row r="408" spans="1:5" x14ac:dyDescent="0.35">
      <c r="A408" t="s">
        <v>235</v>
      </c>
      <c r="B408" t="s">
        <v>236</v>
      </c>
      <c r="C408">
        <v>11</v>
      </c>
      <c r="D408">
        <v>15</v>
      </c>
      <c r="E408">
        <v>2</v>
      </c>
    </row>
    <row r="409" spans="1:5" x14ac:dyDescent="0.35">
      <c r="A409" t="s">
        <v>189</v>
      </c>
      <c r="B409" t="s">
        <v>233</v>
      </c>
      <c r="C409">
        <v>19</v>
      </c>
      <c r="D409">
        <v>15</v>
      </c>
      <c r="E409">
        <v>0</v>
      </c>
    </row>
    <row r="410" spans="1:5" x14ac:dyDescent="0.35">
      <c r="A410" t="s">
        <v>119</v>
      </c>
      <c r="B410" t="s">
        <v>120</v>
      </c>
      <c r="C410">
        <v>11</v>
      </c>
      <c r="D410">
        <v>15</v>
      </c>
      <c r="E410">
        <v>2</v>
      </c>
    </row>
    <row r="411" spans="1:5" x14ac:dyDescent="0.35">
      <c r="A411" t="s">
        <v>227</v>
      </c>
      <c r="B411" t="s">
        <v>228</v>
      </c>
      <c r="C411">
        <v>11</v>
      </c>
      <c r="D411">
        <v>15</v>
      </c>
      <c r="E411">
        <v>2</v>
      </c>
    </row>
    <row r="412" spans="1:5" x14ac:dyDescent="0.35">
      <c r="A412" t="s">
        <v>222</v>
      </c>
      <c r="B412" t="s">
        <v>223</v>
      </c>
      <c r="C412">
        <v>11</v>
      </c>
      <c r="D412">
        <v>15</v>
      </c>
      <c r="E412">
        <v>2</v>
      </c>
    </row>
    <row r="413" spans="1:5" x14ac:dyDescent="0.35">
      <c r="A413" t="s">
        <v>114</v>
      </c>
      <c r="B413" t="s">
        <v>121</v>
      </c>
      <c r="C413">
        <v>11</v>
      </c>
      <c r="D413">
        <v>15</v>
      </c>
      <c r="E413">
        <v>2</v>
      </c>
    </row>
    <row r="414" spans="1:5" x14ac:dyDescent="0.35">
      <c r="A414" t="s">
        <v>114</v>
      </c>
      <c r="B414" t="s">
        <v>122</v>
      </c>
      <c r="C414">
        <v>11</v>
      </c>
      <c r="D414">
        <v>15</v>
      </c>
      <c r="E414">
        <v>2</v>
      </c>
    </row>
    <row r="415" spans="1:5" x14ac:dyDescent="0.35">
      <c r="A415" t="s">
        <v>220</v>
      </c>
      <c r="B415" t="s">
        <v>221</v>
      </c>
      <c r="C415">
        <v>11</v>
      </c>
      <c r="D415">
        <v>15</v>
      </c>
      <c r="E415">
        <v>2</v>
      </c>
    </row>
    <row r="416" spans="1:5" x14ac:dyDescent="0.35">
      <c r="A416" t="s">
        <v>204</v>
      </c>
      <c r="B416" t="s">
        <v>209</v>
      </c>
      <c r="C416">
        <v>11</v>
      </c>
      <c r="D416">
        <v>15</v>
      </c>
      <c r="E416">
        <v>2</v>
      </c>
    </row>
    <row r="417" spans="1:5" x14ac:dyDescent="0.35">
      <c r="A417" t="s">
        <v>32</v>
      </c>
      <c r="B417" t="s">
        <v>208</v>
      </c>
      <c r="C417">
        <v>11</v>
      </c>
      <c r="D417">
        <v>15</v>
      </c>
      <c r="E417">
        <v>2</v>
      </c>
    </row>
    <row r="418" spans="1:5" x14ac:dyDescent="0.35">
      <c r="A418" t="s">
        <v>204</v>
      </c>
      <c r="B418" t="s">
        <v>205</v>
      </c>
      <c r="C418">
        <v>11</v>
      </c>
      <c r="D418">
        <v>15</v>
      </c>
      <c r="E418">
        <v>2</v>
      </c>
    </row>
    <row r="419" spans="1:5" x14ac:dyDescent="0.35">
      <c r="A419" t="s">
        <v>201</v>
      </c>
      <c r="B419" t="s">
        <v>202</v>
      </c>
      <c r="C419">
        <v>11</v>
      </c>
      <c r="D419">
        <v>15</v>
      </c>
      <c r="E419">
        <v>2</v>
      </c>
    </row>
    <row r="420" spans="1:5" x14ac:dyDescent="0.35">
      <c r="A420" t="s">
        <v>187</v>
      </c>
      <c r="B420" t="s">
        <v>200</v>
      </c>
      <c r="C420">
        <v>11</v>
      </c>
      <c r="D420">
        <v>15</v>
      </c>
      <c r="E420">
        <v>2</v>
      </c>
    </row>
    <row r="421" spans="1:5" x14ac:dyDescent="0.35">
      <c r="A421" t="s">
        <v>198</v>
      </c>
      <c r="B421" t="s">
        <v>199</v>
      </c>
      <c r="C421">
        <v>11</v>
      </c>
      <c r="D421">
        <v>15</v>
      </c>
      <c r="E421">
        <v>2</v>
      </c>
    </row>
    <row r="422" spans="1:5" x14ac:dyDescent="0.35">
      <c r="A422" t="s">
        <v>178</v>
      </c>
      <c r="B422" t="s">
        <v>197</v>
      </c>
      <c r="C422">
        <v>11</v>
      </c>
      <c r="D422">
        <v>15</v>
      </c>
      <c r="E422">
        <v>2</v>
      </c>
    </row>
    <row r="423" spans="1:5" x14ac:dyDescent="0.35">
      <c r="A423" t="s">
        <v>174</v>
      </c>
      <c r="B423" t="s">
        <v>196</v>
      </c>
      <c r="C423">
        <v>11</v>
      </c>
      <c r="D423">
        <v>15</v>
      </c>
      <c r="E423">
        <v>2</v>
      </c>
    </row>
    <row r="424" spans="1:5" x14ac:dyDescent="0.35">
      <c r="A424" t="s">
        <v>152</v>
      </c>
      <c r="B424" t="s">
        <v>195</v>
      </c>
      <c r="C424">
        <v>11</v>
      </c>
      <c r="D424">
        <v>15</v>
      </c>
      <c r="E424">
        <v>2</v>
      </c>
    </row>
    <row r="425" spans="1:5" x14ac:dyDescent="0.35">
      <c r="A425" t="s">
        <v>181</v>
      </c>
      <c r="B425" t="s">
        <v>194</v>
      </c>
      <c r="C425">
        <v>11</v>
      </c>
      <c r="D425">
        <v>15</v>
      </c>
      <c r="E425">
        <v>2</v>
      </c>
    </row>
    <row r="426" spans="1:5" x14ac:dyDescent="0.35">
      <c r="A426" t="s">
        <v>28</v>
      </c>
      <c r="B426" t="s">
        <v>193</v>
      </c>
      <c r="C426">
        <v>11</v>
      </c>
      <c r="D426">
        <v>15</v>
      </c>
      <c r="E426">
        <v>2</v>
      </c>
    </row>
    <row r="427" spans="1:5" x14ac:dyDescent="0.35">
      <c r="A427" t="s">
        <v>191</v>
      </c>
      <c r="B427" t="s">
        <v>192</v>
      </c>
      <c r="C427">
        <v>11</v>
      </c>
      <c r="D427">
        <v>15</v>
      </c>
      <c r="E427">
        <v>2</v>
      </c>
    </row>
    <row r="428" spans="1:5" x14ac:dyDescent="0.35">
      <c r="A428" t="s">
        <v>187</v>
      </c>
      <c r="B428" t="s">
        <v>188</v>
      </c>
      <c r="C428">
        <v>11</v>
      </c>
      <c r="D428">
        <v>15</v>
      </c>
      <c r="E428">
        <v>2</v>
      </c>
    </row>
    <row r="429" spans="1:5" x14ac:dyDescent="0.35">
      <c r="A429" t="s">
        <v>183</v>
      </c>
      <c r="B429" t="s">
        <v>184</v>
      </c>
      <c r="C429">
        <v>11</v>
      </c>
      <c r="D429">
        <v>15</v>
      </c>
      <c r="E429">
        <v>2</v>
      </c>
    </row>
    <row r="430" spans="1:5" x14ac:dyDescent="0.35">
      <c r="A430" t="s">
        <v>181</v>
      </c>
      <c r="B430" t="s">
        <v>182</v>
      </c>
      <c r="C430">
        <v>11</v>
      </c>
      <c r="D430">
        <v>15</v>
      </c>
      <c r="E430">
        <v>2</v>
      </c>
    </row>
    <row r="431" spans="1:5" x14ac:dyDescent="0.35">
      <c r="A431" t="s">
        <v>172</v>
      </c>
      <c r="B431" t="s">
        <v>180</v>
      </c>
      <c r="C431">
        <v>11</v>
      </c>
      <c r="D431">
        <v>15</v>
      </c>
      <c r="E431">
        <v>2</v>
      </c>
    </row>
    <row r="432" spans="1:5" x14ac:dyDescent="0.35">
      <c r="A432" t="s">
        <v>178</v>
      </c>
      <c r="B432" t="s">
        <v>179</v>
      </c>
      <c r="C432">
        <v>11</v>
      </c>
      <c r="D432">
        <v>15</v>
      </c>
      <c r="E432">
        <v>2</v>
      </c>
    </row>
    <row r="433" spans="1:5" x14ac:dyDescent="0.35">
      <c r="A433" t="s">
        <v>176</v>
      </c>
      <c r="B433" t="s">
        <v>177</v>
      </c>
      <c r="C433">
        <v>11</v>
      </c>
      <c r="D433">
        <v>15</v>
      </c>
      <c r="E433">
        <v>2</v>
      </c>
    </row>
    <row r="434" spans="1:5" x14ac:dyDescent="0.35">
      <c r="A434" t="s">
        <v>174</v>
      </c>
      <c r="B434" t="s">
        <v>175</v>
      </c>
      <c r="C434">
        <v>11</v>
      </c>
      <c r="D434">
        <v>15</v>
      </c>
      <c r="E434">
        <v>2</v>
      </c>
    </row>
    <row r="435" spans="1:5" x14ac:dyDescent="0.35">
      <c r="A435" t="s">
        <v>172</v>
      </c>
      <c r="B435" t="s">
        <v>173</v>
      </c>
      <c r="C435">
        <v>11</v>
      </c>
      <c r="D435">
        <v>15</v>
      </c>
      <c r="E435">
        <v>2</v>
      </c>
    </row>
    <row r="436" spans="1:5" x14ac:dyDescent="0.35">
      <c r="A436" t="s">
        <v>34</v>
      </c>
      <c r="B436" t="s">
        <v>168</v>
      </c>
      <c r="C436">
        <v>11</v>
      </c>
      <c r="D436">
        <v>15</v>
      </c>
      <c r="E436">
        <v>2</v>
      </c>
    </row>
    <row r="437" spans="1:5" x14ac:dyDescent="0.35">
      <c r="A437" t="s">
        <v>28</v>
      </c>
      <c r="B437" t="s">
        <v>167</v>
      </c>
      <c r="C437">
        <v>11</v>
      </c>
      <c r="D437">
        <v>15</v>
      </c>
      <c r="E437">
        <v>2</v>
      </c>
    </row>
    <row r="438" spans="1:5" x14ac:dyDescent="0.35">
      <c r="A438" t="s">
        <v>165</v>
      </c>
      <c r="B438" t="s">
        <v>166</v>
      </c>
      <c r="C438">
        <v>11</v>
      </c>
      <c r="D438">
        <v>15</v>
      </c>
      <c r="E438">
        <v>2</v>
      </c>
    </row>
    <row r="439" spans="1:5" x14ac:dyDescent="0.35">
      <c r="A439" t="s">
        <v>28</v>
      </c>
      <c r="B439" t="s">
        <v>151</v>
      </c>
      <c r="C439">
        <v>11</v>
      </c>
      <c r="D439">
        <v>15</v>
      </c>
      <c r="E439">
        <v>2</v>
      </c>
    </row>
    <row r="440" spans="1:5" x14ac:dyDescent="0.35">
      <c r="A440" t="s">
        <v>71</v>
      </c>
      <c r="B440" t="e">
        <v>#N/A</v>
      </c>
      <c r="C440">
        <v>11</v>
      </c>
      <c r="D440">
        <v>15</v>
      </c>
      <c r="E440">
        <v>2</v>
      </c>
    </row>
    <row r="441" spans="1:5" x14ac:dyDescent="0.35">
      <c r="A441" t="s">
        <v>161</v>
      </c>
      <c r="B441" t="s">
        <v>162</v>
      </c>
      <c r="C441">
        <v>11</v>
      </c>
      <c r="D441">
        <v>15</v>
      </c>
      <c r="E441">
        <v>2</v>
      </c>
    </row>
    <row r="442" spans="1:5" x14ac:dyDescent="0.35">
      <c r="A442" t="s">
        <v>114</v>
      </c>
      <c r="B442" t="e">
        <v>#N/A</v>
      </c>
      <c r="C442">
        <v>11</v>
      </c>
      <c r="D442">
        <v>15</v>
      </c>
      <c r="E442">
        <v>2</v>
      </c>
    </row>
    <row r="443" spans="1:5" x14ac:dyDescent="0.35">
      <c r="A443" t="s">
        <v>158</v>
      </c>
      <c r="B443" t="s">
        <v>159</v>
      </c>
      <c r="C443">
        <v>11</v>
      </c>
      <c r="D443">
        <v>15</v>
      </c>
      <c r="E443">
        <v>2</v>
      </c>
    </row>
    <row r="444" spans="1:5" x14ac:dyDescent="0.35">
      <c r="A444" t="s">
        <v>152</v>
      </c>
      <c r="B444" t="s">
        <v>157</v>
      </c>
      <c r="C444">
        <v>11</v>
      </c>
      <c r="D444">
        <v>15</v>
      </c>
      <c r="E444">
        <v>2</v>
      </c>
    </row>
    <row r="445" spans="1:5" x14ac:dyDescent="0.35">
      <c r="A445" t="s">
        <v>155</v>
      </c>
      <c r="B445" t="s">
        <v>156</v>
      </c>
      <c r="C445">
        <v>11</v>
      </c>
      <c r="D445">
        <v>15</v>
      </c>
      <c r="E445">
        <v>2</v>
      </c>
    </row>
    <row r="446" spans="1:5" x14ac:dyDescent="0.35">
      <c r="A446" t="s">
        <v>87</v>
      </c>
      <c r="B446" t="s">
        <v>154</v>
      </c>
      <c r="C446">
        <v>11</v>
      </c>
      <c r="D446">
        <v>15</v>
      </c>
      <c r="E446">
        <v>2</v>
      </c>
    </row>
    <row r="447" spans="1:5" x14ac:dyDescent="0.35">
      <c r="A447" t="s">
        <v>152</v>
      </c>
      <c r="B447" t="e">
        <v>#N/A</v>
      </c>
      <c r="C447">
        <v>11</v>
      </c>
      <c r="D447">
        <v>15</v>
      </c>
      <c r="E447">
        <v>2</v>
      </c>
    </row>
    <row r="448" spans="1:5" x14ac:dyDescent="0.35">
      <c r="A448" t="s">
        <v>28</v>
      </c>
      <c r="B448" t="s">
        <v>151</v>
      </c>
      <c r="C448">
        <v>11</v>
      </c>
      <c r="D448">
        <v>15</v>
      </c>
      <c r="E448">
        <v>2</v>
      </c>
    </row>
    <row r="449" spans="1:5" x14ac:dyDescent="0.35">
      <c r="A449" t="s">
        <v>119</v>
      </c>
      <c r="B449" t="s">
        <v>149</v>
      </c>
      <c r="C449">
        <v>11</v>
      </c>
      <c r="D449">
        <v>15</v>
      </c>
      <c r="E449">
        <v>2</v>
      </c>
    </row>
    <row r="450" spans="1:5" x14ac:dyDescent="0.35">
      <c r="A450" t="s">
        <v>147</v>
      </c>
      <c r="B450" t="s">
        <v>148</v>
      </c>
      <c r="C450">
        <v>11</v>
      </c>
      <c r="D450">
        <v>15</v>
      </c>
      <c r="E450">
        <v>2</v>
      </c>
    </row>
    <row r="451" spans="1:5" x14ac:dyDescent="0.35">
      <c r="A451" t="s">
        <v>145</v>
      </c>
      <c r="B451" t="s">
        <v>146</v>
      </c>
      <c r="C451">
        <v>11</v>
      </c>
      <c r="D451">
        <v>15</v>
      </c>
      <c r="E451">
        <v>2</v>
      </c>
    </row>
    <row r="452" spans="1:5" x14ac:dyDescent="0.35">
      <c r="A452" t="s">
        <v>114</v>
      </c>
      <c r="B452" t="s">
        <v>143</v>
      </c>
      <c r="C452">
        <v>11</v>
      </c>
      <c r="D452">
        <v>15</v>
      </c>
      <c r="E452">
        <v>2</v>
      </c>
    </row>
    <row r="453" spans="1:5" x14ac:dyDescent="0.35">
      <c r="A453" t="s">
        <v>114</v>
      </c>
      <c r="B453" t="s">
        <v>142</v>
      </c>
      <c r="C453">
        <v>11</v>
      </c>
      <c r="D453">
        <v>15</v>
      </c>
      <c r="E453">
        <v>2</v>
      </c>
    </row>
    <row r="454" spans="1:5" x14ac:dyDescent="0.35">
      <c r="A454" t="s">
        <v>34</v>
      </c>
      <c r="B454" t="s">
        <v>133</v>
      </c>
      <c r="C454">
        <v>11</v>
      </c>
      <c r="D454">
        <v>15</v>
      </c>
      <c r="E454">
        <v>2</v>
      </c>
    </row>
    <row r="455" spans="1:5" x14ac:dyDescent="0.35">
      <c r="A455" t="s">
        <v>34</v>
      </c>
      <c r="B455" t="s">
        <v>113</v>
      </c>
      <c r="C455">
        <v>11</v>
      </c>
      <c r="D455">
        <v>15</v>
      </c>
      <c r="E455">
        <v>2</v>
      </c>
    </row>
    <row r="456" spans="1:5" x14ac:dyDescent="0.35">
      <c r="A456" t="s">
        <v>34</v>
      </c>
      <c r="B456" t="s">
        <v>133</v>
      </c>
      <c r="C456">
        <v>11</v>
      </c>
      <c r="D456">
        <v>15</v>
      </c>
      <c r="E456">
        <v>2</v>
      </c>
    </row>
    <row r="457" spans="1:5" x14ac:dyDescent="0.35">
      <c r="A457" t="s">
        <v>34</v>
      </c>
      <c r="B457" t="s">
        <v>133</v>
      </c>
      <c r="C457">
        <v>11</v>
      </c>
      <c r="D457">
        <v>15</v>
      </c>
      <c r="E457">
        <v>2</v>
      </c>
    </row>
    <row r="458" spans="1:5" x14ac:dyDescent="0.35">
      <c r="A458" t="s">
        <v>34</v>
      </c>
      <c r="B458" t="s">
        <v>133</v>
      </c>
      <c r="C458">
        <v>11</v>
      </c>
      <c r="D458">
        <v>15</v>
      </c>
      <c r="E458">
        <v>2</v>
      </c>
    </row>
    <row r="459" spans="1:5" x14ac:dyDescent="0.35">
      <c r="A459" t="s">
        <v>34</v>
      </c>
      <c r="B459" t="s">
        <v>133</v>
      </c>
      <c r="C459">
        <v>11</v>
      </c>
      <c r="D459">
        <v>15</v>
      </c>
      <c r="E459">
        <v>2</v>
      </c>
    </row>
    <row r="460" spans="1:5" x14ac:dyDescent="0.35">
      <c r="A460" t="s">
        <v>119</v>
      </c>
      <c r="B460" t="s">
        <v>132</v>
      </c>
      <c r="C460">
        <v>11</v>
      </c>
      <c r="D460">
        <v>15</v>
      </c>
      <c r="E460">
        <v>2</v>
      </c>
    </row>
    <row r="461" spans="1:5" x14ac:dyDescent="0.35">
      <c r="A461" t="s">
        <v>34</v>
      </c>
      <c r="B461" t="s">
        <v>133</v>
      </c>
      <c r="C461">
        <v>11</v>
      </c>
      <c r="D461">
        <v>15</v>
      </c>
      <c r="E461">
        <v>2</v>
      </c>
    </row>
    <row r="462" spans="1:5" x14ac:dyDescent="0.35">
      <c r="A462" t="s">
        <v>34</v>
      </c>
      <c r="B462" t="s">
        <v>133</v>
      </c>
      <c r="C462">
        <v>11</v>
      </c>
      <c r="D462">
        <v>15</v>
      </c>
      <c r="E462">
        <v>2</v>
      </c>
    </row>
    <row r="463" spans="1:5" x14ac:dyDescent="0.35">
      <c r="A463" t="s">
        <v>34</v>
      </c>
      <c r="B463" t="s">
        <v>133</v>
      </c>
      <c r="C463">
        <v>11</v>
      </c>
      <c r="D463">
        <v>15</v>
      </c>
      <c r="E463">
        <v>2</v>
      </c>
    </row>
    <row r="464" spans="1:5" x14ac:dyDescent="0.35">
      <c r="A464" t="s">
        <v>34</v>
      </c>
      <c r="B464" t="s">
        <v>133</v>
      </c>
      <c r="C464">
        <v>11</v>
      </c>
      <c r="D464">
        <v>15</v>
      </c>
      <c r="E464">
        <v>2</v>
      </c>
    </row>
    <row r="465" spans="1:5" x14ac:dyDescent="0.35">
      <c r="A465" t="s">
        <v>34</v>
      </c>
      <c r="B465" t="s">
        <v>133</v>
      </c>
      <c r="C465">
        <v>11</v>
      </c>
      <c r="D465">
        <v>15</v>
      </c>
      <c r="E465">
        <v>2</v>
      </c>
    </row>
    <row r="466" spans="1:5" x14ac:dyDescent="0.35">
      <c r="A466" t="s">
        <v>34</v>
      </c>
      <c r="B466" t="s">
        <v>133</v>
      </c>
      <c r="C466">
        <v>11</v>
      </c>
      <c r="D466">
        <v>15</v>
      </c>
      <c r="E466">
        <v>2</v>
      </c>
    </row>
    <row r="467" spans="1:5" x14ac:dyDescent="0.35">
      <c r="A467" t="s">
        <v>34</v>
      </c>
      <c r="B467" t="s">
        <v>133</v>
      </c>
      <c r="C467">
        <v>11</v>
      </c>
      <c r="D467">
        <v>15</v>
      </c>
      <c r="E467">
        <v>2</v>
      </c>
    </row>
    <row r="468" spans="1:5" x14ac:dyDescent="0.35">
      <c r="A468" t="s">
        <v>318</v>
      </c>
      <c r="B468" t="s">
        <v>471</v>
      </c>
      <c r="C468">
        <v>12</v>
      </c>
      <c r="D468">
        <v>16</v>
      </c>
      <c r="E468">
        <v>1</v>
      </c>
    </row>
    <row r="469" spans="1:5" x14ac:dyDescent="0.35">
      <c r="A469" t="s">
        <v>318</v>
      </c>
      <c r="B469" t="s">
        <v>464</v>
      </c>
      <c r="C469">
        <v>12</v>
      </c>
      <c r="D469">
        <v>16</v>
      </c>
      <c r="E469">
        <v>1</v>
      </c>
    </row>
    <row r="470" spans="1:5" x14ac:dyDescent="0.35">
      <c r="A470" t="s">
        <v>318</v>
      </c>
      <c r="B470" t="s">
        <v>458</v>
      </c>
      <c r="C470">
        <v>12</v>
      </c>
      <c r="D470">
        <v>16</v>
      </c>
      <c r="E470">
        <v>1</v>
      </c>
    </row>
    <row r="471" spans="1:5" x14ac:dyDescent="0.35">
      <c r="A471" t="s">
        <v>379</v>
      </c>
      <c r="B471" t="s">
        <v>380</v>
      </c>
      <c r="C471">
        <v>12</v>
      </c>
      <c r="D471">
        <v>16</v>
      </c>
      <c r="E471">
        <v>0</v>
      </c>
    </row>
    <row r="472" spans="1:5" x14ac:dyDescent="0.35">
      <c r="A472" t="s">
        <v>358</v>
      </c>
      <c r="B472" t="s">
        <v>360</v>
      </c>
      <c r="C472">
        <v>12</v>
      </c>
      <c r="D472">
        <v>16</v>
      </c>
      <c r="E472">
        <v>1</v>
      </c>
    </row>
    <row r="473" spans="1:5" x14ac:dyDescent="0.35">
      <c r="A473" t="s">
        <v>340</v>
      </c>
      <c r="B473" t="s">
        <v>341</v>
      </c>
      <c r="C473">
        <v>12</v>
      </c>
      <c r="D473">
        <v>16</v>
      </c>
      <c r="E473">
        <v>1</v>
      </c>
    </row>
    <row r="474" spans="1:5" x14ac:dyDescent="0.35">
      <c r="A474" t="s">
        <v>336</v>
      </c>
      <c r="B474" t="s">
        <v>337</v>
      </c>
      <c r="C474">
        <v>12</v>
      </c>
      <c r="D474">
        <v>16</v>
      </c>
      <c r="E474">
        <v>1</v>
      </c>
    </row>
    <row r="475" spans="1:5" x14ac:dyDescent="0.35">
      <c r="A475" t="s">
        <v>324</v>
      </c>
      <c r="B475" t="s">
        <v>325</v>
      </c>
      <c r="C475">
        <v>12</v>
      </c>
      <c r="D475">
        <v>16</v>
      </c>
      <c r="E475">
        <v>1</v>
      </c>
    </row>
    <row r="476" spans="1:5" x14ac:dyDescent="0.35">
      <c r="A476" t="s">
        <v>276</v>
      </c>
      <c r="B476" t="s">
        <v>277</v>
      </c>
      <c r="C476">
        <v>12</v>
      </c>
      <c r="D476">
        <v>16</v>
      </c>
      <c r="E476">
        <v>1</v>
      </c>
    </row>
    <row r="477" spans="1:5" x14ac:dyDescent="0.35">
      <c r="A477" t="s">
        <v>189</v>
      </c>
      <c r="B477" t="s">
        <v>234</v>
      </c>
      <c r="C477">
        <v>12</v>
      </c>
      <c r="D477">
        <v>16</v>
      </c>
      <c r="E477">
        <v>0</v>
      </c>
    </row>
    <row r="478" spans="1:5" x14ac:dyDescent="0.35">
      <c r="A478" t="s">
        <v>21</v>
      </c>
      <c r="B478" t="s">
        <v>226</v>
      </c>
      <c r="C478">
        <v>12</v>
      </c>
      <c r="D478">
        <v>16</v>
      </c>
      <c r="E478">
        <v>0</v>
      </c>
    </row>
    <row r="479" spans="1:5" x14ac:dyDescent="0.35">
      <c r="A479" t="s">
        <v>189</v>
      </c>
      <c r="B479" t="s">
        <v>190</v>
      </c>
      <c r="C479">
        <v>12</v>
      </c>
      <c r="D479">
        <v>16</v>
      </c>
      <c r="E479">
        <v>0</v>
      </c>
    </row>
    <row r="480" spans="1:5" x14ac:dyDescent="0.35">
      <c r="A480" t="s">
        <v>21</v>
      </c>
      <c r="B480" t="s">
        <v>164</v>
      </c>
      <c r="C480">
        <v>12</v>
      </c>
      <c r="D480">
        <v>16</v>
      </c>
      <c r="E480">
        <v>0</v>
      </c>
    </row>
    <row r="481" spans="1:5" x14ac:dyDescent="0.35">
      <c r="A481" t="s">
        <v>21</v>
      </c>
      <c r="B481" t="s">
        <v>128</v>
      </c>
      <c r="C481">
        <v>12</v>
      </c>
      <c r="D481">
        <v>16</v>
      </c>
      <c r="E481">
        <v>0</v>
      </c>
    </row>
    <row r="482" spans="1:5" x14ac:dyDescent="0.35">
      <c r="A482" t="s">
        <v>21</v>
      </c>
      <c r="B482" t="s">
        <v>129</v>
      </c>
      <c r="C482">
        <v>12</v>
      </c>
      <c r="D482">
        <v>16</v>
      </c>
      <c r="E482">
        <v>0</v>
      </c>
    </row>
    <row r="483" spans="1:5" x14ac:dyDescent="0.35">
      <c r="A483" t="s">
        <v>105</v>
      </c>
      <c r="B483" t="s">
        <v>106</v>
      </c>
      <c r="C483">
        <v>12</v>
      </c>
      <c r="D483">
        <v>16</v>
      </c>
      <c r="E483">
        <v>0</v>
      </c>
    </row>
    <row r="484" spans="1:5" x14ac:dyDescent="0.35">
      <c r="A484" t="s">
        <v>105</v>
      </c>
      <c r="B484" t="s">
        <v>106</v>
      </c>
      <c r="C484">
        <v>12</v>
      </c>
      <c r="D484">
        <v>16</v>
      </c>
      <c r="E484">
        <v>0</v>
      </c>
    </row>
    <row r="485" spans="1:5" x14ac:dyDescent="0.35">
      <c r="A485" t="s">
        <v>21</v>
      </c>
      <c r="B485" t="s">
        <v>131</v>
      </c>
      <c r="C485">
        <v>12</v>
      </c>
      <c r="D485">
        <v>16</v>
      </c>
      <c r="E485">
        <v>0</v>
      </c>
    </row>
    <row r="486" spans="1:5" x14ac:dyDescent="0.35">
      <c r="A486" t="s">
        <v>21</v>
      </c>
      <c r="B486" t="s">
        <v>129</v>
      </c>
      <c r="C486">
        <v>12</v>
      </c>
      <c r="D486">
        <v>16</v>
      </c>
      <c r="E486">
        <v>0</v>
      </c>
    </row>
    <row r="487" spans="1:5" x14ac:dyDescent="0.35">
      <c r="A487" t="s">
        <v>21</v>
      </c>
      <c r="B487" t="s">
        <v>128</v>
      </c>
      <c r="C487">
        <v>12</v>
      </c>
      <c r="D487">
        <v>16</v>
      </c>
      <c r="E487">
        <v>0</v>
      </c>
    </row>
    <row r="488" spans="1:5" x14ac:dyDescent="0.35">
      <c r="A488" t="s">
        <v>21</v>
      </c>
      <c r="B488" t="s">
        <v>63</v>
      </c>
      <c r="C488">
        <v>12</v>
      </c>
      <c r="D488">
        <v>16</v>
      </c>
      <c r="E488">
        <v>0</v>
      </c>
    </row>
    <row r="489" spans="1:5" x14ac:dyDescent="0.35">
      <c r="A489" t="s">
        <v>105</v>
      </c>
      <c r="B489" t="s">
        <v>106</v>
      </c>
      <c r="C489">
        <v>12</v>
      </c>
      <c r="D489">
        <v>16</v>
      </c>
      <c r="E489">
        <v>0</v>
      </c>
    </row>
    <row r="490" spans="1:5" x14ac:dyDescent="0.35">
      <c r="A490" t="s">
        <v>105</v>
      </c>
      <c r="B490" t="s">
        <v>106</v>
      </c>
      <c r="C490">
        <v>12</v>
      </c>
      <c r="D490">
        <v>16</v>
      </c>
      <c r="E490">
        <v>0</v>
      </c>
    </row>
    <row r="491" spans="1:5" x14ac:dyDescent="0.35">
      <c r="A491" t="s">
        <v>105</v>
      </c>
      <c r="B491" t="s">
        <v>106</v>
      </c>
      <c r="C491">
        <v>12</v>
      </c>
      <c r="D491">
        <v>16</v>
      </c>
      <c r="E491">
        <v>0</v>
      </c>
    </row>
    <row r="492" spans="1:5" x14ac:dyDescent="0.35">
      <c r="A492" t="s">
        <v>21</v>
      </c>
      <c r="B492" t="s">
        <v>102</v>
      </c>
      <c r="C492">
        <v>12</v>
      </c>
      <c r="D492">
        <v>16</v>
      </c>
      <c r="E492">
        <v>0</v>
      </c>
    </row>
    <row r="493" spans="1:5" x14ac:dyDescent="0.35">
      <c r="A493" t="s">
        <v>21</v>
      </c>
      <c r="B493" t="s">
        <v>102</v>
      </c>
      <c r="C493">
        <v>12</v>
      </c>
      <c r="D493">
        <v>16</v>
      </c>
      <c r="E493">
        <v>0</v>
      </c>
    </row>
    <row r="494" spans="1:5" x14ac:dyDescent="0.35">
      <c r="A494" t="s">
        <v>21</v>
      </c>
      <c r="B494" t="s">
        <v>63</v>
      </c>
      <c r="C494">
        <v>12</v>
      </c>
      <c r="D494">
        <v>16</v>
      </c>
      <c r="E494">
        <v>0</v>
      </c>
    </row>
    <row r="495" spans="1:5" x14ac:dyDescent="0.35">
      <c r="A495" t="s">
        <v>21</v>
      </c>
      <c r="B495" t="s">
        <v>63</v>
      </c>
      <c r="C495">
        <v>12</v>
      </c>
      <c r="D495">
        <v>16</v>
      </c>
      <c r="E495">
        <v>0</v>
      </c>
    </row>
    <row r="496" spans="1:5" x14ac:dyDescent="0.35">
      <c r="A496" t="s">
        <v>21</v>
      </c>
      <c r="B496" t="s">
        <v>63</v>
      </c>
      <c r="C496">
        <v>12</v>
      </c>
      <c r="D496">
        <v>16</v>
      </c>
      <c r="E496">
        <v>0</v>
      </c>
    </row>
    <row r="497" spans="1:5" x14ac:dyDescent="0.35">
      <c r="A497" t="s">
        <v>446</v>
      </c>
      <c r="B497" t="s">
        <v>447</v>
      </c>
      <c r="C497">
        <v>13</v>
      </c>
      <c r="D497">
        <v>17</v>
      </c>
      <c r="E497">
        <v>1</v>
      </c>
    </row>
    <row r="498" spans="1:5" x14ac:dyDescent="0.35">
      <c r="A498" t="s">
        <v>318</v>
      </c>
      <c r="B498" t="s">
        <v>443</v>
      </c>
      <c r="C498">
        <v>13</v>
      </c>
      <c r="D498">
        <v>17</v>
      </c>
      <c r="E498">
        <v>1</v>
      </c>
    </row>
    <row r="499" spans="1:5" x14ac:dyDescent="0.35">
      <c r="A499" t="s">
        <v>369</v>
      </c>
      <c r="B499" t="s">
        <v>370</v>
      </c>
      <c r="C499">
        <v>13</v>
      </c>
      <c r="D499">
        <v>17</v>
      </c>
      <c r="E499">
        <v>1</v>
      </c>
    </row>
    <row r="500" spans="1:5" x14ac:dyDescent="0.35">
      <c r="A500" t="s">
        <v>318</v>
      </c>
      <c r="B500" t="s">
        <v>367</v>
      </c>
      <c r="C500">
        <v>13</v>
      </c>
      <c r="D500">
        <v>17</v>
      </c>
      <c r="E500">
        <v>1</v>
      </c>
    </row>
    <row r="501" spans="1:5" x14ac:dyDescent="0.35">
      <c r="A501" t="s">
        <v>361</v>
      </c>
      <c r="B501" t="s">
        <v>362</v>
      </c>
      <c r="C501">
        <v>13</v>
      </c>
      <c r="D501">
        <v>17</v>
      </c>
      <c r="E501">
        <v>1</v>
      </c>
    </row>
    <row r="502" spans="1:5" x14ac:dyDescent="0.35">
      <c r="A502" t="s">
        <v>318</v>
      </c>
      <c r="B502" t="s">
        <v>353</v>
      </c>
      <c r="C502">
        <v>13</v>
      </c>
      <c r="D502">
        <v>17</v>
      </c>
      <c r="E502">
        <v>1</v>
      </c>
    </row>
    <row r="503" spans="1:5" x14ac:dyDescent="0.35">
      <c r="A503" t="s">
        <v>326</v>
      </c>
      <c r="B503" t="s">
        <v>353</v>
      </c>
      <c r="C503">
        <v>13</v>
      </c>
      <c r="D503">
        <v>17</v>
      </c>
      <c r="E503">
        <v>1</v>
      </c>
    </row>
    <row r="504" spans="1:5" x14ac:dyDescent="0.35">
      <c r="A504" t="s">
        <v>351</v>
      </c>
      <c r="B504" t="s">
        <v>352</v>
      </c>
      <c r="C504">
        <v>13</v>
      </c>
      <c r="D504">
        <v>17</v>
      </c>
      <c r="E504">
        <v>1</v>
      </c>
    </row>
    <row r="505" spans="1:5" x14ac:dyDescent="0.35">
      <c r="A505" t="s">
        <v>349</v>
      </c>
      <c r="B505" t="s">
        <v>350</v>
      </c>
      <c r="C505">
        <v>13</v>
      </c>
      <c r="D505">
        <v>17</v>
      </c>
      <c r="E505">
        <v>1</v>
      </c>
    </row>
    <row r="506" spans="1:5" x14ac:dyDescent="0.35">
      <c r="A506" t="s">
        <v>342</v>
      </c>
      <c r="B506" t="s">
        <v>343</v>
      </c>
      <c r="C506">
        <v>13</v>
      </c>
      <c r="D506">
        <v>17</v>
      </c>
      <c r="E506">
        <v>1</v>
      </c>
    </row>
    <row r="507" spans="1:5" x14ac:dyDescent="0.35">
      <c r="A507" t="s">
        <v>338</v>
      </c>
      <c r="B507" t="s">
        <v>339</v>
      </c>
      <c r="C507">
        <v>13</v>
      </c>
      <c r="D507">
        <v>17</v>
      </c>
      <c r="E507">
        <v>1</v>
      </c>
    </row>
    <row r="508" spans="1:5" x14ac:dyDescent="0.35">
      <c r="A508" t="s">
        <v>326</v>
      </c>
      <c r="B508" t="s">
        <v>327</v>
      </c>
      <c r="C508">
        <v>13</v>
      </c>
      <c r="D508">
        <v>17</v>
      </c>
      <c r="E508">
        <v>1</v>
      </c>
    </row>
    <row r="509" spans="1:5" x14ac:dyDescent="0.35">
      <c r="A509" t="s">
        <v>11</v>
      </c>
      <c r="B509" t="s">
        <v>12</v>
      </c>
      <c r="C509">
        <v>15</v>
      </c>
      <c r="D509">
        <v>18</v>
      </c>
      <c r="E509">
        <v>2</v>
      </c>
    </row>
    <row r="510" spans="1:5" x14ac:dyDescent="0.35">
      <c r="A510" t="s">
        <v>246</v>
      </c>
      <c r="B510" t="s">
        <v>247</v>
      </c>
      <c r="C510">
        <v>15</v>
      </c>
      <c r="D510">
        <v>18</v>
      </c>
      <c r="E510">
        <v>0</v>
      </c>
    </row>
    <row r="511" spans="1:5" x14ac:dyDescent="0.35">
      <c r="A511" t="s">
        <v>21</v>
      </c>
      <c r="B511" t="s">
        <v>98</v>
      </c>
      <c r="C511">
        <v>15</v>
      </c>
      <c r="D511">
        <v>18</v>
      </c>
      <c r="E511">
        <v>0</v>
      </c>
    </row>
    <row r="512" spans="1:5" x14ac:dyDescent="0.35">
      <c r="A512" t="s">
        <v>21</v>
      </c>
      <c r="B512" t="s">
        <v>107</v>
      </c>
      <c r="C512">
        <v>15</v>
      </c>
      <c r="D512">
        <v>18</v>
      </c>
      <c r="E512">
        <v>0</v>
      </c>
    </row>
    <row r="513" spans="1:5" x14ac:dyDescent="0.35">
      <c r="A513" t="s">
        <v>138</v>
      </c>
      <c r="B513" t="s">
        <v>150</v>
      </c>
      <c r="C513">
        <v>15</v>
      </c>
      <c r="D513">
        <v>18</v>
      </c>
      <c r="E513">
        <v>2</v>
      </c>
    </row>
    <row r="514" spans="1:5" x14ac:dyDescent="0.35">
      <c r="A514" t="s">
        <v>138</v>
      </c>
      <c r="B514" t="s">
        <v>144</v>
      </c>
      <c r="C514">
        <v>15</v>
      </c>
      <c r="D514">
        <v>18</v>
      </c>
      <c r="E514">
        <v>2</v>
      </c>
    </row>
    <row r="515" spans="1:5" x14ac:dyDescent="0.35">
      <c r="A515" t="s">
        <v>138</v>
      </c>
      <c r="B515" t="s">
        <v>144</v>
      </c>
      <c r="C515">
        <v>15</v>
      </c>
      <c r="D515">
        <v>18</v>
      </c>
      <c r="E515">
        <v>2</v>
      </c>
    </row>
    <row r="516" spans="1:5" x14ac:dyDescent="0.35">
      <c r="A516" t="s">
        <v>138</v>
      </c>
      <c r="B516" t="s">
        <v>140</v>
      </c>
      <c r="C516">
        <v>15</v>
      </c>
      <c r="D516">
        <v>18</v>
      </c>
      <c r="E516">
        <v>2</v>
      </c>
    </row>
    <row r="517" spans="1:5" x14ac:dyDescent="0.35">
      <c r="A517" t="s">
        <v>138</v>
      </c>
      <c r="B517" t="s">
        <v>141</v>
      </c>
      <c r="C517">
        <v>15</v>
      </c>
      <c r="D517">
        <v>18</v>
      </c>
      <c r="E517">
        <v>2</v>
      </c>
    </row>
    <row r="518" spans="1:5" x14ac:dyDescent="0.35">
      <c r="A518" t="s">
        <v>138</v>
      </c>
      <c r="B518" t="s">
        <v>140</v>
      </c>
      <c r="C518">
        <v>15</v>
      </c>
      <c r="D518">
        <v>18</v>
      </c>
      <c r="E518">
        <v>2</v>
      </c>
    </row>
    <row r="519" spans="1:5" x14ac:dyDescent="0.35">
      <c r="A519" t="s">
        <v>138</v>
      </c>
      <c r="B519" t="s">
        <v>139</v>
      </c>
      <c r="C519">
        <v>15</v>
      </c>
      <c r="D519">
        <v>18</v>
      </c>
      <c r="E519">
        <v>2</v>
      </c>
    </row>
    <row r="520" spans="1:5" x14ac:dyDescent="0.35">
      <c r="A520" t="s">
        <v>23</v>
      </c>
      <c r="B520" t="s">
        <v>24</v>
      </c>
      <c r="C520">
        <v>15</v>
      </c>
      <c r="D520">
        <v>18</v>
      </c>
      <c r="E520">
        <v>2</v>
      </c>
    </row>
    <row r="521" spans="1:5" x14ac:dyDescent="0.35">
      <c r="A521" t="s">
        <v>23</v>
      </c>
      <c r="B521" t="s">
        <v>25</v>
      </c>
      <c r="C521">
        <v>15</v>
      </c>
      <c r="D521">
        <v>18</v>
      </c>
      <c r="E521">
        <v>2</v>
      </c>
    </row>
    <row r="522" spans="1:5" x14ac:dyDescent="0.35">
      <c r="A522" t="s">
        <v>34</v>
      </c>
      <c r="B522" t="s">
        <v>137</v>
      </c>
      <c r="C522">
        <v>15</v>
      </c>
      <c r="D522">
        <v>18</v>
      </c>
      <c r="E522">
        <v>2</v>
      </c>
    </row>
    <row r="523" spans="1:5" x14ac:dyDescent="0.35">
      <c r="A523" t="s">
        <v>21</v>
      </c>
      <c r="B523" t="s">
        <v>107</v>
      </c>
      <c r="C523">
        <v>15</v>
      </c>
      <c r="D523">
        <v>18</v>
      </c>
      <c r="E523">
        <v>0</v>
      </c>
    </row>
    <row r="524" spans="1:5" x14ac:dyDescent="0.35">
      <c r="A524" t="s">
        <v>21</v>
      </c>
      <c r="B524" t="s">
        <v>107</v>
      </c>
      <c r="C524">
        <v>15</v>
      </c>
      <c r="D524">
        <v>18</v>
      </c>
      <c r="E524">
        <v>0</v>
      </c>
    </row>
    <row r="525" spans="1:5" x14ac:dyDescent="0.35">
      <c r="A525" t="s">
        <v>21</v>
      </c>
      <c r="B525" t="s">
        <v>107</v>
      </c>
      <c r="C525">
        <v>15</v>
      </c>
      <c r="D525">
        <v>18</v>
      </c>
      <c r="E525">
        <v>0</v>
      </c>
    </row>
    <row r="526" spans="1:5" x14ac:dyDescent="0.35">
      <c r="A526" t="s">
        <v>21</v>
      </c>
      <c r="B526" t="s">
        <v>107</v>
      </c>
      <c r="C526">
        <v>15</v>
      </c>
      <c r="D526">
        <v>18</v>
      </c>
      <c r="E526">
        <v>0</v>
      </c>
    </row>
    <row r="527" spans="1:5" x14ac:dyDescent="0.35">
      <c r="A527" t="s">
        <v>21</v>
      </c>
      <c r="B527" t="s">
        <v>107</v>
      </c>
      <c r="C527">
        <v>15</v>
      </c>
      <c r="D527">
        <v>18</v>
      </c>
      <c r="E527">
        <v>0</v>
      </c>
    </row>
    <row r="528" spans="1:5" x14ac:dyDescent="0.35">
      <c r="A528" t="s">
        <v>21</v>
      </c>
      <c r="B528" t="s">
        <v>107</v>
      </c>
      <c r="C528">
        <v>15</v>
      </c>
      <c r="D528">
        <v>18</v>
      </c>
      <c r="E528">
        <v>0</v>
      </c>
    </row>
    <row r="529" spans="1:5" x14ac:dyDescent="0.35">
      <c r="A529" t="s">
        <v>21</v>
      </c>
      <c r="B529" t="s">
        <v>107</v>
      </c>
      <c r="C529">
        <v>15</v>
      </c>
      <c r="D529">
        <v>18</v>
      </c>
      <c r="E529">
        <v>0</v>
      </c>
    </row>
    <row r="530" spans="1:5" x14ac:dyDescent="0.35">
      <c r="A530" t="s">
        <v>21</v>
      </c>
      <c r="B530" t="s">
        <v>107</v>
      </c>
      <c r="C530">
        <v>15</v>
      </c>
      <c r="D530">
        <v>18</v>
      </c>
      <c r="E530">
        <v>0</v>
      </c>
    </row>
    <row r="531" spans="1:5" x14ac:dyDescent="0.35">
      <c r="A531" t="s">
        <v>21</v>
      </c>
      <c r="B531" t="s">
        <v>107</v>
      </c>
      <c r="C531">
        <v>15</v>
      </c>
      <c r="D531">
        <v>18</v>
      </c>
      <c r="E531">
        <v>0</v>
      </c>
    </row>
    <row r="532" spans="1:5" x14ac:dyDescent="0.35">
      <c r="A532" t="s">
        <v>21</v>
      </c>
      <c r="B532" t="s">
        <v>98</v>
      </c>
      <c r="C532">
        <v>15</v>
      </c>
      <c r="D532">
        <v>18</v>
      </c>
      <c r="E532">
        <v>0</v>
      </c>
    </row>
    <row r="533" spans="1:5" x14ac:dyDescent="0.35">
      <c r="A533" t="s">
        <v>21</v>
      </c>
      <c r="B533" t="s">
        <v>107</v>
      </c>
      <c r="C533">
        <v>15</v>
      </c>
      <c r="D533">
        <v>18</v>
      </c>
      <c r="E533">
        <v>0</v>
      </c>
    </row>
    <row r="534" spans="1:5" x14ac:dyDescent="0.35">
      <c r="A534" t="s">
        <v>21</v>
      </c>
      <c r="B534" t="s">
        <v>107</v>
      </c>
      <c r="C534">
        <v>15</v>
      </c>
      <c r="D534">
        <v>18</v>
      </c>
      <c r="E534">
        <v>0</v>
      </c>
    </row>
    <row r="535" spans="1:5" x14ac:dyDescent="0.35">
      <c r="A535" t="s">
        <v>21</v>
      </c>
      <c r="B535" t="s">
        <v>107</v>
      </c>
      <c r="C535">
        <v>15</v>
      </c>
      <c r="D535">
        <v>18</v>
      </c>
      <c r="E535">
        <v>0</v>
      </c>
    </row>
    <row r="536" spans="1:5" x14ac:dyDescent="0.35">
      <c r="A536" t="s">
        <v>21</v>
      </c>
      <c r="B536" t="s">
        <v>107</v>
      </c>
      <c r="C536">
        <v>15</v>
      </c>
      <c r="D536">
        <v>18</v>
      </c>
      <c r="E536">
        <v>0</v>
      </c>
    </row>
    <row r="537" spans="1:5" x14ac:dyDescent="0.35">
      <c r="A537" t="s">
        <v>21</v>
      </c>
      <c r="B537" t="s">
        <v>107</v>
      </c>
      <c r="C537">
        <v>15</v>
      </c>
      <c r="D537">
        <v>18</v>
      </c>
      <c r="E537">
        <v>0</v>
      </c>
    </row>
    <row r="538" spans="1:5" x14ac:dyDescent="0.35">
      <c r="A538" t="s">
        <v>21</v>
      </c>
      <c r="B538" t="s">
        <v>98</v>
      </c>
      <c r="C538">
        <v>15</v>
      </c>
      <c r="D538">
        <v>18</v>
      </c>
      <c r="E538">
        <v>0</v>
      </c>
    </row>
    <row r="539" spans="1:5" x14ac:dyDescent="0.35">
      <c r="A539" t="s">
        <v>34</v>
      </c>
      <c r="B539" t="s">
        <v>46</v>
      </c>
      <c r="C539">
        <v>15</v>
      </c>
      <c r="D539">
        <v>18</v>
      </c>
      <c r="E539">
        <v>2</v>
      </c>
    </row>
    <row r="540" spans="1:5" x14ac:dyDescent="0.35">
      <c r="A540" t="s">
        <v>34</v>
      </c>
      <c r="B540" t="s">
        <v>46</v>
      </c>
      <c r="C540">
        <v>15</v>
      </c>
      <c r="D540">
        <v>18</v>
      </c>
      <c r="E540">
        <v>2</v>
      </c>
    </row>
    <row r="541" spans="1:5" x14ac:dyDescent="0.35">
      <c r="A541" t="s">
        <v>34</v>
      </c>
      <c r="B541" t="s">
        <v>46</v>
      </c>
      <c r="C541">
        <v>15</v>
      </c>
      <c r="D541">
        <v>18</v>
      </c>
      <c r="E541">
        <v>2</v>
      </c>
    </row>
    <row r="542" spans="1:5" x14ac:dyDescent="0.35">
      <c r="A542" t="s">
        <v>365</v>
      </c>
      <c r="B542" t="s">
        <v>366</v>
      </c>
      <c r="C542">
        <v>3</v>
      </c>
      <c r="D542">
        <v>19</v>
      </c>
      <c r="E542">
        <v>0</v>
      </c>
    </row>
    <row r="543" spans="1:5" x14ac:dyDescent="0.35">
      <c r="A543" t="s">
        <v>318</v>
      </c>
      <c r="B543" t="s">
        <v>466</v>
      </c>
      <c r="C543">
        <v>17</v>
      </c>
      <c r="D543">
        <v>20</v>
      </c>
      <c r="E543">
        <v>0</v>
      </c>
    </row>
    <row r="544" spans="1:5" x14ac:dyDescent="0.35">
      <c r="A544" t="s">
        <v>210</v>
      </c>
      <c r="B544" t="s">
        <v>241</v>
      </c>
      <c r="C544">
        <v>17</v>
      </c>
      <c r="D544">
        <v>20</v>
      </c>
      <c r="E544">
        <v>0</v>
      </c>
    </row>
    <row r="545" spans="1:5" x14ac:dyDescent="0.35">
      <c r="A545" t="s">
        <v>210</v>
      </c>
      <c r="B545" t="s">
        <v>241</v>
      </c>
      <c r="C545">
        <v>17</v>
      </c>
      <c r="D545">
        <v>20</v>
      </c>
      <c r="E545">
        <v>0</v>
      </c>
    </row>
    <row r="546" spans="1:5" x14ac:dyDescent="0.35">
      <c r="A546" t="s">
        <v>210</v>
      </c>
      <c r="B546" t="s">
        <v>241</v>
      </c>
      <c r="C546">
        <v>17</v>
      </c>
      <c r="D546">
        <v>20</v>
      </c>
      <c r="E546">
        <v>0</v>
      </c>
    </row>
    <row r="547" spans="1:5" x14ac:dyDescent="0.35">
      <c r="A547" t="s">
        <v>210</v>
      </c>
      <c r="B547" t="s">
        <v>240</v>
      </c>
      <c r="C547">
        <v>17</v>
      </c>
      <c r="D547">
        <v>20</v>
      </c>
      <c r="E547">
        <v>0</v>
      </c>
    </row>
    <row r="548" spans="1:5" x14ac:dyDescent="0.35">
      <c r="A548" t="s">
        <v>210</v>
      </c>
      <c r="B548" t="s">
        <v>241</v>
      </c>
      <c r="C548">
        <v>17</v>
      </c>
      <c r="D548">
        <v>20</v>
      </c>
      <c r="E548">
        <v>0</v>
      </c>
    </row>
    <row r="549" spans="1:5" x14ac:dyDescent="0.35">
      <c r="A549" t="s">
        <v>210</v>
      </c>
      <c r="B549" t="s">
        <v>241</v>
      </c>
      <c r="C549">
        <v>17</v>
      </c>
      <c r="D549">
        <v>20</v>
      </c>
      <c r="E549">
        <v>0</v>
      </c>
    </row>
    <row r="550" spans="1:5" x14ac:dyDescent="0.35">
      <c r="A550" t="s">
        <v>210</v>
      </c>
      <c r="B550" t="s">
        <v>240</v>
      </c>
      <c r="C550">
        <v>17</v>
      </c>
      <c r="D550">
        <v>20</v>
      </c>
      <c r="E550">
        <v>0</v>
      </c>
    </row>
    <row r="551" spans="1:5" x14ac:dyDescent="0.35">
      <c r="A551" t="s">
        <v>210</v>
      </c>
      <c r="B551" t="s">
        <v>239</v>
      </c>
      <c r="C551">
        <v>17</v>
      </c>
      <c r="D551">
        <v>20</v>
      </c>
      <c r="E551">
        <v>0</v>
      </c>
    </row>
    <row r="552" spans="1:5" x14ac:dyDescent="0.35">
      <c r="A552" t="s">
        <v>21</v>
      </c>
      <c r="B552" t="s">
        <v>95</v>
      </c>
      <c r="C552">
        <v>17</v>
      </c>
      <c r="D552">
        <v>20</v>
      </c>
      <c r="E55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52"/>
  <sheetViews>
    <sheetView tabSelected="1" topLeftCell="B1" workbookViewId="0">
      <selection activeCell="G1" sqref="G1"/>
    </sheetView>
  </sheetViews>
  <sheetFormatPr defaultRowHeight="14.5" x14ac:dyDescent="0.35"/>
  <cols>
    <col min="1" max="1" width="62.81640625" customWidth="1"/>
    <col min="2" max="2" width="29.36328125" customWidth="1"/>
    <col min="3" max="3" width="21.1796875" customWidth="1"/>
    <col min="4" max="4" width="24.6328125" customWidth="1"/>
    <col min="5" max="5" width="22" customWidth="1"/>
  </cols>
  <sheetData>
    <row r="1" spans="1:6" x14ac:dyDescent="0.35">
      <c r="A1" s="1" t="s">
        <v>9</v>
      </c>
      <c r="B1" s="1" t="s">
        <v>10</v>
      </c>
      <c r="C1" s="1" t="s">
        <v>7</v>
      </c>
      <c r="D1" s="1" t="s">
        <v>6</v>
      </c>
      <c r="E1" s="1" t="s">
        <v>8</v>
      </c>
      <c r="F1" s="4" t="s">
        <v>479</v>
      </c>
    </row>
    <row r="2" spans="1:6" x14ac:dyDescent="0.35">
      <c r="A2" t="s">
        <v>11</v>
      </c>
      <c r="B2" t="s">
        <v>12</v>
      </c>
      <c r="C2">
        <v>15</v>
      </c>
      <c r="D2">
        <v>18</v>
      </c>
      <c r="E2">
        <v>2</v>
      </c>
      <c r="F2" s="5" t="str">
        <f>HYPERLINK("https://axonsv.app.intel.com/apps/record-viewer?id=09b2709c-a0af-82da-d61d-dec66ab782bd","09b2709c-a0af-82da-d61d-dec66ab782bd")</f>
        <v>09b2709c-a0af-82da-d61d-dec66ab782bd</v>
      </c>
    </row>
    <row r="3" spans="1:6" x14ac:dyDescent="0.35">
      <c r="A3" t="s">
        <v>11</v>
      </c>
      <c r="B3" t="s">
        <v>13</v>
      </c>
      <c r="C3">
        <v>19</v>
      </c>
      <c r="D3">
        <v>15</v>
      </c>
      <c r="E3">
        <v>2</v>
      </c>
      <c r="F3" s="5" t="str">
        <f>HYPERLINK("https://axonsv.app.intel.com/apps/record-viewer?id=0ba849d8-7b3b-f571-de4c-0997a0dcdeea","0ba849d8-7b3b-f571-de4c-0997a0dcdeea")</f>
        <v>0ba849d8-7b3b-f571-de4c-0997a0dcdeea</v>
      </c>
    </row>
    <row r="4" spans="1:6" x14ac:dyDescent="0.35">
      <c r="A4" t="s">
        <v>14</v>
      </c>
      <c r="B4" t="s">
        <v>15</v>
      </c>
      <c r="C4">
        <v>19</v>
      </c>
      <c r="D4">
        <v>11</v>
      </c>
      <c r="E4">
        <v>2</v>
      </c>
      <c r="F4" s="5" t="str">
        <f>HYPERLINK("https://axonsv.app.intel.com/apps/record-viewer?id=a416b26f-70ab-685e-f385-4ad0c1fe9306","a416b26f-70ab-685e-f385-4ad0c1fe9306")</f>
        <v>a416b26f-70ab-685e-f385-4ad0c1fe9306</v>
      </c>
    </row>
    <row r="5" spans="1:6" x14ac:dyDescent="0.35">
      <c r="A5" t="s">
        <v>11</v>
      </c>
      <c r="B5" t="s">
        <v>16</v>
      </c>
      <c r="C5">
        <v>11</v>
      </c>
      <c r="D5">
        <v>15</v>
      </c>
      <c r="E5">
        <v>2</v>
      </c>
      <c r="F5" s="5" t="str">
        <f>HYPERLINK("https://axonsv.app.intel.com/apps/record-viewer?id=e656b700-798c-fc35-22aa-c00790793e7a","e656b700-798c-fc35-22aa-c00790793e7a")</f>
        <v>e656b700-798c-fc35-22aa-c00790793e7a</v>
      </c>
    </row>
    <row r="6" spans="1:6" x14ac:dyDescent="0.35">
      <c r="A6" t="s">
        <v>14</v>
      </c>
      <c r="B6" t="s">
        <v>17</v>
      </c>
      <c r="C6">
        <v>11</v>
      </c>
      <c r="D6">
        <v>15</v>
      </c>
      <c r="E6">
        <v>2</v>
      </c>
      <c r="F6" s="5" t="str">
        <f>HYPERLINK("https://axonsv.app.intel.com/apps/record-viewer?id=ac88f0c3-3105-77dd-b934-b0e0946bc982","ac88f0c3-3105-77dd-b934-b0e0946bc982")</f>
        <v>ac88f0c3-3105-77dd-b934-b0e0946bc982</v>
      </c>
    </row>
    <row r="7" spans="1:6" x14ac:dyDescent="0.35">
      <c r="A7" t="s">
        <v>14</v>
      </c>
      <c r="B7" t="s">
        <v>17</v>
      </c>
      <c r="C7">
        <v>11</v>
      </c>
      <c r="D7">
        <v>15</v>
      </c>
      <c r="E7">
        <v>2</v>
      </c>
      <c r="F7" s="5" t="str">
        <f>HYPERLINK("https://axonsv.app.intel.com/apps/record-viewer?id=1e9c4da9-0425-e67c-e8c1-fd0575eb9e8a","1e9c4da9-0425-e67c-e8c1-fd0575eb9e8a")</f>
        <v>1e9c4da9-0425-e67c-e8c1-fd0575eb9e8a</v>
      </c>
    </row>
    <row r="8" spans="1:6" x14ac:dyDescent="0.35">
      <c r="A8" t="s">
        <v>14</v>
      </c>
      <c r="B8" t="s">
        <v>18</v>
      </c>
      <c r="C8">
        <v>11</v>
      </c>
      <c r="D8">
        <v>15</v>
      </c>
      <c r="E8">
        <v>2</v>
      </c>
      <c r="F8" s="5" t="str">
        <f>HYPERLINK("https://axonsv.app.intel.com/apps/record-viewer?id=c0a19c86-916f-99fd-4c95-43605e90a39f","c0a19c86-916f-99fd-4c95-43605e90a39f")</f>
        <v>c0a19c86-916f-99fd-4c95-43605e90a39f</v>
      </c>
    </row>
    <row r="9" spans="1:6" x14ac:dyDescent="0.35">
      <c r="A9" t="s">
        <v>14</v>
      </c>
      <c r="B9" t="s">
        <v>19</v>
      </c>
      <c r="C9">
        <v>11</v>
      </c>
      <c r="D9">
        <v>15</v>
      </c>
      <c r="E9">
        <v>2</v>
      </c>
      <c r="F9" s="5" t="str">
        <f>HYPERLINK("https://axonsv.app.intel.com/apps/record-viewer?id=6b1dd2a0-ad9e-a9e5-3f32-ef56f10ab95b","6b1dd2a0-ad9e-a9e5-3f32-ef56f10ab95b")</f>
        <v>6b1dd2a0-ad9e-a9e5-3f32-ef56f10ab95b</v>
      </c>
    </row>
    <row r="10" spans="1:6" x14ac:dyDescent="0.35">
      <c r="A10" t="s">
        <v>14</v>
      </c>
      <c r="B10" t="s">
        <v>20</v>
      </c>
      <c r="C10">
        <v>11</v>
      </c>
      <c r="D10">
        <v>15</v>
      </c>
      <c r="E10">
        <v>2</v>
      </c>
      <c r="F10" s="5" t="str">
        <f>HYPERLINK("https://axonsv.app.intel.com/apps/record-viewer?id=7bd382de-1d84-0b72-cbdf-2b6a8830c93f","7bd382de-1d84-0b72-cbdf-2b6a8830c93f")</f>
        <v>7bd382de-1d84-0b72-cbdf-2b6a8830c93f</v>
      </c>
    </row>
    <row r="11" spans="1:6" x14ac:dyDescent="0.35">
      <c r="A11" t="s">
        <v>14</v>
      </c>
      <c r="B11" t="s">
        <v>20</v>
      </c>
      <c r="C11">
        <v>11</v>
      </c>
      <c r="D11">
        <v>15</v>
      </c>
      <c r="E11">
        <v>2</v>
      </c>
      <c r="F11" s="5" t="str">
        <f>HYPERLINK("https://axonsv.app.intel.com/apps/record-viewer?id=5a634cbb-35af-d59b-6bb3-03e52f027bf6","5a634cbb-35af-d59b-6bb3-03e52f027bf6")</f>
        <v>5a634cbb-35af-d59b-6bb3-03e52f027bf6</v>
      </c>
    </row>
    <row r="12" spans="1:6" x14ac:dyDescent="0.35">
      <c r="A12" t="s">
        <v>21</v>
      </c>
      <c r="B12" t="s">
        <v>22</v>
      </c>
      <c r="C12">
        <v>6</v>
      </c>
      <c r="D12">
        <v>0</v>
      </c>
      <c r="E12">
        <v>0</v>
      </c>
      <c r="F12" s="5" t="str">
        <f>HYPERLINK("https://axonsv.app.intel.com/apps/record-viewer?id=cbef3451-0c4e-04ed-5530-5e90415aa404","cbef3451-0c4e-04ed-5530-5e90415aa404")</f>
        <v>cbef3451-0c4e-04ed-5530-5e90415aa404</v>
      </c>
    </row>
    <row r="13" spans="1:6" x14ac:dyDescent="0.35">
      <c r="A13" t="s">
        <v>23</v>
      </c>
      <c r="B13" t="s">
        <v>24</v>
      </c>
      <c r="C13">
        <v>15</v>
      </c>
      <c r="D13">
        <v>18</v>
      </c>
      <c r="E13">
        <v>2</v>
      </c>
      <c r="F13" s="5" t="str">
        <f>HYPERLINK("https://axonsv.app.intel.com/apps/record-viewer?id=6cb44eb4-a350-496a-4921-0391e5df9add","6cb44eb4-a350-496a-4921-0391e5df9add")</f>
        <v>6cb44eb4-a350-496a-4921-0391e5df9add</v>
      </c>
    </row>
    <row r="14" spans="1:6" x14ac:dyDescent="0.35">
      <c r="A14" t="s">
        <v>23</v>
      </c>
      <c r="B14" t="s">
        <v>25</v>
      </c>
      <c r="C14">
        <v>15</v>
      </c>
      <c r="D14">
        <v>18</v>
      </c>
      <c r="E14">
        <v>2</v>
      </c>
      <c r="F14" s="5" t="str">
        <f>HYPERLINK("https://axonsv.app.intel.com/apps/record-viewer?id=8243f2f9-de5b-0e14-46cb-556f63945c2c","8243f2f9-de5b-0e14-46cb-556f63945c2c")</f>
        <v>8243f2f9-de5b-0e14-46cb-556f63945c2c</v>
      </c>
    </row>
    <row r="15" spans="1:6" x14ac:dyDescent="0.35">
      <c r="A15" t="s">
        <v>23</v>
      </c>
      <c r="B15" t="s">
        <v>26</v>
      </c>
      <c r="C15">
        <v>11</v>
      </c>
      <c r="D15">
        <v>15</v>
      </c>
      <c r="E15">
        <v>2</v>
      </c>
      <c r="F15" s="5" t="str">
        <f>HYPERLINK("https://axonsv.app.intel.com/apps/record-viewer?id=d222ba31-82ec-65e0-3b01-889e8da9d85f","d222ba31-82ec-65e0-3b01-889e8da9d85f")</f>
        <v>d222ba31-82ec-65e0-3b01-889e8da9d85f</v>
      </c>
    </row>
    <row r="16" spans="1:6" x14ac:dyDescent="0.35">
      <c r="A16" t="s">
        <v>23</v>
      </c>
      <c r="B16" t="s">
        <v>27</v>
      </c>
      <c r="C16">
        <v>11</v>
      </c>
      <c r="D16">
        <v>15</v>
      </c>
      <c r="E16">
        <v>2</v>
      </c>
      <c r="F16" s="5" t="str">
        <f>HYPERLINK("https://axonsv.app.intel.com/apps/record-viewer?id=8c0a04ae-0959-20fd-3050-734d2e5d6643","8c0a04ae-0959-20fd-3050-734d2e5d6643")</f>
        <v>8c0a04ae-0959-20fd-3050-734d2e5d6643</v>
      </c>
    </row>
    <row r="17" spans="1:6" x14ac:dyDescent="0.35">
      <c r="A17" t="s">
        <v>28</v>
      </c>
      <c r="B17" t="s">
        <v>29</v>
      </c>
      <c r="C17">
        <v>11</v>
      </c>
      <c r="D17">
        <v>15</v>
      </c>
      <c r="E17">
        <v>2</v>
      </c>
      <c r="F17" s="5" t="str">
        <f>HYPERLINK("https://axonsv.app.intel.com/apps/record-viewer?id=2fe3428a-e215-5143-dffa-f92242185253","2fe3428a-e215-5143-dffa-f92242185253")</f>
        <v>2fe3428a-e215-5143-dffa-f92242185253</v>
      </c>
    </row>
    <row r="18" spans="1:6" x14ac:dyDescent="0.35">
      <c r="A18" t="s">
        <v>28</v>
      </c>
      <c r="B18" t="s">
        <v>30</v>
      </c>
      <c r="C18">
        <v>11</v>
      </c>
      <c r="D18">
        <v>15</v>
      </c>
      <c r="E18">
        <v>2</v>
      </c>
      <c r="F18" s="5" t="str">
        <f>HYPERLINK("https://axonsv.app.intel.com/apps/record-viewer?id=ebfc033d-6781-2cd3-49fb-3ff7e22c987b","ebfc033d-6781-2cd3-49fb-3ff7e22c987b")</f>
        <v>ebfc033d-6781-2cd3-49fb-3ff7e22c987b</v>
      </c>
    </row>
    <row r="19" spans="1:6" x14ac:dyDescent="0.35">
      <c r="A19" t="s">
        <v>28</v>
      </c>
      <c r="B19" t="s">
        <v>31</v>
      </c>
      <c r="C19">
        <v>11</v>
      </c>
      <c r="D19">
        <v>15</v>
      </c>
      <c r="E19">
        <v>2</v>
      </c>
      <c r="F19" s="5" t="str">
        <f>HYPERLINK("https://axonsv.app.intel.com/apps/record-viewer?id=a0e5f684-b2bd-2b03-5e00-43d745f06275","a0e5f684-b2bd-2b03-5e00-43d745f06275")</f>
        <v>a0e5f684-b2bd-2b03-5e00-43d745f06275</v>
      </c>
    </row>
    <row r="20" spans="1:6" x14ac:dyDescent="0.35">
      <c r="A20" t="s">
        <v>32</v>
      </c>
      <c r="B20" t="s">
        <v>33</v>
      </c>
      <c r="C20">
        <v>11</v>
      </c>
      <c r="D20">
        <v>15</v>
      </c>
      <c r="E20">
        <v>2</v>
      </c>
      <c r="F20" s="5" t="str">
        <f>HYPERLINK("https://axonsv.app.intel.com/apps/record-viewer?id=b9140941-c27e-6165-38ad-361323edee38","b9140941-c27e-6165-38ad-361323edee38")</f>
        <v>b9140941-c27e-6165-38ad-361323edee38</v>
      </c>
    </row>
    <row r="21" spans="1:6" x14ac:dyDescent="0.35">
      <c r="A21" t="s">
        <v>34</v>
      </c>
      <c r="B21" t="s">
        <v>35</v>
      </c>
      <c r="C21">
        <v>11</v>
      </c>
      <c r="D21">
        <v>15</v>
      </c>
      <c r="E21">
        <v>2</v>
      </c>
      <c r="F21" s="5" t="str">
        <f>HYPERLINK("https://axonsv.app.intel.com/apps/record-viewer?id=f81206c2-307d-3fd4-e4ac-be2024ee5dae","f81206c2-307d-3fd4-e4ac-be2024ee5dae")</f>
        <v>f81206c2-307d-3fd4-e4ac-be2024ee5dae</v>
      </c>
    </row>
    <row r="22" spans="1:6" x14ac:dyDescent="0.35">
      <c r="A22" t="s">
        <v>28</v>
      </c>
      <c r="B22" t="s">
        <v>36</v>
      </c>
      <c r="C22">
        <v>11</v>
      </c>
      <c r="D22">
        <v>15</v>
      </c>
      <c r="E22">
        <v>2</v>
      </c>
      <c r="F22" s="5" t="str">
        <f>HYPERLINK("https://axonsv.app.intel.com/apps/record-viewer?id=a39ddbd1-e7d0-12d1-0f10-7d03bc0962fd","a39ddbd1-e7d0-12d1-0f10-7d03bc0962fd")</f>
        <v>a39ddbd1-e7d0-12d1-0f10-7d03bc0962fd</v>
      </c>
    </row>
    <row r="23" spans="1:6" x14ac:dyDescent="0.35">
      <c r="A23" t="s">
        <v>28</v>
      </c>
      <c r="B23" t="s">
        <v>37</v>
      </c>
      <c r="C23">
        <v>11</v>
      </c>
      <c r="D23">
        <v>15</v>
      </c>
      <c r="E23">
        <v>2</v>
      </c>
      <c r="F23" s="5" t="str">
        <f>HYPERLINK("https://axonsv.app.intel.com/apps/record-viewer?id=e306a087-5ec9-c1cd-5939-d91d468dadf1","e306a087-5ec9-c1cd-5939-d91d468dadf1")</f>
        <v>e306a087-5ec9-c1cd-5939-d91d468dadf1</v>
      </c>
    </row>
    <row r="24" spans="1:6" x14ac:dyDescent="0.35">
      <c r="A24" t="s">
        <v>34</v>
      </c>
      <c r="B24" t="s">
        <v>38</v>
      </c>
      <c r="C24">
        <v>11</v>
      </c>
      <c r="D24">
        <v>15</v>
      </c>
      <c r="E24">
        <v>2</v>
      </c>
      <c r="F24" s="5" t="str">
        <f>HYPERLINK("https://axonsv.app.intel.com/apps/record-viewer?id=43fd7517-52b9-2208-8acb-8e5462905587","43fd7517-52b9-2208-8acb-8e5462905587")</f>
        <v>43fd7517-52b9-2208-8acb-8e5462905587</v>
      </c>
    </row>
    <row r="25" spans="1:6" x14ac:dyDescent="0.35">
      <c r="A25" t="s">
        <v>34</v>
      </c>
      <c r="B25" t="s">
        <v>39</v>
      </c>
      <c r="C25">
        <v>19</v>
      </c>
      <c r="D25">
        <v>11</v>
      </c>
      <c r="E25">
        <v>2</v>
      </c>
      <c r="F25" s="5" t="str">
        <f>HYPERLINK("https://axonsv.app.intel.com/apps/record-viewer?id=3cd77430-87be-6386-b783-9c8a8aeb1702","3cd77430-87be-6386-b783-9c8a8aeb1702")</f>
        <v>3cd77430-87be-6386-b783-9c8a8aeb1702</v>
      </c>
    </row>
    <row r="26" spans="1:6" x14ac:dyDescent="0.35">
      <c r="A26" t="s">
        <v>34</v>
      </c>
      <c r="B26" t="s">
        <v>40</v>
      </c>
      <c r="C26">
        <v>11</v>
      </c>
      <c r="D26">
        <v>15</v>
      </c>
      <c r="E26">
        <v>2</v>
      </c>
      <c r="F26" s="5" t="str">
        <f>HYPERLINK("https://axonsv.app.intel.com/apps/record-viewer?id=993acbca-4c6d-93c2-4363-187023022b93","993acbca-4c6d-93c2-4363-187023022b93")</f>
        <v>993acbca-4c6d-93c2-4363-187023022b93</v>
      </c>
    </row>
    <row r="27" spans="1:6" x14ac:dyDescent="0.35">
      <c r="A27" t="s">
        <v>34</v>
      </c>
      <c r="B27" t="s">
        <v>41</v>
      </c>
      <c r="C27">
        <v>11</v>
      </c>
      <c r="D27">
        <v>15</v>
      </c>
      <c r="E27">
        <v>2</v>
      </c>
      <c r="F27" s="5" t="str">
        <f>HYPERLINK("https://axonsv.app.intel.com/apps/record-viewer?id=eb2b8e29-d030-c557-50c0-6e1a2cad3ffb","eb2b8e29-d030-c557-50c0-6e1a2cad3ffb")</f>
        <v>eb2b8e29-d030-c557-50c0-6e1a2cad3ffb</v>
      </c>
    </row>
    <row r="28" spans="1:6" x14ac:dyDescent="0.35">
      <c r="A28" t="s">
        <v>34</v>
      </c>
      <c r="B28" t="s">
        <v>42</v>
      </c>
      <c r="C28">
        <v>11</v>
      </c>
      <c r="D28">
        <v>15</v>
      </c>
      <c r="E28">
        <v>2</v>
      </c>
      <c r="F28" s="5" t="str">
        <f>HYPERLINK("https://axonsv.app.intel.com/apps/record-viewer?id=61c3d11f-a684-1d53-16b0-2559f9097864","61c3d11f-a684-1d53-16b0-2559f9097864")</f>
        <v>61c3d11f-a684-1d53-16b0-2559f9097864</v>
      </c>
    </row>
    <row r="29" spans="1:6" x14ac:dyDescent="0.35">
      <c r="A29" t="s">
        <v>34</v>
      </c>
      <c r="B29" t="s">
        <v>43</v>
      </c>
      <c r="C29">
        <v>11</v>
      </c>
      <c r="D29">
        <v>15</v>
      </c>
      <c r="E29">
        <v>2</v>
      </c>
      <c r="F29" s="5" t="str">
        <f>HYPERLINK("https://axonsv.app.intel.com/apps/record-viewer?id=499079b3-f305-2454-69e0-642cf116eb7e","499079b3-f305-2454-69e0-642cf116eb7e")</f>
        <v>499079b3-f305-2454-69e0-642cf116eb7e</v>
      </c>
    </row>
    <row r="30" spans="1:6" x14ac:dyDescent="0.35">
      <c r="A30" t="s">
        <v>21</v>
      </c>
      <c r="B30" t="s">
        <v>44</v>
      </c>
      <c r="C30">
        <v>11</v>
      </c>
      <c r="D30">
        <v>15</v>
      </c>
      <c r="E30">
        <v>3</v>
      </c>
      <c r="F30" s="5" t="str">
        <f>HYPERLINK("https://axonsv.app.intel.com/apps/record-viewer?id=9f94f2c5-1a21-e0a8-131b-a75efad450e2","9f94f2c5-1a21-e0a8-131b-a75efad450e2")</f>
        <v>9f94f2c5-1a21-e0a8-131b-a75efad450e2</v>
      </c>
    </row>
    <row r="31" spans="1:6" x14ac:dyDescent="0.35">
      <c r="A31" t="s">
        <v>34</v>
      </c>
      <c r="B31" t="s">
        <v>45</v>
      </c>
      <c r="C31">
        <v>11</v>
      </c>
      <c r="D31">
        <v>15</v>
      </c>
      <c r="E31">
        <v>2</v>
      </c>
      <c r="F31" s="5" t="str">
        <f>HYPERLINK("https://axonsv.app.intel.com/apps/record-viewer?id=559f8a64-005e-c919-5025-fef6b736efb1","559f8a64-005e-c919-5025-fef6b736efb1")</f>
        <v>559f8a64-005e-c919-5025-fef6b736efb1</v>
      </c>
    </row>
    <row r="32" spans="1:6" x14ac:dyDescent="0.35">
      <c r="A32" t="s">
        <v>34</v>
      </c>
      <c r="B32" t="s">
        <v>46</v>
      </c>
      <c r="C32">
        <v>15</v>
      </c>
      <c r="D32">
        <v>18</v>
      </c>
      <c r="E32">
        <v>2</v>
      </c>
      <c r="F32" s="5" t="str">
        <f>HYPERLINK("https://axonsv.app.intel.com/apps/record-viewer?id=9900bea8-351f-cd45-0f68-1e7880bd5412","9900bea8-351f-cd45-0f68-1e7880bd5412")</f>
        <v>9900bea8-351f-cd45-0f68-1e7880bd5412</v>
      </c>
    </row>
    <row r="33" spans="1:6" x14ac:dyDescent="0.35">
      <c r="A33" t="s">
        <v>34</v>
      </c>
      <c r="B33" t="s">
        <v>46</v>
      </c>
      <c r="C33">
        <v>15</v>
      </c>
      <c r="D33">
        <v>18</v>
      </c>
      <c r="E33">
        <v>2</v>
      </c>
      <c r="F33" s="5" t="str">
        <f>HYPERLINK("https://axonsv.app.intel.com/apps/record-viewer?id=81bf4ea1-c38a-5322-cc3c-88439c79595e","81bf4ea1-c38a-5322-cc3c-88439c79595e")</f>
        <v>81bf4ea1-c38a-5322-cc3c-88439c79595e</v>
      </c>
    </row>
    <row r="34" spans="1:6" x14ac:dyDescent="0.35">
      <c r="A34" t="s">
        <v>34</v>
      </c>
      <c r="B34" t="s">
        <v>46</v>
      </c>
      <c r="C34">
        <v>15</v>
      </c>
      <c r="D34">
        <v>18</v>
      </c>
      <c r="E34">
        <v>2</v>
      </c>
      <c r="F34" s="5" t="str">
        <f>HYPERLINK("https://axonsv.app.intel.com/apps/record-viewer?id=a83766c7-c237-e53b-229d-36baf92570c7","a83766c7-c237-e53b-229d-36baf92570c7")</f>
        <v>a83766c7-c237-e53b-229d-36baf92570c7</v>
      </c>
    </row>
    <row r="35" spans="1:6" x14ac:dyDescent="0.35">
      <c r="A35" t="s">
        <v>47</v>
      </c>
      <c r="B35" t="s">
        <v>48</v>
      </c>
      <c r="C35">
        <v>11</v>
      </c>
      <c r="D35">
        <v>15</v>
      </c>
      <c r="E35">
        <v>2</v>
      </c>
      <c r="F35" s="5" t="str">
        <f>HYPERLINK("https://axonsv.app.intel.com/apps/record-viewer?id=148c176e-3bc6-aecf-e54b-bd3713280fbe","148c176e-3bc6-aecf-e54b-bd3713280fbe")</f>
        <v>148c176e-3bc6-aecf-e54b-bd3713280fbe</v>
      </c>
    </row>
    <row r="36" spans="1:6" x14ac:dyDescent="0.35">
      <c r="A36" t="s">
        <v>21</v>
      </c>
      <c r="B36" t="s">
        <v>49</v>
      </c>
      <c r="C36">
        <v>11</v>
      </c>
      <c r="D36">
        <v>15</v>
      </c>
      <c r="E36">
        <v>2</v>
      </c>
      <c r="F36" s="5" t="str">
        <f>HYPERLINK("https://axonsv.app.intel.com/apps/record-viewer?id=52fb8cf0-4453-9557-272d-77038b040ada","52fb8cf0-4453-9557-272d-77038b040ada")</f>
        <v>52fb8cf0-4453-9557-272d-77038b040ada</v>
      </c>
    </row>
    <row r="37" spans="1:6" x14ac:dyDescent="0.35">
      <c r="A37" t="s">
        <v>34</v>
      </c>
      <c r="B37" t="s">
        <v>50</v>
      </c>
      <c r="C37">
        <v>11</v>
      </c>
      <c r="D37">
        <v>15</v>
      </c>
      <c r="E37">
        <v>2</v>
      </c>
      <c r="F37" s="5" t="str">
        <f>HYPERLINK("https://axonsv.app.intel.com/apps/record-viewer?id=e243c844-7974-628c-a611-74d7a3e9d5d3","e243c844-7974-628c-a611-74d7a3e9d5d3")</f>
        <v>e243c844-7974-628c-a611-74d7a3e9d5d3</v>
      </c>
    </row>
    <row r="38" spans="1:6" x14ac:dyDescent="0.35">
      <c r="A38" t="s">
        <v>21</v>
      </c>
      <c r="B38" t="s">
        <v>51</v>
      </c>
      <c r="C38">
        <v>19</v>
      </c>
      <c r="D38">
        <v>11</v>
      </c>
      <c r="E38">
        <v>2</v>
      </c>
      <c r="F38" s="5" t="str">
        <f>HYPERLINK("https://axonsv.app.intel.com/apps/record-viewer?id=f8098e4b-fb61-e2af-b20f-e0e6ac64b7be","f8098e4b-fb61-e2af-b20f-e0e6ac64b7be")</f>
        <v>f8098e4b-fb61-e2af-b20f-e0e6ac64b7be</v>
      </c>
    </row>
    <row r="39" spans="1:6" x14ac:dyDescent="0.35">
      <c r="A39" t="s">
        <v>21</v>
      </c>
      <c r="B39" t="s">
        <v>44</v>
      </c>
      <c r="C39">
        <v>11</v>
      </c>
      <c r="D39">
        <v>15</v>
      </c>
      <c r="E39">
        <v>3</v>
      </c>
      <c r="F39" s="5" t="str">
        <f>HYPERLINK("https://axonsv.app.intel.com/apps/record-viewer?id=1a7e3e0a-121e-89d4-90bb-6e36658adc8e","1a7e3e0a-121e-89d4-90bb-6e36658adc8e")</f>
        <v>1a7e3e0a-121e-89d4-90bb-6e36658adc8e</v>
      </c>
    </row>
    <row r="40" spans="1:6" x14ac:dyDescent="0.35">
      <c r="A40" t="s">
        <v>34</v>
      </c>
      <c r="B40" t="s">
        <v>52</v>
      </c>
      <c r="C40">
        <v>19</v>
      </c>
      <c r="D40">
        <v>11</v>
      </c>
      <c r="E40">
        <v>2</v>
      </c>
      <c r="F40" s="5" t="str">
        <f>HYPERLINK("https://axonsv.app.intel.com/apps/record-viewer?id=ed124577-d23a-f890-75d3-3bfbdff5d03a","ed124577-d23a-f890-75d3-3bfbdff5d03a")</f>
        <v>ed124577-d23a-f890-75d3-3bfbdff5d03a</v>
      </c>
    </row>
    <row r="41" spans="1:6" x14ac:dyDescent="0.35">
      <c r="A41" t="s">
        <v>34</v>
      </c>
      <c r="B41" t="s">
        <v>53</v>
      </c>
      <c r="C41">
        <v>11</v>
      </c>
      <c r="D41">
        <v>15</v>
      </c>
      <c r="E41">
        <v>2</v>
      </c>
      <c r="F41" s="5" t="str">
        <f>HYPERLINK("https://axonsv.app.intel.com/apps/record-viewer?id=d6f0ecca-436e-ee25-ecb2-d6d801ce5340","d6f0ecca-436e-ee25-ecb2-d6d801ce5340")</f>
        <v>d6f0ecca-436e-ee25-ecb2-d6d801ce5340</v>
      </c>
    </row>
    <row r="42" spans="1:6" x14ac:dyDescent="0.35">
      <c r="A42" t="s">
        <v>21</v>
      </c>
      <c r="B42" t="s">
        <v>49</v>
      </c>
      <c r="C42">
        <v>11</v>
      </c>
      <c r="D42">
        <v>15</v>
      </c>
      <c r="E42">
        <v>2</v>
      </c>
      <c r="F42" s="5" t="str">
        <f>HYPERLINK("https://axonsv.app.intel.com/apps/record-viewer?id=4a5c3f6a-991f-ff2f-542c-058a1f3c46b8","4a5c3f6a-991f-ff2f-542c-058a1f3c46b8")</f>
        <v>4a5c3f6a-991f-ff2f-542c-058a1f3c46b8</v>
      </c>
    </row>
    <row r="43" spans="1:6" x14ac:dyDescent="0.35">
      <c r="A43" t="s">
        <v>34</v>
      </c>
      <c r="B43" t="s">
        <v>54</v>
      </c>
      <c r="C43">
        <v>11</v>
      </c>
      <c r="D43">
        <v>15</v>
      </c>
      <c r="E43">
        <v>2</v>
      </c>
      <c r="F43" s="5" t="str">
        <f>HYPERLINK("https://axonsv.app.intel.com/apps/record-viewer?id=a4c2e013-f15e-e998-a9d8-20f98a48a392","a4c2e013-f15e-e998-a9d8-20f98a48a392")</f>
        <v>a4c2e013-f15e-e998-a9d8-20f98a48a392</v>
      </c>
    </row>
    <row r="44" spans="1:6" x14ac:dyDescent="0.35">
      <c r="A44" t="s">
        <v>34</v>
      </c>
      <c r="B44" t="s">
        <v>55</v>
      </c>
      <c r="C44">
        <v>11</v>
      </c>
      <c r="D44">
        <v>15</v>
      </c>
      <c r="E44">
        <v>2</v>
      </c>
      <c r="F44" s="5" t="str">
        <f>HYPERLINK("https://axonsv.app.intel.com/apps/record-viewer?id=a10bf948-b9f8-7621-a1a4-867b4dfd58dc","a10bf948-b9f8-7621-a1a4-867b4dfd58dc")</f>
        <v>a10bf948-b9f8-7621-a1a4-867b4dfd58dc</v>
      </c>
    </row>
    <row r="45" spans="1:6" x14ac:dyDescent="0.35">
      <c r="A45" t="s">
        <v>34</v>
      </c>
      <c r="B45" t="s">
        <v>42</v>
      </c>
      <c r="C45">
        <v>11</v>
      </c>
      <c r="D45">
        <v>15</v>
      </c>
      <c r="E45">
        <v>2</v>
      </c>
      <c r="F45" s="5" t="str">
        <f>HYPERLINK("https://axonsv.app.intel.com/apps/record-viewer?id=0dec6580-86b9-2314-1c8d-9aee8d6e169b","0dec6580-86b9-2314-1c8d-9aee8d6e169b")</f>
        <v>0dec6580-86b9-2314-1c8d-9aee8d6e169b</v>
      </c>
    </row>
    <row r="46" spans="1:6" x14ac:dyDescent="0.35">
      <c r="A46" t="s">
        <v>23</v>
      </c>
      <c r="B46" t="s">
        <v>56</v>
      </c>
      <c r="C46">
        <v>19</v>
      </c>
      <c r="D46">
        <v>15</v>
      </c>
      <c r="E46">
        <v>2</v>
      </c>
      <c r="F46" s="5" t="str">
        <f>HYPERLINK("https://axonsv.app.intel.com/apps/record-viewer?id=77239320-8a02-0874-756e-e8849bbea959","77239320-8a02-0874-756e-e8849bbea959")</f>
        <v>77239320-8a02-0874-756e-e8849bbea959</v>
      </c>
    </row>
    <row r="47" spans="1:6" x14ac:dyDescent="0.35">
      <c r="A47" t="s">
        <v>28</v>
      </c>
      <c r="B47" t="s">
        <v>57</v>
      </c>
      <c r="C47">
        <v>11</v>
      </c>
      <c r="D47">
        <v>15</v>
      </c>
      <c r="E47">
        <v>2</v>
      </c>
      <c r="F47" s="5" t="str">
        <f>HYPERLINK("https://axonsv.app.intel.com/apps/record-viewer?id=e070bbd3-81d0-c244-0ddf-f780f3262991","e070bbd3-81d0-c244-0ddf-f780f3262991")</f>
        <v>e070bbd3-81d0-c244-0ddf-f780f3262991</v>
      </c>
    </row>
    <row r="48" spans="1:6" x14ac:dyDescent="0.35">
      <c r="A48" t="s">
        <v>34</v>
      </c>
      <c r="B48" t="s">
        <v>58</v>
      </c>
      <c r="C48">
        <v>11</v>
      </c>
      <c r="D48">
        <v>15</v>
      </c>
      <c r="E48">
        <v>2</v>
      </c>
      <c r="F48" s="5" t="str">
        <f>HYPERLINK("https://axonsv.app.intel.com/apps/record-viewer?id=9f596fb6-a993-83fa-41b0-88cdebd6d77d","9f596fb6-a993-83fa-41b0-88cdebd6d77d")</f>
        <v>9f596fb6-a993-83fa-41b0-88cdebd6d77d</v>
      </c>
    </row>
    <row r="49" spans="1:6" x14ac:dyDescent="0.35">
      <c r="A49" t="s">
        <v>28</v>
      </c>
      <c r="B49" t="s">
        <v>59</v>
      </c>
      <c r="C49">
        <v>11</v>
      </c>
      <c r="D49">
        <v>15</v>
      </c>
      <c r="E49">
        <v>2</v>
      </c>
      <c r="F49" s="5" t="str">
        <f>HYPERLINK("https://axonsv.app.intel.com/apps/record-viewer?id=4b7dc8a8-4404-2eba-7795-846a27e5bca9","4b7dc8a8-4404-2eba-7795-846a27e5bca9")</f>
        <v>4b7dc8a8-4404-2eba-7795-846a27e5bca9</v>
      </c>
    </row>
    <row r="50" spans="1:6" x14ac:dyDescent="0.35">
      <c r="A50" t="s">
        <v>28</v>
      </c>
      <c r="B50" t="s">
        <v>60</v>
      </c>
      <c r="C50">
        <v>11</v>
      </c>
      <c r="D50">
        <v>15</v>
      </c>
      <c r="E50">
        <v>2</v>
      </c>
      <c r="F50" s="5" t="str">
        <f>HYPERLINK("https://axonsv.app.intel.com/apps/record-viewer?id=1f3ed7e2-7d0d-fc5c-8f25-99665cf2ba6a","1f3ed7e2-7d0d-fc5c-8f25-99665cf2ba6a")</f>
        <v>1f3ed7e2-7d0d-fc5c-8f25-99665cf2ba6a</v>
      </c>
    </row>
    <row r="51" spans="1:6" x14ac:dyDescent="0.35">
      <c r="A51" t="s">
        <v>28</v>
      </c>
      <c r="B51" t="s">
        <v>61</v>
      </c>
      <c r="C51">
        <v>11</v>
      </c>
      <c r="D51">
        <v>15</v>
      </c>
      <c r="E51">
        <v>2</v>
      </c>
      <c r="F51" s="5" t="str">
        <f>HYPERLINK("https://axonsv.app.intel.com/apps/record-viewer?id=ffabdf4d-1a3e-7bee-310e-f11be898cdfe","ffabdf4d-1a3e-7bee-310e-f11be898cdfe")</f>
        <v>ffabdf4d-1a3e-7bee-310e-f11be898cdfe</v>
      </c>
    </row>
    <row r="52" spans="1:6" x14ac:dyDescent="0.35">
      <c r="A52" t="s">
        <v>21</v>
      </c>
      <c r="B52" t="s">
        <v>44</v>
      </c>
      <c r="C52">
        <v>11</v>
      </c>
      <c r="D52">
        <v>15</v>
      </c>
      <c r="E52">
        <v>3</v>
      </c>
      <c r="F52" s="5" t="str">
        <f>HYPERLINK("https://axonsv.app.intel.com/apps/record-viewer?id=b3b7e31a-b80e-0415-c061-9755cee213d3","b3b7e31a-b80e-0415-c061-9755cee213d3")</f>
        <v>b3b7e31a-b80e-0415-c061-9755cee213d3</v>
      </c>
    </row>
    <row r="53" spans="1:6" x14ac:dyDescent="0.35">
      <c r="A53" t="s">
        <v>28</v>
      </c>
      <c r="B53" t="s">
        <v>62</v>
      </c>
      <c r="C53">
        <v>11</v>
      </c>
      <c r="D53">
        <v>15</v>
      </c>
      <c r="E53">
        <v>2</v>
      </c>
      <c r="F53" s="5" t="str">
        <f>HYPERLINK("https://axonsv.app.intel.com/apps/record-viewer?id=6fbf5713-453c-89dc-8005-af54fbdd4e59","6fbf5713-453c-89dc-8005-af54fbdd4e59")</f>
        <v>6fbf5713-453c-89dc-8005-af54fbdd4e59</v>
      </c>
    </row>
    <row r="54" spans="1:6" x14ac:dyDescent="0.35">
      <c r="A54" t="s">
        <v>21</v>
      </c>
      <c r="B54" t="s">
        <v>63</v>
      </c>
      <c r="C54">
        <v>12</v>
      </c>
      <c r="D54">
        <v>16</v>
      </c>
      <c r="E54">
        <v>0</v>
      </c>
      <c r="F54" s="5" t="str">
        <f>HYPERLINK("https://axonsv.app.intel.com/apps/record-viewer?id=204bfe24-920c-3dca-2e0a-eec42710b7a5","204bfe24-920c-3dca-2e0a-eec42710b7a5")</f>
        <v>204bfe24-920c-3dca-2e0a-eec42710b7a5</v>
      </c>
    </row>
    <row r="55" spans="1:6" x14ac:dyDescent="0.35">
      <c r="A55" t="s">
        <v>32</v>
      </c>
      <c r="B55" t="s">
        <v>64</v>
      </c>
      <c r="C55">
        <v>11</v>
      </c>
      <c r="D55">
        <v>15</v>
      </c>
      <c r="E55">
        <v>2</v>
      </c>
      <c r="F55" s="5" t="str">
        <f>HYPERLINK("https://axonsv.app.intel.com/apps/record-viewer?id=b5cb0da4-73c7-0150-5a43-5a45dd90f7b6","b5cb0da4-73c7-0150-5a43-5a45dd90f7b6")</f>
        <v>b5cb0da4-73c7-0150-5a43-5a45dd90f7b6</v>
      </c>
    </row>
    <row r="56" spans="1:6" x14ac:dyDescent="0.35">
      <c r="A56" t="s">
        <v>21</v>
      </c>
      <c r="B56" t="s">
        <v>65</v>
      </c>
      <c r="C56">
        <v>3</v>
      </c>
      <c r="D56">
        <v>2</v>
      </c>
      <c r="E56">
        <v>0</v>
      </c>
      <c r="F56" s="5" t="str">
        <f>HYPERLINK("https://axonsv.app.intel.com/apps/record-viewer?id=e1278c61-4c2c-db56-4526-1f6defcc193a","e1278c61-4c2c-db56-4526-1f6defcc193a")</f>
        <v>e1278c61-4c2c-db56-4526-1f6defcc193a</v>
      </c>
    </row>
    <row r="57" spans="1:6" x14ac:dyDescent="0.35">
      <c r="A57" t="s">
        <v>21</v>
      </c>
      <c r="B57" t="s">
        <v>63</v>
      </c>
      <c r="C57">
        <v>12</v>
      </c>
      <c r="D57">
        <v>16</v>
      </c>
      <c r="E57">
        <v>0</v>
      </c>
      <c r="F57" s="5" t="str">
        <f>HYPERLINK("https://axonsv.app.intel.com/apps/record-viewer?id=c5fd9056-7496-6281-c0d4-8efc67d3ef7b","c5fd9056-7496-6281-c0d4-8efc67d3ef7b")</f>
        <v>c5fd9056-7496-6281-c0d4-8efc67d3ef7b</v>
      </c>
    </row>
    <row r="58" spans="1:6" x14ac:dyDescent="0.35">
      <c r="A58" t="s">
        <v>21</v>
      </c>
      <c r="B58" t="s">
        <v>66</v>
      </c>
      <c r="C58">
        <v>19</v>
      </c>
      <c r="D58">
        <v>15</v>
      </c>
      <c r="E58">
        <v>2</v>
      </c>
      <c r="F58" s="5" t="str">
        <f>HYPERLINK("https://axonsv.app.intel.com/apps/record-viewer?id=19403c2d-7361-3858-a49b-2f2de371f293","19403c2d-7361-3858-a49b-2f2de371f293")</f>
        <v>19403c2d-7361-3858-a49b-2f2de371f293</v>
      </c>
    </row>
    <row r="59" spans="1:6" x14ac:dyDescent="0.35">
      <c r="A59" t="s">
        <v>28</v>
      </c>
      <c r="B59" t="s">
        <v>67</v>
      </c>
      <c r="C59">
        <v>11</v>
      </c>
      <c r="D59">
        <v>15</v>
      </c>
      <c r="E59">
        <v>2</v>
      </c>
      <c r="F59" s="5" t="str">
        <f>HYPERLINK("https://axonsv.app.intel.com/apps/record-viewer?id=f7d9fd89-0247-ddae-1f4e-80907618a0b6","f7d9fd89-0247-ddae-1f4e-80907618a0b6")</f>
        <v>f7d9fd89-0247-ddae-1f4e-80907618a0b6</v>
      </c>
    </row>
    <row r="60" spans="1:6" x14ac:dyDescent="0.35">
      <c r="A60" t="s">
        <v>34</v>
      </c>
      <c r="B60" t="s">
        <v>68</v>
      </c>
      <c r="C60">
        <v>11</v>
      </c>
      <c r="D60">
        <v>15</v>
      </c>
      <c r="E60">
        <v>2</v>
      </c>
      <c r="F60" s="5" t="str">
        <f>HYPERLINK("https://axonsv.app.intel.com/apps/record-viewer?id=d24d593c-fa94-50fb-6f9a-d34e6a3e7b5d","d24d593c-fa94-50fb-6f9a-d34e6a3e7b5d")</f>
        <v>d24d593c-fa94-50fb-6f9a-d34e6a3e7b5d</v>
      </c>
    </row>
    <row r="61" spans="1:6" x14ac:dyDescent="0.35">
      <c r="A61" t="s">
        <v>28</v>
      </c>
      <c r="B61" t="s">
        <v>69</v>
      </c>
      <c r="C61">
        <v>11</v>
      </c>
      <c r="D61">
        <v>15</v>
      </c>
      <c r="E61">
        <v>2</v>
      </c>
      <c r="F61" s="5" t="str">
        <f>HYPERLINK("https://axonsv.app.intel.com/apps/record-viewer?id=d616b334-6404-1428-6d67-99b2e6917f55","d616b334-6404-1428-6d67-99b2e6917f55")</f>
        <v>d616b334-6404-1428-6d67-99b2e6917f55</v>
      </c>
    </row>
    <row r="62" spans="1:6" x14ac:dyDescent="0.35">
      <c r="A62" t="s">
        <v>21</v>
      </c>
      <c r="B62" t="s">
        <v>70</v>
      </c>
      <c r="C62">
        <v>11</v>
      </c>
      <c r="D62">
        <v>15</v>
      </c>
      <c r="E62">
        <v>2</v>
      </c>
      <c r="F62" s="5" t="str">
        <f>HYPERLINK("https://axonsv.app.intel.com/apps/record-viewer?id=f2c6b95d-7639-8813-e854-b05ebffe03de","f2c6b95d-7639-8813-e854-b05ebffe03de")</f>
        <v>f2c6b95d-7639-8813-e854-b05ebffe03de</v>
      </c>
    </row>
    <row r="63" spans="1:6" x14ac:dyDescent="0.35">
      <c r="A63" t="s">
        <v>71</v>
      </c>
      <c r="B63" t="s">
        <v>72</v>
      </c>
      <c r="C63">
        <v>11</v>
      </c>
      <c r="D63">
        <v>15</v>
      </c>
      <c r="E63">
        <v>2</v>
      </c>
      <c r="F63" s="5" t="str">
        <f>HYPERLINK("https://axonsv.app.intel.com/apps/record-viewer?id=5f076f7e-3a39-1f43-06f5-089fb02b9f40","5f076f7e-3a39-1f43-06f5-089fb02b9f40")</f>
        <v>5f076f7e-3a39-1f43-06f5-089fb02b9f40</v>
      </c>
    </row>
    <row r="64" spans="1:6" x14ac:dyDescent="0.35">
      <c r="A64" t="s">
        <v>28</v>
      </c>
      <c r="B64" t="s">
        <v>73</v>
      </c>
      <c r="C64">
        <v>11</v>
      </c>
      <c r="D64">
        <v>15</v>
      </c>
      <c r="E64">
        <v>2</v>
      </c>
      <c r="F64" s="5" t="str">
        <f>HYPERLINK("https://axonsv.app.intel.com/apps/record-viewer?id=f16255ea-468c-666a-c1bb-84ea13f03a1b","f16255ea-468c-666a-c1bb-84ea13f03a1b")</f>
        <v>f16255ea-468c-666a-c1bb-84ea13f03a1b</v>
      </c>
    </row>
    <row r="65" spans="1:6" x14ac:dyDescent="0.35">
      <c r="A65" t="s">
        <v>28</v>
      </c>
      <c r="B65" t="s">
        <v>74</v>
      </c>
      <c r="C65">
        <v>11</v>
      </c>
      <c r="D65">
        <v>15</v>
      </c>
      <c r="E65">
        <v>2</v>
      </c>
      <c r="F65" s="5" t="str">
        <f>HYPERLINK("https://axonsv.app.intel.com/apps/record-viewer?id=64c74623-8488-ab88-3b35-b39ef8e79aa3","64c74623-8488-ab88-3b35-b39ef8e79aa3")</f>
        <v>64c74623-8488-ab88-3b35-b39ef8e79aa3</v>
      </c>
    </row>
    <row r="66" spans="1:6" x14ac:dyDescent="0.35">
      <c r="A66" t="s">
        <v>21</v>
      </c>
      <c r="B66" t="s">
        <v>63</v>
      </c>
      <c r="C66">
        <v>12</v>
      </c>
      <c r="D66">
        <v>16</v>
      </c>
      <c r="E66">
        <v>0</v>
      </c>
      <c r="F66" s="5" t="str">
        <f>HYPERLINK("https://axonsv.app.intel.com/apps/record-viewer?id=6154a275-4cb9-ecff-b5f4-7046bf5f0000","6154a275-4cb9-ecff-b5f4-7046bf5f0000")</f>
        <v>6154a275-4cb9-ecff-b5f4-7046bf5f0000</v>
      </c>
    </row>
    <row r="67" spans="1:6" x14ac:dyDescent="0.35">
      <c r="A67" t="s">
        <v>28</v>
      </c>
      <c r="B67" t="s">
        <v>75</v>
      </c>
      <c r="C67">
        <v>11</v>
      </c>
      <c r="D67">
        <v>15</v>
      </c>
      <c r="E67">
        <v>2</v>
      </c>
      <c r="F67" s="5" t="str">
        <f>HYPERLINK("https://axonsv.app.intel.com/apps/record-viewer?id=8bbf833e-4329-3608-23b9-613679b77e06","8bbf833e-4329-3608-23b9-613679b77e06")</f>
        <v>8bbf833e-4329-3608-23b9-613679b77e06</v>
      </c>
    </row>
    <row r="68" spans="1:6" x14ac:dyDescent="0.35">
      <c r="A68" t="s">
        <v>34</v>
      </c>
      <c r="B68" t="s">
        <v>76</v>
      </c>
      <c r="C68">
        <v>11</v>
      </c>
      <c r="D68">
        <v>15</v>
      </c>
      <c r="E68">
        <v>2</v>
      </c>
      <c r="F68" s="5" t="str">
        <f>HYPERLINK("https://axonsv.app.intel.com/apps/record-viewer?id=c19054ac-21fb-4bbc-1268-f35cd2830476","c19054ac-21fb-4bbc-1268-f35cd2830476")</f>
        <v>c19054ac-21fb-4bbc-1268-f35cd2830476</v>
      </c>
    </row>
    <row r="69" spans="1:6" x14ac:dyDescent="0.35">
      <c r="A69" t="s">
        <v>32</v>
      </c>
      <c r="B69" t="s">
        <v>77</v>
      </c>
      <c r="C69">
        <v>11</v>
      </c>
      <c r="D69">
        <v>15</v>
      </c>
      <c r="E69">
        <v>2</v>
      </c>
      <c r="F69" s="5" t="str">
        <f>HYPERLINK("https://axonsv.app.intel.com/apps/record-viewer?id=392109b6-d59d-5c2c-b789-789438576fbb","392109b6-d59d-5c2c-b789-789438576fbb")</f>
        <v>392109b6-d59d-5c2c-b789-789438576fbb</v>
      </c>
    </row>
    <row r="70" spans="1:6" x14ac:dyDescent="0.35">
      <c r="A70" t="s">
        <v>21</v>
      </c>
      <c r="B70" t="s">
        <v>78</v>
      </c>
      <c r="C70">
        <v>11</v>
      </c>
      <c r="D70">
        <v>15</v>
      </c>
      <c r="E70">
        <v>3</v>
      </c>
      <c r="F70" s="5" t="str">
        <f>HYPERLINK("https://axonsv.app.intel.com/apps/record-viewer?id=01573c00-bff0-1b69-086a-1a273206e7d8","01573c00-bff0-1b69-086a-1a273206e7d8")</f>
        <v>01573c00-bff0-1b69-086a-1a273206e7d8</v>
      </c>
    </row>
    <row r="71" spans="1:6" x14ac:dyDescent="0.35">
      <c r="A71" t="s">
        <v>28</v>
      </c>
      <c r="B71" t="s">
        <v>79</v>
      </c>
      <c r="C71">
        <v>11</v>
      </c>
      <c r="D71">
        <v>15</v>
      </c>
      <c r="E71">
        <v>2</v>
      </c>
      <c r="F71" s="5" t="str">
        <f>HYPERLINK("https://axonsv.app.intel.com/apps/record-viewer?id=cdcccc08-9bfb-e45b-46d2-e162759f23ee","cdcccc08-9bfb-e45b-46d2-e162759f23ee")</f>
        <v>cdcccc08-9bfb-e45b-46d2-e162759f23ee</v>
      </c>
    </row>
    <row r="72" spans="1:6" x14ac:dyDescent="0.35">
      <c r="A72" t="s">
        <v>28</v>
      </c>
      <c r="B72" t="s">
        <v>80</v>
      </c>
      <c r="C72">
        <v>11</v>
      </c>
      <c r="D72">
        <v>15</v>
      </c>
      <c r="E72">
        <v>2</v>
      </c>
      <c r="F72" s="5" t="str">
        <f>HYPERLINK("https://axonsv.app.intel.com/apps/record-viewer?id=f86183a5-5926-d356-2891-5382656d299c","f86183a5-5926-d356-2891-5382656d299c")</f>
        <v>f86183a5-5926-d356-2891-5382656d299c</v>
      </c>
    </row>
    <row r="73" spans="1:6" x14ac:dyDescent="0.35">
      <c r="A73" t="s">
        <v>28</v>
      </c>
      <c r="B73" t="s">
        <v>81</v>
      </c>
      <c r="C73">
        <v>11</v>
      </c>
      <c r="D73">
        <v>15</v>
      </c>
      <c r="E73">
        <v>2</v>
      </c>
      <c r="F73" s="5" t="str">
        <f>HYPERLINK("https://axonsv.app.intel.com/apps/record-viewer?id=bb84e5e4-b1ff-a541-3927-8301d6b9cd5d","bb84e5e4-b1ff-a541-3927-8301d6b9cd5d")</f>
        <v>bb84e5e4-b1ff-a541-3927-8301d6b9cd5d</v>
      </c>
    </row>
    <row r="74" spans="1:6" x14ac:dyDescent="0.35">
      <c r="A74" t="s">
        <v>21</v>
      </c>
      <c r="B74" t="s">
        <v>82</v>
      </c>
      <c r="C74">
        <v>11</v>
      </c>
      <c r="D74">
        <v>15</v>
      </c>
      <c r="E74">
        <v>2</v>
      </c>
      <c r="F74" s="5" t="str">
        <f>HYPERLINK("https://axonsv.app.intel.com/apps/record-viewer?id=b6fd0b1b-8970-3604-3fac-d365545f3199","b6fd0b1b-8970-3604-3fac-d365545f3199")</f>
        <v>b6fd0b1b-8970-3604-3fac-d365545f3199</v>
      </c>
    </row>
    <row r="75" spans="1:6" x14ac:dyDescent="0.35">
      <c r="A75" t="s">
        <v>28</v>
      </c>
      <c r="B75" t="s">
        <v>83</v>
      </c>
      <c r="C75">
        <v>11</v>
      </c>
      <c r="D75">
        <v>15</v>
      </c>
      <c r="E75">
        <v>2</v>
      </c>
      <c r="F75" s="5" t="str">
        <f>HYPERLINK("https://axonsv.app.intel.com/apps/record-viewer?id=0c73ce7c-a8d7-f482-49b4-87fe7eccc6dd","0c73ce7c-a8d7-f482-49b4-87fe7eccc6dd")</f>
        <v>0c73ce7c-a8d7-f482-49b4-87fe7eccc6dd</v>
      </c>
    </row>
    <row r="76" spans="1:6" x14ac:dyDescent="0.35">
      <c r="A76" t="s">
        <v>28</v>
      </c>
      <c r="B76" t="s">
        <v>84</v>
      </c>
      <c r="C76">
        <v>11</v>
      </c>
      <c r="D76">
        <v>15</v>
      </c>
      <c r="E76">
        <v>2</v>
      </c>
      <c r="F76" s="5" t="str">
        <f>HYPERLINK("https://axonsv.app.intel.com/apps/record-viewer?id=48a36858-ad93-7dcb-0169-e23a0dc96139","48a36858-ad93-7dcb-0169-e23a0dc96139")</f>
        <v>48a36858-ad93-7dcb-0169-e23a0dc96139</v>
      </c>
    </row>
    <row r="77" spans="1:6" x14ac:dyDescent="0.35">
      <c r="A77" t="s">
        <v>21</v>
      </c>
      <c r="B77" t="s">
        <v>85</v>
      </c>
      <c r="C77">
        <v>8</v>
      </c>
      <c r="D77">
        <v>8</v>
      </c>
      <c r="E77">
        <v>0</v>
      </c>
      <c r="F77" s="5" t="str">
        <f>HYPERLINK("https://axonsv.app.intel.com/apps/record-viewer?id=faba7d45-888e-66e1-cb96-8cb87292b076","faba7d45-888e-66e1-cb96-8cb87292b076")</f>
        <v>faba7d45-888e-66e1-cb96-8cb87292b076</v>
      </c>
    </row>
    <row r="78" spans="1:6" x14ac:dyDescent="0.35">
      <c r="A78" t="s">
        <v>21</v>
      </c>
      <c r="B78" t="s">
        <v>86</v>
      </c>
      <c r="C78">
        <v>11</v>
      </c>
      <c r="D78">
        <v>15</v>
      </c>
      <c r="E78">
        <v>0</v>
      </c>
      <c r="F78" s="5" t="str">
        <f>HYPERLINK("https://axonsv.app.intel.com/apps/record-viewer?id=9a364861-7993-497a-9e38-83060fb28232","9a364861-7993-497a-9e38-83060fb28232")</f>
        <v>9a364861-7993-497a-9e38-83060fb28232</v>
      </c>
    </row>
    <row r="79" spans="1:6" x14ac:dyDescent="0.35">
      <c r="A79" t="s">
        <v>87</v>
      </c>
      <c r="B79" t="s">
        <v>88</v>
      </c>
      <c r="C79">
        <v>11</v>
      </c>
      <c r="D79">
        <v>15</v>
      </c>
      <c r="E79">
        <v>2</v>
      </c>
      <c r="F79" s="5" t="str">
        <f>HYPERLINK("https://axonsv.app.intel.com/apps/record-viewer?id=348057ab-ab36-24e1-ec0d-38775f9091ad","348057ab-ab36-24e1-ec0d-38775f9091ad")</f>
        <v>348057ab-ab36-24e1-ec0d-38775f9091ad</v>
      </c>
    </row>
    <row r="80" spans="1:6" x14ac:dyDescent="0.35">
      <c r="A80" t="s">
        <v>21</v>
      </c>
      <c r="B80" t="s">
        <v>89</v>
      </c>
      <c r="C80">
        <v>9</v>
      </c>
      <c r="D80">
        <v>5</v>
      </c>
      <c r="E80">
        <v>0</v>
      </c>
      <c r="F80" s="5" t="str">
        <f>HYPERLINK("https://axonsv.app.intel.com/apps/record-viewer?id=abcbd13f-b9a0-45fe-bd31-7508b2f357be","abcbd13f-b9a0-45fe-bd31-7508b2f357be")</f>
        <v>abcbd13f-b9a0-45fe-bd31-7508b2f357be</v>
      </c>
    </row>
    <row r="81" spans="1:6" x14ac:dyDescent="0.35">
      <c r="A81" t="s">
        <v>21</v>
      </c>
      <c r="B81" t="s">
        <v>90</v>
      </c>
      <c r="C81">
        <v>11</v>
      </c>
      <c r="D81">
        <v>15</v>
      </c>
      <c r="E81">
        <v>0</v>
      </c>
      <c r="F81" s="5" t="str">
        <f>HYPERLINK("https://axonsv.app.intel.com/apps/record-viewer?id=6f55d46a-5a34-4a57-89ed-693d64848422","6f55d46a-5a34-4a57-89ed-693d64848422")</f>
        <v>6f55d46a-5a34-4a57-89ed-693d64848422</v>
      </c>
    </row>
    <row r="82" spans="1:6" x14ac:dyDescent="0.35">
      <c r="A82" t="s">
        <v>21</v>
      </c>
      <c r="B82" t="s">
        <v>90</v>
      </c>
      <c r="C82">
        <v>11</v>
      </c>
      <c r="D82">
        <v>15</v>
      </c>
      <c r="E82">
        <v>0</v>
      </c>
      <c r="F82" s="5" t="str">
        <f>HYPERLINK("https://axonsv.app.intel.com/apps/record-viewer?id=b9002f4a-c084-43a3-8740-6eb165053ad5","b9002f4a-c084-43a3-8740-6eb165053ad5")</f>
        <v>b9002f4a-c084-43a3-8740-6eb165053ad5</v>
      </c>
    </row>
    <row r="83" spans="1:6" x14ac:dyDescent="0.35">
      <c r="A83" t="s">
        <v>21</v>
      </c>
      <c r="B83" t="s">
        <v>90</v>
      </c>
      <c r="C83">
        <v>11</v>
      </c>
      <c r="D83">
        <v>15</v>
      </c>
      <c r="E83">
        <v>0</v>
      </c>
      <c r="F83" s="5" t="str">
        <f>HYPERLINK("https://axonsv.app.intel.com/apps/record-viewer?id=91ff0fa7-6e86-4600-bd3f-2e3cd2838f75","91ff0fa7-6e86-4600-bd3f-2e3cd2838f75")</f>
        <v>91ff0fa7-6e86-4600-bd3f-2e3cd2838f75</v>
      </c>
    </row>
    <row r="84" spans="1:6" x14ac:dyDescent="0.35">
      <c r="A84" t="s">
        <v>21</v>
      </c>
      <c r="B84" t="s">
        <v>89</v>
      </c>
      <c r="C84">
        <v>9</v>
      </c>
      <c r="D84">
        <v>5</v>
      </c>
      <c r="E84">
        <v>0</v>
      </c>
      <c r="F84" s="5" t="str">
        <f>HYPERLINK("https://axonsv.app.intel.com/apps/record-viewer?id=ece05b24-561f-4f74-b790-dd8ae25e73a4","ece05b24-561f-4f74-b790-dd8ae25e73a4")</f>
        <v>ece05b24-561f-4f74-b790-dd8ae25e73a4</v>
      </c>
    </row>
    <row r="85" spans="1:6" x14ac:dyDescent="0.35">
      <c r="A85" t="s">
        <v>21</v>
      </c>
      <c r="B85" t="s">
        <v>91</v>
      </c>
      <c r="C85">
        <v>4</v>
      </c>
      <c r="D85">
        <v>3</v>
      </c>
      <c r="E85">
        <v>0</v>
      </c>
      <c r="F85" s="5" t="str">
        <f>HYPERLINK("https://axonsv.app.intel.com/apps/record-viewer?id=16d50723-49fb-f469-12a6-af2284f2d3c4","16d50723-49fb-f469-12a6-af2284f2d3c4")</f>
        <v>16d50723-49fb-f469-12a6-af2284f2d3c4</v>
      </c>
    </row>
    <row r="86" spans="1:6" x14ac:dyDescent="0.35">
      <c r="A86" t="s">
        <v>92</v>
      </c>
      <c r="B86" t="s">
        <v>93</v>
      </c>
      <c r="C86">
        <v>11</v>
      </c>
      <c r="D86">
        <v>15</v>
      </c>
      <c r="E86">
        <v>2</v>
      </c>
      <c r="F86" s="5" t="str">
        <f>HYPERLINK("https://axonsv.app.intel.com/apps/record-viewer?id=fe768d92-05a6-162f-05fc-fc722d3fec8b","fe768d92-05a6-162f-05fc-fc722d3fec8b")</f>
        <v>fe768d92-05a6-162f-05fc-fc722d3fec8b</v>
      </c>
    </row>
    <row r="87" spans="1:6" x14ac:dyDescent="0.35">
      <c r="A87" t="s">
        <v>21</v>
      </c>
      <c r="B87" t="s">
        <v>94</v>
      </c>
      <c r="C87">
        <v>10</v>
      </c>
      <c r="D87">
        <v>13</v>
      </c>
      <c r="E87">
        <v>0</v>
      </c>
      <c r="F87" s="5" t="str">
        <f>HYPERLINK("https://axonsv.app.intel.com/apps/record-viewer?id=d42b68ef-5c57-4f3e-9f0a-d254d99b5755","d42b68ef-5c57-4f3e-9f0a-d254d99b5755")</f>
        <v>d42b68ef-5c57-4f3e-9f0a-d254d99b5755</v>
      </c>
    </row>
    <row r="88" spans="1:6" x14ac:dyDescent="0.35">
      <c r="A88" t="s">
        <v>21</v>
      </c>
      <c r="B88" t="s">
        <v>90</v>
      </c>
      <c r="C88">
        <v>11</v>
      </c>
      <c r="D88">
        <v>15</v>
      </c>
      <c r="E88">
        <v>0</v>
      </c>
      <c r="F88" s="5" t="str">
        <f>HYPERLINK("https://axonsv.app.intel.com/apps/record-viewer?id=db70275c-5a94-a5fc-0dba-40245a88074a","db70275c-5a94-a5fc-0dba-40245a88074a")</f>
        <v>db70275c-5a94-a5fc-0dba-40245a88074a</v>
      </c>
    </row>
    <row r="89" spans="1:6" x14ac:dyDescent="0.35">
      <c r="A89" t="s">
        <v>21</v>
      </c>
      <c r="B89" t="s">
        <v>95</v>
      </c>
      <c r="C89">
        <v>17</v>
      </c>
      <c r="D89">
        <v>20</v>
      </c>
      <c r="E89">
        <v>0</v>
      </c>
      <c r="F89" s="5" t="str">
        <f>HYPERLINK("https://axonsv.app.intel.com/apps/record-viewer?id=d1b278ec-92d5-587b-e6c4-0876a5affa65","d1b278ec-92d5-587b-e6c4-0876a5affa65")</f>
        <v>d1b278ec-92d5-587b-e6c4-0876a5affa65</v>
      </c>
    </row>
    <row r="90" spans="1:6" x14ac:dyDescent="0.35">
      <c r="A90" t="s">
        <v>21</v>
      </c>
      <c r="B90" t="s">
        <v>94</v>
      </c>
      <c r="C90">
        <v>10</v>
      </c>
      <c r="D90">
        <v>13</v>
      </c>
      <c r="E90">
        <v>0</v>
      </c>
      <c r="F90" s="5" t="str">
        <f>HYPERLINK("https://axonsv.app.intel.com/apps/record-viewer?id=d1047e9a-9c42-4af9-90c4-a5573ea3e30b","d1047e9a-9c42-4af9-90c4-a5573ea3e30b")</f>
        <v>d1047e9a-9c42-4af9-90c4-a5573ea3e30b</v>
      </c>
    </row>
    <row r="91" spans="1:6" x14ac:dyDescent="0.35">
      <c r="A91" t="s">
        <v>21</v>
      </c>
      <c r="B91" t="s">
        <v>86</v>
      </c>
      <c r="C91">
        <v>11</v>
      </c>
      <c r="D91">
        <v>15</v>
      </c>
      <c r="E91">
        <v>0</v>
      </c>
      <c r="F91" s="5" t="str">
        <f>HYPERLINK("https://axonsv.app.intel.com/apps/record-viewer?id=4a7cb4ce-059d-4798-8592-5d5f7386d43f","4a7cb4ce-059d-4798-8592-5d5f7386d43f")</f>
        <v>4a7cb4ce-059d-4798-8592-5d5f7386d43f</v>
      </c>
    </row>
    <row r="92" spans="1:6" x14ac:dyDescent="0.35">
      <c r="A92" t="s">
        <v>21</v>
      </c>
      <c r="B92" t="s">
        <v>90</v>
      </c>
      <c r="C92">
        <v>11</v>
      </c>
      <c r="D92">
        <v>15</v>
      </c>
      <c r="E92">
        <v>0</v>
      </c>
      <c r="F92" s="5" t="str">
        <f>HYPERLINK("https://axonsv.app.intel.com/apps/record-viewer?id=b0975933-0b11-473a-a4d5-3e8b63efd5e2","b0975933-0b11-473a-a4d5-3e8b63efd5e2")</f>
        <v>b0975933-0b11-473a-a4d5-3e8b63efd5e2</v>
      </c>
    </row>
    <row r="93" spans="1:6" x14ac:dyDescent="0.35">
      <c r="A93" t="s">
        <v>21</v>
      </c>
      <c r="B93" t="s">
        <v>90</v>
      </c>
      <c r="C93">
        <v>11</v>
      </c>
      <c r="D93">
        <v>15</v>
      </c>
      <c r="E93">
        <v>0</v>
      </c>
      <c r="F93" s="5" t="str">
        <f>HYPERLINK("https://axonsv.app.intel.com/apps/record-viewer?id=72f02153-df9b-4157-9e07-0f37a01ba6e2","72f02153-df9b-4157-9e07-0f37a01ba6e2")</f>
        <v>72f02153-df9b-4157-9e07-0f37a01ba6e2</v>
      </c>
    </row>
    <row r="94" spans="1:6" x14ac:dyDescent="0.35">
      <c r="A94" t="s">
        <v>96</v>
      </c>
      <c r="B94" t="s">
        <v>97</v>
      </c>
      <c r="C94">
        <v>11</v>
      </c>
      <c r="D94">
        <v>15</v>
      </c>
      <c r="E94">
        <v>2</v>
      </c>
      <c r="F94" s="5" t="str">
        <f>HYPERLINK("https://axonsv.app.intel.com/apps/record-viewer?id=8d1da1dc-aca2-4efd-b48b-ce079ac679ef","8d1da1dc-aca2-4efd-b48b-ce079ac679ef")</f>
        <v>8d1da1dc-aca2-4efd-b48b-ce079ac679ef</v>
      </c>
    </row>
    <row r="95" spans="1:6" x14ac:dyDescent="0.35">
      <c r="A95" t="s">
        <v>21</v>
      </c>
      <c r="B95" t="s">
        <v>94</v>
      </c>
      <c r="C95">
        <v>10</v>
      </c>
      <c r="D95">
        <v>13</v>
      </c>
      <c r="E95">
        <v>0</v>
      </c>
      <c r="F95" s="5" t="str">
        <f>HYPERLINK("https://axonsv.app.intel.com/apps/record-viewer?id=569cc803-484c-4667-9a5f-c8ab4dd86268","569cc803-484c-4667-9a5f-c8ab4dd86268")</f>
        <v>569cc803-484c-4667-9a5f-c8ab4dd86268</v>
      </c>
    </row>
    <row r="96" spans="1:6" x14ac:dyDescent="0.35">
      <c r="A96" t="s">
        <v>21</v>
      </c>
      <c r="B96" t="s">
        <v>98</v>
      </c>
      <c r="C96">
        <v>15</v>
      </c>
      <c r="D96">
        <v>18</v>
      </c>
      <c r="E96">
        <v>0</v>
      </c>
      <c r="F96" s="5" t="str">
        <f>HYPERLINK("https://axonsv.app.intel.com/apps/record-viewer?id=99d0e2c9-0092-425d-a290-acf061666766","99d0e2c9-0092-425d-a290-acf061666766")</f>
        <v>99d0e2c9-0092-425d-a290-acf061666766</v>
      </c>
    </row>
    <row r="97" spans="1:6" x14ac:dyDescent="0.35">
      <c r="A97" t="s">
        <v>21</v>
      </c>
      <c r="B97" t="s">
        <v>99</v>
      </c>
      <c r="C97">
        <v>7</v>
      </c>
      <c r="D97">
        <v>6</v>
      </c>
      <c r="E97">
        <v>0</v>
      </c>
      <c r="F97" s="5" t="str">
        <f>HYPERLINK("https://axonsv.app.intel.com/apps/record-viewer?id=3a7bedf1-7c5c-22ca-542c-e17d519583ab","3a7bedf1-7c5c-22ca-542c-e17d519583ab")</f>
        <v>3a7bedf1-7c5c-22ca-542c-e17d519583ab</v>
      </c>
    </row>
    <row r="98" spans="1:6" x14ac:dyDescent="0.35">
      <c r="A98" t="s">
        <v>21</v>
      </c>
      <c r="B98" t="s">
        <v>65</v>
      </c>
      <c r="C98">
        <v>3</v>
      </c>
      <c r="D98">
        <v>2</v>
      </c>
      <c r="E98">
        <v>0</v>
      </c>
      <c r="F98" s="5" t="str">
        <f>HYPERLINK("https://axonsv.app.intel.com/apps/record-viewer?id=79f7d8cf-771e-4aac-8ce8-ce9a052d7832","79f7d8cf-771e-4aac-8ce8-ce9a052d7832")</f>
        <v>79f7d8cf-771e-4aac-8ce8-ce9a052d7832</v>
      </c>
    </row>
    <row r="99" spans="1:6" x14ac:dyDescent="0.35">
      <c r="A99" t="s">
        <v>21</v>
      </c>
      <c r="B99" t="s">
        <v>100</v>
      </c>
      <c r="C99">
        <v>14</v>
      </c>
      <c r="D99">
        <v>10</v>
      </c>
      <c r="E99">
        <v>0</v>
      </c>
      <c r="F99" s="5" t="str">
        <f>HYPERLINK("https://axonsv.app.intel.com/apps/record-viewer?id=df9bd7b5-0cb0-41e8-88f4-66b2d1a3fa99","df9bd7b5-0cb0-41e8-88f4-66b2d1a3fa99")</f>
        <v>df9bd7b5-0cb0-41e8-88f4-66b2d1a3fa99</v>
      </c>
    </row>
    <row r="100" spans="1:6" x14ac:dyDescent="0.35">
      <c r="A100" t="s">
        <v>28</v>
      </c>
      <c r="B100" t="s">
        <v>101</v>
      </c>
      <c r="C100">
        <v>11</v>
      </c>
      <c r="D100">
        <v>15</v>
      </c>
      <c r="E100">
        <v>2</v>
      </c>
      <c r="F100" s="5" t="str">
        <f>HYPERLINK("https://axonsv.app.intel.com/apps/record-viewer?id=6d60a49e-316d-434e-48b3-6fd4d6dbd99e","6d60a49e-316d-434e-48b3-6fd4d6dbd99e")</f>
        <v>6d60a49e-316d-434e-48b3-6fd4d6dbd99e</v>
      </c>
    </row>
    <row r="101" spans="1:6" x14ac:dyDescent="0.35">
      <c r="A101" t="s">
        <v>21</v>
      </c>
      <c r="B101" t="s">
        <v>102</v>
      </c>
      <c r="C101">
        <v>12</v>
      </c>
      <c r="D101">
        <v>16</v>
      </c>
      <c r="E101">
        <v>0</v>
      </c>
      <c r="F101" s="5" t="str">
        <f>HYPERLINK("https://axonsv.app.intel.com/apps/record-viewer?id=2f086727-b295-4509-9ca2-0b4998a5469b","2f086727-b295-4509-9ca2-0b4998a5469b")</f>
        <v>2f086727-b295-4509-9ca2-0b4998a5469b</v>
      </c>
    </row>
    <row r="102" spans="1:6" x14ac:dyDescent="0.35">
      <c r="A102" t="s">
        <v>21</v>
      </c>
      <c r="B102" t="s">
        <v>100</v>
      </c>
      <c r="C102">
        <v>14</v>
      </c>
      <c r="D102">
        <v>10</v>
      </c>
      <c r="E102">
        <v>0</v>
      </c>
      <c r="F102" s="5" t="str">
        <f>HYPERLINK("https://axonsv.app.intel.com/apps/record-viewer?id=b75557c6-c5a2-4e6d-beaa-98e0d54e12a1","b75557c6-c5a2-4e6d-beaa-98e0d54e12a1")</f>
        <v>b75557c6-c5a2-4e6d-beaa-98e0d54e12a1</v>
      </c>
    </row>
    <row r="103" spans="1:6" x14ac:dyDescent="0.35">
      <c r="A103" t="s">
        <v>28</v>
      </c>
      <c r="B103" t="s">
        <v>103</v>
      </c>
      <c r="C103">
        <v>11</v>
      </c>
      <c r="D103">
        <v>15</v>
      </c>
      <c r="E103">
        <v>2</v>
      </c>
      <c r="F103" s="5" t="str">
        <f>HYPERLINK("https://axonsv.app.intel.com/apps/record-viewer?id=acde1afc-3053-43dc-beff-0cd129e9eb33","acde1afc-3053-43dc-beff-0cd129e9eb33")</f>
        <v>acde1afc-3053-43dc-beff-0cd129e9eb33</v>
      </c>
    </row>
    <row r="104" spans="1:6" x14ac:dyDescent="0.35">
      <c r="A104" t="s">
        <v>21</v>
      </c>
      <c r="B104" t="s">
        <v>102</v>
      </c>
      <c r="C104">
        <v>12</v>
      </c>
      <c r="D104">
        <v>16</v>
      </c>
      <c r="E104">
        <v>0</v>
      </c>
      <c r="F104" s="5" t="str">
        <f>HYPERLINK("https://axonsv.app.intel.com/apps/record-viewer?id=58d2875a-bd29-458b-afe2-caed8d831099","58d2875a-bd29-458b-afe2-caed8d831099")</f>
        <v>58d2875a-bd29-458b-afe2-caed8d831099</v>
      </c>
    </row>
    <row r="105" spans="1:6" x14ac:dyDescent="0.35">
      <c r="A105" t="s">
        <v>21</v>
      </c>
      <c r="B105" t="s">
        <v>104</v>
      </c>
      <c r="C105">
        <v>10</v>
      </c>
      <c r="D105">
        <v>13</v>
      </c>
      <c r="E105">
        <v>0</v>
      </c>
      <c r="F105" s="5" t="str">
        <f>HYPERLINK("https://axonsv.app.intel.com/apps/record-viewer?id=b183f73c-8a0b-4fa9-8c63-e497d981dbad","b183f73c-8a0b-4fa9-8c63-e497d981dbad")</f>
        <v>b183f73c-8a0b-4fa9-8c63-e497d981dbad</v>
      </c>
    </row>
    <row r="106" spans="1:6" x14ac:dyDescent="0.35">
      <c r="A106" t="s">
        <v>105</v>
      </c>
      <c r="B106" t="s">
        <v>106</v>
      </c>
      <c r="C106">
        <v>12</v>
      </c>
      <c r="D106">
        <v>16</v>
      </c>
      <c r="E106">
        <v>0</v>
      </c>
      <c r="F106" s="5" t="str">
        <f>HYPERLINK("https://axonsv.app.intel.com/apps/record-viewer?id=982558a3-9206-4afe-937e-eb988b4d61a9","982558a3-9206-4afe-937e-eb988b4d61a9")</f>
        <v>982558a3-9206-4afe-937e-eb988b4d61a9</v>
      </c>
    </row>
    <row r="107" spans="1:6" x14ac:dyDescent="0.35">
      <c r="A107" t="s">
        <v>21</v>
      </c>
      <c r="B107" t="s">
        <v>107</v>
      </c>
      <c r="C107">
        <v>15</v>
      </c>
      <c r="D107">
        <v>18</v>
      </c>
      <c r="E107">
        <v>0</v>
      </c>
      <c r="F107" s="5" t="str">
        <f>HYPERLINK("https://axonsv.app.intel.com/apps/record-viewer?id=b0d65bfc-ae10-418d-9ae4-f5d41834d202","b0d65bfc-ae10-418d-9ae4-f5d41834d202")</f>
        <v>b0d65bfc-ae10-418d-9ae4-f5d41834d202</v>
      </c>
    </row>
    <row r="108" spans="1:6" x14ac:dyDescent="0.35">
      <c r="A108" t="s">
        <v>21</v>
      </c>
      <c r="B108" t="s">
        <v>108</v>
      </c>
      <c r="C108">
        <v>5</v>
      </c>
      <c r="D108">
        <v>9</v>
      </c>
      <c r="E108">
        <v>0</v>
      </c>
      <c r="F108" s="5" t="str">
        <f>HYPERLINK("https://axonsv.app.intel.com/apps/record-viewer?id=50fd40a5-3047-4e0c-a1f5-d65da35b6a19","50fd40a5-3047-4e0c-a1f5-d65da35b6a19")</f>
        <v>50fd40a5-3047-4e0c-a1f5-d65da35b6a19</v>
      </c>
    </row>
    <row r="109" spans="1:6" x14ac:dyDescent="0.35">
      <c r="A109" t="s">
        <v>21</v>
      </c>
      <c r="B109" t="s">
        <v>100</v>
      </c>
      <c r="C109">
        <v>14</v>
      </c>
      <c r="D109">
        <v>10</v>
      </c>
      <c r="E109">
        <v>0</v>
      </c>
      <c r="F109" s="5" t="str">
        <f>HYPERLINK("https://axonsv.app.intel.com/apps/record-viewer?id=4ddd0bb8-9cb7-4cf9-a38b-3c0ff8014c31","4ddd0bb8-9cb7-4cf9-a38b-3c0ff8014c31")</f>
        <v>4ddd0bb8-9cb7-4cf9-a38b-3c0ff8014c31</v>
      </c>
    </row>
    <row r="110" spans="1:6" x14ac:dyDescent="0.35">
      <c r="A110" t="s">
        <v>21</v>
      </c>
      <c r="B110" t="s">
        <v>104</v>
      </c>
      <c r="C110">
        <v>10</v>
      </c>
      <c r="D110">
        <v>13</v>
      </c>
      <c r="E110">
        <v>0</v>
      </c>
      <c r="F110" s="5" t="str">
        <f>HYPERLINK("https://axonsv.app.intel.com/apps/record-viewer?id=d9787eca-8c8c-4ced-b983-007b0593b45f","d9787eca-8c8c-4ced-b983-007b0593b45f")</f>
        <v>d9787eca-8c8c-4ced-b983-007b0593b45f</v>
      </c>
    </row>
    <row r="111" spans="1:6" x14ac:dyDescent="0.35">
      <c r="A111" t="s">
        <v>21</v>
      </c>
      <c r="B111" t="s">
        <v>109</v>
      </c>
      <c r="C111">
        <v>3</v>
      </c>
      <c r="D111">
        <v>2</v>
      </c>
      <c r="E111">
        <v>0</v>
      </c>
      <c r="F111" s="5" t="str">
        <f>HYPERLINK("https://axonsv.app.intel.com/apps/record-viewer?id=fcd4ab9e-7b46-eb56-09b7-19f84ab5a424","fcd4ab9e-7b46-eb56-09b7-19f84ab5a424")</f>
        <v>fcd4ab9e-7b46-eb56-09b7-19f84ab5a424</v>
      </c>
    </row>
    <row r="112" spans="1:6" x14ac:dyDescent="0.35">
      <c r="A112" t="s">
        <v>21</v>
      </c>
      <c r="B112" t="s">
        <v>104</v>
      </c>
      <c r="C112">
        <v>10</v>
      </c>
      <c r="D112">
        <v>13</v>
      </c>
      <c r="E112">
        <v>0</v>
      </c>
      <c r="F112" s="5" t="str">
        <f>HYPERLINK("https://axonsv.app.intel.com/apps/record-viewer?id=90383060-748c-40fc-bf2d-57d8b549ba3a","90383060-748c-40fc-bf2d-57d8b549ba3a")</f>
        <v>90383060-748c-40fc-bf2d-57d8b549ba3a</v>
      </c>
    </row>
    <row r="113" spans="1:6" x14ac:dyDescent="0.35">
      <c r="A113" t="s">
        <v>21</v>
      </c>
      <c r="B113" t="s">
        <v>110</v>
      </c>
      <c r="C113">
        <v>0</v>
      </c>
      <c r="D113">
        <v>7</v>
      </c>
      <c r="E113">
        <v>0</v>
      </c>
      <c r="F113" s="5" t="str">
        <f>HYPERLINK("https://axonsv.app.intel.com/apps/record-viewer?id=9d167358-e442-430c-b9fe-12ae0c1e4ea0","9d167358-e442-430c-b9fe-12ae0c1e4ea0")</f>
        <v>9d167358-e442-430c-b9fe-12ae0c1e4ea0</v>
      </c>
    </row>
    <row r="114" spans="1:6" x14ac:dyDescent="0.35">
      <c r="A114" t="s">
        <v>21</v>
      </c>
      <c r="B114" t="s">
        <v>100</v>
      </c>
      <c r="C114">
        <v>14</v>
      </c>
      <c r="D114">
        <v>10</v>
      </c>
      <c r="E114">
        <v>0</v>
      </c>
      <c r="F114" s="5" t="str">
        <f>HYPERLINK("https://axonsv.app.intel.com/apps/record-viewer?id=25e51e72-317e-4e54-b95e-6994bbb0bdd3","25e51e72-317e-4e54-b95e-6994bbb0bdd3")</f>
        <v>25e51e72-317e-4e54-b95e-6994bbb0bdd3</v>
      </c>
    </row>
    <row r="115" spans="1:6" x14ac:dyDescent="0.35">
      <c r="A115" t="s">
        <v>21</v>
      </c>
      <c r="B115" t="s">
        <v>100</v>
      </c>
      <c r="C115">
        <v>14</v>
      </c>
      <c r="D115">
        <v>10</v>
      </c>
      <c r="E115">
        <v>0</v>
      </c>
      <c r="F115" s="5" t="str">
        <f>HYPERLINK("https://axonsv.app.intel.com/apps/record-viewer?id=f2f3b709-b971-4cfe-b670-da9bef021be8","f2f3b709-b971-4cfe-b670-da9bef021be8")</f>
        <v>f2f3b709-b971-4cfe-b670-da9bef021be8</v>
      </c>
    </row>
    <row r="116" spans="1:6" x14ac:dyDescent="0.35">
      <c r="A116" t="s">
        <v>21</v>
      </c>
      <c r="B116" t="s">
        <v>100</v>
      </c>
      <c r="C116">
        <v>14</v>
      </c>
      <c r="D116">
        <v>10</v>
      </c>
      <c r="E116">
        <v>0</v>
      </c>
      <c r="F116" s="5" t="str">
        <f>HYPERLINK("https://axonsv.app.intel.com/apps/record-viewer?id=5d48c9a7-1cb1-467b-84d8-a2feaf14cffc","5d48c9a7-1cb1-467b-84d8-a2feaf14cffc")</f>
        <v>5d48c9a7-1cb1-467b-84d8-a2feaf14cffc</v>
      </c>
    </row>
    <row r="117" spans="1:6" x14ac:dyDescent="0.35">
      <c r="A117" t="s">
        <v>21</v>
      </c>
      <c r="B117" t="s">
        <v>104</v>
      </c>
      <c r="C117">
        <v>10</v>
      </c>
      <c r="D117">
        <v>13</v>
      </c>
      <c r="E117">
        <v>0</v>
      </c>
      <c r="F117" s="5" t="str">
        <f>HYPERLINK("https://axonsv.app.intel.com/apps/record-viewer?id=396fc287-f520-43fb-8e54-03c703e03e19","396fc287-f520-43fb-8e54-03c703e03e19")</f>
        <v>396fc287-f520-43fb-8e54-03c703e03e19</v>
      </c>
    </row>
    <row r="118" spans="1:6" x14ac:dyDescent="0.35">
      <c r="A118" t="s">
        <v>21</v>
      </c>
      <c r="B118" t="s">
        <v>107</v>
      </c>
      <c r="C118">
        <v>15</v>
      </c>
      <c r="D118">
        <v>18</v>
      </c>
      <c r="E118">
        <v>0</v>
      </c>
      <c r="F118" s="5" t="str">
        <f>HYPERLINK("https://axonsv.app.intel.com/apps/record-viewer?id=e87f2c9b-4b88-488c-909b-3fce07eacf7e","e87f2c9b-4b88-488c-909b-3fce07eacf7e")</f>
        <v>e87f2c9b-4b88-488c-909b-3fce07eacf7e</v>
      </c>
    </row>
    <row r="119" spans="1:6" x14ac:dyDescent="0.35">
      <c r="A119" t="s">
        <v>21</v>
      </c>
      <c r="B119" t="s">
        <v>100</v>
      </c>
      <c r="C119">
        <v>14</v>
      </c>
      <c r="D119">
        <v>10</v>
      </c>
      <c r="E119">
        <v>0</v>
      </c>
      <c r="F119" s="5" t="str">
        <f>HYPERLINK("https://axonsv.app.intel.com/apps/record-viewer?id=0f24ccdf-c4f5-412d-9fd4-3fcf4aa86140","0f24ccdf-c4f5-412d-9fd4-3fcf4aa86140")</f>
        <v>0f24ccdf-c4f5-412d-9fd4-3fcf4aa86140</v>
      </c>
    </row>
    <row r="120" spans="1:6" x14ac:dyDescent="0.35">
      <c r="A120" t="s">
        <v>21</v>
      </c>
      <c r="B120" t="s">
        <v>108</v>
      </c>
      <c r="C120">
        <v>5</v>
      </c>
      <c r="D120">
        <v>9</v>
      </c>
      <c r="E120">
        <v>0</v>
      </c>
      <c r="F120" s="5" t="str">
        <f>HYPERLINK("https://axonsv.app.intel.com/apps/record-viewer?id=c64a2618-559c-4f0b-b436-d345a0c2d4bf","c64a2618-559c-4f0b-b436-d345a0c2d4bf")</f>
        <v>c64a2618-559c-4f0b-b436-d345a0c2d4bf</v>
      </c>
    </row>
    <row r="121" spans="1:6" x14ac:dyDescent="0.35">
      <c r="A121" t="s">
        <v>111</v>
      </c>
      <c r="B121" t="s">
        <v>112</v>
      </c>
      <c r="C121">
        <v>3</v>
      </c>
      <c r="D121">
        <v>2</v>
      </c>
      <c r="E121">
        <v>0</v>
      </c>
      <c r="F121" s="5" t="str">
        <f>HYPERLINK("https://axonsv.app.intel.com/apps/record-viewer?id=8dfdd9df-d10d-4a4e-a007-e85f550349c9","8dfdd9df-d10d-4a4e-a007-e85f550349c9")</f>
        <v>8dfdd9df-d10d-4a4e-a007-e85f550349c9</v>
      </c>
    </row>
    <row r="122" spans="1:6" x14ac:dyDescent="0.35">
      <c r="A122" t="s">
        <v>21</v>
      </c>
      <c r="B122" t="s">
        <v>107</v>
      </c>
      <c r="C122">
        <v>15</v>
      </c>
      <c r="D122">
        <v>18</v>
      </c>
      <c r="E122">
        <v>0</v>
      </c>
      <c r="F122" s="5" t="str">
        <f>HYPERLINK("https://axonsv.app.intel.com/apps/record-viewer?id=78b3a2ba-8d1d-46a4-8e2a-ccaee6b18ba2","78b3a2ba-8d1d-46a4-8e2a-ccaee6b18ba2")</f>
        <v>78b3a2ba-8d1d-46a4-8e2a-ccaee6b18ba2</v>
      </c>
    </row>
    <row r="123" spans="1:6" x14ac:dyDescent="0.35">
      <c r="A123" t="s">
        <v>21</v>
      </c>
      <c r="B123" t="s">
        <v>100</v>
      </c>
      <c r="C123">
        <v>14</v>
      </c>
      <c r="D123">
        <v>10</v>
      </c>
      <c r="E123">
        <v>0</v>
      </c>
      <c r="F123" s="5" t="str">
        <f>HYPERLINK("https://axonsv.app.intel.com/apps/record-viewer?id=307dcd34-74e7-481d-bbde-8990bb9446b3","307dcd34-74e7-481d-bbde-8990bb9446b3")</f>
        <v>307dcd34-74e7-481d-bbde-8990bb9446b3</v>
      </c>
    </row>
    <row r="124" spans="1:6" x14ac:dyDescent="0.35">
      <c r="A124" t="s">
        <v>21</v>
      </c>
      <c r="B124" t="s">
        <v>107</v>
      </c>
      <c r="C124">
        <v>15</v>
      </c>
      <c r="D124">
        <v>18</v>
      </c>
      <c r="E124">
        <v>0</v>
      </c>
      <c r="F124" s="5" t="str">
        <f>HYPERLINK("https://axonsv.app.intel.com/apps/record-viewer?id=814fe27d-682a-4212-b09d-3997a31f73de","814fe27d-682a-4212-b09d-3997a31f73de")</f>
        <v>814fe27d-682a-4212-b09d-3997a31f73de</v>
      </c>
    </row>
    <row r="125" spans="1:6" x14ac:dyDescent="0.35">
      <c r="A125" t="s">
        <v>21</v>
      </c>
      <c r="B125" t="s">
        <v>100</v>
      </c>
      <c r="C125">
        <v>14</v>
      </c>
      <c r="D125">
        <v>10</v>
      </c>
      <c r="E125">
        <v>0</v>
      </c>
      <c r="F125" s="5" t="str">
        <f>HYPERLINK("https://axonsv.app.intel.com/apps/record-viewer?id=212dc0ef-8c36-4296-88a4-5f60f622d4d7","212dc0ef-8c36-4296-88a4-5f60f622d4d7")</f>
        <v>212dc0ef-8c36-4296-88a4-5f60f622d4d7</v>
      </c>
    </row>
    <row r="126" spans="1:6" x14ac:dyDescent="0.35">
      <c r="A126" t="s">
        <v>21</v>
      </c>
      <c r="B126" t="s">
        <v>100</v>
      </c>
      <c r="C126">
        <v>14</v>
      </c>
      <c r="D126">
        <v>10</v>
      </c>
      <c r="E126">
        <v>0</v>
      </c>
      <c r="F126" s="5" t="str">
        <f>HYPERLINK("https://axonsv.app.intel.com/apps/record-viewer?id=83ab4c41-58a8-4b8c-8220-b51589c0066a","83ab4c41-58a8-4b8c-8220-b51589c0066a")</f>
        <v>83ab4c41-58a8-4b8c-8220-b51589c0066a</v>
      </c>
    </row>
    <row r="127" spans="1:6" x14ac:dyDescent="0.35">
      <c r="A127" t="s">
        <v>21</v>
      </c>
      <c r="B127" t="s">
        <v>107</v>
      </c>
      <c r="C127">
        <v>15</v>
      </c>
      <c r="D127">
        <v>18</v>
      </c>
      <c r="E127">
        <v>0</v>
      </c>
      <c r="F127" s="5" t="str">
        <f>HYPERLINK("https://axonsv.app.intel.com/apps/record-viewer?id=317974d8-68fc-4d75-8e95-5d471cccade9","317974d8-68fc-4d75-8e95-5d471cccade9")</f>
        <v>317974d8-68fc-4d75-8e95-5d471cccade9</v>
      </c>
    </row>
    <row r="128" spans="1:6" x14ac:dyDescent="0.35">
      <c r="A128" t="s">
        <v>21</v>
      </c>
      <c r="B128" t="s">
        <v>100</v>
      </c>
      <c r="C128">
        <v>14</v>
      </c>
      <c r="D128">
        <v>10</v>
      </c>
      <c r="E128">
        <v>0</v>
      </c>
      <c r="F128" s="5" t="str">
        <f>HYPERLINK("https://axonsv.app.intel.com/apps/record-viewer?id=8e79e462-e411-4a66-86ab-155989c0f729","8e79e462-e411-4a66-86ab-155989c0f729")</f>
        <v>8e79e462-e411-4a66-86ab-155989c0f729</v>
      </c>
    </row>
    <row r="129" spans="1:6" x14ac:dyDescent="0.35">
      <c r="A129" t="s">
        <v>34</v>
      </c>
      <c r="B129" t="s">
        <v>113</v>
      </c>
      <c r="C129">
        <v>11</v>
      </c>
      <c r="D129">
        <v>15</v>
      </c>
      <c r="E129">
        <v>2</v>
      </c>
      <c r="F129" s="5" t="str">
        <f>HYPERLINK("https://axonsv.app.intel.com/apps/record-viewer?id=8849a26d-ed60-4c19-804a-229388189996","8849a26d-ed60-4c19-804a-229388189996")</f>
        <v>8849a26d-ed60-4c19-804a-229388189996</v>
      </c>
    </row>
    <row r="130" spans="1:6" x14ac:dyDescent="0.35">
      <c r="A130" t="s">
        <v>21</v>
      </c>
      <c r="B130" t="s">
        <v>100</v>
      </c>
      <c r="C130">
        <v>14</v>
      </c>
      <c r="D130">
        <v>10</v>
      </c>
      <c r="E130">
        <v>0</v>
      </c>
      <c r="F130" s="5" t="str">
        <f>HYPERLINK("https://axonsv.app.intel.com/apps/record-viewer?id=1a2dac10-27c9-48ea-bd0c-ad9447966032","1a2dac10-27c9-48ea-bd0c-ad9447966032")</f>
        <v>1a2dac10-27c9-48ea-bd0c-ad9447966032</v>
      </c>
    </row>
    <row r="131" spans="1:6" x14ac:dyDescent="0.35">
      <c r="A131" t="s">
        <v>21</v>
      </c>
      <c r="B131" t="s">
        <v>100</v>
      </c>
      <c r="C131">
        <v>14</v>
      </c>
      <c r="D131">
        <v>10</v>
      </c>
      <c r="E131">
        <v>0</v>
      </c>
      <c r="F131" s="5" t="str">
        <f>HYPERLINK("https://axonsv.app.intel.com/apps/record-viewer?id=65246d14-89b1-4d10-8f61-ffb92c554bf6","65246d14-89b1-4d10-8f61-ffb92c554bf6")</f>
        <v>65246d14-89b1-4d10-8f61-ffb92c554bf6</v>
      </c>
    </row>
    <row r="132" spans="1:6" x14ac:dyDescent="0.35">
      <c r="A132" t="s">
        <v>21</v>
      </c>
      <c r="B132" t="s">
        <v>110</v>
      </c>
      <c r="C132">
        <v>0</v>
      </c>
      <c r="D132">
        <v>7</v>
      </c>
      <c r="E132">
        <v>0</v>
      </c>
      <c r="F132" s="5" t="str">
        <f>HYPERLINK("https://axonsv.app.intel.com/apps/record-viewer?id=0c839aab-3480-4e3e-b56c-fa5c82c779a3","0c839aab-3480-4e3e-b56c-fa5c82c779a3")</f>
        <v>0c839aab-3480-4e3e-b56c-fa5c82c779a3</v>
      </c>
    </row>
    <row r="133" spans="1:6" x14ac:dyDescent="0.35">
      <c r="A133" t="s">
        <v>21</v>
      </c>
      <c r="B133" t="s">
        <v>100</v>
      </c>
      <c r="C133">
        <v>14</v>
      </c>
      <c r="D133">
        <v>10</v>
      </c>
      <c r="E133">
        <v>0</v>
      </c>
      <c r="F133" s="5" t="str">
        <f>HYPERLINK("https://axonsv.app.intel.com/apps/record-viewer?id=8e969f98-c87f-42f5-bfc7-8f2f43b66fb3","8e969f98-c87f-42f5-bfc7-8f2f43b66fb3")</f>
        <v>8e969f98-c87f-42f5-bfc7-8f2f43b66fb3</v>
      </c>
    </row>
    <row r="134" spans="1:6" x14ac:dyDescent="0.35">
      <c r="A134" t="s">
        <v>21</v>
      </c>
      <c r="B134" t="s">
        <v>104</v>
      </c>
      <c r="C134">
        <v>10</v>
      </c>
      <c r="D134">
        <v>13</v>
      </c>
      <c r="E134">
        <v>0</v>
      </c>
      <c r="F134" s="5" t="str">
        <f>HYPERLINK("https://axonsv.app.intel.com/apps/record-viewer?id=7a3e5482-beea-4444-92f9-78618947b5ff","7a3e5482-beea-4444-92f9-78618947b5ff")</f>
        <v>7a3e5482-beea-4444-92f9-78618947b5ff</v>
      </c>
    </row>
    <row r="135" spans="1:6" x14ac:dyDescent="0.35">
      <c r="A135" t="s">
        <v>21</v>
      </c>
      <c r="B135" t="s">
        <v>100</v>
      </c>
      <c r="C135">
        <v>14</v>
      </c>
      <c r="D135">
        <v>10</v>
      </c>
      <c r="E135">
        <v>0</v>
      </c>
      <c r="F135" s="5" t="str">
        <f>HYPERLINK("https://axonsv.app.intel.com/apps/record-viewer?id=de99af65-3279-4137-ac13-9dd2a47802b0","de99af65-3279-4137-ac13-9dd2a47802b0")</f>
        <v>de99af65-3279-4137-ac13-9dd2a47802b0</v>
      </c>
    </row>
    <row r="136" spans="1:6" x14ac:dyDescent="0.35">
      <c r="A136" t="s">
        <v>21</v>
      </c>
      <c r="B136" t="s">
        <v>100</v>
      </c>
      <c r="C136">
        <v>14</v>
      </c>
      <c r="D136">
        <v>10</v>
      </c>
      <c r="E136">
        <v>0</v>
      </c>
      <c r="F136" s="5" t="str">
        <f>HYPERLINK("https://axonsv.app.intel.com/apps/record-viewer?id=27774fb8-bd11-4ce4-8a92-00d0ecbeba29","27774fb8-bd11-4ce4-8a92-00d0ecbeba29")</f>
        <v>27774fb8-bd11-4ce4-8a92-00d0ecbeba29</v>
      </c>
    </row>
    <row r="137" spans="1:6" x14ac:dyDescent="0.35">
      <c r="A137" t="s">
        <v>21</v>
      </c>
      <c r="B137" t="s">
        <v>100</v>
      </c>
      <c r="C137">
        <v>14</v>
      </c>
      <c r="D137">
        <v>10</v>
      </c>
      <c r="E137">
        <v>0</v>
      </c>
      <c r="F137" s="5" t="str">
        <f>HYPERLINK("https://axonsv.app.intel.com/apps/record-viewer?id=aa2cabdb-dcdd-41df-b40e-55a346e408a7","aa2cabdb-dcdd-41df-b40e-55a346e408a7")</f>
        <v>aa2cabdb-dcdd-41df-b40e-55a346e408a7</v>
      </c>
    </row>
    <row r="138" spans="1:6" x14ac:dyDescent="0.35">
      <c r="A138" t="s">
        <v>21</v>
      </c>
      <c r="B138" t="s">
        <v>100</v>
      </c>
      <c r="C138">
        <v>14</v>
      </c>
      <c r="D138">
        <v>10</v>
      </c>
      <c r="E138">
        <v>0</v>
      </c>
      <c r="F138" s="5" t="str">
        <f>HYPERLINK("https://axonsv.app.intel.com/apps/record-viewer?id=75b9d863-c742-47ac-9311-a7dcbb1c355a","75b9d863-c742-47ac-9311-a7dcbb1c355a")</f>
        <v>75b9d863-c742-47ac-9311-a7dcbb1c355a</v>
      </c>
    </row>
    <row r="139" spans="1:6" x14ac:dyDescent="0.35">
      <c r="A139" t="s">
        <v>21</v>
      </c>
      <c r="B139" t="s">
        <v>104</v>
      </c>
      <c r="C139">
        <v>10</v>
      </c>
      <c r="D139">
        <v>13</v>
      </c>
      <c r="E139">
        <v>0</v>
      </c>
      <c r="F139" s="5" t="str">
        <f>HYPERLINK("https://axonsv.app.intel.com/apps/record-viewer?id=1317b20a-7be2-4371-92dc-a4ea8844d232","1317b20a-7be2-4371-92dc-a4ea8844d232")</f>
        <v>1317b20a-7be2-4371-92dc-a4ea8844d232</v>
      </c>
    </row>
    <row r="140" spans="1:6" x14ac:dyDescent="0.35">
      <c r="A140" t="s">
        <v>21</v>
      </c>
      <c r="B140" t="s">
        <v>104</v>
      </c>
      <c r="C140">
        <v>10</v>
      </c>
      <c r="D140">
        <v>13</v>
      </c>
      <c r="E140">
        <v>0</v>
      </c>
      <c r="F140" s="5" t="str">
        <f>HYPERLINK("https://axonsv.app.intel.com/apps/record-viewer?id=539ef5d1-a5fe-4b6f-bd74-d1aa89ef4d51","539ef5d1-a5fe-4b6f-bd74-d1aa89ef4d51")</f>
        <v>539ef5d1-a5fe-4b6f-bd74-d1aa89ef4d51</v>
      </c>
    </row>
    <row r="141" spans="1:6" x14ac:dyDescent="0.35">
      <c r="A141" t="s">
        <v>21</v>
      </c>
      <c r="B141" t="s">
        <v>104</v>
      </c>
      <c r="C141">
        <v>10</v>
      </c>
      <c r="D141">
        <v>13</v>
      </c>
      <c r="E141">
        <v>0</v>
      </c>
      <c r="F141" s="5" t="str">
        <f>HYPERLINK("https://axonsv.app.intel.com/apps/record-viewer?id=d6e6da67-eef0-4a1a-bf06-0875978a972d","d6e6da67-eef0-4a1a-bf06-0875978a972d")</f>
        <v>d6e6da67-eef0-4a1a-bf06-0875978a972d</v>
      </c>
    </row>
    <row r="142" spans="1:6" x14ac:dyDescent="0.35">
      <c r="A142" t="s">
        <v>21</v>
      </c>
      <c r="B142" t="s">
        <v>100</v>
      </c>
      <c r="C142">
        <v>14</v>
      </c>
      <c r="D142">
        <v>10</v>
      </c>
      <c r="E142">
        <v>0</v>
      </c>
      <c r="F142" s="5" t="str">
        <f>HYPERLINK("https://axonsv.app.intel.com/apps/record-viewer?id=2ce6679c-fd8c-4da5-b29d-ce64fb992071","2ce6679c-fd8c-4da5-b29d-ce64fb992071")</f>
        <v>2ce6679c-fd8c-4da5-b29d-ce64fb992071</v>
      </c>
    </row>
    <row r="143" spans="1:6" x14ac:dyDescent="0.35">
      <c r="A143" t="s">
        <v>21</v>
      </c>
      <c r="B143" t="s">
        <v>104</v>
      </c>
      <c r="C143">
        <v>10</v>
      </c>
      <c r="D143">
        <v>13</v>
      </c>
      <c r="E143">
        <v>0</v>
      </c>
      <c r="F143" s="5" t="str">
        <f>HYPERLINK("https://axonsv.app.intel.com/apps/record-viewer?id=2a6c4d0d-b2ee-4a3a-ad2c-556b7d69459d","2a6c4d0d-b2ee-4a3a-ad2c-556b7d69459d")</f>
        <v>2a6c4d0d-b2ee-4a3a-ad2c-556b7d69459d</v>
      </c>
    </row>
    <row r="144" spans="1:6" x14ac:dyDescent="0.35">
      <c r="A144" t="s">
        <v>114</v>
      </c>
      <c r="B144" t="s">
        <v>115</v>
      </c>
      <c r="C144">
        <v>11</v>
      </c>
      <c r="D144">
        <v>15</v>
      </c>
      <c r="E144">
        <v>2</v>
      </c>
      <c r="F144" s="5" t="str">
        <f>HYPERLINK("https://axonsv.app.intel.com/apps/record-viewer?id=d8d3cfd6-661f-449d-ac04-d25d674b8a25","d8d3cfd6-661f-449d-ac04-d25d674b8a25")</f>
        <v>d8d3cfd6-661f-449d-ac04-d25d674b8a25</v>
      </c>
    </row>
    <row r="145" spans="1:6" x14ac:dyDescent="0.35">
      <c r="A145" t="s">
        <v>105</v>
      </c>
      <c r="B145" t="s">
        <v>106</v>
      </c>
      <c r="C145">
        <v>12</v>
      </c>
      <c r="D145">
        <v>16</v>
      </c>
      <c r="E145">
        <v>0</v>
      </c>
      <c r="F145" s="5" t="str">
        <f>HYPERLINK("https://axonsv.app.intel.com/apps/record-viewer?id=e28646f6-cccf-4de8-a690-98c797525a9e","e28646f6-cccf-4de8-a690-98c797525a9e")</f>
        <v>e28646f6-cccf-4de8-a690-98c797525a9e</v>
      </c>
    </row>
    <row r="146" spans="1:6" x14ac:dyDescent="0.35">
      <c r="A146" t="s">
        <v>21</v>
      </c>
      <c r="B146" t="s">
        <v>98</v>
      </c>
      <c r="C146">
        <v>15</v>
      </c>
      <c r="D146">
        <v>18</v>
      </c>
      <c r="E146">
        <v>0</v>
      </c>
      <c r="F146" s="5" t="str">
        <f>HYPERLINK("https://axonsv.app.intel.com/apps/record-viewer?id=d9c2b543-a04e-0966-eebe-50e97f2707ac","d9c2b543-a04e-0966-eebe-50e97f2707ac")</f>
        <v>d9c2b543-a04e-0966-eebe-50e97f2707ac</v>
      </c>
    </row>
    <row r="147" spans="1:6" x14ac:dyDescent="0.35">
      <c r="A147" t="s">
        <v>28</v>
      </c>
      <c r="B147" t="s">
        <v>116</v>
      </c>
      <c r="C147">
        <v>11</v>
      </c>
      <c r="D147">
        <v>15</v>
      </c>
      <c r="E147">
        <v>2</v>
      </c>
      <c r="F147" s="5" t="str">
        <f>HYPERLINK("https://axonsv.app.intel.com/apps/record-viewer?id=7620f944-8299-451e-914d-8b0ee0b1fbcb","7620f944-8299-451e-914d-8b0ee0b1fbcb")</f>
        <v>7620f944-8299-451e-914d-8b0ee0b1fbcb</v>
      </c>
    </row>
    <row r="148" spans="1:6" x14ac:dyDescent="0.35">
      <c r="A148" t="s">
        <v>34</v>
      </c>
      <c r="B148" t="s">
        <v>113</v>
      </c>
      <c r="C148">
        <v>11</v>
      </c>
      <c r="D148">
        <v>15</v>
      </c>
      <c r="E148">
        <v>2</v>
      </c>
      <c r="F148" s="5" t="str">
        <f>HYPERLINK("https://axonsv.app.intel.com/apps/record-viewer?id=29ae354c-5008-4147-8c89-cf39a2c5ed32","29ae354c-5008-4147-8c89-cf39a2c5ed32")</f>
        <v>29ae354c-5008-4147-8c89-cf39a2c5ed32</v>
      </c>
    </row>
    <row r="149" spans="1:6" x14ac:dyDescent="0.35">
      <c r="A149" t="s">
        <v>21</v>
      </c>
      <c r="B149" t="s">
        <v>104</v>
      </c>
      <c r="C149">
        <v>10</v>
      </c>
      <c r="D149">
        <v>13</v>
      </c>
      <c r="E149">
        <v>0</v>
      </c>
      <c r="F149" s="5" t="str">
        <f>HYPERLINK("https://axonsv.app.intel.com/apps/record-viewer?id=14de716d-a2f9-4533-ac68-6639daf6329a","14de716d-a2f9-4533-ac68-6639daf6329a")</f>
        <v>14de716d-a2f9-4533-ac68-6639daf6329a</v>
      </c>
    </row>
    <row r="150" spans="1:6" x14ac:dyDescent="0.35">
      <c r="A150" t="s">
        <v>21</v>
      </c>
      <c r="B150" t="s">
        <v>100</v>
      </c>
      <c r="C150">
        <v>14</v>
      </c>
      <c r="D150">
        <v>10</v>
      </c>
      <c r="E150">
        <v>0</v>
      </c>
      <c r="F150" s="5" t="str">
        <f>HYPERLINK("https://axonsv.app.intel.com/apps/record-viewer?id=748b730e-e638-4dde-84ed-bd1f0a7a999c","748b730e-e638-4dde-84ed-bd1f0a7a999c")</f>
        <v>748b730e-e638-4dde-84ed-bd1f0a7a999c</v>
      </c>
    </row>
    <row r="151" spans="1:6" x14ac:dyDescent="0.35">
      <c r="A151" t="s">
        <v>21</v>
      </c>
      <c r="B151" t="s">
        <v>100</v>
      </c>
      <c r="C151">
        <v>14</v>
      </c>
      <c r="D151">
        <v>10</v>
      </c>
      <c r="E151">
        <v>0</v>
      </c>
      <c r="F151" s="5" t="str">
        <f>HYPERLINK("https://axonsv.app.intel.com/apps/record-viewer?id=cd156d2d-1d16-466d-9456-4b10f5c77f08","cd156d2d-1d16-466d-9456-4b10f5c77f08")</f>
        <v>cd156d2d-1d16-466d-9456-4b10f5c77f08</v>
      </c>
    </row>
    <row r="152" spans="1:6" x14ac:dyDescent="0.35">
      <c r="A152" t="s">
        <v>21</v>
      </c>
      <c r="B152" t="s">
        <v>109</v>
      </c>
      <c r="C152">
        <v>3</v>
      </c>
      <c r="D152">
        <v>2</v>
      </c>
      <c r="E152">
        <v>0</v>
      </c>
      <c r="F152" s="5" t="str">
        <f>HYPERLINK("https://axonsv.app.intel.com/apps/record-viewer?id=19399dcb-3894-4a11-a336-39ca827bd27d","19399dcb-3894-4a11-a336-39ca827bd27d")</f>
        <v>19399dcb-3894-4a11-a336-39ca827bd27d</v>
      </c>
    </row>
    <row r="153" spans="1:6" x14ac:dyDescent="0.35">
      <c r="A153" t="s">
        <v>21</v>
      </c>
      <c r="B153" t="s">
        <v>109</v>
      </c>
      <c r="C153">
        <v>3</v>
      </c>
      <c r="D153">
        <v>2</v>
      </c>
      <c r="E153">
        <v>0</v>
      </c>
      <c r="F153" s="5" t="str">
        <f>HYPERLINK("https://axonsv.app.intel.com/apps/record-viewer?id=d8053fa8-41d8-43f7-bd1b-4dc0218d2a4f","d8053fa8-41d8-43f7-bd1b-4dc0218d2a4f")</f>
        <v>d8053fa8-41d8-43f7-bd1b-4dc0218d2a4f</v>
      </c>
    </row>
    <row r="154" spans="1:6" x14ac:dyDescent="0.35">
      <c r="A154" t="s">
        <v>21</v>
      </c>
      <c r="B154" t="s">
        <v>104</v>
      </c>
      <c r="C154">
        <v>10</v>
      </c>
      <c r="D154">
        <v>13</v>
      </c>
      <c r="E154">
        <v>0</v>
      </c>
      <c r="F154" s="5" t="str">
        <f>HYPERLINK("https://axonsv.app.intel.com/apps/record-viewer?id=80ec3e2e-3f44-49b2-9ea0-59564faa76f6","80ec3e2e-3f44-49b2-9ea0-59564faa76f6")</f>
        <v>80ec3e2e-3f44-49b2-9ea0-59564faa76f6</v>
      </c>
    </row>
    <row r="155" spans="1:6" x14ac:dyDescent="0.35">
      <c r="A155" t="s">
        <v>21</v>
      </c>
      <c r="B155" t="s">
        <v>107</v>
      </c>
      <c r="C155">
        <v>15</v>
      </c>
      <c r="D155">
        <v>18</v>
      </c>
      <c r="E155">
        <v>0</v>
      </c>
      <c r="F155" s="5" t="str">
        <f>HYPERLINK("https://axonsv.app.intel.com/apps/record-viewer?id=d6797836-2a31-4e17-bba0-152a944f2bf2","d6797836-2a31-4e17-bba0-152a944f2bf2")</f>
        <v>d6797836-2a31-4e17-bba0-152a944f2bf2</v>
      </c>
    </row>
    <row r="156" spans="1:6" x14ac:dyDescent="0.35">
      <c r="A156" t="s">
        <v>21</v>
      </c>
      <c r="B156" t="s">
        <v>100</v>
      </c>
      <c r="C156">
        <v>14</v>
      </c>
      <c r="D156">
        <v>10</v>
      </c>
      <c r="E156">
        <v>0</v>
      </c>
      <c r="F156" s="5" t="str">
        <f>HYPERLINK("https://axonsv.app.intel.com/apps/record-viewer?id=9e0f577c-f843-464d-bbca-e51c99c32dc5","9e0f577c-f843-464d-bbca-e51c99c32dc5")</f>
        <v>9e0f577c-f843-464d-bbca-e51c99c32dc5</v>
      </c>
    </row>
    <row r="157" spans="1:6" x14ac:dyDescent="0.35">
      <c r="A157" t="s">
        <v>21</v>
      </c>
      <c r="B157" t="s">
        <v>100</v>
      </c>
      <c r="C157">
        <v>14</v>
      </c>
      <c r="D157">
        <v>10</v>
      </c>
      <c r="E157">
        <v>0</v>
      </c>
      <c r="F157" s="5" t="str">
        <f>HYPERLINK("https://axonsv.app.intel.com/apps/record-viewer?id=96ead429-71df-406f-8c9a-5f7158c814f5","96ead429-71df-406f-8c9a-5f7158c814f5")</f>
        <v>96ead429-71df-406f-8c9a-5f7158c814f5</v>
      </c>
    </row>
    <row r="158" spans="1:6" x14ac:dyDescent="0.35">
      <c r="A158" t="s">
        <v>21</v>
      </c>
      <c r="B158" t="s">
        <v>104</v>
      </c>
      <c r="C158">
        <v>10</v>
      </c>
      <c r="D158">
        <v>13</v>
      </c>
      <c r="E158">
        <v>0</v>
      </c>
      <c r="F158" s="5" t="str">
        <f>HYPERLINK("https://axonsv.app.intel.com/apps/record-viewer?id=1cd95d75-e0c3-4fd6-b4dc-2027127c0f2c","1cd95d75-e0c3-4fd6-b4dc-2027127c0f2c")</f>
        <v>1cd95d75-e0c3-4fd6-b4dc-2027127c0f2c</v>
      </c>
    </row>
    <row r="159" spans="1:6" x14ac:dyDescent="0.35">
      <c r="A159" t="s">
        <v>21</v>
      </c>
      <c r="B159" t="s">
        <v>104</v>
      </c>
      <c r="C159">
        <v>10</v>
      </c>
      <c r="D159">
        <v>13</v>
      </c>
      <c r="E159">
        <v>0</v>
      </c>
      <c r="F159" s="5" t="str">
        <f>HYPERLINK("https://axonsv.app.intel.com/apps/record-viewer?id=b7b60961-671b-4316-b82f-d93db6ae9b85","b7b60961-671b-4316-b82f-d93db6ae9b85")</f>
        <v>b7b60961-671b-4316-b82f-d93db6ae9b85</v>
      </c>
    </row>
    <row r="160" spans="1:6" x14ac:dyDescent="0.35">
      <c r="A160" t="s">
        <v>21</v>
      </c>
      <c r="B160" t="s">
        <v>108</v>
      </c>
      <c r="C160">
        <v>5</v>
      </c>
      <c r="D160">
        <v>9</v>
      </c>
      <c r="E160">
        <v>0</v>
      </c>
      <c r="F160" s="5" t="str">
        <f>HYPERLINK("https://axonsv.app.intel.com/apps/record-viewer?id=74dd8270-70ac-4f59-9659-85bb81e81764","74dd8270-70ac-4f59-9659-85bb81e81764")</f>
        <v>74dd8270-70ac-4f59-9659-85bb81e81764</v>
      </c>
    </row>
    <row r="161" spans="1:6" x14ac:dyDescent="0.35">
      <c r="A161" t="s">
        <v>21</v>
      </c>
      <c r="B161" t="s">
        <v>100</v>
      </c>
      <c r="C161">
        <v>14</v>
      </c>
      <c r="D161">
        <v>10</v>
      </c>
      <c r="E161">
        <v>0</v>
      </c>
      <c r="F161" s="5" t="str">
        <f>HYPERLINK("https://axonsv.app.intel.com/apps/record-viewer?id=63d8468c-be23-42ae-9ebf-b2a3f85c63e3","63d8468c-be23-42ae-9ebf-b2a3f85c63e3")</f>
        <v>63d8468c-be23-42ae-9ebf-b2a3f85c63e3</v>
      </c>
    </row>
    <row r="162" spans="1:6" x14ac:dyDescent="0.35">
      <c r="A162" t="s">
        <v>21</v>
      </c>
      <c r="B162" t="s">
        <v>104</v>
      </c>
      <c r="C162">
        <v>10</v>
      </c>
      <c r="D162">
        <v>13</v>
      </c>
      <c r="E162">
        <v>0</v>
      </c>
      <c r="F162" s="5" t="str">
        <f>HYPERLINK("https://axonsv.app.intel.com/apps/record-viewer?id=982501f9-7ecd-45e8-b1dc-36a2c4be4c17","982501f9-7ecd-45e8-b1dc-36a2c4be4c17")</f>
        <v>982501f9-7ecd-45e8-b1dc-36a2c4be4c17</v>
      </c>
    </row>
    <row r="163" spans="1:6" x14ac:dyDescent="0.35">
      <c r="A163" t="s">
        <v>28</v>
      </c>
      <c r="B163" t="s">
        <v>117</v>
      </c>
      <c r="C163">
        <v>11</v>
      </c>
      <c r="D163">
        <v>15</v>
      </c>
      <c r="E163">
        <v>2</v>
      </c>
      <c r="F163" s="5" t="str">
        <f>HYPERLINK("https://axonsv.app.intel.com/apps/record-viewer?id=d61d4786-95e8-47a1-a0d3-96b3c5ae93db","d61d4786-95e8-47a1-a0d3-96b3c5ae93db")</f>
        <v>d61d4786-95e8-47a1-a0d3-96b3c5ae93db</v>
      </c>
    </row>
    <row r="164" spans="1:6" x14ac:dyDescent="0.35">
      <c r="A164" t="s">
        <v>21</v>
      </c>
      <c r="B164" t="s">
        <v>104</v>
      </c>
      <c r="C164">
        <v>10</v>
      </c>
      <c r="D164">
        <v>13</v>
      </c>
      <c r="E164">
        <v>0</v>
      </c>
      <c r="F164" s="5" t="str">
        <f>HYPERLINK("https://axonsv.app.intel.com/apps/record-viewer?id=8c38fac9-afda-45d0-9383-5a5801fcb8bf","8c38fac9-afda-45d0-9383-5a5801fcb8bf")</f>
        <v>8c38fac9-afda-45d0-9383-5a5801fcb8bf</v>
      </c>
    </row>
    <row r="165" spans="1:6" x14ac:dyDescent="0.35">
      <c r="A165" t="s">
        <v>21</v>
      </c>
      <c r="B165" t="s">
        <v>107</v>
      </c>
      <c r="C165">
        <v>15</v>
      </c>
      <c r="D165">
        <v>18</v>
      </c>
      <c r="E165">
        <v>0</v>
      </c>
      <c r="F165" s="5" t="str">
        <f>HYPERLINK("https://axonsv.app.intel.com/apps/record-viewer?id=4b106a6b-6565-4955-adad-a5a4c06a7956","4b106a6b-6565-4955-adad-a5a4c06a7956")</f>
        <v>4b106a6b-6565-4955-adad-a5a4c06a7956</v>
      </c>
    </row>
    <row r="166" spans="1:6" x14ac:dyDescent="0.35">
      <c r="A166" t="s">
        <v>21</v>
      </c>
      <c r="B166" t="s">
        <v>118</v>
      </c>
      <c r="C166">
        <v>20</v>
      </c>
      <c r="D166">
        <v>10</v>
      </c>
      <c r="E166">
        <v>0</v>
      </c>
      <c r="F166" s="5" t="str">
        <f>HYPERLINK("https://axonsv.app.intel.com/apps/record-viewer?id=2f84fc45-7813-48eb-aad3-983b34a77135","2f84fc45-7813-48eb-aad3-983b34a77135")</f>
        <v>2f84fc45-7813-48eb-aad3-983b34a77135</v>
      </c>
    </row>
    <row r="167" spans="1:6" x14ac:dyDescent="0.35">
      <c r="A167" t="s">
        <v>119</v>
      </c>
      <c r="B167" t="s">
        <v>120</v>
      </c>
      <c r="C167">
        <v>11</v>
      </c>
      <c r="D167">
        <v>15</v>
      </c>
      <c r="E167">
        <v>2</v>
      </c>
      <c r="F167" s="5" t="str">
        <f>HYPERLINK("https://axonsv.app.intel.com/apps/record-viewer?id=020e2d7a-1fac-4129-8ae9-9fa39db52fe2","020e2d7a-1fac-4129-8ae9-9fa39db52fe2")</f>
        <v>020e2d7a-1fac-4129-8ae9-9fa39db52fe2</v>
      </c>
    </row>
    <row r="168" spans="1:6" x14ac:dyDescent="0.35">
      <c r="A168" t="s">
        <v>21</v>
      </c>
      <c r="B168" t="s">
        <v>104</v>
      </c>
      <c r="C168">
        <v>10</v>
      </c>
      <c r="D168">
        <v>13</v>
      </c>
      <c r="E168">
        <v>0</v>
      </c>
      <c r="F168" s="5" t="str">
        <f>HYPERLINK("https://axonsv.app.intel.com/apps/record-viewer?id=1e0f0ae6-3d9a-4f97-b7fc-5642ea44b758","1e0f0ae6-3d9a-4f97-b7fc-5642ea44b758")</f>
        <v>1e0f0ae6-3d9a-4f97-b7fc-5642ea44b758</v>
      </c>
    </row>
    <row r="169" spans="1:6" x14ac:dyDescent="0.35">
      <c r="A169" t="s">
        <v>21</v>
      </c>
      <c r="B169" t="s">
        <v>100</v>
      </c>
      <c r="C169">
        <v>14</v>
      </c>
      <c r="D169">
        <v>10</v>
      </c>
      <c r="E169">
        <v>0</v>
      </c>
      <c r="F169" s="5" t="str">
        <f>HYPERLINK("https://axonsv.app.intel.com/apps/record-viewer?id=f178930d-168d-421f-adec-68bff7352e92","f178930d-168d-421f-adec-68bff7352e92")</f>
        <v>f178930d-168d-421f-adec-68bff7352e92</v>
      </c>
    </row>
    <row r="170" spans="1:6" x14ac:dyDescent="0.35">
      <c r="A170" t="s">
        <v>114</v>
      </c>
      <c r="B170" t="s">
        <v>121</v>
      </c>
      <c r="C170">
        <v>11</v>
      </c>
      <c r="D170">
        <v>15</v>
      </c>
      <c r="E170">
        <v>2</v>
      </c>
      <c r="F170" s="5" t="str">
        <f>HYPERLINK("https://axonsv.app.intel.com/apps/record-viewer?id=9b3ce184-bf3c-4a3e-9b1f-9fc916df434e","9b3ce184-bf3c-4a3e-9b1f-9fc916df434e")</f>
        <v>9b3ce184-bf3c-4a3e-9b1f-9fc916df434e</v>
      </c>
    </row>
    <row r="171" spans="1:6" x14ac:dyDescent="0.35">
      <c r="A171" t="s">
        <v>114</v>
      </c>
      <c r="B171" t="s">
        <v>122</v>
      </c>
      <c r="C171">
        <v>11</v>
      </c>
      <c r="D171">
        <v>15</v>
      </c>
      <c r="E171">
        <v>2</v>
      </c>
      <c r="F171" s="5" t="str">
        <f>HYPERLINK("https://axonsv.app.intel.com/apps/record-viewer?id=3fc135a7-15d1-42ff-bd72-d73898e7769d","3fc135a7-15d1-42ff-bd72-d73898e7769d")</f>
        <v>3fc135a7-15d1-42ff-bd72-d73898e7769d</v>
      </c>
    </row>
    <row r="172" spans="1:6" x14ac:dyDescent="0.35">
      <c r="A172" t="s">
        <v>21</v>
      </c>
      <c r="B172" t="s">
        <v>100</v>
      </c>
      <c r="C172">
        <v>14</v>
      </c>
      <c r="D172">
        <v>10</v>
      </c>
      <c r="E172">
        <v>0</v>
      </c>
      <c r="F172" s="5" t="str">
        <f>HYPERLINK("https://axonsv.app.intel.com/apps/record-viewer?id=87cb09c2-7f2a-47d4-9da7-d87aeb243620","87cb09c2-7f2a-47d4-9da7-d87aeb243620")</f>
        <v>87cb09c2-7f2a-47d4-9da7-d87aeb243620</v>
      </c>
    </row>
    <row r="173" spans="1:6" x14ac:dyDescent="0.35">
      <c r="A173" t="s">
        <v>21</v>
      </c>
      <c r="B173" t="s">
        <v>100</v>
      </c>
      <c r="C173">
        <v>14</v>
      </c>
      <c r="D173">
        <v>10</v>
      </c>
      <c r="E173">
        <v>0</v>
      </c>
      <c r="F173" s="5" t="str">
        <f>HYPERLINK("https://axonsv.app.intel.com/apps/record-viewer?id=2edc374a-e8d5-44b5-8691-60ce110476ae","2edc374a-e8d5-44b5-8691-60ce110476ae")</f>
        <v>2edc374a-e8d5-44b5-8691-60ce110476ae</v>
      </c>
    </row>
    <row r="174" spans="1:6" x14ac:dyDescent="0.35">
      <c r="A174" t="s">
        <v>21</v>
      </c>
      <c r="B174" t="s">
        <v>123</v>
      </c>
      <c r="C174">
        <v>0</v>
      </c>
      <c r="D174">
        <v>7</v>
      </c>
      <c r="E174">
        <v>0</v>
      </c>
      <c r="F174" s="5" t="str">
        <f>HYPERLINK("https://axonsv.app.intel.com/apps/record-viewer?id=9058139b-736e-4602-b521-c16bff69c8d2","9058139b-736e-4602-b521-c16bff69c8d2")</f>
        <v>9058139b-736e-4602-b521-c16bff69c8d2</v>
      </c>
    </row>
    <row r="175" spans="1:6" x14ac:dyDescent="0.35">
      <c r="A175" t="s">
        <v>21</v>
      </c>
      <c r="B175" t="s">
        <v>104</v>
      </c>
      <c r="C175">
        <v>10</v>
      </c>
      <c r="D175">
        <v>13</v>
      </c>
      <c r="E175">
        <v>0</v>
      </c>
      <c r="F175" s="5" t="str">
        <f>HYPERLINK("https://axonsv.app.intel.com/apps/record-viewer?id=82add4a5-0677-40a2-a704-bf506b7f8cdf","82add4a5-0677-40a2-a704-bf506b7f8cdf")</f>
        <v>82add4a5-0677-40a2-a704-bf506b7f8cdf</v>
      </c>
    </row>
    <row r="176" spans="1:6" x14ac:dyDescent="0.35">
      <c r="A176" t="s">
        <v>21</v>
      </c>
      <c r="B176" t="s">
        <v>100</v>
      </c>
      <c r="C176">
        <v>14</v>
      </c>
      <c r="D176">
        <v>10</v>
      </c>
      <c r="E176">
        <v>0</v>
      </c>
      <c r="F176" s="5" t="str">
        <f>HYPERLINK("https://axonsv.app.intel.com/apps/record-viewer?id=8b573633-7bc8-4c3d-bd4b-160b3faaf30a","8b573633-7bc8-4c3d-bd4b-160b3faaf30a")</f>
        <v>8b573633-7bc8-4c3d-bd4b-160b3faaf30a</v>
      </c>
    </row>
    <row r="177" spans="1:6" x14ac:dyDescent="0.35">
      <c r="A177" t="s">
        <v>21</v>
      </c>
      <c r="B177" t="s">
        <v>104</v>
      </c>
      <c r="C177">
        <v>10</v>
      </c>
      <c r="D177">
        <v>13</v>
      </c>
      <c r="E177">
        <v>0</v>
      </c>
      <c r="F177" s="5" t="str">
        <f>HYPERLINK("https://axonsv.app.intel.com/apps/record-viewer?id=2e040637-fac6-4247-86f4-e30c90d34ea8","2e040637-fac6-4247-86f4-e30c90d34ea8")</f>
        <v>2e040637-fac6-4247-86f4-e30c90d34ea8</v>
      </c>
    </row>
    <row r="178" spans="1:6" x14ac:dyDescent="0.35">
      <c r="A178" t="s">
        <v>21</v>
      </c>
      <c r="B178" t="s">
        <v>104</v>
      </c>
      <c r="C178">
        <v>10</v>
      </c>
      <c r="D178">
        <v>13</v>
      </c>
      <c r="E178">
        <v>0</v>
      </c>
      <c r="F178" s="5" t="str">
        <f>HYPERLINK("https://axonsv.app.intel.com/apps/record-viewer?id=60802344-dc49-4f06-995b-0e54c241b3cd","60802344-dc49-4f06-995b-0e54c241b3cd")</f>
        <v>60802344-dc49-4f06-995b-0e54c241b3cd</v>
      </c>
    </row>
    <row r="179" spans="1:6" x14ac:dyDescent="0.35">
      <c r="A179" t="s">
        <v>21</v>
      </c>
      <c r="B179" t="s">
        <v>104</v>
      </c>
      <c r="C179">
        <v>10</v>
      </c>
      <c r="D179">
        <v>13</v>
      </c>
      <c r="E179">
        <v>0</v>
      </c>
      <c r="F179" s="5" t="str">
        <f>HYPERLINK("https://axonsv.app.intel.com/apps/record-viewer?id=bf3be8c9-aa14-40f9-a88b-2efc93030678","bf3be8c9-aa14-40f9-a88b-2efc93030678")</f>
        <v>bf3be8c9-aa14-40f9-a88b-2efc93030678</v>
      </c>
    </row>
    <row r="180" spans="1:6" x14ac:dyDescent="0.35">
      <c r="A180" t="s">
        <v>21</v>
      </c>
      <c r="B180" t="s">
        <v>100</v>
      </c>
      <c r="C180">
        <v>14</v>
      </c>
      <c r="D180">
        <v>10</v>
      </c>
      <c r="E180">
        <v>0</v>
      </c>
      <c r="F180" s="5" t="str">
        <f>HYPERLINK("https://axonsv.app.intel.com/apps/record-viewer?id=ad93d29f-898d-4ec4-bf78-4360f7e508bc","ad93d29f-898d-4ec4-bf78-4360f7e508bc")</f>
        <v>ad93d29f-898d-4ec4-bf78-4360f7e508bc</v>
      </c>
    </row>
    <row r="181" spans="1:6" x14ac:dyDescent="0.35">
      <c r="A181" t="s">
        <v>21</v>
      </c>
      <c r="B181" t="s">
        <v>124</v>
      </c>
      <c r="C181">
        <v>2</v>
      </c>
      <c r="D181">
        <v>1</v>
      </c>
      <c r="E181">
        <v>0</v>
      </c>
      <c r="F181" s="5" t="str">
        <f>HYPERLINK("https://axonsv.app.intel.com/apps/record-viewer?id=f7b01b1a-b06c-4411-b386-fca36c75004e","f7b01b1a-b06c-4411-b386-fca36c75004e")</f>
        <v>f7b01b1a-b06c-4411-b386-fca36c75004e</v>
      </c>
    </row>
    <row r="182" spans="1:6" x14ac:dyDescent="0.35">
      <c r="A182" t="s">
        <v>21</v>
      </c>
      <c r="B182" t="s">
        <v>107</v>
      </c>
      <c r="C182">
        <v>15</v>
      </c>
      <c r="D182">
        <v>18</v>
      </c>
      <c r="E182">
        <v>0</v>
      </c>
      <c r="F182" s="5" t="str">
        <f>HYPERLINK("https://axonsv.app.intel.com/apps/record-viewer?id=4dfc2c7a-1e37-438d-96e1-ce5dae7cd6a6","4dfc2c7a-1e37-438d-96e1-ce5dae7cd6a6")</f>
        <v>4dfc2c7a-1e37-438d-96e1-ce5dae7cd6a6</v>
      </c>
    </row>
    <row r="183" spans="1:6" x14ac:dyDescent="0.35">
      <c r="A183" t="s">
        <v>21</v>
      </c>
      <c r="B183" t="s">
        <v>104</v>
      </c>
      <c r="C183">
        <v>10</v>
      </c>
      <c r="D183">
        <v>13</v>
      </c>
      <c r="E183">
        <v>0</v>
      </c>
      <c r="F183" s="5" t="str">
        <f>HYPERLINK("https://axonsv.app.intel.com/apps/record-viewer?id=1d151cea-cf75-4675-9f77-493404642f8a","1d151cea-cf75-4675-9f77-493404642f8a")</f>
        <v>1d151cea-cf75-4675-9f77-493404642f8a</v>
      </c>
    </row>
    <row r="184" spans="1:6" x14ac:dyDescent="0.35">
      <c r="A184" t="s">
        <v>21</v>
      </c>
      <c r="B184" t="s">
        <v>107</v>
      </c>
      <c r="C184">
        <v>15</v>
      </c>
      <c r="D184">
        <v>18</v>
      </c>
      <c r="E184">
        <v>0</v>
      </c>
      <c r="F184" s="5" t="str">
        <f>HYPERLINK("https://axonsv.app.intel.com/apps/record-viewer?id=554b34c0-a4cd-46c8-9537-24ee6ab34052","554b34c0-a4cd-46c8-9537-24ee6ab34052")</f>
        <v>554b34c0-a4cd-46c8-9537-24ee6ab34052</v>
      </c>
    </row>
    <row r="185" spans="1:6" x14ac:dyDescent="0.35">
      <c r="A185" t="s">
        <v>105</v>
      </c>
      <c r="B185" t="s">
        <v>106</v>
      </c>
      <c r="C185">
        <v>12</v>
      </c>
      <c r="D185">
        <v>16</v>
      </c>
      <c r="E185">
        <v>0</v>
      </c>
      <c r="F185" s="5" t="str">
        <f>HYPERLINK("https://axonsv.app.intel.com/apps/record-viewer?id=7dbe2ed8-9492-49e2-b65e-79c5cc458012","7dbe2ed8-9492-49e2-b65e-79c5cc458012")</f>
        <v>7dbe2ed8-9492-49e2-b65e-79c5cc458012</v>
      </c>
    </row>
    <row r="186" spans="1:6" x14ac:dyDescent="0.35">
      <c r="A186" t="s">
        <v>21</v>
      </c>
      <c r="B186" t="s">
        <v>63</v>
      </c>
      <c r="C186">
        <v>12</v>
      </c>
      <c r="D186">
        <v>16</v>
      </c>
      <c r="E186">
        <v>0</v>
      </c>
      <c r="F186" s="5" t="str">
        <f>HYPERLINK("https://axonsv.app.intel.com/apps/record-viewer?id=f9b19115-6f16-4b41-9aab-c911bdd2d210","f9b19115-6f16-4b41-9aab-c911bdd2d210")</f>
        <v>f9b19115-6f16-4b41-9aab-c911bdd2d210</v>
      </c>
    </row>
    <row r="187" spans="1:6" x14ac:dyDescent="0.35">
      <c r="A187" t="s">
        <v>21</v>
      </c>
      <c r="B187" t="s">
        <v>100</v>
      </c>
      <c r="C187">
        <v>14</v>
      </c>
      <c r="D187">
        <v>10</v>
      </c>
      <c r="E187">
        <v>0</v>
      </c>
      <c r="F187" s="5" t="str">
        <f>HYPERLINK("https://axonsv.app.intel.com/apps/record-viewer?id=aeb3cd07-c2fa-4b68-9490-7205282d5a4b","aeb3cd07-c2fa-4b68-9490-7205282d5a4b")</f>
        <v>aeb3cd07-c2fa-4b68-9490-7205282d5a4b</v>
      </c>
    </row>
    <row r="188" spans="1:6" x14ac:dyDescent="0.35">
      <c r="A188" t="s">
        <v>21</v>
      </c>
      <c r="B188" t="s">
        <v>107</v>
      </c>
      <c r="C188">
        <v>15</v>
      </c>
      <c r="D188">
        <v>18</v>
      </c>
      <c r="E188">
        <v>0</v>
      </c>
      <c r="F188" s="5" t="str">
        <f>HYPERLINK("https://axonsv.app.intel.com/apps/record-viewer?id=011386db-2813-4f5d-b428-644a208a1af0","011386db-2813-4f5d-b428-644a208a1af0")</f>
        <v>011386db-2813-4f5d-b428-644a208a1af0</v>
      </c>
    </row>
    <row r="189" spans="1:6" x14ac:dyDescent="0.35">
      <c r="A189" t="s">
        <v>21</v>
      </c>
      <c r="B189" t="s">
        <v>124</v>
      </c>
      <c r="C189">
        <v>2</v>
      </c>
      <c r="D189">
        <v>1</v>
      </c>
      <c r="E189">
        <v>0</v>
      </c>
      <c r="F189" s="5" t="str">
        <f>HYPERLINK("https://axonsv.app.intel.com/apps/record-viewer?id=25588332-5ca7-4c30-9d47-8efd4f1ae6e7","25588332-5ca7-4c30-9d47-8efd4f1ae6e7")</f>
        <v>25588332-5ca7-4c30-9d47-8efd4f1ae6e7</v>
      </c>
    </row>
    <row r="190" spans="1:6" x14ac:dyDescent="0.35">
      <c r="A190" t="s">
        <v>21</v>
      </c>
      <c r="B190" t="s">
        <v>104</v>
      </c>
      <c r="C190">
        <v>10</v>
      </c>
      <c r="D190">
        <v>13</v>
      </c>
      <c r="E190">
        <v>0</v>
      </c>
      <c r="F190" s="5" t="str">
        <f>HYPERLINK("https://axonsv.app.intel.com/apps/record-viewer?id=8c9f867c-821b-4c04-872b-3d12abc770a2","8c9f867c-821b-4c04-872b-3d12abc770a2")</f>
        <v>8c9f867c-821b-4c04-872b-3d12abc770a2</v>
      </c>
    </row>
    <row r="191" spans="1:6" x14ac:dyDescent="0.35">
      <c r="A191" t="s">
        <v>21</v>
      </c>
      <c r="B191" t="s">
        <v>100</v>
      </c>
      <c r="C191">
        <v>14</v>
      </c>
      <c r="D191">
        <v>10</v>
      </c>
      <c r="E191">
        <v>0</v>
      </c>
      <c r="F191" s="5" t="str">
        <f>HYPERLINK("https://axonsv.app.intel.com/apps/record-viewer?id=60f8930d-4877-47f1-a16a-a0c2ed41fce9","60f8930d-4877-47f1-a16a-a0c2ed41fce9")</f>
        <v>60f8930d-4877-47f1-a16a-a0c2ed41fce9</v>
      </c>
    </row>
    <row r="192" spans="1:6" x14ac:dyDescent="0.35">
      <c r="A192" t="s">
        <v>21</v>
      </c>
      <c r="B192" t="s">
        <v>125</v>
      </c>
      <c r="C192">
        <v>20</v>
      </c>
      <c r="D192">
        <v>10</v>
      </c>
      <c r="E192">
        <v>0</v>
      </c>
      <c r="F192" s="5" t="str">
        <f>HYPERLINK("https://axonsv.app.intel.com/apps/record-viewer?id=ba960f00-8379-4c13-a25f-f4393180cee6","ba960f00-8379-4c13-a25f-f4393180cee6")</f>
        <v>ba960f00-8379-4c13-a25f-f4393180cee6</v>
      </c>
    </row>
    <row r="193" spans="1:6" x14ac:dyDescent="0.35">
      <c r="A193" t="s">
        <v>21</v>
      </c>
      <c r="B193" t="s">
        <v>107</v>
      </c>
      <c r="C193">
        <v>15</v>
      </c>
      <c r="D193">
        <v>18</v>
      </c>
      <c r="E193">
        <v>0</v>
      </c>
      <c r="F193" s="5" t="str">
        <f>HYPERLINK("https://axonsv.app.intel.com/apps/record-viewer?id=40c7d991-559e-41e8-b9b2-9d15dd9bea4b","40c7d991-559e-41e8-b9b2-9d15dd9bea4b")</f>
        <v>40c7d991-559e-41e8-b9b2-9d15dd9bea4b</v>
      </c>
    </row>
    <row r="194" spans="1:6" x14ac:dyDescent="0.35">
      <c r="A194" t="s">
        <v>21</v>
      </c>
      <c r="B194" t="s">
        <v>100</v>
      </c>
      <c r="C194">
        <v>14</v>
      </c>
      <c r="D194">
        <v>10</v>
      </c>
      <c r="E194">
        <v>0</v>
      </c>
      <c r="F194" s="5" t="str">
        <f>HYPERLINK("https://axonsv.app.intel.com/apps/record-viewer?id=32c12499-a320-4b3f-985a-9db90e2aa27d","32c12499-a320-4b3f-985a-9db90e2aa27d")</f>
        <v>32c12499-a320-4b3f-985a-9db90e2aa27d</v>
      </c>
    </row>
    <row r="195" spans="1:6" x14ac:dyDescent="0.35">
      <c r="A195" t="s">
        <v>21</v>
      </c>
      <c r="B195" t="s">
        <v>104</v>
      </c>
      <c r="C195">
        <v>10</v>
      </c>
      <c r="D195">
        <v>13</v>
      </c>
      <c r="E195">
        <v>0</v>
      </c>
      <c r="F195" s="5" t="str">
        <f>HYPERLINK("https://axonsv.app.intel.com/apps/record-viewer?id=df666b4d-fc70-4fa1-8ca3-13017127e425","df666b4d-fc70-4fa1-8ca3-13017127e425")</f>
        <v>df666b4d-fc70-4fa1-8ca3-13017127e425</v>
      </c>
    </row>
    <row r="196" spans="1:6" x14ac:dyDescent="0.35">
      <c r="A196" t="s">
        <v>21</v>
      </c>
      <c r="B196" t="s">
        <v>65</v>
      </c>
      <c r="C196">
        <v>3</v>
      </c>
      <c r="D196">
        <v>2</v>
      </c>
      <c r="E196">
        <v>0</v>
      </c>
      <c r="F196" s="5" t="str">
        <f>HYPERLINK("https://axonsv.app.intel.com/apps/record-viewer?id=67e59e3d-4131-4337-82c8-73be7d9f073a","67e59e3d-4131-4337-82c8-73be7d9f073a")</f>
        <v>67e59e3d-4131-4337-82c8-73be7d9f073a</v>
      </c>
    </row>
    <row r="197" spans="1:6" x14ac:dyDescent="0.35">
      <c r="A197" t="s">
        <v>21</v>
      </c>
      <c r="B197" t="s">
        <v>100</v>
      </c>
      <c r="C197">
        <v>14</v>
      </c>
      <c r="D197">
        <v>10</v>
      </c>
      <c r="E197">
        <v>0</v>
      </c>
      <c r="F197" s="5" t="str">
        <f>HYPERLINK("https://axonsv.app.intel.com/apps/record-viewer?id=7e80397d-3fcc-41b8-830e-f67acbdae9db","7e80397d-3fcc-41b8-830e-f67acbdae9db")</f>
        <v>7e80397d-3fcc-41b8-830e-f67acbdae9db</v>
      </c>
    </row>
    <row r="198" spans="1:6" x14ac:dyDescent="0.35">
      <c r="A198" t="s">
        <v>21</v>
      </c>
      <c r="B198" t="s">
        <v>100</v>
      </c>
      <c r="C198">
        <v>14</v>
      </c>
      <c r="D198">
        <v>10</v>
      </c>
      <c r="E198">
        <v>0</v>
      </c>
      <c r="F198" s="5" t="str">
        <f>HYPERLINK("https://axonsv.app.intel.com/apps/record-viewer?id=9a251e56-5199-47df-90a3-95b47761a50f","9a251e56-5199-47df-90a3-95b47761a50f")</f>
        <v>9a251e56-5199-47df-90a3-95b47761a50f</v>
      </c>
    </row>
    <row r="199" spans="1:6" x14ac:dyDescent="0.35">
      <c r="A199" t="s">
        <v>21</v>
      </c>
      <c r="B199" t="s">
        <v>107</v>
      </c>
      <c r="C199">
        <v>15</v>
      </c>
      <c r="D199">
        <v>18</v>
      </c>
      <c r="E199">
        <v>0</v>
      </c>
      <c r="F199" s="5" t="str">
        <f>HYPERLINK("https://axonsv.app.intel.com/apps/record-viewer?id=dddd4fdf-f879-4471-bcf5-9a81804a4627","dddd4fdf-f879-4471-bcf5-9a81804a4627")</f>
        <v>dddd4fdf-f879-4471-bcf5-9a81804a4627</v>
      </c>
    </row>
    <row r="200" spans="1:6" x14ac:dyDescent="0.35">
      <c r="A200" t="s">
        <v>21</v>
      </c>
      <c r="B200" t="s">
        <v>100</v>
      </c>
      <c r="C200">
        <v>14</v>
      </c>
      <c r="D200">
        <v>10</v>
      </c>
      <c r="E200">
        <v>0</v>
      </c>
      <c r="F200" s="5" t="str">
        <f>HYPERLINK("https://axonsv.app.intel.com/apps/record-viewer?id=87d826d3-5b78-4909-8109-1e81c701fdff","87d826d3-5b78-4909-8109-1e81c701fdff")</f>
        <v>87d826d3-5b78-4909-8109-1e81c701fdff</v>
      </c>
    </row>
    <row r="201" spans="1:6" x14ac:dyDescent="0.35">
      <c r="A201" t="s">
        <v>34</v>
      </c>
      <c r="B201" t="s">
        <v>100</v>
      </c>
      <c r="C201">
        <v>10</v>
      </c>
      <c r="D201">
        <v>13</v>
      </c>
      <c r="E201">
        <v>0</v>
      </c>
      <c r="F201" s="5" t="str">
        <f>HYPERLINK("https://axonsv.app.intel.com/apps/record-viewer?id=a096a320-595b-4062-8da8-7c52458f7760","a096a320-595b-4062-8da8-7c52458f7760")</f>
        <v>a096a320-595b-4062-8da8-7c52458f7760</v>
      </c>
    </row>
    <row r="202" spans="1:6" x14ac:dyDescent="0.35">
      <c r="A202" t="s">
        <v>21</v>
      </c>
      <c r="B202" t="s">
        <v>109</v>
      </c>
      <c r="C202">
        <v>3</v>
      </c>
      <c r="D202">
        <v>2</v>
      </c>
      <c r="E202">
        <v>0</v>
      </c>
      <c r="F202" s="5" t="str">
        <f>HYPERLINK("https://axonsv.app.intel.com/apps/record-viewer?id=c360f54c-b89a-413f-8e3b-9facd80a02c5","c360f54c-b89a-413f-8e3b-9facd80a02c5")</f>
        <v>c360f54c-b89a-413f-8e3b-9facd80a02c5</v>
      </c>
    </row>
    <row r="203" spans="1:6" x14ac:dyDescent="0.35">
      <c r="A203" t="s">
        <v>21</v>
      </c>
      <c r="B203" t="s">
        <v>100</v>
      </c>
      <c r="C203">
        <v>14</v>
      </c>
      <c r="D203">
        <v>10</v>
      </c>
      <c r="E203">
        <v>0</v>
      </c>
      <c r="F203" s="5" t="str">
        <f>HYPERLINK("https://axonsv.app.intel.com/apps/record-viewer?id=b97f4171-355c-42f3-a1b6-4934d34dcef0","b97f4171-355c-42f3-a1b6-4934d34dcef0")</f>
        <v>b97f4171-355c-42f3-a1b6-4934d34dcef0</v>
      </c>
    </row>
    <row r="204" spans="1:6" x14ac:dyDescent="0.35">
      <c r="A204" t="s">
        <v>126</v>
      </c>
      <c r="B204" t="s">
        <v>127</v>
      </c>
      <c r="C204">
        <v>19</v>
      </c>
      <c r="D204">
        <v>11</v>
      </c>
      <c r="E204">
        <v>2</v>
      </c>
      <c r="F204" s="5" t="str">
        <f>HYPERLINK("https://axonsv.app.intel.com/apps/record-viewer?id=96c3b614-6dfa-4c4b-9111-8922ca67282c","96c3b614-6dfa-4c4b-9111-8922ca67282c")</f>
        <v>96c3b614-6dfa-4c4b-9111-8922ca67282c</v>
      </c>
    </row>
    <row r="205" spans="1:6" x14ac:dyDescent="0.35">
      <c r="A205" t="s">
        <v>21</v>
      </c>
      <c r="B205" t="s">
        <v>104</v>
      </c>
      <c r="C205">
        <v>10</v>
      </c>
      <c r="D205">
        <v>13</v>
      </c>
      <c r="E205">
        <v>0</v>
      </c>
      <c r="F205" s="5" t="str">
        <f>HYPERLINK("https://axonsv.app.intel.com/apps/record-viewer?id=90bd0653-a694-4545-ab50-8d484ec76fcd","90bd0653-a694-4545-ab50-8d484ec76fcd")</f>
        <v>90bd0653-a694-4545-ab50-8d484ec76fcd</v>
      </c>
    </row>
    <row r="206" spans="1:6" x14ac:dyDescent="0.35">
      <c r="A206" t="s">
        <v>21</v>
      </c>
      <c r="B206" t="s">
        <v>128</v>
      </c>
      <c r="C206">
        <v>12</v>
      </c>
      <c r="D206">
        <v>16</v>
      </c>
      <c r="E206">
        <v>0</v>
      </c>
      <c r="F206" s="5" t="str">
        <f>HYPERLINK("https://axonsv.app.intel.com/apps/record-viewer?id=4be60930-a04b-4780-8dbc-93667c8a8831","4be60930-a04b-4780-8dbc-93667c8a8831")</f>
        <v>4be60930-a04b-4780-8dbc-93667c8a8831</v>
      </c>
    </row>
    <row r="207" spans="1:6" x14ac:dyDescent="0.35">
      <c r="A207" t="s">
        <v>21</v>
      </c>
      <c r="B207" t="s">
        <v>109</v>
      </c>
      <c r="C207">
        <v>3</v>
      </c>
      <c r="D207">
        <v>2</v>
      </c>
      <c r="E207">
        <v>0</v>
      </c>
      <c r="F207" s="5" t="str">
        <f>HYPERLINK("https://axonsv.app.intel.com/apps/record-viewer?id=1fdd15a8-3e05-4d42-87e9-d1a82b8ec3be","1fdd15a8-3e05-4d42-87e9-d1a82b8ec3be")</f>
        <v>1fdd15a8-3e05-4d42-87e9-d1a82b8ec3be</v>
      </c>
    </row>
    <row r="208" spans="1:6" x14ac:dyDescent="0.35">
      <c r="A208" t="s">
        <v>21</v>
      </c>
      <c r="B208" t="s">
        <v>129</v>
      </c>
      <c r="C208">
        <v>12</v>
      </c>
      <c r="D208">
        <v>16</v>
      </c>
      <c r="E208">
        <v>0</v>
      </c>
      <c r="F208" s="5" t="str">
        <f>HYPERLINK("https://axonsv.app.intel.com/apps/record-viewer?id=52dfd96a-ffcc-4478-bda2-a6ef4402b507","52dfd96a-ffcc-4478-bda2-a6ef4402b507")</f>
        <v>52dfd96a-ffcc-4478-bda2-a6ef4402b507</v>
      </c>
    </row>
    <row r="209" spans="1:6" x14ac:dyDescent="0.35">
      <c r="A209" t="s">
        <v>111</v>
      </c>
      <c r="B209" t="s">
        <v>130</v>
      </c>
      <c r="C209">
        <v>3</v>
      </c>
      <c r="D209">
        <v>2</v>
      </c>
      <c r="E209">
        <v>0</v>
      </c>
      <c r="F209" s="5" t="str">
        <f>HYPERLINK("https://axonsv.app.intel.com/apps/record-viewer?id=9a5e0865-40ce-45fa-8f0f-9f8d5a0255df","9a5e0865-40ce-45fa-8f0f-9f8d5a0255df")</f>
        <v>9a5e0865-40ce-45fa-8f0f-9f8d5a0255df</v>
      </c>
    </row>
    <row r="210" spans="1:6" x14ac:dyDescent="0.35">
      <c r="A210" t="s">
        <v>21</v>
      </c>
      <c r="B210" t="s">
        <v>131</v>
      </c>
      <c r="C210">
        <v>12</v>
      </c>
      <c r="D210">
        <v>16</v>
      </c>
      <c r="E210">
        <v>0</v>
      </c>
      <c r="F210" s="5" t="str">
        <f>HYPERLINK("https://axonsv.app.intel.com/apps/record-viewer?id=fb181155-da98-4b31-b1ab-12ecc906a74b","fb181155-da98-4b31-b1ab-12ecc906a74b")</f>
        <v>fb181155-da98-4b31-b1ab-12ecc906a74b</v>
      </c>
    </row>
    <row r="211" spans="1:6" x14ac:dyDescent="0.35">
      <c r="A211" t="s">
        <v>21</v>
      </c>
      <c r="B211" t="s">
        <v>110</v>
      </c>
      <c r="C211">
        <v>0</v>
      </c>
      <c r="D211">
        <v>7</v>
      </c>
      <c r="E211">
        <v>0</v>
      </c>
      <c r="F211" s="5" t="str">
        <f>HYPERLINK("https://axonsv.app.intel.com/apps/record-viewer?id=27d48a8c-caa6-4046-a42c-64f1e3011ac5","27d48a8c-caa6-4046-a42c-64f1e3011ac5")</f>
        <v>27d48a8c-caa6-4046-a42c-64f1e3011ac5</v>
      </c>
    </row>
    <row r="212" spans="1:6" x14ac:dyDescent="0.35">
      <c r="A212" t="s">
        <v>34</v>
      </c>
      <c r="B212" t="s">
        <v>113</v>
      </c>
      <c r="C212">
        <v>11</v>
      </c>
      <c r="D212">
        <v>15</v>
      </c>
      <c r="E212">
        <v>2</v>
      </c>
      <c r="F212" s="5" t="str">
        <f>HYPERLINK("https://axonsv.app.intel.com/apps/record-viewer?id=a7e4b05e-c669-4d6f-96ce-788bd38f5fb5","a7e4b05e-c669-4d6f-96ce-788bd38f5fb5")</f>
        <v>a7e4b05e-c669-4d6f-96ce-788bd38f5fb5</v>
      </c>
    </row>
    <row r="213" spans="1:6" x14ac:dyDescent="0.35">
      <c r="A213" t="s">
        <v>21</v>
      </c>
      <c r="B213" t="s">
        <v>109</v>
      </c>
      <c r="C213">
        <v>3</v>
      </c>
      <c r="D213">
        <v>2</v>
      </c>
      <c r="E213">
        <v>0</v>
      </c>
      <c r="F213" s="5" t="str">
        <f>HYPERLINK("https://axonsv.app.intel.com/apps/record-viewer?id=7700d416-9d37-44ef-85e6-1ee788d7feb0","7700d416-9d37-44ef-85e6-1ee788d7feb0")</f>
        <v>7700d416-9d37-44ef-85e6-1ee788d7feb0</v>
      </c>
    </row>
    <row r="214" spans="1:6" x14ac:dyDescent="0.35">
      <c r="A214" t="s">
        <v>21</v>
      </c>
      <c r="B214" t="s">
        <v>100</v>
      </c>
      <c r="C214">
        <v>14</v>
      </c>
      <c r="D214">
        <v>10</v>
      </c>
      <c r="E214">
        <v>0</v>
      </c>
      <c r="F214" s="5" t="str">
        <f>HYPERLINK("https://axonsv.app.intel.com/apps/record-viewer?id=5274393f-8e14-4af4-b2c1-1a40e6524f7e","5274393f-8e14-4af4-b2c1-1a40e6524f7e")</f>
        <v>5274393f-8e14-4af4-b2c1-1a40e6524f7e</v>
      </c>
    </row>
    <row r="215" spans="1:6" x14ac:dyDescent="0.35">
      <c r="A215" t="s">
        <v>21</v>
      </c>
      <c r="B215" t="s">
        <v>110</v>
      </c>
      <c r="C215">
        <v>0</v>
      </c>
      <c r="D215">
        <v>7</v>
      </c>
      <c r="E215">
        <v>0</v>
      </c>
      <c r="F215" s="5" t="str">
        <f>HYPERLINK("https://axonsv.app.intel.com/apps/record-viewer?id=ff5132da-16d5-40df-b735-b004002392aa","ff5132da-16d5-40df-b735-b004002392aa")</f>
        <v>ff5132da-16d5-40df-b735-b004002392aa</v>
      </c>
    </row>
    <row r="216" spans="1:6" x14ac:dyDescent="0.35">
      <c r="A216" t="s">
        <v>21</v>
      </c>
      <c r="B216" t="s">
        <v>104</v>
      </c>
      <c r="C216">
        <v>10</v>
      </c>
      <c r="D216">
        <v>13</v>
      </c>
      <c r="E216">
        <v>0</v>
      </c>
      <c r="F216" s="5" t="str">
        <f>HYPERLINK("https://axonsv.app.intel.com/apps/record-viewer?id=f62df3b3-02f7-4da3-b773-c7da4b401da2","f62df3b3-02f7-4da3-b773-c7da4b401da2")</f>
        <v>f62df3b3-02f7-4da3-b773-c7da4b401da2</v>
      </c>
    </row>
    <row r="217" spans="1:6" x14ac:dyDescent="0.35">
      <c r="A217" t="s">
        <v>119</v>
      </c>
      <c r="B217" t="s">
        <v>132</v>
      </c>
      <c r="C217">
        <v>11</v>
      </c>
      <c r="D217">
        <v>15</v>
      </c>
      <c r="E217">
        <v>2</v>
      </c>
      <c r="F217" s="5" t="str">
        <f>HYPERLINK("https://axonsv.app.intel.com/apps/record-viewer?id=76e4c455-0459-4bb8-8575-f19835e07d2e","76e4c455-0459-4bb8-8575-f19835e07d2e")</f>
        <v>76e4c455-0459-4bb8-8575-f19835e07d2e</v>
      </c>
    </row>
    <row r="218" spans="1:6" x14ac:dyDescent="0.35">
      <c r="A218" t="s">
        <v>21</v>
      </c>
      <c r="B218" t="s">
        <v>107</v>
      </c>
      <c r="C218">
        <v>15</v>
      </c>
      <c r="D218">
        <v>18</v>
      </c>
      <c r="E218">
        <v>0</v>
      </c>
      <c r="F218" s="5" t="str">
        <f>HYPERLINK("https://axonsv.app.intel.com/apps/record-viewer?id=7bc91c79-58be-4a53-a0cf-bfd084eadcad","7bc91c79-58be-4a53-a0cf-bfd084eadcad")</f>
        <v>7bc91c79-58be-4a53-a0cf-bfd084eadcad</v>
      </c>
    </row>
    <row r="219" spans="1:6" x14ac:dyDescent="0.35">
      <c r="A219" t="s">
        <v>34</v>
      </c>
      <c r="B219" t="s">
        <v>133</v>
      </c>
      <c r="C219">
        <v>11</v>
      </c>
      <c r="D219">
        <v>15</v>
      </c>
      <c r="E219">
        <v>2</v>
      </c>
      <c r="F219" s="5" t="str">
        <f>HYPERLINK("https://axonsv.app.intel.com/apps/record-viewer?id=7b76f74d-0db3-4b4e-8226-5c79c61b8216","7b76f74d-0db3-4b4e-8226-5c79c61b8216")</f>
        <v>7b76f74d-0db3-4b4e-8226-5c79c61b8216</v>
      </c>
    </row>
    <row r="220" spans="1:6" x14ac:dyDescent="0.35">
      <c r="A220" t="s">
        <v>21</v>
      </c>
      <c r="B220" t="s">
        <v>134</v>
      </c>
      <c r="C220">
        <v>10</v>
      </c>
      <c r="D220">
        <v>13</v>
      </c>
      <c r="E220">
        <v>0</v>
      </c>
      <c r="F220" s="5" t="str">
        <f>HYPERLINK("https://axonsv.app.intel.com/apps/record-viewer?id=8243394d-bf36-40f9-8b89-dd7d76ea9609","8243394d-bf36-40f9-8b89-dd7d76ea9609")</f>
        <v>8243394d-bf36-40f9-8b89-dd7d76ea9609</v>
      </c>
    </row>
    <row r="221" spans="1:6" x14ac:dyDescent="0.35">
      <c r="A221" t="s">
        <v>21</v>
      </c>
      <c r="B221" t="s">
        <v>100</v>
      </c>
      <c r="C221">
        <v>14</v>
      </c>
      <c r="D221">
        <v>10</v>
      </c>
      <c r="E221">
        <v>0</v>
      </c>
      <c r="F221" s="5" t="str">
        <f>HYPERLINK("https://axonsv.app.intel.com/apps/record-viewer?id=94589863-b2e4-4ace-a87b-c76aa923e50a","94589863-b2e4-4ace-a87b-c76aa923e50a")</f>
        <v>94589863-b2e4-4ace-a87b-c76aa923e50a</v>
      </c>
    </row>
    <row r="222" spans="1:6" x14ac:dyDescent="0.35">
      <c r="A222" t="s">
        <v>21</v>
      </c>
      <c r="B222" t="s">
        <v>100</v>
      </c>
      <c r="C222">
        <v>14</v>
      </c>
      <c r="D222">
        <v>10</v>
      </c>
      <c r="E222">
        <v>0</v>
      </c>
      <c r="F222" s="5" t="str">
        <f>HYPERLINK("https://axonsv.app.intel.com/apps/record-viewer?id=90756208-547c-467e-99fd-2a44b6140ef5","90756208-547c-467e-99fd-2a44b6140ef5")</f>
        <v>90756208-547c-467e-99fd-2a44b6140ef5</v>
      </c>
    </row>
    <row r="223" spans="1:6" x14ac:dyDescent="0.35">
      <c r="A223" t="s">
        <v>21</v>
      </c>
      <c r="B223" t="s">
        <v>107</v>
      </c>
      <c r="C223">
        <v>15</v>
      </c>
      <c r="D223">
        <v>18</v>
      </c>
      <c r="E223">
        <v>0</v>
      </c>
      <c r="F223" s="5" t="str">
        <f>HYPERLINK("https://axonsv.app.intel.com/apps/record-viewer?id=2c390e08-3e81-4359-a639-db57dc1db116","2c390e08-3e81-4359-a639-db57dc1db116")</f>
        <v>2c390e08-3e81-4359-a639-db57dc1db116</v>
      </c>
    </row>
    <row r="224" spans="1:6" x14ac:dyDescent="0.35">
      <c r="A224" t="s">
        <v>21</v>
      </c>
      <c r="B224" t="s">
        <v>100</v>
      </c>
      <c r="C224">
        <v>14</v>
      </c>
      <c r="D224">
        <v>10</v>
      </c>
      <c r="E224">
        <v>0</v>
      </c>
      <c r="F224" s="5" t="str">
        <f>HYPERLINK("https://axonsv.app.intel.com/apps/record-viewer?id=594bf1e1-d323-4e93-95a9-083c117c2f31","594bf1e1-d323-4e93-95a9-083c117c2f31")</f>
        <v>594bf1e1-d323-4e93-95a9-083c117c2f31</v>
      </c>
    </row>
    <row r="225" spans="1:6" x14ac:dyDescent="0.35">
      <c r="A225" t="s">
        <v>34</v>
      </c>
      <c r="B225" t="s">
        <v>133</v>
      </c>
      <c r="C225">
        <v>11</v>
      </c>
      <c r="D225">
        <v>15</v>
      </c>
      <c r="E225">
        <v>2</v>
      </c>
      <c r="F225" s="5" t="str">
        <f>HYPERLINK("https://axonsv.app.intel.com/apps/record-viewer?id=6b1ba8df-3938-489f-b9da-960c55f26a2d","6b1ba8df-3938-489f-b9da-960c55f26a2d")</f>
        <v>6b1ba8df-3938-489f-b9da-960c55f26a2d</v>
      </c>
    </row>
    <row r="226" spans="1:6" x14ac:dyDescent="0.35">
      <c r="A226" t="s">
        <v>34</v>
      </c>
      <c r="B226" t="s">
        <v>135</v>
      </c>
      <c r="C226">
        <v>19</v>
      </c>
      <c r="D226">
        <v>11</v>
      </c>
      <c r="E226">
        <v>2</v>
      </c>
      <c r="F226" s="5" t="str">
        <f>HYPERLINK("https://axonsv.app.intel.com/apps/record-viewer?id=f95dd667-8139-4ae9-8832-006ad2659650","f95dd667-8139-4ae9-8832-006ad2659650")</f>
        <v>f95dd667-8139-4ae9-8832-006ad2659650</v>
      </c>
    </row>
    <row r="227" spans="1:6" x14ac:dyDescent="0.35">
      <c r="A227" t="s">
        <v>34</v>
      </c>
      <c r="B227" t="s">
        <v>136</v>
      </c>
      <c r="C227">
        <v>19</v>
      </c>
      <c r="D227">
        <v>11</v>
      </c>
      <c r="E227">
        <v>2</v>
      </c>
      <c r="F227" s="5" t="str">
        <f>HYPERLINK("https://axonsv.app.intel.com/apps/record-viewer?id=95eaae70-57c6-4f37-acbf-f761848281f8","95eaae70-57c6-4f37-acbf-f761848281f8")</f>
        <v>95eaae70-57c6-4f37-acbf-f761848281f8</v>
      </c>
    </row>
    <row r="228" spans="1:6" x14ac:dyDescent="0.35">
      <c r="A228" t="s">
        <v>34</v>
      </c>
      <c r="B228" t="s">
        <v>135</v>
      </c>
      <c r="C228">
        <v>19</v>
      </c>
      <c r="D228">
        <v>11</v>
      </c>
      <c r="E228">
        <v>2</v>
      </c>
      <c r="F228" s="5" t="str">
        <f>HYPERLINK("https://axonsv.app.intel.com/apps/record-viewer?id=ae6e1666-93b2-4aa6-a68e-f9969f45d4fb","ae6e1666-93b2-4aa6-a68e-f9969f45d4fb")</f>
        <v>ae6e1666-93b2-4aa6-a68e-f9969f45d4fb</v>
      </c>
    </row>
    <row r="229" spans="1:6" x14ac:dyDescent="0.35">
      <c r="A229" t="s">
        <v>21</v>
      </c>
      <c r="B229" t="s">
        <v>65</v>
      </c>
      <c r="C229">
        <v>3</v>
      </c>
      <c r="D229">
        <v>2</v>
      </c>
      <c r="E229">
        <v>0</v>
      </c>
      <c r="F229" s="5" t="str">
        <f>HYPERLINK("https://axonsv.app.intel.com/apps/record-viewer?id=a1d414e2-8cb2-46a1-bca3-8712f00f6747","a1d414e2-8cb2-46a1-bca3-8712f00f6747")</f>
        <v>a1d414e2-8cb2-46a1-bca3-8712f00f6747</v>
      </c>
    </row>
    <row r="230" spans="1:6" x14ac:dyDescent="0.35">
      <c r="A230" t="s">
        <v>34</v>
      </c>
      <c r="B230" t="s">
        <v>137</v>
      </c>
      <c r="C230">
        <v>15</v>
      </c>
      <c r="D230">
        <v>18</v>
      </c>
      <c r="E230">
        <v>2</v>
      </c>
      <c r="F230" s="5" t="str">
        <f>HYPERLINK("https://axonsv.app.intel.com/apps/record-viewer?id=4604b5a7-0374-45ac-ba8f-c248dfe9cf8f","4604b5a7-0374-45ac-ba8f-c248dfe9cf8f")</f>
        <v>4604b5a7-0374-45ac-ba8f-c248dfe9cf8f</v>
      </c>
    </row>
    <row r="231" spans="1:6" x14ac:dyDescent="0.35">
      <c r="A231" t="s">
        <v>21</v>
      </c>
      <c r="B231" t="s">
        <v>107</v>
      </c>
      <c r="C231">
        <v>19</v>
      </c>
      <c r="D231">
        <v>11</v>
      </c>
      <c r="E231">
        <v>0</v>
      </c>
      <c r="F231" s="5" t="str">
        <f>HYPERLINK("https://axonsv.app.intel.com/apps/record-viewer?id=bc60e8b2-6fa3-49c9-8abd-614280bc3d75","bc60e8b2-6fa3-49c9-8abd-614280bc3d75")</f>
        <v>bc60e8b2-6fa3-49c9-8abd-614280bc3d75</v>
      </c>
    </row>
    <row r="232" spans="1:6" x14ac:dyDescent="0.35">
      <c r="A232" t="s">
        <v>21</v>
      </c>
      <c r="B232" t="s">
        <v>100</v>
      </c>
      <c r="C232">
        <v>14</v>
      </c>
      <c r="D232">
        <v>10</v>
      </c>
      <c r="E232">
        <v>0</v>
      </c>
      <c r="F232" s="5" t="str">
        <f>HYPERLINK("https://axonsv.app.intel.com/apps/record-viewer?id=3dbf4946-1a48-4634-b9a0-953ea9d24c01","3dbf4946-1a48-4634-b9a0-953ea9d24c01")</f>
        <v>3dbf4946-1a48-4634-b9a0-953ea9d24c01</v>
      </c>
    </row>
    <row r="233" spans="1:6" x14ac:dyDescent="0.35">
      <c r="A233" t="s">
        <v>21</v>
      </c>
      <c r="B233" t="s">
        <v>107</v>
      </c>
      <c r="C233">
        <v>19</v>
      </c>
      <c r="D233">
        <v>11</v>
      </c>
      <c r="E233">
        <v>0</v>
      </c>
      <c r="F233" s="5" t="str">
        <f>HYPERLINK("https://axonsv.app.intel.com/apps/record-viewer?id=221fa670-de3f-482e-aef2-11e6143851ab","221fa670-de3f-482e-aef2-11e6143851ab")</f>
        <v>221fa670-de3f-482e-aef2-11e6143851ab</v>
      </c>
    </row>
    <row r="234" spans="1:6" x14ac:dyDescent="0.35">
      <c r="A234" t="s">
        <v>105</v>
      </c>
      <c r="B234" t="s">
        <v>106</v>
      </c>
      <c r="C234">
        <v>12</v>
      </c>
      <c r="D234">
        <v>16</v>
      </c>
      <c r="E234">
        <v>0</v>
      </c>
      <c r="F234" s="5" t="str">
        <f>HYPERLINK("https://axonsv.app.intel.com/apps/record-viewer?id=3fef4693-49c5-4ff8-abb9-f255d75c80aa","3fef4693-49c5-4ff8-abb9-f255d75c80aa")</f>
        <v>3fef4693-49c5-4ff8-abb9-f255d75c80aa</v>
      </c>
    </row>
    <row r="235" spans="1:6" x14ac:dyDescent="0.35">
      <c r="A235" t="s">
        <v>34</v>
      </c>
      <c r="B235" t="s">
        <v>133</v>
      </c>
      <c r="C235">
        <v>11</v>
      </c>
      <c r="D235">
        <v>15</v>
      </c>
      <c r="E235">
        <v>2</v>
      </c>
      <c r="F235" s="5" t="str">
        <f>HYPERLINK("https://axonsv.app.intel.com/apps/record-viewer?id=3dd4a424-f0b7-4377-b70a-f11518d3f371","3dd4a424-f0b7-4377-b70a-f11518d3f371")</f>
        <v>3dd4a424-f0b7-4377-b70a-f11518d3f371</v>
      </c>
    </row>
    <row r="236" spans="1:6" x14ac:dyDescent="0.35">
      <c r="A236" t="s">
        <v>105</v>
      </c>
      <c r="B236" t="s">
        <v>106</v>
      </c>
      <c r="C236">
        <v>12</v>
      </c>
      <c r="D236">
        <v>16</v>
      </c>
      <c r="E236">
        <v>0</v>
      </c>
      <c r="F236" s="5" t="str">
        <f>HYPERLINK("https://axonsv.app.intel.com/apps/record-viewer?id=0fd19153-43e7-475d-8e7c-5c513747a723","0fd19153-43e7-475d-8e7c-5c513747a723")</f>
        <v>0fd19153-43e7-475d-8e7c-5c513747a723</v>
      </c>
    </row>
    <row r="237" spans="1:6" x14ac:dyDescent="0.35">
      <c r="A237" t="s">
        <v>21</v>
      </c>
      <c r="B237" t="s">
        <v>110</v>
      </c>
      <c r="C237">
        <v>0</v>
      </c>
      <c r="D237">
        <v>7</v>
      </c>
      <c r="E237">
        <v>0</v>
      </c>
      <c r="F237" s="5" t="str">
        <f>HYPERLINK("https://axonsv.app.intel.com/apps/record-viewer?id=c2055355-5cdd-4e72-98e0-79449ce996f3","c2055355-5cdd-4e72-98e0-79449ce996f3")</f>
        <v>c2055355-5cdd-4e72-98e0-79449ce996f3</v>
      </c>
    </row>
    <row r="238" spans="1:6" x14ac:dyDescent="0.35">
      <c r="A238" t="s">
        <v>21</v>
      </c>
      <c r="B238" t="s">
        <v>100</v>
      </c>
      <c r="C238">
        <v>14</v>
      </c>
      <c r="D238">
        <v>10</v>
      </c>
      <c r="E238">
        <v>0</v>
      </c>
      <c r="F238" s="5" t="str">
        <f>HYPERLINK("https://axonsv.app.intel.com/apps/record-viewer?id=5bae8979-4177-4a5d-92a3-166588143c33","5bae8979-4177-4a5d-92a3-166588143c33")</f>
        <v>5bae8979-4177-4a5d-92a3-166588143c33</v>
      </c>
    </row>
    <row r="239" spans="1:6" x14ac:dyDescent="0.35">
      <c r="A239" t="s">
        <v>21</v>
      </c>
      <c r="B239" t="s">
        <v>129</v>
      </c>
      <c r="C239">
        <v>12</v>
      </c>
      <c r="D239">
        <v>16</v>
      </c>
      <c r="E239">
        <v>0</v>
      </c>
      <c r="F239" s="5" t="str">
        <f>HYPERLINK("https://axonsv.app.intel.com/apps/record-viewer?id=0f2578bd-c349-4e97-a64a-4b75b6416724","0f2578bd-c349-4e97-a64a-4b75b6416724")</f>
        <v>0f2578bd-c349-4e97-a64a-4b75b6416724</v>
      </c>
    </row>
    <row r="240" spans="1:6" x14ac:dyDescent="0.35">
      <c r="A240" t="s">
        <v>34</v>
      </c>
      <c r="B240" t="s">
        <v>133</v>
      </c>
      <c r="C240">
        <v>11</v>
      </c>
      <c r="D240">
        <v>15</v>
      </c>
      <c r="E240">
        <v>2</v>
      </c>
      <c r="F240" s="5" t="str">
        <f>HYPERLINK("https://axonsv.app.intel.com/apps/record-viewer?id=6e33d8e3-2582-426a-84d7-b7db4f60f169","6e33d8e3-2582-426a-84d7-b7db4f60f169")</f>
        <v>6e33d8e3-2582-426a-84d7-b7db4f60f169</v>
      </c>
    </row>
    <row r="241" spans="1:6" x14ac:dyDescent="0.35">
      <c r="A241" t="s">
        <v>34</v>
      </c>
      <c r="B241" t="s">
        <v>133</v>
      </c>
      <c r="C241">
        <v>11</v>
      </c>
      <c r="D241">
        <v>15</v>
      </c>
      <c r="E241">
        <v>2</v>
      </c>
      <c r="F241" s="5" t="str">
        <f>HYPERLINK("https://axonsv.app.intel.com/apps/record-viewer?id=4da6ff25-9785-4b1d-974e-be16f82f21db","4da6ff25-9785-4b1d-974e-be16f82f21db")</f>
        <v>4da6ff25-9785-4b1d-974e-be16f82f21db</v>
      </c>
    </row>
    <row r="242" spans="1:6" x14ac:dyDescent="0.35">
      <c r="A242" t="s">
        <v>21</v>
      </c>
      <c r="B242" t="s">
        <v>107</v>
      </c>
      <c r="C242">
        <v>19</v>
      </c>
      <c r="D242">
        <v>11</v>
      </c>
      <c r="E242">
        <v>0</v>
      </c>
      <c r="F242" s="5" t="str">
        <f>HYPERLINK("https://axonsv.app.intel.com/apps/record-viewer?id=7eae68fa-2f25-43aa-902f-d10c284474a2","7eae68fa-2f25-43aa-902f-d10c284474a2")</f>
        <v>7eae68fa-2f25-43aa-902f-d10c284474a2</v>
      </c>
    </row>
    <row r="243" spans="1:6" x14ac:dyDescent="0.35">
      <c r="A243" t="s">
        <v>21</v>
      </c>
      <c r="B243" t="s">
        <v>100</v>
      </c>
      <c r="C243">
        <v>14</v>
      </c>
      <c r="D243">
        <v>10</v>
      </c>
      <c r="E243">
        <v>0</v>
      </c>
      <c r="F243" s="5" t="str">
        <f>HYPERLINK("https://axonsv.app.intel.com/apps/record-viewer?id=d5b94640-5da8-4396-8b38-81c29f8dd6e8","d5b94640-5da8-4396-8b38-81c29f8dd6e8")</f>
        <v>d5b94640-5da8-4396-8b38-81c29f8dd6e8</v>
      </c>
    </row>
    <row r="244" spans="1:6" x14ac:dyDescent="0.35">
      <c r="A244" t="s">
        <v>21</v>
      </c>
      <c r="B244" t="s">
        <v>107</v>
      </c>
      <c r="C244">
        <v>19</v>
      </c>
      <c r="D244">
        <v>11</v>
      </c>
      <c r="E244">
        <v>0</v>
      </c>
      <c r="F244" s="5" t="str">
        <f>HYPERLINK("https://axonsv.app.intel.com/apps/record-viewer?id=d63ca7c2-d8aa-4855-bb9f-9f5b2f7b6994","d63ca7c2-d8aa-4855-bb9f-9f5b2f7b6994")</f>
        <v>d63ca7c2-d8aa-4855-bb9f-9f5b2f7b6994</v>
      </c>
    </row>
    <row r="245" spans="1:6" x14ac:dyDescent="0.35">
      <c r="A245" t="s">
        <v>138</v>
      </c>
      <c r="B245" t="s">
        <v>139</v>
      </c>
      <c r="C245">
        <v>15</v>
      </c>
      <c r="D245">
        <v>18</v>
      </c>
      <c r="E245">
        <v>2</v>
      </c>
      <c r="F245" s="5" t="str">
        <f>HYPERLINK("https://axonsv.app.intel.com/apps/record-viewer?id=87db67c3-b5d8-4ec9-9e5c-9b217f430a6a","87db67c3-b5d8-4ec9-9e5c-9b217f430a6a")</f>
        <v>87db67c3-b5d8-4ec9-9e5c-9b217f430a6a</v>
      </c>
    </row>
    <row r="246" spans="1:6" x14ac:dyDescent="0.35">
      <c r="A246" t="s">
        <v>21</v>
      </c>
      <c r="B246" t="s">
        <v>128</v>
      </c>
      <c r="C246">
        <v>12</v>
      </c>
      <c r="D246">
        <v>16</v>
      </c>
      <c r="E246">
        <v>0</v>
      </c>
      <c r="F246" s="5" t="str">
        <f>HYPERLINK("https://axonsv.app.intel.com/apps/record-viewer?id=d7a0292a-2c41-408e-9197-ff3d104f963b","d7a0292a-2c41-408e-9197-ff3d104f963b")</f>
        <v>d7a0292a-2c41-408e-9197-ff3d104f963b</v>
      </c>
    </row>
    <row r="247" spans="1:6" x14ac:dyDescent="0.35">
      <c r="A247" t="s">
        <v>21</v>
      </c>
      <c r="B247" t="s">
        <v>107</v>
      </c>
      <c r="C247">
        <v>19</v>
      </c>
      <c r="D247">
        <v>11</v>
      </c>
      <c r="E247">
        <v>0</v>
      </c>
      <c r="F247" s="5" t="str">
        <f>HYPERLINK("https://axonsv.app.intel.com/apps/record-viewer?id=2b3e918e-ccba-401b-847f-4337c82b897f","2b3e918e-ccba-401b-847f-4337c82b897f")</f>
        <v>2b3e918e-ccba-401b-847f-4337c82b897f</v>
      </c>
    </row>
    <row r="248" spans="1:6" x14ac:dyDescent="0.35">
      <c r="A248" t="s">
        <v>21</v>
      </c>
      <c r="B248" t="s">
        <v>107</v>
      </c>
      <c r="C248">
        <v>19</v>
      </c>
      <c r="D248">
        <v>11</v>
      </c>
      <c r="E248">
        <v>0</v>
      </c>
      <c r="F248" s="5" t="str">
        <f>HYPERLINK("https://axonsv.app.intel.com/apps/record-viewer?id=09728d0f-5002-4b57-ac51-bdd1bfffe561","09728d0f-5002-4b57-ac51-bdd1bfffe561")</f>
        <v>09728d0f-5002-4b57-ac51-bdd1bfffe561</v>
      </c>
    </row>
    <row r="249" spans="1:6" x14ac:dyDescent="0.35">
      <c r="A249" t="s">
        <v>138</v>
      </c>
      <c r="B249" t="s">
        <v>140</v>
      </c>
      <c r="C249">
        <v>15</v>
      </c>
      <c r="D249">
        <v>18</v>
      </c>
      <c r="E249">
        <v>2</v>
      </c>
      <c r="F249" s="5" t="str">
        <f>HYPERLINK("https://axonsv.app.intel.com/apps/record-viewer?id=c825d589-0147-473e-8094-3206f97f8e05","c825d589-0147-473e-8094-3206f97f8e05")</f>
        <v>c825d589-0147-473e-8094-3206f97f8e05</v>
      </c>
    </row>
    <row r="250" spans="1:6" x14ac:dyDescent="0.35">
      <c r="A250" t="s">
        <v>21</v>
      </c>
      <c r="B250" t="s">
        <v>104</v>
      </c>
      <c r="C250">
        <v>10</v>
      </c>
      <c r="D250">
        <v>13</v>
      </c>
      <c r="E250">
        <v>0</v>
      </c>
      <c r="F250" s="5" t="str">
        <f>HYPERLINK("https://axonsv.app.intel.com/apps/record-viewer?id=73339db0-07fe-497f-b814-d5738a09f452","73339db0-07fe-497f-b814-d5738a09f452")</f>
        <v>73339db0-07fe-497f-b814-d5738a09f452</v>
      </c>
    </row>
    <row r="251" spans="1:6" x14ac:dyDescent="0.35">
      <c r="A251" t="s">
        <v>34</v>
      </c>
      <c r="B251" t="s">
        <v>133</v>
      </c>
      <c r="C251">
        <v>11</v>
      </c>
      <c r="D251">
        <v>15</v>
      </c>
      <c r="E251">
        <v>2</v>
      </c>
      <c r="F251" s="5" t="str">
        <f>HYPERLINK("https://axonsv.app.intel.com/apps/record-viewer?id=d0f10eeb-10fa-4f83-a1f9-68309ecc442d","d0f10eeb-10fa-4f83-a1f9-68309ecc442d")</f>
        <v>d0f10eeb-10fa-4f83-a1f9-68309ecc442d</v>
      </c>
    </row>
    <row r="252" spans="1:6" x14ac:dyDescent="0.35">
      <c r="A252" t="s">
        <v>34</v>
      </c>
      <c r="B252" t="s">
        <v>133</v>
      </c>
      <c r="C252">
        <v>11</v>
      </c>
      <c r="D252">
        <v>15</v>
      </c>
      <c r="E252">
        <v>2</v>
      </c>
      <c r="F252" s="5" t="str">
        <f>HYPERLINK("https://axonsv.app.intel.com/apps/record-viewer?id=dca3f380-977e-4f47-ad46-fdfa0bc0fc75","dca3f380-977e-4f47-ad46-fdfa0bc0fc75")</f>
        <v>dca3f380-977e-4f47-ad46-fdfa0bc0fc75</v>
      </c>
    </row>
    <row r="253" spans="1:6" x14ac:dyDescent="0.35">
      <c r="A253" t="s">
        <v>138</v>
      </c>
      <c r="B253" t="s">
        <v>141</v>
      </c>
      <c r="C253">
        <v>15</v>
      </c>
      <c r="D253">
        <v>18</v>
      </c>
      <c r="E253">
        <v>2</v>
      </c>
      <c r="F253" s="5" t="str">
        <f>HYPERLINK("https://axonsv.app.intel.com/apps/record-viewer?id=eec0ab95-fc77-4113-8f04-9095d87da609","eec0ab95-fc77-4113-8f04-9095d87da609")</f>
        <v>eec0ab95-fc77-4113-8f04-9095d87da609</v>
      </c>
    </row>
    <row r="254" spans="1:6" x14ac:dyDescent="0.35">
      <c r="A254" t="s">
        <v>34</v>
      </c>
      <c r="B254" t="s">
        <v>133</v>
      </c>
      <c r="C254">
        <v>11</v>
      </c>
      <c r="D254">
        <v>15</v>
      </c>
      <c r="E254">
        <v>2</v>
      </c>
      <c r="F254" s="5" t="str">
        <f>HYPERLINK("https://axonsv.app.intel.com/apps/record-viewer?id=782de35f-7bad-44d9-909c-6d43ca393889","782de35f-7bad-44d9-909c-6d43ca393889")</f>
        <v>782de35f-7bad-44d9-909c-6d43ca393889</v>
      </c>
    </row>
    <row r="255" spans="1:6" x14ac:dyDescent="0.35">
      <c r="A255" t="s">
        <v>34</v>
      </c>
      <c r="B255" t="s">
        <v>133</v>
      </c>
      <c r="C255">
        <v>11</v>
      </c>
      <c r="D255">
        <v>15</v>
      </c>
      <c r="E255">
        <v>2</v>
      </c>
      <c r="F255" s="5" t="str">
        <f>HYPERLINK("https://axonsv.app.intel.com/apps/record-viewer?id=fa53f341-5c6c-421a-8512-2732589f060e","fa53f341-5c6c-421a-8512-2732589f060e")</f>
        <v>fa53f341-5c6c-421a-8512-2732589f060e</v>
      </c>
    </row>
    <row r="256" spans="1:6" x14ac:dyDescent="0.35">
      <c r="A256" t="s">
        <v>34</v>
      </c>
      <c r="B256" t="s">
        <v>133</v>
      </c>
      <c r="C256">
        <v>11</v>
      </c>
      <c r="D256">
        <v>15</v>
      </c>
      <c r="E256">
        <v>2</v>
      </c>
      <c r="F256" s="5" t="str">
        <f>HYPERLINK("https://axonsv.app.intel.com/apps/record-viewer?id=c43309ce-2f8a-4e33-9eb5-417438f36538","c43309ce-2f8a-4e33-9eb5-417438f36538")</f>
        <v>c43309ce-2f8a-4e33-9eb5-417438f36538</v>
      </c>
    </row>
    <row r="257" spans="1:6" x14ac:dyDescent="0.35">
      <c r="A257" t="s">
        <v>34</v>
      </c>
      <c r="B257" t="s">
        <v>133</v>
      </c>
      <c r="C257">
        <v>11</v>
      </c>
      <c r="D257">
        <v>15</v>
      </c>
      <c r="E257">
        <v>2</v>
      </c>
      <c r="F257" s="5" t="str">
        <f>HYPERLINK("https://axonsv.app.intel.com/apps/record-viewer?id=d46a59f4-dfb0-4fa8-978c-d12f04c8fdb7","d46a59f4-dfb0-4fa8-978c-d12f04c8fdb7")</f>
        <v>d46a59f4-dfb0-4fa8-978c-d12f04c8fdb7</v>
      </c>
    </row>
    <row r="258" spans="1:6" x14ac:dyDescent="0.35">
      <c r="A258" t="s">
        <v>34</v>
      </c>
      <c r="B258" t="s">
        <v>133</v>
      </c>
      <c r="C258">
        <v>11</v>
      </c>
      <c r="D258">
        <v>15</v>
      </c>
      <c r="E258">
        <v>2</v>
      </c>
      <c r="F258" s="5" t="str">
        <f>HYPERLINK("https://axonsv.app.intel.com/apps/record-viewer?id=2a4bb58c-be72-4fa3-b33e-9730458ee708","2a4bb58c-be72-4fa3-b33e-9730458ee708")</f>
        <v>2a4bb58c-be72-4fa3-b33e-9730458ee708</v>
      </c>
    </row>
    <row r="259" spans="1:6" x14ac:dyDescent="0.35">
      <c r="A259" t="s">
        <v>114</v>
      </c>
      <c r="B259" t="s">
        <v>142</v>
      </c>
      <c r="C259">
        <v>11</v>
      </c>
      <c r="D259">
        <v>15</v>
      </c>
      <c r="E259">
        <v>2</v>
      </c>
      <c r="F259" s="5" t="str">
        <f>HYPERLINK("https://axonsv.app.intel.com/apps/record-viewer?id=b5b7f4b1-8fe7-4d08-968d-5e06413d3d7d","b5b7f4b1-8fe7-4d08-968d-5e06413d3d7d")</f>
        <v>b5b7f4b1-8fe7-4d08-968d-5e06413d3d7d</v>
      </c>
    </row>
    <row r="260" spans="1:6" x14ac:dyDescent="0.35">
      <c r="A260" t="s">
        <v>138</v>
      </c>
      <c r="B260" t="s">
        <v>140</v>
      </c>
      <c r="C260">
        <v>15</v>
      </c>
      <c r="D260">
        <v>18</v>
      </c>
      <c r="E260">
        <v>2</v>
      </c>
      <c r="F260" s="5" t="str">
        <f>HYPERLINK("https://axonsv.app.intel.com/apps/record-viewer?id=e5342cdc-b5f3-4984-a65d-1710c027ce06","e5342cdc-b5f3-4984-a65d-1710c027ce06")</f>
        <v>e5342cdc-b5f3-4984-a65d-1710c027ce06</v>
      </c>
    </row>
    <row r="261" spans="1:6" x14ac:dyDescent="0.35">
      <c r="A261" t="s">
        <v>114</v>
      </c>
      <c r="B261" t="s">
        <v>143</v>
      </c>
      <c r="C261">
        <v>11</v>
      </c>
      <c r="D261">
        <v>15</v>
      </c>
      <c r="E261">
        <v>2</v>
      </c>
      <c r="F261" s="5" t="str">
        <f>HYPERLINK("https://axonsv.app.intel.com/apps/record-viewer?id=46fb4944-5647-4fe4-aa8e-e7f7697837fb","46fb4944-5647-4fe4-aa8e-e7f7697837fb")</f>
        <v>46fb4944-5647-4fe4-aa8e-e7f7697837fb</v>
      </c>
    </row>
    <row r="262" spans="1:6" x14ac:dyDescent="0.35">
      <c r="A262" t="s">
        <v>138</v>
      </c>
      <c r="B262" t="s">
        <v>144</v>
      </c>
      <c r="C262">
        <v>15</v>
      </c>
      <c r="D262">
        <v>18</v>
      </c>
      <c r="E262">
        <v>2</v>
      </c>
      <c r="F262" s="5" t="str">
        <f>HYPERLINK("https://axonsv.app.intel.com/apps/record-viewer?id=ace0d7f0-398e-4d6d-8fda-bc5ee372e239","ace0d7f0-398e-4d6d-8fda-bc5ee372e239")</f>
        <v>ace0d7f0-398e-4d6d-8fda-bc5ee372e239</v>
      </c>
    </row>
    <row r="263" spans="1:6" x14ac:dyDescent="0.35">
      <c r="A263" t="s">
        <v>145</v>
      </c>
      <c r="B263" t="s">
        <v>146</v>
      </c>
      <c r="C263">
        <v>11</v>
      </c>
      <c r="D263">
        <v>15</v>
      </c>
      <c r="E263">
        <v>2</v>
      </c>
      <c r="F263" s="5" t="str">
        <f>HYPERLINK("https://axonsv.app.intel.com/apps/record-viewer?id=f009f3e7-0d87-79c5-e246-2eda697c8cad","f009f3e7-0d87-79c5-e246-2eda697c8cad")</f>
        <v>f009f3e7-0d87-79c5-e246-2eda697c8cad</v>
      </c>
    </row>
    <row r="264" spans="1:6" x14ac:dyDescent="0.35">
      <c r="A264" t="s">
        <v>147</v>
      </c>
      <c r="B264" t="s">
        <v>148</v>
      </c>
      <c r="C264">
        <v>11</v>
      </c>
      <c r="D264">
        <v>15</v>
      </c>
      <c r="E264">
        <v>2</v>
      </c>
      <c r="F264" s="5" t="str">
        <f>HYPERLINK("https://axonsv.app.intel.com/apps/record-viewer?id=cd5a6e9a-11c9-4a18-b50a-f8f2045daafe","cd5a6e9a-11c9-4a18-b50a-f8f2045daafe")</f>
        <v>cd5a6e9a-11c9-4a18-b50a-f8f2045daafe</v>
      </c>
    </row>
    <row r="265" spans="1:6" x14ac:dyDescent="0.35">
      <c r="A265" t="s">
        <v>119</v>
      </c>
      <c r="B265" t="s">
        <v>149</v>
      </c>
      <c r="C265">
        <v>11</v>
      </c>
      <c r="D265">
        <v>15</v>
      </c>
      <c r="E265">
        <v>2</v>
      </c>
      <c r="F265" s="5" t="str">
        <f>HYPERLINK("https://axonsv.app.intel.com/apps/record-viewer?id=800bddcf-0137-4bc0-a6dc-7c35b1c395cd","800bddcf-0137-4bc0-a6dc-7c35b1c395cd")</f>
        <v>800bddcf-0137-4bc0-a6dc-7c35b1c395cd</v>
      </c>
    </row>
    <row r="266" spans="1:6" x14ac:dyDescent="0.35">
      <c r="A266" t="s">
        <v>138</v>
      </c>
      <c r="B266" t="s">
        <v>144</v>
      </c>
      <c r="C266">
        <v>15</v>
      </c>
      <c r="D266">
        <v>18</v>
      </c>
      <c r="E266">
        <v>2</v>
      </c>
      <c r="F266" s="5" t="str">
        <f>HYPERLINK("https://axonsv.app.intel.com/apps/record-viewer?id=6305db40-f01c-4774-a127-68f65753cea3","6305db40-f01c-4774-a127-68f65753cea3")</f>
        <v>6305db40-f01c-4774-a127-68f65753cea3</v>
      </c>
    </row>
    <row r="267" spans="1:6" x14ac:dyDescent="0.35">
      <c r="A267" t="s">
        <v>21</v>
      </c>
      <c r="B267" t="s">
        <v>118</v>
      </c>
      <c r="C267">
        <v>20</v>
      </c>
      <c r="D267">
        <v>10</v>
      </c>
      <c r="E267">
        <v>0</v>
      </c>
      <c r="F267" s="5" t="str">
        <f>HYPERLINK("https://axonsv.app.intel.com/apps/record-viewer?id=0de6e921-74d9-4478-8d93-c2b43785ec39","0de6e921-74d9-4478-8d93-c2b43785ec39")</f>
        <v>0de6e921-74d9-4478-8d93-c2b43785ec39</v>
      </c>
    </row>
    <row r="268" spans="1:6" x14ac:dyDescent="0.35">
      <c r="A268" t="s">
        <v>138</v>
      </c>
      <c r="B268" t="s">
        <v>150</v>
      </c>
      <c r="C268">
        <v>15</v>
      </c>
      <c r="D268">
        <v>18</v>
      </c>
      <c r="E268">
        <v>2</v>
      </c>
      <c r="F268" s="5" t="str">
        <f>HYPERLINK("https://axonsv.app.intel.com/apps/record-viewer?id=c7d95922-c15d-4419-9ba7-4d341c7249a2","c7d95922-c15d-4419-9ba7-4d341c7249a2")</f>
        <v>c7d95922-c15d-4419-9ba7-4d341c7249a2</v>
      </c>
    </row>
    <row r="269" spans="1:6" x14ac:dyDescent="0.35">
      <c r="A269" t="s">
        <v>28</v>
      </c>
      <c r="B269" t="s">
        <v>151</v>
      </c>
      <c r="C269">
        <v>11</v>
      </c>
      <c r="D269">
        <v>15</v>
      </c>
      <c r="E269">
        <v>2</v>
      </c>
      <c r="F269" s="5" t="str">
        <f>HYPERLINK("https://axonsv.app.intel.com/apps/record-viewer?id=045319ae-130d-40d8-89ac-13a308478b57","045319ae-130d-40d8-89ac-13a308478b57")</f>
        <v>045319ae-130d-40d8-89ac-13a308478b57</v>
      </c>
    </row>
    <row r="270" spans="1:6" x14ac:dyDescent="0.35">
      <c r="A270" t="s">
        <v>152</v>
      </c>
      <c r="B270" t="s">
        <v>153</v>
      </c>
      <c r="C270">
        <v>11</v>
      </c>
      <c r="D270">
        <v>15</v>
      </c>
      <c r="E270">
        <v>2</v>
      </c>
      <c r="F270" s="5" t="str">
        <f>HYPERLINK("https://axonsv.app.intel.com/apps/record-viewer?id=4d6a0858-ec6e-402b-8ea0-a2a549e01152","4d6a0858-ec6e-402b-8ea0-a2a549e01152")</f>
        <v>4d6a0858-ec6e-402b-8ea0-a2a549e01152</v>
      </c>
    </row>
    <row r="271" spans="1:6" x14ac:dyDescent="0.35">
      <c r="A271" t="s">
        <v>87</v>
      </c>
      <c r="B271" t="s">
        <v>154</v>
      </c>
      <c r="C271">
        <v>11</v>
      </c>
      <c r="D271">
        <v>15</v>
      </c>
      <c r="E271">
        <v>2</v>
      </c>
      <c r="F271" s="5" t="str">
        <f>HYPERLINK("https://axonsv.app.intel.com/apps/record-viewer?id=0461125d-7fe2-403e-9ecc-6947619d14be","0461125d-7fe2-403e-9ecc-6947619d14be")</f>
        <v>0461125d-7fe2-403e-9ecc-6947619d14be</v>
      </c>
    </row>
    <row r="272" spans="1:6" x14ac:dyDescent="0.35">
      <c r="A272" t="s">
        <v>155</v>
      </c>
      <c r="B272" t="s">
        <v>156</v>
      </c>
      <c r="C272">
        <v>11</v>
      </c>
      <c r="D272">
        <v>15</v>
      </c>
      <c r="E272">
        <v>2</v>
      </c>
      <c r="F272" s="5" t="str">
        <f>HYPERLINK("https://axonsv.app.intel.com/apps/record-viewer?id=438acc6e-b516-4cbc-aad4-70d172c493d5","438acc6e-b516-4cbc-aad4-70d172c493d5")</f>
        <v>438acc6e-b516-4cbc-aad4-70d172c493d5</v>
      </c>
    </row>
    <row r="273" spans="1:6" x14ac:dyDescent="0.35">
      <c r="A273" t="s">
        <v>152</v>
      </c>
      <c r="B273" t="s">
        <v>157</v>
      </c>
      <c r="C273">
        <v>11</v>
      </c>
      <c r="D273">
        <v>15</v>
      </c>
      <c r="E273">
        <v>2</v>
      </c>
      <c r="F273" s="5" t="str">
        <f>HYPERLINK("https://axonsv.app.intel.com/apps/record-viewer?id=9380afdc-ca73-47d7-b4ef-61ddf9b79adb","9380afdc-ca73-47d7-b4ef-61ddf9b79adb")</f>
        <v>9380afdc-ca73-47d7-b4ef-61ddf9b79adb</v>
      </c>
    </row>
    <row r="274" spans="1:6" x14ac:dyDescent="0.35">
      <c r="A274" t="s">
        <v>21</v>
      </c>
      <c r="B274" t="s">
        <v>107</v>
      </c>
      <c r="C274">
        <v>15</v>
      </c>
      <c r="D274">
        <v>18</v>
      </c>
      <c r="E274">
        <v>0</v>
      </c>
      <c r="F274" s="5" t="str">
        <f>HYPERLINK("https://axonsv.app.intel.com/apps/record-viewer?id=7297223a-345f-4a67-8d58-5af0a15ba5bd","7297223a-345f-4a67-8d58-5af0a15ba5bd")</f>
        <v>7297223a-345f-4a67-8d58-5af0a15ba5bd</v>
      </c>
    </row>
    <row r="275" spans="1:6" x14ac:dyDescent="0.35">
      <c r="A275" t="s">
        <v>158</v>
      </c>
      <c r="B275" t="s">
        <v>159</v>
      </c>
      <c r="C275">
        <v>11</v>
      </c>
      <c r="D275">
        <v>15</v>
      </c>
      <c r="E275">
        <v>2</v>
      </c>
      <c r="F275" s="5" t="str">
        <f>HYPERLINK("https://axonsv.app.intel.com/apps/record-viewer?id=50222eb0-7fb8-981b-05b4-b7df232f7f21","50222eb0-7fb8-981b-05b4-b7df232f7f21")</f>
        <v>50222eb0-7fb8-981b-05b4-b7df232f7f21</v>
      </c>
    </row>
    <row r="276" spans="1:6" x14ac:dyDescent="0.35">
      <c r="A276" t="s">
        <v>114</v>
      </c>
      <c r="B276" t="s">
        <v>160</v>
      </c>
      <c r="C276">
        <v>11</v>
      </c>
      <c r="D276">
        <v>15</v>
      </c>
      <c r="E276">
        <v>2</v>
      </c>
      <c r="F276" s="5" t="str">
        <f>HYPERLINK("https://axonsv.app.intel.com/apps/record-viewer?id=8bb2144c-fcdb-478b-90c3-a45ed0e72263","8bb2144c-fcdb-478b-90c3-a45ed0e72263")</f>
        <v>8bb2144c-fcdb-478b-90c3-a45ed0e72263</v>
      </c>
    </row>
    <row r="277" spans="1:6" x14ac:dyDescent="0.35">
      <c r="A277" t="s">
        <v>161</v>
      </c>
      <c r="B277" t="s">
        <v>162</v>
      </c>
      <c r="C277">
        <v>11</v>
      </c>
      <c r="D277">
        <v>15</v>
      </c>
      <c r="E277">
        <v>2</v>
      </c>
      <c r="F277" s="5" t="str">
        <f>HYPERLINK("https://axonsv.app.intel.com/apps/record-viewer?id=1bc12c5b-41e1-4c06-97f1-7cd21b427d83","1bc12c5b-41e1-4c06-97f1-7cd21b427d83")</f>
        <v>1bc12c5b-41e1-4c06-97f1-7cd21b427d83</v>
      </c>
    </row>
    <row r="278" spans="1:6" x14ac:dyDescent="0.35">
      <c r="A278" t="s">
        <v>71</v>
      </c>
      <c r="B278" t="s">
        <v>163</v>
      </c>
      <c r="C278">
        <v>11</v>
      </c>
      <c r="D278">
        <v>15</v>
      </c>
      <c r="E278">
        <v>2</v>
      </c>
      <c r="F278" s="5" t="str">
        <f>HYPERLINK("https://axonsv.app.intel.com/apps/record-viewer?id=8ee23181-afeb-43e1-8a05-d07cc2b53660","8ee23181-afeb-43e1-8a05-d07cc2b53660")</f>
        <v>8ee23181-afeb-43e1-8a05-d07cc2b53660</v>
      </c>
    </row>
    <row r="279" spans="1:6" x14ac:dyDescent="0.35">
      <c r="A279" t="s">
        <v>28</v>
      </c>
      <c r="B279" t="s">
        <v>151</v>
      </c>
      <c r="C279">
        <v>11</v>
      </c>
      <c r="D279">
        <v>15</v>
      </c>
      <c r="E279">
        <v>2</v>
      </c>
      <c r="F279" s="5" t="str">
        <f>HYPERLINK("https://axonsv.app.intel.com/apps/record-viewer?id=e6bd5c95-8073-4573-8aa4-08f2afdccec1","e6bd5c95-8073-4573-8aa4-08f2afdccec1")</f>
        <v>e6bd5c95-8073-4573-8aa4-08f2afdccec1</v>
      </c>
    </row>
    <row r="280" spans="1:6" x14ac:dyDescent="0.35">
      <c r="A280" t="s">
        <v>21</v>
      </c>
      <c r="B280" t="s">
        <v>164</v>
      </c>
      <c r="C280">
        <v>12</v>
      </c>
      <c r="D280">
        <v>16</v>
      </c>
      <c r="E280">
        <v>0</v>
      </c>
      <c r="F280" s="5" t="str">
        <f>HYPERLINK("https://axonsv.app.intel.com/apps/record-viewer?id=75489343-f1ed-476d-9fe7-047d3d85b833","75489343-f1ed-476d-9fe7-047d3d85b833")</f>
        <v>75489343-f1ed-476d-9fe7-047d3d85b833</v>
      </c>
    </row>
    <row r="281" spans="1:6" x14ac:dyDescent="0.35">
      <c r="A281" t="s">
        <v>165</v>
      </c>
      <c r="B281" t="s">
        <v>166</v>
      </c>
      <c r="C281">
        <v>11</v>
      </c>
      <c r="D281">
        <v>15</v>
      </c>
      <c r="E281">
        <v>2</v>
      </c>
      <c r="F281" s="5" t="str">
        <f>HYPERLINK("https://axonsv.app.intel.com/apps/record-viewer?id=3b6c9e2a-afde-4d88-a7cf-a9a018ef9719","3b6c9e2a-afde-4d88-a7cf-a9a018ef9719")</f>
        <v>3b6c9e2a-afde-4d88-a7cf-a9a018ef9719</v>
      </c>
    </row>
    <row r="282" spans="1:6" x14ac:dyDescent="0.35">
      <c r="A282" t="s">
        <v>28</v>
      </c>
      <c r="B282" t="s">
        <v>167</v>
      </c>
      <c r="C282">
        <v>11</v>
      </c>
      <c r="D282">
        <v>15</v>
      </c>
      <c r="E282">
        <v>2</v>
      </c>
      <c r="F282" s="5" t="str">
        <f>HYPERLINK("https://axonsv.app.intel.com/apps/record-viewer?id=72574f25-5c8d-4914-be14-006501f7773a","72574f25-5c8d-4914-be14-006501f7773a")</f>
        <v>72574f25-5c8d-4914-be14-006501f7773a</v>
      </c>
    </row>
    <row r="283" spans="1:6" x14ac:dyDescent="0.35">
      <c r="A283" t="s">
        <v>34</v>
      </c>
      <c r="B283" t="s">
        <v>168</v>
      </c>
      <c r="C283">
        <v>11</v>
      </c>
      <c r="D283">
        <v>15</v>
      </c>
      <c r="E283">
        <v>2</v>
      </c>
      <c r="F283" s="5" t="str">
        <f>HYPERLINK("https://axonsv.app.intel.com/apps/record-viewer?id=e8bde3a3-e8ae-4cdd-9b5e-c2ae031950ad","e8bde3a3-e8ae-4cdd-9b5e-c2ae031950ad")</f>
        <v>e8bde3a3-e8ae-4cdd-9b5e-c2ae031950ad</v>
      </c>
    </row>
    <row r="284" spans="1:6" x14ac:dyDescent="0.35">
      <c r="A284" t="s">
        <v>169</v>
      </c>
      <c r="B284" t="s">
        <v>170</v>
      </c>
      <c r="C284">
        <v>19</v>
      </c>
      <c r="D284">
        <v>11</v>
      </c>
      <c r="E284">
        <v>2</v>
      </c>
      <c r="F284" s="5" t="str">
        <f>HYPERLINK("https://axonsv.app.intel.com/apps/record-viewer?id=3abc8ba6-c6e9-4091-9895-81fad0c4a3ba","3abc8ba6-c6e9-4091-9895-81fad0c4a3ba")</f>
        <v>3abc8ba6-c6e9-4091-9895-81fad0c4a3ba</v>
      </c>
    </row>
    <row r="285" spans="1:6" x14ac:dyDescent="0.35">
      <c r="A285" t="s">
        <v>21</v>
      </c>
      <c r="B285" t="s">
        <v>171</v>
      </c>
      <c r="C285">
        <v>19</v>
      </c>
      <c r="D285">
        <v>11</v>
      </c>
      <c r="E285">
        <v>0</v>
      </c>
      <c r="F285" s="5" t="str">
        <f>HYPERLINK("https://axonsv.app.intel.com/apps/record-viewer?id=cbb5884b-192e-47ce-a2e6-36c98bacedd9","cbb5884b-192e-47ce-a2e6-36c98bacedd9")</f>
        <v>cbb5884b-192e-47ce-a2e6-36c98bacedd9</v>
      </c>
    </row>
    <row r="286" spans="1:6" x14ac:dyDescent="0.35">
      <c r="A286" t="s">
        <v>172</v>
      </c>
      <c r="B286" t="s">
        <v>173</v>
      </c>
      <c r="C286">
        <v>11</v>
      </c>
      <c r="D286">
        <v>15</v>
      </c>
      <c r="E286">
        <v>2</v>
      </c>
      <c r="F286" s="5" t="str">
        <f>HYPERLINK("https://axonsv.app.intel.com/apps/record-viewer?id=e2908b87-15db-4916-b06f-dad6ee81556e","e2908b87-15db-4916-b06f-dad6ee81556e")</f>
        <v>e2908b87-15db-4916-b06f-dad6ee81556e</v>
      </c>
    </row>
    <row r="287" spans="1:6" x14ac:dyDescent="0.35">
      <c r="A287" t="s">
        <v>174</v>
      </c>
      <c r="B287" t="s">
        <v>175</v>
      </c>
      <c r="C287">
        <v>11</v>
      </c>
      <c r="D287">
        <v>15</v>
      </c>
      <c r="E287">
        <v>2</v>
      </c>
      <c r="F287" s="5" t="str">
        <f>HYPERLINK("https://axonsv.app.intel.com/apps/record-viewer?id=93f20002-663c-4309-8300-6e67acc109e2","93f20002-663c-4309-8300-6e67acc109e2")</f>
        <v>93f20002-663c-4309-8300-6e67acc109e2</v>
      </c>
    </row>
    <row r="288" spans="1:6" x14ac:dyDescent="0.35">
      <c r="A288" t="s">
        <v>176</v>
      </c>
      <c r="B288" t="s">
        <v>177</v>
      </c>
      <c r="C288">
        <v>11</v>
      </c>
      <c r="D288">
        <v>15</v>
      </c>
      <c r="E288">
        <v>2</v>
      </c>
      <c r="F288" s="5" t="str">
        <f>HYPERLINK("https://axonsv.app.intel.com/apps/record-viewer?id=4f4b419b-42c8-4755-b5ba-aee0a865b80c","4f4b419b-42c8-4755-b5ba-aee0a865b80c")</f>
        <v>4f4b419b-42c8-4755-b5ba-aee0a865b80c</v>
      </c>
    </row>
    <row r="289" spans="1:6" x14ac:dyDescent="0.35">
      <c r="A289" t="s">
        <v>178</v>
      </c>
      <c r="B289" t="s">
        <v>179</v>
      </c>
      <c r="C289">
        <v>11</v>
      </c>
      <c r="D289">
        <v>15</v>
      </c>
      <c r="E289">
        <v>2</v>
      </c>
      <c r="F289" s="5" t="str">
        <f>HYPERLINK("https://axonsv.app.intel.com/apps/record-viewer?id=c051fbaf-2923-4e89-9352-969aceae6045","c051fbaf-2923-4e89-9352-969aceae6045")</f>
        <v>c051fbaf-2923-4e89-9352-969aceae6045</v>
      </c>
    </row>
    <row r="290" spans="1:6" x14ac:dyDescent="0.35">
      <c r="A290" t="s">
        <v>172</v>
      </c>
      <c r="B290" t="s">
        <v>180</v>
      </c>
      <c r="C290">
        <v>11</v>
      </c>
      <c r="D290">
        <v>15</v>
      </c>
      <c r="E290">
        <v>2</v>
      </c>
      <c r="F290" s="5" t="str">
        <f>HYPERLINK("https://axonsv.app.intel.com/apps/record-viewer?id=503280a7-e6f8-4a6e-af78-3ff0827c4296","503280a7-e6f8-4a6e-af78-3ff0827c4296")</f>
        <v>503280a7-e6f8-4a6e-af78-3ff0827c4296</v>
      </c>
    </row>
    <row r="291" spans="1:6" x14ac:dyDescent="0.35">
      <c r="A291" t="s">
        <v>181</v>
      </c>
      <c r="B291" t="s">
        <v>182</v>
      </c>
      <c r="C291">
        <v>11</v>
      </c>
      <c r="D291">
        <v>15</v>
      </c>
      <c r="E291">
        <v>2</v>
      </c>
      <c r="F291" s="5" t="str">
        <f>HYPERLINK("https://axonsv.app.intel.com/apps/record-viewer?id=ccd770e7-e17c-48dc-bb80-0c6591ceba4b","ccd770e7-e17c-48dc-bb80-0c6591ceba4b")</f>
        <v>ccd770e7-e17c-48dc-bb80-0c6591ceba4b</v>
      </c>
    </row>
    <row r="292" spans="1:6" x14ac:dyDescent="0.35">
      <c r="A292" t="s">
        <v>183</v>
      </c>
      <c r="B292" t="s">
        <v>184</v>
      </c>
      <c r="C292">
        <v>11</v>
      </c>
      <c r="D292">
        <v>15</v>
      </c>
      <c r="E292">
        <v>2</v>
      </c>
      <c r="F292" s="5" t="str">
        <f>HYPERLINK("https://axonsv.app.intel.com/apps/record-viewer?id=30db66f6-0136-4ed8-ae5e-96c44f5bff18","30db66f6-0136-4ed8-ae5e-96c44f5bff18")</f>
        <v>30db66f6-0136-4ed8-ae5e-96c44f5bff18</v>
      </c>
    </row>
    <row r="293" spans="1:6" x14ac:dyDescent="0.35">
      <c r="A293" t="s">
        <v>21</v>
      </c>
      <c r="B293" t="s">
        <v>185</v>
      </c>
      <c r="C293">
        <v>1</v>
      </c>
      <c r="D293">
        <v>4</v>
      </c>
      <c r="E293">
        <v>0</v>
      </c>
      <c r="F293" s="5" t="str">
        <f>HYPERLINK("https://axonsv.app.intel.com/apps/record-viewer?id=3f80d7d8-a54b-4046-a489-f9a686c0a4e5","3f80d7d8-a54b-4046-a489-f9a686c0a4e5")</f>
        <v>3f80d7d8-a54b-4046-a489-f9a686c0a4e5</v>
      </c>
    </row>
    <row r="294" spans="1:6" x14ac:dyDescent="0.35">
      <c r="A294" t="s">
        <v>21</v>
      </c>
      <c r="B294" t="s">
        <v>186</v>
      </c>
      <c r="C294">
        <v>20</v>
      </c>
      <c r="D294">
        <v>10</v>
      </c>
      <c r="E294">
        <v>0</v>
      </c>
      <c r="F294" s="5" t="str">
        <f>HYPERLINK("https://axonsv.app.intel.com/apps/record-viewer?id=62c559e1-b9d6-4747-8fc0-7911bc4b46db","62c559e1-b9d6-4747-8fc0-7911bc4b46db")</f>
        <v>62c559e1-b9d6-4747-8fc0-7911bc4b46db</v>
      </c>
    </row>
    <row r="295" spans="1:6" x14ac:dyDescent="0.35">
      <c r="A295" t="s">
        <v>187</v>
      </c>
      <c r="B295" t="s">
        <v>188</v>
      </c>
      <c r="C295">
        <v>11</v>
      </c>
      <c r="D295">
        <v>15</v>
      </c>
      <c r="E295">
        <v>2</v>
      </c>
      <c r="F295" s="5" t="str">
        <f>HYPERLINK("https://axonsv.app.intel.com/apps/record-viewer?id=cac26c9c-e115-43df-a399-976b9737f4f0","cac26c9c-e115-43df-a399-976b9737f4f0")</f>
        <v>cac26c9c-e115-43df-a399-976b9737f4f0</v>
      </c>
    </row>
    <row r="296" spans="1:6" x14ac:dyDescent="0.35">
      <c r="A296" t="s">
        <v>189</v>
      </c>
      <c r="B296" t="s">
        <v>190</v>
      </c>
      <c r="C296">
        <v>12</v>
      </c>
      <c r="D296">
        <v>16</v>
      </c>
      <c r="E296">
        <v>0</v>
      </c>
      <c r="F296" s="5" t="str">
        <f>HYPERLINK("https://axonsv.app.intel.com/apps/record-viewer?id=7ec70f23-1fa5-4007-b28f-1b459390ad1f","7ec70f23-1fa5-4007-b28f-1b459390ad1f")</f>
        <v>7ec70f23-1fa5-4007-b28f-1b459390ad1f</v>
      </c>
    </row>
    <row r="297" spans="1:6" x14ac:dyDescent="0.35">
      <c r="A297" t="s">
        <v>191</v>
      </c>
      <c r="B297" t="s">
        <v>192</v>
      </c>
      <c r="C297">
        <v>11</v>
      </c>
      <c r="D297">
        <v>15</v>
      </c>
      <c r="E297">
        <v>2</v>
      </c>
      <c r="F297" s="5" t="str">
        <f>HYPERLINK("https://axonsv.app.intel.com/apps/record-viewer?id=edbe51a7-1767-4b0a-a2af-ea9745ac1826","edbe51a7-1767-4b0a-a2af-ea9745ac1826")</f>
        <v>edbe51a7-1767-4b0a-a2af-ea9745ac1826</v>
      </c>
    </row>
    <row r="298" spans="1:6" x14ac:dyDescent="0.35">
      <c r="A298" t="s">
        <v>28</v>
      </c>
      <c r="B298" t="s">
        <v>193</v>
      </c>
      <c r="C298">
        <v>11</v>
      </c>
      <c r="D298">
        <v>15</v>
      </c>
      <c r="E298">
        <v>2</v>
      </c>
      <c r="F298" s="5" t="str">
        <f>HYPERLINK("https://axonsv.app.intel.com/apps/record-viewer?id=cbbbff8b-bb04-4df3-af16-91e758e65f3f","cbbbff8b-bb04-4df3-af16-91e758e65f3f")</f>
        <v>cbbbff8b-bb04-4df3-af16-91e758e65f3f</v>
      </c>
    </row>
    <row r="299" spans="1:6" x14ac:dyDescent="0.35">
      <c r="A299" t="s">
        <v>181</v>
      </c>
      <c r="B299" t="s">
        <v>194</v>
      </c>
      <c r="C299">
        <v>11</v>
      </c>
      <c r="D299">
        <v>15</v>
      </c>
      <c r="E299">
        <v>2</v>
      </c>
      <c r="F299" s="5" t="str">
        <f>HYPERLINK("https://axonsv.app.intel.com/apps/record-viewer?id=8341e932-ac33-4231-9cb3-7b0122add698","8341e932-ac33-4231-9cb3-7b0122add698")</f>
        <v>8341e932-ac33-4231-9cb3-7b0122add698</v>
      </c>
    </row>
    <row r="300" spans="1:6" x14ac:dyDescent="0.35">
      <c r="A300" t="s">
        <v>152</v>
      </c>
      <c r="B300" t="s">
        <v>195</v>
      </c>
      <c r="C300">
        <v>11</v>
      </c>
      <c r="D300">
        <v>15</v>
      </c>
      <c r="E300">
        <v>2</v>
      </c>
      <c r="F300" s="5" t="str">
        <f>HYPERLINK("https://axonsv.app.intel.com/apps/record-viewer?id=a571a971-94c9-4215-ad44-a412a3796452","a571a971-94c9-4215-ad44-a412a3796452")</f>
        <v>a571a971-94c9-4215-ad44-a412a3796452</v>
      </c>
    </row>
    <row r="301" spans="1:6" x14ac:dyDescent="0.35">
      <c r="A301" t="s">
        <v>21</v>
      </c>
      <c r="B301" t="s">
        <v>104</v>
      </c>
      <c r="C301">
        <v>10</v>
      </c>
      <c r="D301">
        <v>13</v>
      </c>
      <c r="E301">
        <v>0</v>
      </c>
      <c r="F301" s="5" t="str">
        <f>HYPERLINK("https://axonsv.app.intel.com/apps/record-viewer?id=5f923cf3-c424-44c9-8d83-42e3b41c2973","5f923cf3-c424-44c9-8d83-42e3b41c2973")</f>
        <v>5f923cf3-c424-44c9-8d83-42e3b41c2973</v>
      </c>
    </row>
    <row r="302" spans="1:6" x14ac:dyDescent="0.35">
      <c r="A302" t="s">
        <v>174</v>
      </c>
      <c r="B302" t="s">
        <v>196</v>
      </c>
      <c r="C302">
        <v>11</v>
      </c>
      <c r="D302">
        <v>15</v>
      </c>
      <c r="E302">
        <v>2</v>
      </c>
      <c r="F302" s="5" t="str">
        <f>HYPERLINK("https://axonsv.app.intel.com/apps/record-viewer?id=86a9bdde-d60d-473d-8031-cd88e6d2a4bb","86a9bdde-d60d-473d-8031-cd88e6d2a4bb")</f>
        <v>86a9bdde-d60d-473d-8031-cd88e6d2a4bb</v>
      </c>
    </row>
    <row r="303" spans="1:6" x14ac:dyDescent="0.35">
      <c r="A303" t="s">
        <v>178</v>
      </c>
      <c r="B303" t="s">
        <v>197</v>
      </c>
      <c r="C303">
        <v>11</v>
      </c>
      <c r="D303">
        <v>15</v>
      </c>
      <c r="E303">
        <v>2</v>
      </c>
      <c r="F303" s="5" t="str">
        <f>HYPERLINK("https://axonsv.app.intel.com/apps/record-viewer?id=2f736f1e-5e2d-457c-897d-4db2fd90770b","2f736f1e-5e2d-457c-897d-4db2fd90770b")</f>
        <v>2f736f1e-5e2d-457c-897d-4db2fd90770b</v>
      </c>
    </row>
    <row r="304" spans="1:6" x14ac:dyDescent="0.35">
      <c r="A304" t="s">
        <v>198</v>
      </c>
      <c r="B304" t="s">
        <v>199</v>
      </c>
      <c r="C304">
        <v>11</v>
      </c>
      <c r="D304">
        <v>15</v>
      </c>
      <c r="E304">
        <v>2</v>
      </c>
      <c r="F304" s="5" t="str">
        <f>HYPERLINK("https://axonsv.app.intel.com/apps/record-viewer?id=82b452b3-232d-445f-b4ad-45f8b16ed5fb","82b452b3-232d-445f-b4ad-45f8b16ed5fb")</f>
        <v>82b452b3-232d-445f-b4ad-45f8b16ed5fb</v>
      </c>
    </row>
    <row r="305" spans="1:6" x14ac:dyDescent="0.35">
      <c r="A305" t="s">
        <v>187</v>
      </c>
      <c r="B305" t="s">
        <v>200</v>
      </c>
      <c r="C305">
        <v>11</v>
      </c>
      <c r="D305">
        <v>15</v>
      </c>
      <c r="E305">
        <v>2</v>
      </c>
      <c r="F305" s="5" t="str">
        <f>HYPERLINK("https://axonsv.app.intel.com/apps/record-viewer?id=8da92891-819d-4c71-beef-055c98a28324","8da92891-819d-4c71-beef-055c98a28324")</f>
        <v>8da92891-819d-4c71-beef-055c98a28324</v>
      </c>
    </row>
    <row r="306" spans="1:6" x14ac:dyDescent="0.35">
      <c r="A306" t="s">
        <v>201</v>
      </c>
      <c r="B306" t="s">
        <v>202</v>
      </c>
      <c r="C306">
        <v>11</v>
      </c>
      <c r="D306">
        <v>15</v>
      </c>
      <c r="E306">
        <v>2</v>
      </c>
      <c r="F306" s="5" t="str">
        <f>HYPERLINK("https://axonsv.app.intel.com/apps/record-viewer?id=ad4857de-8783-44b6-b696-511aedaadc9f","ad4857de-8783-44b6-b696-511aedaadc9f")</f>
        <v>ad4857de-8783-44b6-b696-511aedaadc9f</v>
      </c>
    </row>
    <row r="307" spans="1:6" x14ac:dyDescent="0.35">
      <c r="A307" t="s">
        <v>21</v>
      </c>
      <c r="B307" t="s">
        <v>203</v>
      </c>
      <c r="C307">
        <v>1</v>
      </c>
      <c r="D307">
        <v>4</v>
      </c>
      <c r="E307">
        <v>0</v>
      </c>
      <c r="F307" s="5" t="str">
        <f>HYPERLINK("https://axonsv.app.intel.com/apps/record-viewer?id=8fa7166b-1ec3-49f8-abfa-b51ee4533280","8fa7166b-1ec3-49f8-abfa-b51ee4533280")</f>
        <v>8fa7166b-1ec3-49f8-abfa-b51ee4533280</v>
      </c>
    </row>
    <row r="308" spans="1:6" x14ac:dyDescent="0.35">
      <c r="A308" t="s">
        <v>204</v>
      </c>
      <c r="B308" t="s">
        <v>205</v>
      </c>
      <c r="C308">
        <v>11</v>
      </c>
      <c r="D308">
        <v>15</v>
      </c>
      <c r="E308">
        <v>2</v>
      </c>
      <c r="F308" s="5" t="str">
        <f>HYPERLINK("https://axonsv.app.intel.com/apps/record-viewer?id=ce876613-bc08-4b72-9910-ff4ac7a63ea5","ce876613-bc08-4b72-9910-ff4ac7a63ea5")</f>
        <v>ce876613-bc08-4b72-9910-ff4ac7a63ea5</v>
      </c>
    </row>
    <row r="309" spans="1:6" x14ac:dyDescent="0.35">
      <c r="A309" t="s">
        <v>21</v>
      </c>
      <c r="B309" t="s">
        <v>98</v>
      </c>
      <c r="C309">
        <v>15</v>
      </c>
      <c r="D309">
        <v>18</v>
      </c>
      <c r="E309">
        <v>0</v>
      </c>
      <c r="F309" s="5" t="str">
        <f>HYPERLINK("https://axonsv.app.intel.com/apps/record-viewer?id=95157d08-c5f0-43ac-aba0-3e7ebfe2db47","95157d08-c5f0-43ac-aba0-3e7ebfe2db47")</f>
        <v>95157d08-c5f0-43ac-aba0-3e7ebfe2db47</v>
      </c>
    </row>
    <row r="310" spans="1:6" x14ac:dyDescent="0.35">
      <c r="A310" t="s">
        <v>206</v>
      </c>
      <c r="B310" t="s">
        <v>207</v>
      </c>
      <c r="C310">
        <v>20</v>
      </c>
      <c r="D310">
        <v>10</v>
      </c>
      <c r="E310">
        <v>0</v>
      </c>
      <c r="F310" s="5" t="str">
        <f>HYPERLINK("https://axonsv.app.intel.com/apps/record-viewer?id=a6e20b61-19b2-43a1-8fb7-d4900be813f1","a6e20b61-19b2-43a1-8fb7-d4900be813f1")</f>
        <v>a6e20b61-19b2-43a1-8fb7-d4900be813f1</v>
      </c>
    </row>
    <row r="311" spans="1:6" x14ac:dyDescent="0.35">
      <c r="A311" t="s">
        <v>32</v>
      </c>
      <c r="B311" t="s">
        <v>208</v>
      </c>
      <c r="C311">
        <v>11</v>
      </c>
      <c r="D311">
        <v>15</v>
      </c>
      <c r="E311">
        <v>2</v>
      </c>
      <c r="F311" s="5" t="str">
        <f>HYPERLINK("https://axonsv.app.intel.com/apps/record-viewer?id=8f840c68-39d5-4796-a379-34755b262609","8f840c68-39d5-4796-a379-34755b262609")</f>
        <v>8f840c68-39d5-4796-a379-34755b262609</v>
      </c>
    </row>
    <row r="312" spans="1:6" x14ac:dyDescent="0.35">
      <c r="A312" t="s">
        <v>204</v>
      </c>
      <c r="B312" t="s">
        <v>209</v>
      </c>
      <c r="C312">
        <v>11</v>
      </c>
      <c r="D312">
        <v>15</v>
      </c>
      <c r="E312">
        <v>2</v>
      </c>
      <c r="F312" s="5" t="str">
        <f>HYPERLINK("https://axonsv.app.intel.com/apps/record-viewer?id=d3cc606c-05b1-5596-e323-13cb67f457a2","d3cc606c-05b1-5596-e323-13cb67f457a2")</f>
        <v>d3cc606c-05b1-5596-e323-13cb67f457a2</v>
      </c>
    </row>
    <row r="313" spans="1:6" x14ac:dyDescent="0.35">
      <c r="A313" t="s">
        <v>210</v>
      </c>
      <c r="B313" t="s">
        <v>211</v>
      </c>
      <c r="C313">
        <v>10</v>
      </c>
      <c r="D313">
        <v>13</v>
      </c>
      <c r="E313">
        <v>0</v>
      </c>
      <c r="F313" s="5" t="str">
        <f>HYPERLINK("https://axonsv.app.intel.com/apps/record-viewer?id=f2b7f763-928b-4054-962e-2b4cded000a7","f2b7f763-928b-4054-962e-2b4cded000a7")</f>
        <v>f2b7f763-928b-4054-962e-2b4cded000a7</v>
      </c>
    </row>
    <row r="314" spans="1:6" x14ac:dyDescent="0.35">
      <c r="A314" t="s">
        <v>210</v>
      </c>
      <c r="B314" t="s">
        <v>186</v>
      </c>
      <c r="C314">
        <v>20</v>
      </c>
      <c r="D314">
        <v>10</v>
      </c>
      <c r="E314">
        <v>0</v>
      </c>
      <c r="F314" s="5" t="str">
        <f>HYPERLINK("https://axonsv.app.intel.com/apps/record-viewer?id=311e8f8a-bc6b-42aa-b883-20093a5f8c12","311e8f8a-bc6b-42aa-b883-20093a5f8c12")</f>
        <v>311e8f8a-bc6b-42aa-b883-20093a5f8c12</v>
      </c>
    </row>
    <row r="315" spans="1:6" x14ac:dyDescent="0.35">
      <c r="A315" t="s">
        <v>210</v>
      </c>
      <c r="B315" t="s">
        <v>212</v>
      </c>
      <c r="C315">
        <v>1</v>
      </c>
      <c r="D315">
        <v>4</v>
      </c>
      <c r="E315">
        <v>0</v>
      </c>
      <c r="F315" s="5" t="str">
        <f>HYPERLINK("https://axonsv.app.intel.com/apps/record-viewer?id=8ab4143e-0db9-403b-a7c7-185378143b71","8ab4143e-0db9-403b-a7c7-185378143b71")</f>
        <v>8ab4143e-0db9-403b-a7c7-185378143b71</v>
      </c>
    </row>
    <row r="316" spans="1:6" x14ac:dyDescent="0.35">
      <c r="A316" t="s">
        <v>210</v>
      </c>
      <c r="B316" t="s">
        <v>213</v>
      </c>
      <c r="C316">
        <v>1</v>
      </c>
      <c r="D316">
        <v>4</v>
      </c>
      <c r="E316">
        <v>0</v>
      </c>
      <c r="F316" s="5" t="str">
        <f>HYPERLINK("https://axonsv.app.intel.com/apps/record-viewer?id=08789a3d-60db-4c36-b447-199f2f07ce7d","08789a3d-60db-4c36-b447-199f2f07ce7d")</f>
        <v>08789a3d-60db-4c36-b447-199f2f07ce7d</v>
      </c>
    </row>
    <row r="317" spans="1:6" x14ac:dyDescent="0.35">
      <c r="A317" t="s">
        <v>214</v>
      </c>
      <c r="B317" t="s">
        <v>215</v>
      </c>
      <c r="C317">
        <v>2</v>
      </c>
      <c r="D317">
        <v>1</v>
      </c>
      <c r="E317">
        <v>0</v>
      </c>
      <c r="F317" s="5" t="str">
        <f>HYPERLINK("https://axonsv.app.intel.com/apps/record-viewer?id=0bba7eb6-ef9e-4073-b847-d33f3a24c0a0","0bba7eb6-ef9e-4073-b847-d33f3a24c0a0")</f>
        <v>0bba7eb6-ef9e-4073-b847-d33f3a24c0a0</v>
      </c>
    </row>
    <row r="318" spans="1:6" x14ac:dyDescent="0.35">
      <c r="A318" t="s">
        <v>216</v>
      </c>
      <c r="B318" t="s">
        <v>203</v>
      </c>
      <c r="C318">
        <v>1</v>
      </c>
      <c r="D318">
        <v>4</v>
      </c>
      <c r="E318">
        <v>0</v>
      </c>
      <c r="F318" s="5" t="str">
        <f>HYPERLINK("https://axonsv.app.intel.com/apps/record-viewer?id=a14552ca-0c7e-427c-93d0-5c572f3c8ed0","a14552ca-0c7e-427c-93d0-5c572f3c8ed0")</f>
        <v>a14552ca-0c7e-427c-93d0-5c572f3c8ed0</v>
      </c>
    </row>
    <row r="319" spans="1:6" x14ac:dyDescent="0.35">
      <c r="A319" t="s">
        <v>217</v>
      </c>
      <c r="B319" t="s">
        <v>125</v>
      </c>
      <c r="C319">
        <v>10</v>
      </c>
      <c r="D319">
        <v>13</v>
      </c>
      <c r="E319">
        <v>0</v>
      </c>
      <c r="F319" s="5" t="str">
        <f>HYPERLINK("https://axonsv.app.intel.com/apps/record-viewer?id=f1c04937-49c9-4d39-a396-0ad5182360de","f1c04937-49c9-4d39-a396-0ad5182360de")</f>
        <v>f1c04937-49c9-4d39-a396-0ad5182360de</v>
      </c>
    </row>
    <row r="320" spans="1:6" x14ac:dyDescent="0.35">
      <c r="A320" t="s">
        <v>210</v>
      </c>
      <c r="B320" t="s">
        <v>186</v>
      </c>
      <c r="C320">
        <v>20</v>
      </c>
      <c r="D320">
        <v>10</v>
      </c>
      <c r="E320">
        <v>0</v>
      </c>
      <c r="F320" s="5" t="str">
        <f>HYPERLINK("https://axonsv.app.intel.com/apps/record-viewer?id=e4b4a617-b2f2-4e9f-914f-a64164e8be47","e4b4a617-b2f2-4e9f-914f-a64164e8be47")</f>
        <v>e4b4a617-b2f2-4e9f-914f-a64164e8be47</v>
      </c>
    </row>
    <row r="321" spans="1:6" x14ac:dyDescent="0.35">
      <c r="A321" t="s">
        <v>210</v>
      </c>
      <c r="B321" t="s">
        <v>186</v>
      </c>
      <c r="C321">
        <v>20</v>
      </c>
      <c r="D321">
        <v>10</v>
      </c>
      <c r="E321">
        <v>0</v>
      </c>
      <c r="F321" s="5" t="str">
        <f>HYPERLINK("https://axonsv.app.intel.com/apps/record-viewer?id=31282462-d7af-4687-add6-ed12e528b184","31282462-d7af-4687-add6-ed12e528b184")</f>
        <v>31282462-d7af-4687-add6-ed12e528b184</v>
      </c>
    </row>
    <row r="322" spans="1:6" x14ac:dyDescent="0.35">
      <c r="A322" t="s">
        <v>217</v>
      </c>
      <c r="B322" t="s">
        <v>218</v>
      </c>
      <c r="C322">
        <v>10</v>
      </c>
      <c r="D322">
        <v>13</v>
      </c>
      <c r="E322">
        <v>0</v>
      </c>
      <c r="F322" s="5" t="str">
        <f>HYPERLINK("https://axonsv.app.intel.com/apps/record-viewer?id=4aa74de2-9192-49b5-adc7-e2a0dc9e1c0b","4aa74de2-9192-49b5-adc7-e2a0dc9e1c0b")</f>
        <v>4aa74de2-9192-49b5-adc7-e2a0dc9e1c0b</v>
      </c>
    </row>
    <row r="323" spans="1:6" x14ac:dyDescent="0.35">
      <c r="A323" t="s">
        <v>219</v>
      </c>
      <c r="B323" t="s">
        <v>125</v>
      </c>
      <c r="C323">
        <v>20</v>
      </c>
      <c r="D323">
        <v>10</v>
      </c>
      <c r="E323">
        <v>0</v>
      </c>
      <c r="F323" s="5" t="str">
        <f>HYPERLINK("https://axonsv.app.intel.com/apps/record-viewer?id=b1fa1b9c-74e3-4e94-9078-8bcce1d958eb","b1fa1b9c-74e3-4e94-9078-8bcce1d958eb")</f>
        <v>b1fa1b9c-74e3-4e94-9078-8bcce1d958eb</v>
      </c>
    </row>
    <row r="324" spans="1:6" x14ac:dyDescent="0.35">
      <c r="A324" t="s">
        <v>220</v>
      </c>
      <c r="B324" t="s">
        <v>221</v>
      </c>
      <c r="C324">
        <v>11</v>
      </c>
      <c r="D324">
        <v>15</v>
      </c>
      <c r="E324">
        <v>2</v>
      </c>
      <c r="F324" s="5" t="str">
        <f>HYPERLINK("https://axonsv.app.intel.com/apps/record-viewer?id=c9dd43fb-fb83-4613-8a5e-0ceba5e4af8a","c9dd43fb-fb83-4613-8a5e-0ceba5e4af8a")</f>
        <v>c9dd43fb-fb83-4613-8a5e-0ceba5e4af8a</v>
      </c>
    </row>
    <row r="325" spans="1:6" x14ac:dyDescent="0.35">
      <c r="A325" t="s">
        <v>222</v>
      </c>
      <c r="B325" t="s">
        <v>223</v>
      </c>
      <c r="C325">
        <v>11</v>
      </c>
      <c r="D325">
        <v>15</v>
      </c>
      <c r="E325">
        <v>2</v>
      </c>
      <c r="F325" s="5" t="str">
        <f>HYPERLINK("https://axonsv.app.intel.com/apps/record-viewer?id=bbbc3d01-9b66-441d-b363-ddc1280fcf45","bbbc3d01-9b66-441d-b363-ddc1280fcf45")</f>
        <v>bbbc3d01-9b66-441d-b363-ddc1280fcf45</v>
      </c>
    </row>
    <row r="326" spans="1:6" x14ac:dyDescent="0.35">
      <c r="A326" t="s">
        <v>224</v>
      </c>
      <c r="B326" t="s">
        <v>225</v>
      </c>
      <c r="C326">
        <v>4</v>
      </c>
      <c r="D326">
        <v>3</v>
      </c>
      <c r="E326">
        <v>0</v>
      </c>
      <c r="F326" s="5" t="str">
        <f>HYPERLINK("https://axonsv.app.intel.com/apps/record-viewer?id=2c83ec4c-df6f-4fae-a59a-55f1ec776515","2c83ec4c-df6f-4fae-a59a-55f1ec776515")</f>
        <v>2c83ec4c-df6f-4fae-a59a-55f1ec776515</v>
      </c>
    </row>
    <row r="327" spans="1:6" x14ac:dyDescent="0.35">
      <c r="A327" t="s">
        <v>21</v>
      </c>
      <c r="B327" t="s">
        <v>226</v>
      </c>
      <c r="C327">
        <v>12</v>
      </c>
      <c r="D327">
        <v>16</v>
      </c>
      <c r="E327">
        <v>0</v>
      </c>
      <c r="F327" s="5" t="str">
        <f>HYPERLINK("https://axonsv.app.intel.com/apps/record-viewer?id=e9a03b59-91c2-4b6b-a31e-7b4da0e4299e","e9a03b59-91c2-4b6b-a31e-7b4da0e4299e")</f>
        <v>e9a03b59-91c2-4b6b-a31e-7b4da0e4299e</v>
      </c>
    </row>
    <row r="328" spans="1:6" x14ac:dyDescent="0.35">
      <c r="A328" t="s">
        <v>210</v>
      </c>
      <c r="B328" t="s">
        <v>186</v>
      </c>
      <c r="C328">
        <v>20</v>
      </c>
      <c r="D328">
        <v>10</v>
      </c>
      <c r="E328">
        <v>0</v>
      </c>
      <c r="F328" s="5" t="str">
        <f>HYPERLINK("https://axonsv.app.intel.com/apps/record-viewer?id=1806a1d2-278f-4007-bd25-7211ebff1fc3","1806a1d2-278f-4007-bd25-7211ebff1fc3")</f>
        <v>1806a1d2-278f-4007-bd25-7211ebff1fc3</v>
      </c>
    </row>
    <row r="329" spans="1:6" x14ac:dyDescent="0.35">
      <c r="A329" t="s">
        <v>210</v>
      </c>
      <c r="B329" t="s">
        <v>186</v>
      </c>
      <c r="C329">
        <v>20</v>
      </c>
      <c r="D329">
        <v>10</v>
      </c>
      <c r="E329">
        <v>0</v>
      </c>
      <c r="F329" s="5" t="str">
        <f>HYPERLINK("https://axonsv.app.intel.com/apps/record-viewer?id=c4d5ebd2-1e4b-4678-a05f-ead4119d93f6","c4d5ebd2-1e4b-4678-a05f-ead4119d93f6")</f>
        <v>c4d5ebd2-1e4b-4678-a05f-ead4119d93f6</v>
      </c>
    </row>
    <row r="330" spans="1:6" x14ac:dyDescent="0.35">
      <c r="A330" t="s">
        <v>210</v>
      </c>
      <c r="B330" t="s">
        <v>186</v>
      </c>
      <c r="C330">
        <v>20</v>
      </c>
      <c r="D330">
        <v>10</v>
      </c>
      <c r="E330">
        <v>0</v>
      </c>
      <c r="F330" s="5" t="str">
        <f>HYPERLINK("https://axonsv.app.intel.com/apps/record-viewer?id=27347789-74cc-4ad1-8171-efda9db13c2e","27347789-74cc-4ad1-8171-efda9db13c2e")</f>
        <v>27347789-74cc-4ad1-8171-efda9db13c2e</v>
      </c>
    </row>
    <row r="331" spans="1:6" x14ac:dyDescent="0.35">
      <c r="A331" t="s">
        <v>210</v>
      </c>
      <c r="B331" t="s">
        <v>125</v>
      </c>
      <c r="C331">
        <v>10</v>
      </c>
      <c r="D331">
        <v>13</v>
      </c>
      <c r="E331">
        <v>0</v>
      </c>
      <c r="F331" s="5" t="str">
        <f>HYPERLINK("https://axonsv.app.intel.com/apps/record-viewer?id=3d69548d-5bd5-44e9-9337-54363b1d432b","3d69548d-5bd5-44e9-9337-54363b1d432b")</f>
        <v>3d69548d-5bd5-44e9-9337-54363b1d432b</v>
      </c>
    </row>
    <row r="332" spans="1:6" x14ac:dyDescent="0.35">
      <c r="A332" t="s">
        <v>210</v>
      </c>
      <c r="B332" t="s">
        <v>125</v>
      </c>
      <c r="C332">
        <v>10</v>
      </c>
      <c r="D332">
        <v>13</v>
      </c>
      <c r="E332">
        <v>0</v>
      </c>
      <c r="F332" s="5" t="str">
        <f>HYPERLINK("https://axonsv.app.intel.com/apps/record-viewer?id=ac0ed1c5-30ed-4e2b-ad9e-f0319367a554","ac0ed1c5-30ed-4e2b-ad9e-f0319367a554")</f>
        <v>ac0ed1c5-30ed-4e2b-ad9e-f0319367a554</v>
      </c>
    </row>
    <row r="333" spans="1:6" x14ac:dyDescent="0.35">
      <c r="A333" t="s">
        <v>210</v>
      </c>
      <c r="B333" t="s">
        <v>203</v>
      </c>
      <c r="C333">
        <v>1</v>
      </c>
      <c r="D333">
        <v>4</v>
      </c>
      <c r="E333">
        <v>0</v>
      </c>
      <c r="F333" s="5" t="str">
        <f>HYPERLINK("https://axonsv.app.intel.com/apps/record-viewer?id=0e7e893f-00b8-45cb-b572-b2a20a2a2c80","0e7e893f-00b8-45cb-b572-b2a20a2a2c80")</f>
        <v>0e7e893f-00b8-45cb-b572-b2a20a2a2c80</v>
      </c>
    </row>
    <row r="334" spans="1:6" x14ac:dyDescent="0.35">
      <c r="A334" t="s">
        <v>210</v>
      </c>
      <c r="B334" t="s">
        <v>125</v>
      </c>
      <c r="C334">
        <v>10</v>
      </c>
      <c r="D334">
        <v>13</v>
      </c>
      <c r="E334">
        <v>0</v>
      </c>
      <c r="F334" s="5" t="str">
        <f>HYPERLINK("https://axonsv.app.intel.com/apps/record-viewer?id=2d5c4f72-390d-4112-a7fe-b1c14c4b087a","2d5c4f72-390d-4112-a7fe-b1c14c4b087a")</f>
        <v>2d5c4f72-390d-4112-a7fe-b1c14c4b087a</v>
      </c>
    </row>
    <row r="335" spans="1:6" x14ac:dyDescent="0.35">
      <c r="A335" t="s">
        <v>227</v>
      </c>
      <c r="B335" t="s">
        <v>228</v>
      </c>
      <c r="C335">
        <v>11</v>
      </c>
      <c r="D335">
        <v>15</v>
      </c>
      <c r="E335">
        <v>2</v>
      </c>
      <c r="F335" s="5" t="str">
        <f>HYPERLINK("https://axonsv.app.intel.com/apps/record-viewer?id=0fe59f88-2a8f-4494-8213-b8c4e1f5afc9","0fe59f88-2a8f-4494-8213-b8c4e1f5afc9")</f>
        <v>0fe59f88-2a8f-4494-8213-b8c4e1f5afc9</v>
      </c>
    </row>
    <row r="336" spans="1:6" x14ac:dyDescent="0.35">
      <c r="A336" t="s">
        <v>210</v>
      </c>
      <c r="B336" t="s">
        <v>125</v>
      </c>
      <c r="C336">
        <v>10</v>
      </c>
      <c r="D336">
        <v>13</v>
      </c>
      <c r="E336">
        <v>0</v>
      </c>
      <c r="F336" s="5" t="str">
        <f>HYPERLINK("https://axonsv.app.intel.com/apps/record-viewer?id=f60bef3f-72ac-474f-ad1b-2111789d1060","f60bef3f-72ac-474f-ad1b-2111789d1060")</f>
        <v>f60bef3f-72ac-474f-ad1b-2111789d1060</v>
      </c>
    </row>
    <row r="337" spans="1:6" x14ac:dyDescent="0.35">
      <c r="A337" t="s">
        <v>210</v>
      </c>
      <c r="B337" t="s">
        <v>186</v>
      </c>
      <c r="C337">
        <v>20</v>
      </c>
      <c r="D337">
        <v>10</v>
      </c>
      <c r="E337">
        <v>0</v>
      </c>
      <c r="F337" s="5" t="str">
        <f>HYPERLINK("https://axonsv.app.intel.com/apps/record-viewer?id=45e88150-1e87-47e2-8aaa-9034e955cc16","45e88150-1e87-47e2-8aaa-9034e955cc16")</f>
        <v>45e88150-1e87-47e2-8aaa-9034e955cc16</v>
      </c>
    </row>
    <row r="338" spans="1:6" x14ac:dyDescent="0.35">
      <c r="A338" t="s">
        <v>21</v>
      </c>
      <c r="B338" t="s">
        <v>203</v>
      </c>
      <c r="C338">
        <v>1</v>
      </c>
      <c r="D338">
        <v>4</v>
      </c>
      <c r="E338">
        <v>0</v>
      </c>
      <c r="F338" s="5" t="str">
        <f>HYPERLINK("https://axonsv.app.intel.com/apps/record-viewer?id=ccdf6eab-9d10-4833-ae4c-dc7d57a281f8","ccdf6eab-9d10-4833-ae4c-dc7d57a281f8")</f>
        <v>ccdf6eab-9d10-4833-ae4c-dc7d57a281f8</v>
      </c>
    </row>
    <row r="339" spans="1:6" x14ac:dyDescent="0.35">
      <c r="A339" t="s">
        <v>21</v>
      </c>
      <c r="B339" t="s">
        <v>125</v>
      </c>
      <c r="C339">
        <v>20</v>
      </c>
      <c r="D339">
        <v>10</v>
      </c>
      <c r="E339">
        <v>0</v>
      </c>
      <c r="F339" s="5" t="str">
        <f>HYPERLINK("https://axonsv.app.intel.com/apps/record-viewer?id=feed698b-a002-4b04-a706-a205e6baa551","feed698b-a002-4b04-a706-a205e6baa551")</f>
        <v>feed698b-a002-4b04-a706-a205e6baa551</v>
      </c>
    </row>
    <row r="340" spans="1:6" x14ac:dyDescent="0.35">
      <c r="A340" t="s">
        <v>229</v>
      </c>
      <c r="B340" t="s">
        <v>203</v>
      </c>
      <c r="C340">
        <v>1</v>
      </c>
      <c r="D340">
        <v>4</v>
      </c>
      <c r="E340">
        <v>0</v>
      </c>
      <c r="F340" s="5" t="str">
        <f>HYPERLINK("https://axonsv.app.intel.com/apps/record-viewer?id=f68f7e16-7722-4cd8-be78-d84ed73bc152","f68f7e16-7722-4cd8-be78-d84ed73bc152")</f>
        <v>f68f7e16-7722-4cd8-be78-d84ed73bc152</v>
      </c>
    </row>
    <row r="341" spans="1:6" x14ac:dyDescent="0.35">
      <c r="A341" t="s">
        <v>210</v>
      </c>
      <c r="B341" t="s">
        <v>125</v>
      </c>
      <c r="C341">
        <v>10</v>
      </c>
      <c r="D341">
        <v>13</v>
      </c>
      <c r="E341">
        <v>0</v>
      </c>
      <c r="F341" s="5" t="str">
        <f>HYPERLINK("https://axonsv.app.intel.com/apps/record-viewer?id=baa613b2-4262-4892-908e-86e4c47ef92b","baa613b2-4262-4892-908e-86e4c47ef92b")</f>
        <v>baa613b2-4262-4892-908e-86e4c47ef92b</v>
      </c>
    </row>
    <row r="342" spans="1:6" x14ac:dyDescent="0.35">
      <c r="A342" t="s">
        <v>210</v>
      </c>
      <c r="B342" t="s">
        <v>230</v>
      </c>
      <c r="C342">
        <v>10</v>
      </c>
      <c r="D342">
        <v>13</v>
      </c>
      <c r="E342">
        <v>0</v>
      </c>
      <c r="F342" s="5" t="str">
        <f>HYPERLINK("https://axonsv.app.intel.com/apps/record-viewer?id=019536af-289f-40fd-9b17-a67ea599801f","019536af-289f-40fd-9b17-a67ea599801f")</f>
        <v>019536af-289f-40fd-9b17-a67ea599801f</v>
      </c>
    </row>
    <row r="343" spans="1:6" x14ac:dyDescent="0.35">
      <c r="A343" t="s">
        <v>231</v>
      </c>
      <c r="B343" t="s">
        <v>232</v>
      </c>
      <c r="C343">
        <v>1</v>
      </c>
      <c r="D343">
        <v>4</v>
      </c>
      <c r="E343">
        <v>0</v>
      </c>
      <c r="F343" s="5" t="str">
        <f>HYPERLINK("https://axonsv.app.intel.com/apps/record-viewer?id=a2f9299a-292f-42a6-acdf-e5146ce8f1fa","a2f9299a-292f-42a6-acdf-e5146ce8f1fa")</f>
        <v>a2f9299a-292f-42a6-acdf-e5146ce8f1fa</v>
      </c>
    </row>
    <row r="344" spans="1:6" x14ac:dyDescent="0.35">
      <c r="A344" t="s">
        <v>189</v>
      </c>
      <c r="B344" t="s">
        <v>233</v>
      </c>
      <c r="C344">
        <v>19</v>
      </c>
      <c r="D344">
        <v>15</v>
      </c>
      <c r="E344">
        <v>0</v>
      </c>
      <c r="F344" s="5" t="str">
        <f>HYPERLINK("https://axonsv.app.intel.com/apps/record-viewer?id=fdc13ac4-4807-4b6d-9d00-fdb3a6325612","fdc13ac4-4807-4b6d-9d00-fdb3a6325612")</f>
        <v>fdc13ac4-4807-4b6d-9d00-fdb3a6325612</v>
      </c>
    </row>
    <row r="345" spans="1:6" x14ac:dyDescent="0.35">
      <c r="A345" t="s">
        <v>189</v>
      </c>
      <c r="B345" t="s">
        <v>234</v>
      </c>
      <c r="C345">
        <v>12</v>
      </c>
      <c r="D345">
        <v>16</v>
      </c>
      <c r="E345">
        <v>0</v>
      </c>
      <c r="F345" s="5" t="str">
        <f>HYPERLINK("https://axonsv.app.intel.com/apps/record-viewer?id=d4367b95-4dcf-443e-8a1f-9dcf44587e67","d4367b95-4dcf-443e-8a1f-9dcf44587e67")</f>
        <v>d4367b95-4dcf-443e-8a1f-9dcf44587e67</v>
      </c>
    </row>
    <row r="346" spans="1:6" x14ac:dyDescent="0.35">
      <c r="A346" t="s">
        <v>235</v>
      </c>
      <c r="B346" t="s">
        <v>236</v>
      </c>
      <c r="C346">
        <v>11</v>
      </c>
      <c r="D346">
        <v>15</v>
      </c>
      <c r="E346">
        <v>2</v>
      </c>
      <c r="F346" s="5" t="str">
        <f>HYPERLINK("https://axonsv.app.intel.com/apps/record-viewer?id=0141382d-8c34-420e-a1c5-a7c213d2d42a","0141382d-8c34-420e-a1c5-a7c213d2d42a")</f>
        <v>0141382d-8c34-420e-a1c5-a7c213d2d42a</v>
      </c>
    </row>
    <row r="347" spans="1:6" x14ac:dyDescent="0.35">
      <c r="A347" t="s">
        <v>210</v>
      </c>
      <c r="B347" t="s">
        <v>125</v>
      </c>
      <c r="C347">
        <v>10</v>
      </c>
      <c r="D347">
        <v>13</v>
      </c>
      <c r="E347">
        <v>0</v>
      </c>
      <c r="F347" s="5" t="str">
        <f>HYPERLINK("https://axonsv.app.intel.com/apps/record-viewer?id=6ab97a34-1302-4286-909d-e81361c7ea79","6ab97a34-1302-4286-909d-e81361c7ea79")</f>
        <v>6ab97a34-1302-4286-909d-e81361c7ea79</v>
      </c>
    </row>
    <row r="348" spans="1:6" x14ac:dyDescent="0.35">
      <c r="A348" t="s">
        <v>210</v>
      </c>
      <c r="B348" t="s">
        <v>186</v>
      </c>
      <c r="C348">
        <v>20</v>
      </c>
      <c r="D348">
        <v>10</v>
      </c>
      <c r="E348">
        <v>0</v>
      </c>
      <c r="F348" s="5" t="str">
        <f>HYPERLINK("https://axonsv.app.intel.com/apps/record-viewer?id=3215ea3f-be5e-423a-86b2-5fbff6ffc440","3215ea3f-be5e-423a-86b2-5fbff6ffc440")</f>
        <v>3215ea3f-be5e-423a-86b2-5fbff6ffc440</v>
      </c>
    </row>
    <row r="349" spans="1:6" x14ac:dyDescent="0.35">
      <c r="A349" t="s">
        <v>210</v>
      </c>
      <c r="B349" t="s">
        <v>211</v>
      </c>
      <c r="C349">
        <v>10</v>
      </c>
      <c r="D349">
        <v>13</v>
      </c>
      <c r="E349">
        <v>0</v>
      </c>
      <c r="F349" s="5" t="str">
        <f>HYPERLINK("https://axonsv.app.intel.com/apps/record-viewer?id=69df3c3d-9eb4-47ff-a1fc-7550906369cc","69df3c3d-9eb4-47ff-a1fc-7550906369cc")</f>
        <v>69df3c3d-9eb4-47ff-a1fc-7550906369cc</v>
      </c>
    </row>
    <row r="350" spans="1:6" x14ac:dyDescent="0.35">
      <c r="A350" t="s">
        <v>210</v>
      </c>
      <c r="B350" t="s">
        <v>211</v>
      </c>
      <c r="C350">
        <v>10</v>
      </c>
      <c r="D350">
        <v>13</v>
      </c>
      <c r="E350">
        <v>0</v>
      </c>
      <c r="F350" s="5" t="str">
        <f>HYPERLINK("https://axonsv.app.intel.com/apps/record-viewer?id=7f14f3a5-c39f-4386-aa65-24badce0f909","7f14f3a5-c39f-4386-aa65-24badce0f909")</f>
        <v>7f14f3a5-c39f-4386-aa65-24badce0f909</v>
      </c>
    </row>
    <row r="351" spans="1:6" x14ac:dyDescent="0.35">
      <c r="A351" t="s">
        <v>210</v>
      </c>
      <c r="B351" t="s">
        <v>125</v>
      </c>
      <c r="C351">
        <v>10</v>
      </c>
      <c r="D351">
        <v>13</v>
      </c>
      <c r="E351">
        <v>0</v>
      </c>
      <c r="F351" s="5" t="str">
        <f>HYPERLINK("https://axonsv.app.intel.com/apps/record-viewer?id=7a814025-fc98-4ad3-9f53-cda5506ea685","7a814025-fc98-4ad3-9f53-cda5506ea685")</f>
        <v>7a814025-fc98-4ad3-9f53-cda5506ea685</v>
      </c>
    </row>
    <row r="352" spans="1:6" x14ac:dyDescent="0.35">
      <c r="A352" t="s">
        <v>210</v>
      </c>
      <c r="B352" t="s">
        <v>186</v>
      </c>
      <c r="C352">
        <v>20</v>
      </c>
      <c r="D352">
        <v>10</v>
      </c>
      <c r="E352">
        <v>0</v>
      </c>
      <c r="F352" s="5" t="str">
        <f>HYPERLINK("https://axonsv.app.intel.com/apps/record-viewer?id=fed9c96e-d78b-403d-a91b-e54450215e12","fed9c96e-d78b-403d-a91b-e54450215e12")</f>
        <v>fed9c96e-d78b-403d-a91b-e54450215e12</v>
      </c>
    </row>
    <row r="353" spans="1:6" x14ac:dyDescent="0.35">
      <c r="A353" t="s">
        <v>237</v>
      </c>
      <c r="B353" t="s">
        <v>238</v>
      </c>
      <c r="C353">
        <v>11</v>
      </c>
      <c r="D353">
        <v>15</v>
      </c>
      <c r="E353">
        <v>2</v>
      </c>
      <c r="F353" s="5" t="str">
        <f>HYPERLINK("https://axonsv.app.intel.com/apps/record-viewer?id=d3515063-b0d7-4a82-b0a3-a8f73f830403","d3515063-b0d7-4a82-b0a3-a8f73f830403")</f>
        <v>d3515063-b0d7-4a82-b0a3-a8f73f830403</v>
      </c>
    </row>
    <row r="354" spans="1:6" x14ac:dyDescent="0.35">
      <c r="A354" t="s">
        <v>210</v>
      </c>
      <c r="B354" t="s">
        <v>239</v>
      </c>
      <c r="C354">
        <v>17</v>
      </c>
      <c r="D354">
        <v>20</v>
      </c>
      <c r="E354">
        <v>0</v>
      </c>
      <c r="F354" s="5" t="str">
        <f>HYPERLINK("https://axonsv.app.intel.com/apps/record-viewer?id=24294c25-4d15-4ae5-9753-9c17a976059e","24294c25-4d15-4ae5-9753-9c17a976059e")</f>
        <v>24294c25-4d15-4ae5-9753-9c17a976059e</v>
      </c>
    </row>
    <row r="355" spans="1:6" x14ac:dyDescent="0.35">
      <c r="A355" t="s">
        <v>210</v>
      </c>
      <c r="B355" t="s">
        <v>240</v>
      </c>
      <c r="C355">
        <v>17</v>
      </c>
      <c r="D355">
        <v>20</v>
      </c>
      <c r="E355">
        <v>0</v>
      </c>
      <c r="F355" s="5" t="str">
        <f>HYPERLINK("https://axonsv.app.intel.com/apps/record-viewer?id=caf82a4a-a27b-4d6c-8982-70fdddfe5cc6","caf82a4a-a27b-4d6c-8982-70fdddfe5cc6")</f>
        <v>caf82a4a-a27b-4d6c-8982-70fdddfe5cc6</v>
      </c>
    </row>
    <row r="356" spans="1:6" x14ac:dyDescent="0.35">
      <c r="A356" t="s">
        <v>210</v>
      </c>
      <c r="B356" t="s">
        <v>241</v>
      </c>
      <c r="C356">
        <v>17</v>
      </c>
      <c r="D356">
        <v>20</v>
      </c>
      <c r="E356">
        <v>0</v>
      </c>
      <c r="F356" s="5" t="str">
        <f>HYPERLINK("https://axonsv.app.intel.com/apps/record-viewer?id=ba6c204e-7618-4b9e-a9d2-a641a210b4a3","ba6c204e-7618-4b9e-a9d2-a641a210b4a3")</f>
        <v>ba6c204e-7618-4b9e-a9d2-a641a210b4a3</v>
      </c>
    </row>
    <row r="357" spans="1:6" x14ac:dyDescent="0.35">
      <c r="A357" t="s">
        <v>210</v>
      </c>
      <c r="B357" t="s">
        <v>186</v>
      </c>
      <c r="C357">
        <v>20</v>
      </c>
      <c r="D357">
        <v>10</v>
      </c>
      <c r="E357">
        <v>0</v>
      </c>
      <c r="F357" s="5" t="str">
        <f>HYPERLINK("https://axonsv.app.intel.com/apps/record-viewer?id=835d209e-d38b-4957-8178-45b2aace9f77","835d209e-d38b-4957-8178-45b2aace9f77")</f>
        <v>835d209e-d38b-4957-8178-45b2aace9f77</v>
      </c>
    </row>
    <row r="358" spans="1:6" x14ac:dyDescent="0.35">
      <c r="A358" t="s">
        <v>210</v>
      </c>
      <c r="B358" t="s">
        <v>242</v>
      </c>
      <c r="C358">
        <v>10</v>
      </c>
      <c r="D358">
        <v>13</v>
      </c>
      <c r="E358">
        <v>0</v>
      </c>
      <c r="F358" s="5" t="str">
        <f>HYPERLINK("https://axonsv.app.intel.com/apps/record-viewer?id=7e14c7c9-6a68-41e4-b45f-0903ab8272bc","7e14c7c9-6a68-41e4-b45f-0903ab8272bc")</f>
        <v>7e14c7c9-6a68-41e4-b45f-0903ab8272bc</v>
      </c>
    </row>
    <row r="359" spans="1:6" x14ac:dyDescent="0.35">
      <c r="A359" t="s">
        <v>210</v>
      </c>
      <c r="B359" t="s">
        <v>243</v>
      </c>
      <c r="C359">
        <v>1</v>
      </c>
      <c r="D359">
        <v>4</v>
      </c>
      <c r="E359">
        <v>0</v>
      </c>
      <c r="F359" s="5" t="str">
        <f>HYPERLINK("https://axonsv.app.intel.com/apps/record-viewer?id=d60aa796-6151-42db-9482-769615d5214f","d60aa796-6151-42db-9482-769615d5214f")</f>
        <v>d60aa796-6151-42db-9482-769615d5214f</v>
      </c>
    </row>
    <row r="360" spans="1:6" x14ac:dyDescent="0.35">
      <c r="A360" t="s">
        <v>244</v>
      </c>
      <c r="B360" t="s">
        <v>245</v>
      </c>
      <c r="C360">
        <v>11</v>
      </c>
      <c r="D360">
        <v>15</v>
      </c>
      <c r="E360">
        <v>2</v>
      </c>
      <c r="F360" s="5" t="str">
        <f>HYPERLINK("https://axonsv.app.intel.com/apps/record-viewer?id=8efca9e6-88e4-9b0c-3703-551d90d76497","8efca9e6-88e4-9b0c-3703-551d90d76497")</f>
        <v>8efca9e6-88e4-9b0c-3703-551d90d76497</v>
      </c>
    </row>
    <row r="361" spans="1:6" x14ac:dyDescent="0.35">
      <c r="A361" t="s">
        <v>219</v>
      </c>
      <c r="B361" t="s">
        <v>125</v>
      </c>
      <c r="C361">
        <v>20</v>
      </c>
      <c r="D361">
        <v>10</v>
      </c>
      <c r="E361">
        <v>0</v>
      </c>
      <c r="F361" s="5" t="str">
        <f>HYPERLINK("https://axonsv.app.intel.com/apps/record-viewer?id=0a161d18-8255-4a05-b731-1038de164fc5","0a161d18-8255-4a05-b731-1038de164fc5")</f>
        <v>0a161d18-8255-4a05-b731-1038de164fc5</v>
      </c>
    </row>
    <row r="362" spans="1:6" x14ac:dyDescent="0.35">
      <c r="A362" t="s">
        <v>210</v>
      </c>
      <c r="B362" t="s">
        <v>203</v>
      </c>
      <c r="C362">
        <v>1</v>
      </c>
      <c r="D362">
        <v>4</v>
      </c>
      <c r="E362">
        <v>0</v>
      </c>
      <c r="F362" s="5" t="str">
        <f>HYPERLINK("https://axonsv.app.intel.com/apps/record-viewer?id=c50b9f0a-a6be-4c93-a4ef-d4f223c0777d","c50b9f0a-a6be-4c93-a4ef-d4f223c0777d")</f>
        <v>c50b9f0a-a6be-4c93-a4ef-d4f223c0777d</v>
      </c>
    </row>
    <row r="363" spans="1:6" x14ac:dyDescent="0.35">
      <c r="A363" t="s">
        <v>210</v>
      </c>
      <c r="B363" t="s">
        <v>186</v>
      </c>
      <c r="C363">
        <v>20</v>
      </c>
      <c r="D363">
        <v>10</v>
      </c>
      <c r="E363">
        <v>0</v>
      </c>
      <c r="F363" s="5" t="str">
        <f>HYPERLINK("https://axonsv.app.intel.com/apps/record-viewer?id=8f260c16-f735-4d87-bb9f-ed22cca714e4","8f260c16-f735-4d87-bb9f-ed22cca714e4")</f>
        <v>8f260c16-f735-4d87-bb9f-ed22cca714e4</v>
      </c>
    </row>
    <row r="364" spans="1:6" x14ac:dyDescent="0.35">
      <c r="A364" t="s">
        <v>210</v>
      </c>
      <c r="B364" t="s">
        <v>186</v>
      </c>
      <c r="C364">
        <v>20</v>
      </c>
      <c r="D364">
        <v>10</v>
      </c>
      <c r="E364">
        <v>0</v>
      </c>
      <c r="F364" s="5" t="str">
        <f>HYPERLINK("https://axonsv.app.intel.com/apps/record-viewer?id=a2a3182b-a862-407e-a574-f98589c54762","a2a3182b-a862-407e-a574-f98589c54762")</f>
        <v>a2a3182b-a862-407e-a574-f98589c54762</v>
      </c>
    </row>
    <row r="365" spans="1:6" x14ac:dyDescent="0.35">
      <c r="A365" t="s">
        <v>246</v>
      </c>
      <c r="B365" t="s">
        <v>247</v>
      </c>
      <c r="C365">
        <v>15</v>
      </c>
      <c r="D365">
        <v>18</v>
      </c>
      <c r="E365">
        <v>0</v>
      </c>
      <c r="F365" s="5" t="str">
        <f>HYPERLINK("https://axonsv.app.intel.com/apps/record-viewer?id=cf2fc0bd-3c9a-7171-a0db-4ef4260a40e8","cf2fc0bd-3c9a-7171-a0db-4ef4260a40e8")</f>
        <v>cf2fc0bd-3c9a-7171-a0db-4ef4260a40e8</v>
      </c>
    </row>
    <row r="366" spans="1:6" x14ac:dyDescent="0.35">
      <c r="A366" t="s">
        <v>248</v>
      </c>
      <c r="B366" t="s">
        <v>249</v>
      </c>
      <c r="C366">
        <v>11</v>
      </c>
      <c r="D366">
        <v>15</v>
      </c>
      <c r="E366">
        <v>2</v>
      </c>
      <c r="F366" s="5" t="str">
        <f>HYPERLINK("https://axonsv.app.intel.com/apps/record-viewer?id=e8cdd525-ac99-4a51-800e-b25ac5024eaa","e8cdd525-ac99-4a51-800e-b25ac5024eaa")</f>
        <v>e8cdd525-ac99-4a51-800e-b25ac5024eaa</v>
      </c>
    </row>
    <row r="367" spans="1:6" x14ac:dyDescent="0.35">
      <c r="A367" t="s">
        <v>210</v>
      </c>
      <c r="B367" t="s">
        <v>243</v>
      </c>
      <c r="C367">
        <v>1</v>
      </c>
      <c r="D367">
        <v>4</v>
      </c>
      <c r="E367">
        <v>0</v>
      </c>
      <c r="F367" s="5" t="str">
        <f>HYPERLINK("https://axonsv.app.intel.com/apps/record-viewer?id=ddd15883-6633-4a92-a692-d819d9258b4d","ddd15883-6633-4a92-a692-d819d9258b4d")</f>
        <v>ddd15883-6633-4a92-a692-d819d9258b4d</v>
      </c>
    </row>
    <row r="368" spans="1:6" x14ac:dyDescent="0.35">
      <c r="A368" t="s">
        <v>250</v>
      </c>
      <c r="B368" t="s">
        <v>251</v>
      </c>
      <c r="C368">
        <v>11</v>
      </c>
      <c r="D368">
        <v>15</v>
      </c>
      <c r="E368">
        <v>2</v>
      </c>
      <c r="F368" s="5" t="str">
        <f>HYPERLINK("https://axonsv.app.intel.com/apps/record-viewer?id=64610ed9-6672-4b92-9006-4edef41ae244","64610ed9-6672-4b92-9006-4edef41ae244")</f>
        <v>64610ed9-6672-4b92-9006-4edef41ae244</v>
      </c>
    </row>
    <row r="369" spans="1:6" x14ac:dyDescent="0.35">
      <c r="A369" t="s">
        <v>210</v>
      </c>
      <c r="B369" t="s">
        <v>125</v>
      </c>
      <c r="C369">
        <v>10</v>
      </c>
      <c r="D369">
        <v>13</v>
      </c>
      <c r="E369">
        <v>0</v>
      </c>
      <c r="F369" s="5" t="str">
        <f>HYPERLINK("https://axonsv.app.intel.com/apps/record-viewer?id=200c3235-212b-49e8-97eb-53ae136dc8e2","200c3235-212b-49e8-97eb-53ae136dc8e2")</f>
        <v>200c3235-212b-49e8-97eb-53ae136dc8e2</v>
      </c>
    </row>
    <row r="370" spans="1:6" x14ac:dyDescent="0.35">
      <c r="A370" t="s">
        <v>210</v>
      </c>
      <c r="B370" t="s">
        <v>125</v>
      </c>
      <c r="C370">
        <v>10</v>
      </c>
      <c r="D370">
        <v>13</v>
      </c>
      <c r="E370">
        <v>0</v>
      </c>
      <c r="F370" s="5" t="str">
        <f>HYPERLINK("https://axonsv.app.intel.com/apps/record-viewer?id=74b8a996-ab40-4aec-976e-45dc46064f6c","74b8a996-ab40-4aec-976e-45dc46064f6c")</f>
        <v>74b8a996-ab40-4aec-976e-45dc46064f6c</v>
      </c>
    </row>
    <row r="371" spans="1:6" x14ac:dyDescent="0.35">
      <c r="A371" t="s">
        <v>176</v>
      </c>
      <c r="B371" t="s">
        <v>252</v>
      </c>
      <c r="C371">
        <v>11</v>
      </c>
      <c r="D371">
        <v>15</v>
      </c>
      <c r="E371">
        <v>2</v>
      </c>
      <c r="F371" s="5" t="str">
        <f>HYPERLINK("https://axonsv.app.intel.com/apps/record-viewer?id=77065083-2619-4da8-b92a-9cb9ada02f0a","77065083-2619-4da8-b92a-9cb9ada02f0a")</f>
        <v>77065083-2619-4da8-b92a-9cb9ada02f0a</v>
      </c>
    </row>
    <row r="372" spans="1:6" x14ac:dyDescent="0.35">
      <c r="A372" t="s">
        <v>210</v>
      </c>
      <c r="B372" t="s">
        <v>241</v>
      </c>
      <c r="C372">
        <v>17</v>
      </c>
      <c r="D372">
        <v>20</v>
      </c>
      <c r="E372">
        <v>0</v>
      </c>
      <c r="F372" s="5" t="str">
        <f>HYPERLINK("https://axonsv.app.intel.com/apps/record-viewer?id=2d33e658-8246-4aff-b28f-4054a7878aaa","2d33e658-8246-4aff-b28f-4054a7878aaa")</f>
        <v>2d33e658-8246-4aff-b28f-4054a7878aaa</v>
      </c>
    </row>
    <row r="373" spans="1:6" x14ac:dyDescent="0.35">
      <c r="A373" t="s">
        <v>210</v>
      </c>
      <c r="B373" t="s">
        <v>125</v>
      </c>
      <c r="C373">
        <v>10</v>
      </c>
      <c r="D373">
        <v>13</v>
      </c>
      <c r="E373">
        <v>0</v>
      </c>
      <c r="F373" s="5" t="str">
        <f>HYPERLINK("https://axonsv.app.intel.com/apps/record-viewer?id=0f3e39b4-a4f3-4344-97b9-52e7d4bbc79a","0f3e39b4-a4f3-4344-97b9-52e7d4bbc79a")</f>
        <v>0f3e39b4-a4f3-4344-97b9-52e7d4bbc79a</v>
      </c>
    </row>
    <row r="374" spans="1:6" x14ac:dyDescent="0.35">
      <c r="A374" t="s">
        <v>210</v>
      </c>
      <c r="B374" t="s">
        <v>186</v>
      </c>
      <c r="C374">
        <v>20</v>
      </c>
      <c r="D374">
        <v>10</v>
      </c>
      <c r="E374">
        <v>0</v>
      </c>
      <c r="F374" s="5" t="str">
        <f>HYPERLINK("https://axonsv.app.intel.com/apps/record-viewer?id=5e36967e-48c6-4f54-972e-c4ab4395ff1b","5e36967e-48c6-4f54-972e-c4ab4395ff1b")</f>
        <v>5e36967e-48c6-4f54-972e-c4ab4395ff1b</v>
      </c>
    </row>
    <row r="375" spans="1:6" x14ac:dyDescent="0.35">
      <c r="A375" t="s">
        <v>253</v>
      </c>
      <c r="B375" t="s">
        <v>254</v>
      </c>
      <c r="C375">
        <v>11</v>
      </c>
      <c r="D375">
        <v>15</v>
      </c>
      <c r="E375">
        <v>2</v>
      </c>
      <c r="F375" s="5" t="str">
        <f>HYPERLINK("https://axonsv.app.intel.com/apps/record-viewer?id=c88e8e42-72e3-44b3-9379-c401258447b7","c88e8e42-72e3-44b3-9379-c401258447b7")</f>
        <v>c88e8e42-72e3-44b3-9379-c401258447b7</v>
      </c>
    </row>
    <row r="376" spans="1:6" x14ac:dyDescent="0.35">
      <c r="A376" t="s">
        <v>210</v>
      </c>
      <c r="B376" t="s">
        <v>186</v>
      </c>
      <c r="C376">
        <v>20</v>
      </c>
      <c r="D376">
        <v>10</v>
      </c>
      <c r="E376">
        <v>0</v>
      </c>
      <c r="F376" s="5" t="str">
        <f>HYPERLINK("https://axonsv.app.intel.com/apps/record-viewer?id=a8f7cd0d-4794-4f61-9f92-8aaa961ea969","a8f7cd0d-4794-4f61-9f92-8aaa961ea969")</f>
        <v>a8f7cd0d-4794-4f61-9f92-8aaa961ea969</v>
      </c>
    </row>
    <row r="377" spans="1:6" x14ac:dyDescent="0.35">
      <c r="A377" t="s">
        <v>253</v>
      </c>
      <c r="B377" t="s">
        <v>255</v>
      </c>
      <c r="C377">
        <v>11</v>
      </c>
      <c r="D377">
        <v>15</v>
      </c>
      <c r="E377">
        <v>2</v>
      </c>
      <c r="F377" s="5" t="str">
        <f>HYPERLINK("https://axonsv.app.intel.com/apps/record-viewer?id=513c8630-497e-4d0b-b1fb-3fd77e55a0ef","513c8630-497e-4d0b-b1fb-3fd77e55a0ef")</f>
        <v>513c8630-497e-4d0b-b1fb-3fd77e55a0ef</v>
      </c>
    </row>
    <row r="378" spans="1:6" x14ac:dyDescent="0.35">
      <c r="A378" t="s">
        <v>21</v>
      </c>
      <c r="B378" t="s">
        <v>243</v>
      </c>
      <c r="C378">
        <v>1</v>
      </c>
      <c r="D378">
        <v>4</v>
      </c>
      <c r="E378">
        <v>0</v>
      </c>
      <c r="F378" s="5" t="str">
        <f>HYPERLINK("https://axonsv.app.intel.com/apps/record-viewer?id=d05a80b0-d1d8-4a28-9c02-24ad29a0f57c","d05a80b0-d1d8-4a28-9c02-24ad29a0f57c")</f>
        <v>d05a80b0-d1d8-4a28-9c02-24ad29a0f57c</v>
      </c>
    </row>
    <row r="379" spans="1:6" x14ac:dyDescent="0.35">
      <c r="A379" t="s">
        <v>210</v>
      </c>
      <c r="B379" t="s">
        <v>203</v>
      </c>
      <c r="C379">
        <v>1</v>
      </c>
      <c r="D379">
        <v>4</v>
      </c>
      <c r="E379">
        <v>0</v>
      </c>
      <c r="F379" s="5" t="str">
        <f>HYPERLINK("https://axonsv.app.intel.com/apps/record-viewer?id=6514a8c1-3361-4ae4-b4df-debaf73d619c","6514a8c1-3361-4ae4-b4df-debaf73d619c")</f>
        <v>6514a8c1-3361-4ae4-b4df-debaf73d619c</v>
      </c>
    </row>
    <row r="380" spans="1:6" x14ac:dyDescent="0.35">
      <c r="A380" t="s">
        <v>256</v>
      </c>
      <c r="B380" t="s">
        <v>257</v>
      </c>
      <c r="C380">
        <v>11</v>
      </c>
      <c r="D380">
        <v>15</v>
      </c>
      <c r="E380">
        <v>2</v>
      </c>
      <c r="F380" s="5" t="str">
        <f>HYPERLINK("https://axonsv.app.intel.com/apps/record-viewer?id=74306b6a-a7aa-47c2-bd3d-729c058fbc49","74306b6a-a7aa-47c2-bd3d-729c058fbc49")</f>
        <v>74306b6a-a7aa-47c2-bd3d-729c058fbc49</v>
      </c>
    </row>
    <row r="381" spans="1:6" x14ac:dyDescent="0.35">
      <c r="A381" t="s">
        <v>21</v>
      </c>
      <c r="B381" t="s">
        <v>258</v>
      </c>
      <c r="C381">
        <v>10</v>
      </c>
      <c r="D381">
        <v>13</v>
      </c>
      <c r="E381">
        <v>1</v>
      </c>
      <c r="F381" s="5" t="str">
        <f>HYPERLINK("https://axonsv.app.intel.com/apps/record-viewer?id=b523a193-5961-4428-a368-348a9c0f0720","b523a193-5961-4428-a368-348a9c0f0720")</f>
        <v>b523a193-5961-4428-a368-348a9c0f0720</v>
      </c>
    </row>
    <row r="382" spans="1:6" x14ac:dyDescent="0.35">
      <c r="A382" t="s">
        <v>259</v>
      </c>
      <c r="B382" t="s">
        <v>260</v>
      </c>
      <c r="C382">
        <v>11</v>
      </c>
      <c r="D382">
        <v>15</v>
      </c>
      <c r="E382">
        <v>2</v>
      </c>
      <c r="F382" s="5" t="str">
        <f>HYPERLINK("https://axonsv.app.intel.com/apps/record-viewer?id=a077be47-04bf-4b36-b309-fb20df924426","a077be47-04bf-4b36-b309-fb20df924426")</f>
        <v>a077be47-04bf-4b36-b309-fb20df924426</v>
      </c>
    </row>
    <row r="383" spans="1:6" x14ac:dyDescent="0.35">
      <c r="A383" t="s">
        <v>210</v>
      </c>
      <c r="B383" t="s">
        <v>261</v>
      </c>
      <c r="C383">
        <v>14</v>
      </c>
      <c r="D383">
        <v>10</v>
      </c>
      <c r="E383">
        <v>1</v>
      </c>
      <c r="F383" s="5" t="str">
        <f>HYPERLINK("https://axonsv.app.intel.com/apps/record-viewer?id=278ea4ce-792f-43f9-a500-2da9cf7fd38d","278ea4ce-792f-43f9-a500-2da9cf7fd38d")</f>
        <v>278ea4ce-792f-43f9-a500-2da9cf7fd38d</v>
      </c>
    </row>
    <row r="384" spans="1:6" x14ac:dyDescent="0.35">
      <c r="A384" t="s">
        <v>250</v>
      </c>
      <c r="B384" t="s">
        <v>262</v>
      </c>
      <c r="C384">
        <v>11</v>
      </c>
      <c r="D384">
        <v>15</v>
      </c>
      <c r="E384">
        <v>2</v>
      </c>
      <c r="F384" s="5" t="str">
        <f>HYPERLINK("https://axonsv.app.intel.com/apps/record-viewer?id=1588df0e-0744-4f79-ab64-51221333b449","1588df0e-0744-4f79-ab64-51221333b449")</f>
        <v>1588df0e-0744-4f79-ab64-51221333b449</v>
      </c>
    </row>
    <row r="385" spans="1:6" x14ac:dyDescent="0.35">
      <c r="A385" t="s">
        <v>210</v>
      </c>
      <c r="B385" t="s">
        <v>240</v>
      </c>
      <c r="C385">
        <v>17</v>
      </c>
      <c r="D385">
        <v>20</v>
      </c>
      <c r="E385">
        <v>0</v>
      </c>
      <c r="F385" s="5" t="str">
        <f>HYPERLINK("https://axonsv.app.intel.com/apps/record-viewer?id=208a7421-36b8-428d-a9b6-307dcc25c1dc","208a7421-36b8-428d-a9b6-307dcc25c1dc")</f>
        <v>208a7421-36b8-428d-a9b6-307dcc25c1dc</v>
      </c>
    </row>
    <row r="386" spans="1:6" x14ac:dyDescent="0.35">
      <c r="A386" t="s">
        <v>246</v>
      </c>
      <c r="B386" t="s">
        <v>263</v>
      </c>
      <c r="C386">
        <v>11</v>
      </c>
      <c r="D386">
        <v>15</v>
      </c>
      <c r="E386">
        <v>2</v>
      </c>
      <c r="F386" s="5" t="str">
        <f>HYPERLINK("https://axonsv.app.intel.com/apps/record-viewer?id=9925c57b-b904-47e5-b6c6-05c60413541a","9925c57b-b904-47e5-b6c6-05c60413541a")</f>
        <v>9925c57b-b904-47e5-b6c6-05c60413541a</v>
      </c>
    </row>
    <row r="387" spans="1:6" x14ac:dyDescent="0.35">
      <c r="A387" t="s">
        <v>246</v>
      </c>
      <c r="B387" t="s">
        <v>264</v>
      </c>
      <c r="C387">
        <v>11</v>
      </c>
      <c r="D387">
        <v>15</v>
      </c>
      <c r="E387">
        <v>2</v>
      </c>
      <c r="F387" s="5" t="str">
        <f>HYPERLINK("https://axonsv.app.intel.com/apps/record-viewer?id=c90ec9c4-4b6f-9ab9-c67d-d982f6e50314","c90ec9c4-4b6f-9ab9-c67d-d982f6e50314")</f>
        <v>c90ec9c4-4b6f-9ab9-c67d-d982f6e50314</v>
      </c>
    </row>
    <row r="388" spans="1:6" x14ac:dyDescent="0.35">
      <c r="A388" t="s">
        <v>265</v>
      </c>
      <c r="B388" t="s">
        <v>266</v>
      </c>
      <c r="C388">
        <v>11</v>
      </c>
      <c r="D388">
        <v>15</v>
      </c>
      <c r="E388">
        <v>2</v>
      </c>
      <c r="F388" s="5" t="str">
        <f>HYPERLINK("https://axonsv.app.intel.com/apps/record-viewer?id=5b4255ca-9371-4997-a60b-38ee914d3d5a","5b4255ca-9371-4997-a60b-38ee914d3d5a")</f>
        <v>5b4255ca-9371-4997-a60b-38ee914d3d5a</v>
      </c>
    </row>
    <row r="389" spans="1:6" x14ac:dyDescent="0.35">
      <c r="A389" t="s">
        <v>256</v>
      </c>
      <c r="B389" t="s">
        <v>267</v>
      </c>
      <c r="C389">
        <v>11</v>
      </c>
      <c r="D389">
        <v>15</v>
      </c>
      <c r="E389">
        <v>2</v>
      </c>
      <c r="F389" s="5" t="str">
        <f>HYPERLINK("https://axonsv.app.intel.com/apps/record-viewer?id=4ef596c5-b09d-4b0d-8f49-69e39a599bd2","4ef596c5-b09d-4b0d-8f49-69e39a599bd2")</f>
        <v>4ef596c5-b09d-4b0d-8f49-69e39a599bd2</v>
      </c>
    </row>
    <row r="390" spans="1:6" x14ac:dyDescent="0.35">
      <c r="A390" t="s">
        <v>268</v>
      </c>
      <c r="B390" t="s">
        <v>269</v>
      </c>
      <c r="C390">
        <v>11</v>
      </c>
      <c r="D390">
        <v>15</v>
      </c>
      <c r="E390">
        <v>2</v>
      </c>
      <c r="F390" s="5" t="str">
        <f>HYPERLINK("https://axonsv.app.intel.com/apps/record-viewer?id=cdc156a8-1e07-4790-b829-b106df98b8f1","cdc156a8-1e07-4790-b829-b106df98b8f1")</f>
        <v>cdc156a8-1e07-4790-b829-b106df98b8f1</v>
      </c>
    </row>
    <row r="391" spans="1:6" x14ac:dyDescent="0.35">
      <c r="A391" t="s">
        <v>210</v>
      </c>
      <c r="B391" t="s">
        <v>186</v>
      </c>
      <c r="C391">
        <v>20</v>
      </c>
      <c r="D391">
        <v>10</v>
      </c>
      <c r="E391">
        <v>0</v>
      </c>
      <c r="F391" s="5" t="str">
        <f>HYPERLINK("https://axonsv.app.intel.com/apps/record-viewer?id=c97026c7-d546-4c0e-b0af-8fd3b166d0f0","c97026c7-d546-4c0e-b0af-8fd3b166d0f0")</f>
        <v>c97026c7-d546-4c0e-b0af-8fd3b166d0f0</v>
      </c>
    </row>
    <row r="392" spans="1:6" x14ac:dyDescent="0.35">
      <c r="A392" t="s">
        <v>210</v>
      </c>
      <c r="B392" t="s">
        <v>186</v>
      </c>
      <c r="C392">
        <v>20</v>
      </c>
      <c r="D392">
        <v>10</v>
      </c>
      <c r="E392">
        <v>0</v>
      </c>
      <c r="F392" s="5" t="str">
        <f>HYPERLINK("https://axonsv.app.intel.com/apps/record-viewer?id=d5b78027-62a9-4b76-b032-4cd9d71962a8","d5b78027-62a9-4b76-b032-4cd9d71962a8")</f>
        <v>d5b78027-62a9-4b76-b032-4cd9d71962a8</v>
      </c>
    </row>
    <row r="393" spans="1:6" x14ac:dyDescent="0.35">
      <c r="A393" t="s">
        <v>270</v>
      </c>
      <c r="B393" t="s">
        <v>261</v>
      </c>
      <c r="C393">
        <v>14</v>
      </c>
      <c r="D393">
        <v>10</v>
      </c>
      <c r="E393">
        <v>1</v>
      </c>
      <c r="F393" s="5" t="str">
        <f>HYPERLINK("https://axonsv.app.intel.com/apps/record-viewer?id=9a70f572-daa5-4ee8-a904-ecda4de8ae6b","9a70f572-daa5-4ee8-a904-ecda4de8ae6b")</f>
        <v>9a70f572-daa5-4ee8-a904-ecda4de8ae6b</v>
      </c>
    </row>
    <row r="394" spans="1:6" x14ac:dyDescent="0.35">
      <c r="A394" t="s">
        <v>210</v>
      </c>
      <c r="B394" t="s">
        <v>125</v>
      </c>
      <c r="C394">
        <v>10</v>
      </c>
      <c r="D394">
        <v>13</v>
      </c>
      <c r="E394">
        <v>0</v>
      </c>
      <c r="F394" s="5" t="str">
        <f>HYPERLINK("https://axonsv.app.intel.com/apps/record-viewer?id=a7afa5a8-66bd-46ef-b33a-a903e4f7dd35","a7afa5a8-66bd-46ef-b33a-a903e4f7dd35")</f>
        <v>a7afa5a8-66bd-46ef-b33a-a903e4f7dd35</v>
      </c>
    </row>
    <row r="395" spans="1:6" x14ac:dyDescent="0.35">
      <c r="A395" t="s">
        <v>271</v>
      </c>
      <c r="B395" t="s">
        <v>272</v>
      </c>
      <c r="C395">
        <v>14</v>
      </c>
      <c r="D395">
        <v>10</v>
      </c>
      <c r="E395">
        <v>1</v>
      </c>
      <c r="F395" s="5" t="str">
        <f>HYPERLINK("https://axonsv.app.intel.com/apps/record-viewer?id=bc078d78-703f-47bb-a890-71a10157dcc6","bc078d78-703f-47bb-a890-71a10157dcc6")</f>
        <v>bc078d78-703f-47bb-a890-71a10157dcc6</v>
      </c>
    </row>
    <row r="396" spans="1:6" x14ac:dyDescent="0.35">
      <c r="A396" t="s">
        <v>210</v>
      </c>
      <c r="B396" t="s">
        <v>261</v>
      </c>
      <c r="C396">
        <v>14</v>
      </c>
      <c r="D396">
        <v>10</v>
      </c>
      <c r="E396">
        <v>1</v>
      </c>
      <c r="F396" s="5" t="str">
        <f>HYPERLINK("https://axonsv.app.intel.com/apps/record-viewer?id=b6c756ef-f29f-48b0-b7a1-6a8904f10227","b6c756ef-f29f-48b0-b7a1-6a8904f10227")</f>
        <v>b6c756ef-f29f-48b0-b7a1-6a8904f10227</v>
      </c>
    </row>
    <row r="397" spans="1:6" x14ac:dyDescent="0.35">
      <c r="A397" t="s">
        <v>210</v>
      </c>
      <c r="B397" t="s">
        <v>125</v>
      </c>
      <c r="C397">
        <v>10</v>
      </c>
      <c r="D397">
        <v>13</v>
      </c>
      <c r="E397">
        <v>0</v>
      </c>
      <c r="F397" s="5" t="str">
        <f>HYPERLINK("https://axonsv.app.intel.com/apps/record-viewer?id=629a0759-29ca-4950-a131-d1b5ad97b2a0","629a0759-29ca-4950-a131-d1b5ad97b2a0")</f>
        <v>629a0759-29ca-4950-a131-d1b5ad97b2a0</v>
      </c>
    </row>
    <row r="398" spans="1:6" x14ac:dyDescent="0.35">
      <c r="A398" t="s">
        <v>273</v>
      </c>
      <c r="B398" t="s">
        <v>186</v>
      </c>
      <c r="C398">
        <v>20</v>
      </c>
      <c r="D398">
        <v>10</v>
      </c>
      <c r="E398">
        <v>0</v>
      </c>
      <c r="F398" s="5" t="str">
        <f>HYPERLINK("https://axonsv.app.intel.com/apps/record-viewer?id=dbc4d9ca-5ab7-4c9a-b80c-79a56fbafdec","dbc4d9ca-5ab7-4c9a-b80c-79a56fbafdec")</f>
        <v>dbc4d9ca-5ab7-4c9a-b80c-79a56fbafdec</v>
      </c>
    </row>
    <row r="399" spans="1:6" x14ac:dyDescent="0.35">
      <c r="A399" t="s">
        <v>210</v>
      </c>
      <c r="B399" t="s">
        <v>261</v>
      </c>
      <c r="C399">
        <v>14</v>
      </c>
      <c r="D399">
        <v>10</v>
      </c>
      <c r="E399">
        <v>1</v>
      </c>
      <c r="F399" s="5" t="str">
        <f>HYPERLINK("https://axonsv.app.intel.com/apps/record-viewer?id=9b2efb3b-67bf-44e2-8d03-b6c4594a2650","9b2efb3b-67bf-44e2-8d03-b6c4594a2650")</f>
        <v>9b2efb3b-67bf-44e2-8d03-b6c4594a2650</v>
      </c>
    </row>
    <row r="400" spans="1:6" x14ac:dyDescent="0.35">
      <c r="A400" t="s">
        <v>274</v>
      </c>
      <c r="B400" t="s">
        <v>275</v>
      </c>
      <c r="C400">
        <v>11</v>
      </c>
      <c r="D400">
        <v>15</v>
      </c>
      <c r="E400">
        <v>2</v>
      </c>
      <c r="F400" s="5" t="str">
        <f>HYPERLINK("https://axonsv.app.intel.com/apps/record-viewer?id=9385e7a1-7e31-4f14-b9a6-e7c35c72308b","9385e7a1-7e31-4f14-b9a6-e7c35c72308b")</f>
        <v>9385e7a1-7e31-4f14-b9a6-e7c35c72308b</v>
      </c>
    </row>
    <row r="401" spans="1:6" x14ac:dyDescent="0.35">
      <c r="A401" t="s">
        <v>276</v>
      </c>
      <c r="B401" t="s">
        <v>277</v>
      </c>
      <c r="C401">
        <v>12</v>
      </c>
      <c r="D401">
        <v>16</v>
      </c>
      <c r="E401">
        <v>1</v>
      </c>
      <c r="F401" s="5" t="str">
        <f>HYPERLINK("https://axonsv.app.intel.com/apps/record-viewer?id=14177c58-11c5-494b-9a62-b8ccf4b4192c","14177c58-11c5-494b-9a62-b8ccf4b4192c")</f>
        <v>14177c58-11c5-494b-9a62-b8ccf4b4192c</v>
      </c>
    </row>
    <row r="402" spans="1:6" x14ac:dyDescent="0.35">
      <c r="A402" t="s">
        <v>210</v>
      </c>
      <c r="B402" t="s">
        <v>241</v>
      </c>
      <c r="C402">
        <v>17</v>
      </c>
      <c r="D402">
        <v>20</v>
      </c>
      <c r="E402">
        <v>0</v>
      </c>
      <c r="F402" s="5" t="str">
        <f>HYPERLINK("https://axonsv.app.intel.com/apps/record-viewer?id=e9d25787-6400-4f32-97d5-7c0505f92e13","e9d25787-6400-4f32-97d5-7c0505f92e13")</f>
        <v>e9d25787-6400-4f32-97d5-7c0505f92e13</v>
      </c>
    </row>
    <row r="403" spans="1:6" x14ac:dyDescent="0.35">
      <c r="A403" t="s">
        <v>210</v>
      </c>
      <c r="B403" t="s">
        <v>261</v>
      </c>
      <c r="C403">
        <v>14</v>
      </c>
      <c r="D403">
        <v>10</v>
      </c>
      <c r="E403">
        <v>1</v>
      </c>
      <c r="F403" s="5" t="str">
        <f>HYPERLINK("https://axonsv.app.intel.com/apps/record-viewer?id=5a68c4d1-d463-46af-8f3e-e9b9bf138266","5a68c4d1-d463-46af-8f3e-e9b9bf138266")</f>
        <v>5a68c4d1-d463-46af-8f3e-e9b9bf138266</v>
      </c>
    </row>
    <row r="404" spans="1:6" x14ac:dyDescent="0.35">
      <c r="A404" t="s">
        <v>210</v>
      </c>
      <c r="B404" t="s">
        <v>125</v>
      </c>
      <c r="C404">
        <v>10</v>
      </c>
      <c r="D404">
        <v>13</v>
      </c>
      <c r="E404">
        <v>0</v>
      </c>
      <c r="F404" s="5" t="str">
        <f>HYPERLINK("https://axonsv.app.intel.com/apps/record-viewer?id=54b6af85-6c08-4d6f-a677-1dbff268a6fa","54b6af85-6c08-4d6f-a677-1dbff268a6fa")</f>
        <v>54b6af85-6c08-4d6f-a677-1dbff268a6fa</v>
      </c>
    </row>
    <row r="405" spans="1:6" x14ac:dyDescent="0.35">
      <c r="A405" t="s">
        <v>210</v>
      </c>
      <c r="B405" t="s">
        <v>125</v>
      </c>
      <c r="C405">
        <v>10</v>
      </c>
      <c r="D405">
        <v>13</v>
      </c>
      <c r="E405">
        <v>0</v>
      </c>
      <c r="F405" s="5" t="str">
        <f>HYPERLINK("https://axonsv.app.intel.com/apps/record-viewer?id=2f981d02-94cd-4226-bb02-bcc972f63e65","2f981d02-94cd-4226-bb02-bcc972f63e65")</f>
        <v>2f981d02-94cd-4226-bb02-bcc972f63e65</v>
      </c>
    </row>
    <row r="406" spans="1:6" x14ac:dyDescent="0.35">
      <c r="A406" t="s">
        <v>278</v>
      </c>
      <c r="B406" t="s">
        <v>279</v>
      </c>
      <c r="C406">
        <v>11</v>
      </c>
      <c r="D406">
        <v>15</v>
      </c>
      <c r="E406">
        <v>2</v>
      </c>
      <c r="F406" s="5" t="str">
        <f>HYPERLINK("https://axonsv.app.intel.com/apps/record-viewer?id=294cd210-cbc1-46f3-a0c9-c3d2f226a1a4","294cd210-cbc1-46f3-a0c9-c3d2f226a1a4")</f>
        <v>294cd210-cbc1-46f3-a0c9-c3d2f226a1a4</v>
      </c>
    </row>
    <row r="407" spans="1:6" x14ac:dyDescent="0.35">
      <c r="A407" t="s">
        <v>210</v>
      </c>
      <c r="B407" t="s">
        <v>186</v>
      </c>
      <c r="C407">
        <v>20</v>
      </c>
      <c r="D407">
        <v>10</v>
      </c>
      <c r="E407">
        <v>0</v>
      </c>
      <c r="F407" s="5" t="str">
        <f>HYPERLINK("https://axonsv.app.intel.com/apps/record-viewer?id=d4f49b9f-a3b8-490c-be13-1fde01e1e20a","d4f49b9f-a3b8-490c-be13-1fde01e1e20a")</f>
        <v>d4f49b9f-a3b8-490c-be13-1fde01e1e20a</v>
      </c>
    </row>
    <row r="408" spans="1:6" x14ac:dyDescent="0.35">
      <c r="A408" t="s">
        <v>210</v>
      </c>
      <c r="B408" t="s">
        <v>261</v>
      </c>
      <c r="C408">
        <v>14</v>
      </c>
      <c r="D408">
        <v>10</v>
      </c>
      <c r="E408">
        <v>1</v>
      </c>
      <c r="F408" s="5" t="str">
        <f>HYPERLINK("https://axonsv.app.intel.com/apps/record-viewer?id=7b50b26b-0b06-4698-bea5-015eb412a90c","7b50b26b-0b06-4698-bea5-015eb412a90c")</f>
        <v>7b50b26b-0b06-4698-bea5-015eb412a90c</v>
      </c>
    </row>
    <row r="409" spans="1:6" x14ac:dyDescent="0.35">
      <c r="A409" t="s">
        <v>210</v>
      </c>
      <c r="B409" t="s">
        <v>186</v>
      </c>
      <c r="C409">
        <v>20</v>
      </c>
      <c r="D409">
        <v>10</v>
      </c>
      <c r="E409">
        <v>0</v>
      </c>
      <c r="F409" s="5" t="str">
        <f>HYPERLINK("https://axonsv.app.intel.com/apps/record-viewer?id=fb9ca07c-869c-4629-9f4e-bb2b79c78143","fb9ca07c-869c-4629-9f4e-bb2b79c78143")</f>
        <v>fb9ca07c-869c-4629-9f4e-bb2b79c78143</v>
      </c>
    </row>
    <row r="410" spans="1:6" x14ac:dyDescent="0.35">
      <c r="A410" t="s">
        <v>280</v>
      </c>
      <c r="B410" t="s">
        <v>281</v>
      </c>
      <c r="C410">
        <v>11</v>
      </c>
      <c r="D410">
        <v>15</v>
      </c>
      <c r="E410">
        <v>2</v>
      </c>
      <c r="F410" s="5" t="str">
        <f>HYPERLINK("https://axonsv.app.intel.com/apps/record-viewer?id=270a5e18-91ef-4c5f-8de6-be716275537c","270a5e18-91ef-4c5f-8de6-be716275537c")</f>
        <v>270a5e18-91ef-4c5f-8de6-be716275537c</v>
      </c>
    </row>
    <row r="411" spans="1:6" x14ac:dyDescent="0.35">
      <c r="A411" t="s">
        <v>210</v>
      </c>
      <c r="B411" t="s">
        <v>261</v>
      </c>
      <c r="C411">
        <v>14</v>
      </c>
      <c r="D411">
        <v>10</v>
      </c>
      <c r="E411">
        <v>1</v>
      </c>
      <c r="F411" s="5" t="str">
        <f>HYPERLINK("https://axonsv.app.intel.com/apps/record-viewer?id=c79efd0a-3bd2-49a7-9243-f2d14cf255b3","c79efd0a-3bd2-49a7-9243-f2d14cf255b3")</f>
        <v>c79efd0a-3bd2-49a7-9243-f2d14cf255b3</v>
      </c>
    </row>
    <row r="412" spans="1:6" x14ac:dyDescent="0.35">
      <c r="A412" t="s">
        <v>282</v>
      </c>
      <c r="B412" t="s">
        <v>283</v>
      </c>
      <c r="C412">
        <v>11</v>
      </c>
      <c r="D412">
        <v>15</v>
      </c>
      <c r="E412">
        <v>2</v>
      </c>
      <c r="F412" s="5" t="str">
        <f>HYPERLINK("https://axonsv.app.intel.com/apps/record-viewer?id=7dfefc91-2307-4872-8fc3-5ca795dab531","7dfefc91-2307-4872-8fc3-5ca795dab531")</f>
        <v>7dfefc91-2307-4872-8fc3-5ca795dab531</v>
      </c>
    </row>
    <row r="413" spans="1:6" x14ac:dyDescent="0.35">
      <c r="A413" t="s">
        <v>284</v>
      </c>
      <c r="B413" t="s">
        <v>285</v>
      </c>
      <c r="C413">
        <v>11</v>
      </c>
      <c r="D413">
        <v>15</v>
      </c>
      <c r="E413">
        <v>2</v>
      </c>
      <c r="F413" s="5" t="str">
        <f>HYPERLINK("https://axonsv.app.intel.com/apps/record-viewer?id=e2bac2b4-e317-4590-af88-6669083845d8","e2bac2b4-e317-4590-af88-6669083845d8")</f>
        <v>e2bac2b4-e317-4590-af88-6669083845d8</v>
      </c>
    </row>
    <row r="414" spans="1:6" x14ac:dyDescent="0.35">
      <c r="A414" t="s">
        <v>210</v>
      </c>
      <c r="B414" t="s">
        <v>243</v>
      </c>
      <c r="C414">
        <v>1</v>
      </c>
      <c r="D414">
        <v>4</v>
      </c>
      <c r="E414">
        <v>0</v>
      </c>
      <c r="F414" s="5" t="str">
        <f>HYPERLINK("https://axonsv.app.intel.com/apps/record-viewer?id=e9784a72-9656-443a-a5b7-d3e18261e0f0","e9784a72-9656-443a-a5b7-d3e18261e0f0")</f>
        <v>e9784a72-9656-443a-a5b7-d3e18261e0f0</v>
      </c>
    </row>
    <row r="415" spans="1:6" x14ac:dyDescent="0.35">
      <c r="A415" t="s">
        <v>286</v>
      </c>
      <c r="B415" t="s">
        <v>287</v>
      </c>
      <c r="C415">
        <v>18</v>
      </c>
      <c r="D415">
        <v>14</v>
      </c>
      <c r="E415">
        <v>0</v>
      </c>
      <c r="F415" s="5" t="str">
        <f>HYPERLINK("https://axonsv.app.intel.com/apps/record-viewer?id=b81e1f7c-6897-133f-e853-f2ac34445854","b81e1f7c-6897-133f-e853-f2ac34445854")</f>
        <v>b81e1f7c-6897-133f-e853-f2ac34445854</v>
      </c>
    </row>
    <row r="416" spans="1:6" x14ac:dyDescent="0.35">
      <c r="A416" t="s">
        <v>288</v>
      </c>
      <c r="B416" t="s">
        <v>203</v>
      </c>
      <c r="C416">
        <v>1</v>
      </c>
      <c r="D416">
        <v>4</v>
      </c>
      <c r="E416">
        <v>0</v>
      </c>
      <c r="F416" s="5" t="str">
        <f>HYPERLINK("https://axonsv.app.intel.com/apps/record-viewer?id=8a4d6176-df72-48fb-a0bb-be3d288e1ddb","8a4d6176-df72-48fb-a0bb-be3d288e1ddb")</f>
        <v>8a4d6176-df72-48fb-a0bb-be3d288e1ddb</v>
      </c>
    </row>
    <row r="417" spans="1:6" x14ac:dyDescent="0.35">
      <c r="A417" t="s">
        <v>210</v>
      </c>
      <c r="B417" t="s">
        <v>289</v>
      </c>
      <c r="C417">
        <v>10</v>
      </c>
      <c r="D417">
        <v>12</v>
      </c>
      <c r="E417">
        <v>1</v>
      </c>
      <c r="F417" s="5" t="str">
        <f>HYPERLINK("https://axonsv.app.intel.com/apps/record-viewer?id=c44a23d8-4ddb-4d32-8153-9c21840e3dc5","c44a23d8-4ddb-4d32-8153-9c21840e3dc5")</f>
        <v>c44a23d8-4ddb-4d32-8153-9c21840e3dc5</v>
      </c>
    </row>
    <row r="418" spans="1:6" x14ac:dyDescent="0.35">
      <c r="A418" t="s">
        <v>210</v>
      </c>
      <c r="B418" t="s">
        <v>241</v>
      </c>
      <c r="C418">
        <v>17</v>
      </c>
      <c r="D418">
        <v>20</v>
      </c>
      <c r="E418">
        <v>0</v>
      </c>
      <c r="F418" s="5" t="str">
        <f>HYPERLINK("https://axonsv.app.intel.com/apps/record-viewer?id=ad020eda-8651-4952-bf1c-63bb466154a1","ad020eda-8651-4952-bf1c-63bb466154a1")</f>
        <v>ad020eda-8651-4952-bf1c-63bb466154a1</v>
      </c>
    </row>
    <row r="419" spans="1:6" x14ac:dyDescent="0.35">
      <c r="A419" t="s">
        <v>210</v>
      </c>
      <c r="B419" t="s">
        <v>241</v>
      </c>
      <c r="C419">
        <v>17</v>
      </c>
      <c r="D419">
        <v>20</v>
      </c>
      <c r="E419">
        <v>0</v>
      </c>
      <c r="F419" s="5" t="str">
        <f>HYPERLINK("https://axonsv.app.intel.com/apps/record-viewer?id=a7fb902d-9d2e-4ac6-b595-02ab63400733","a7fb902d-9d2e-4ac6-b595-02ab63400733")</f>
        <v>a7fb902d-9d2e-4ac6-b595-02ab63400733</v>
      </c>
    </row>
    <row r="420" spans="1:6" x14ac:dyDescent="0.35">
      <c r="A420" t="s">
        <v>276</v>
      </c>
      <c r="B420" t="s">
        <v>289</v>
      </c>
      <c r="C420">
        <v>10</v>
      </c>
      <c r="D420">
        <v>13</v>
      </c>
      <c r="E420">
        <v>1</v>
      </c>
      <c r="F420" s="5" t="str">
        <f>HYPERLINK("https://axonsv.app.intel.com/apps/record-viewer?id=595358af-f077-41ad-bbf7-96f8e750fb53","595358af-f077-41ad-bbf7-96f8e750fb53")</f>
        <v>595358af-f077-41ad-bbf7-96f8e750fb53</v>
      </c>
    </row>
    <row r="421" spans="1:6" x14ac:dyDescent="0.35">
      <c r="A421" t="s">
        <v>210</v>
      </c>
      <c r="B421" t="s">
        <v>261</v>
      </c>
      <c r="C421">
        <v>14</v>
      </c>
      <c r="D421">
        <v>10</v>
      </c>
      <c r="E421">
        <v>1</v>
      </c>
      <c r="F421" s="5" t="str">
        <f>HYPERLINK("https://axonsv.app.intel.com/apps/record-viewer?id=480d9a30-ec21-4136-8249-003e62d059a6","480d9a30-ec21-4136-8249-003e62d059a6")</f>
        <v>480d9a30-ec21-4136-8249-003e62d059a6</v>
      </c>
    </row>
    <row r="422" spans="1:6" x14ac:dyDescent="0.35">
      <c r="A422" t="s">
        <v>256</v>
      </c>
      <c r="B422" t="s">
        <v>267</v>
      </c>
      <c r="C422">
        <v>11</v>
      </c>
      <c r="D422">
        <v>15</v>
      </c>
      <c r="E422">
        <v>2</v>
      </c>
      <c r="F422" s="5" t="str">
        <f>HYPERLINK("https://axonsv.app.intel.com/apps/record-viewer?id=12e6d675-06cc-41d3-ae0b-4d473924c622","12e6d675-06cc-41d3-ae0b-4d473924c622")</f>
        <v>12e6d675-06cc-41d3-ae0b-4d473924c622</v>
      </c>
    </row>
    <row r="423" spans="1:6" x14ac:dyDescent="0.35">
      <c r="A423" t="s">
        <v>210</v>
      </c>
      <c r="B423" t="s">
        <v>290</v>
      </c>
      <c r="C423">
        <v>14</v>
      </c>
      <c r="D423">
        <v>10</v>
      </c>
      <c r="E423">
        <v>1</v>
      </c>
      <c r="F423" s="5" t="str">
        <f>HYPERLINK("https://axonsv.app.intel.com/apps/record-viewer?id=50859933-49d2-4031-8603-9a18b82e9c1f","50859933-49d2-4031-8603-9a18b82e9c1f")</f>
        <v>50859933-49d2-4031-8603-9a18b82e9c1f</v>
      </c>
    </row>
    <row r="424" spans="1:6" x14ac:dyDescent="0.35">
      <c r="A424" t="s">
        <v>291</v>
      </c>
      <c r="B424" t="s">
        <v>292</v>
      </c>
      <c r="C424">
        <v>11</v>
      </c>
      <c r="D424">
        <v>15</v>
      </c>
      <c r="E424">
        <v>2</v>
      </c>
      <c r="F424" s="5" t="str">
        <f>HYPERLINK("https://axonsv.app.intel.com/apps/record-viewer?id=86d7db24-ac96-4256-9bce-50c7a28a24e6","86d7db24-ac96-4256-9bce-50c7a28a24e6")</f>
        <v>86d7db24-ac96-4256-9bce-50c7a28a24e6</v>
      </c>
    </row>
    <row r="425" spans="1:6" x14ac:dyDescent="0.35">
      <c r="A425" t="s">
        <v>293</v>
      </c>
      <c r="B425" t="s">
        <v>294</v>
      </c>
      <c r="C425">
        <v>14</v>
      </c>
      <c r="D425">
        <v>10</v>
      </c>
      <c r="E425">
        <v>1</v>
      </c>
      <c r="F425" s="5" t="str">
        <f>HYPERLINK("https://axonsv.app.intel.com/apps/record-viewer?id=4fb7c396-a7d4-4ad9-9d37-cd01a2d4aaba","4fb7c396-a7d4-4ad9-9d37-cd01a2d4aaba")</f>
        <v>4fb7c396-a7d4-4ad9-9d37-cd01a2d4aaba</v>
      </c>
    </row>
    <row r="426" spans="1:6" x14ac:dyDescent="0.35">
      <c r="A426" t="s">
        <v>295</v>
      </c>
      <c r="B426" t="s">
        <v>296</v>
      </c>
      <c r="C426">
        <v>11</v>
      </c>
      <c r="D426">
        <v>15</v>
      </c>
      <c r="E426">
        <v>2</v>
      </c>
      <c r="F426" s="5" t="str">
        <f>HYPERLINK("https://axonsv.app.intel.com/apps/record-viewer?id=b7852a78-69dc-bbcf-a029-79b0e14c2ee5","b7852a78-69dc-bbcf-a029-79b0e14c2ee5")</f>
        <v>b7852a78-69dc-bbcf-a029-79b0e14c2ee5</v>
      </c>
    </row>
    <row r="427" spans="1:6" x14ac:dyDescent="0.35">
      <c r="A427" t="s">
        <v>268</v>
      </c>
      <c r="B427" t="s">
        <v>297</v>
      </c>
      <c r="C427">
        <v>11</v>
      </c>
      <c r="D427">
        <v>15</v>
      </c>
      <c r="E427">
        <v>2</v>
      </c>
      <c r="F427" s="5" t="str">
        <f>HYPERLINK("https://axonsv.app.intel.com/apps/record-viewer?id=280f9fb0-b0f1-42ec-8c1b-81094742479a","280f9fb0-b0f1-42ec-8c1b-81094742479a")</f>
        <v>280f9fb0-b0f1-42ec-8c1b-81094742479a</v>
      </c>
    </row>
    <row r="428" spans="1:6" x14ac:dyDescent="0.35">
      <c r="A428" t="s">
        <v>282</v>
      </c>
      <c r="B428" t="s">
        <v>298</v>
      </c>
      <c r="C428">
        <v>11</v>
      </c>
      <c r="D428">
        <v>15</v>
      </c>
      <c r="E428">
        <v>2</v>
      </c>
      <c r="F428" s="5" t="str">
        <f>HYPERLINK("https://axonsv.app.intel.com/apps/record-viewer?id=9f4f1822-84db-45b1-b55b-6a17b2dc7295","9f4f1822-84db-45b1-b55b-6a17b2dc7295")</f>
        <v>9f4f1822-84db-45b1-b55b-6a17b2dc7295</v>
      </c>
    </row>
    <row r="429" spans="1:6" x14ac:dyDescent="0.35">
      <c r="A429" t="s">
        <v>299</v>
      </c>
      <c r="B429" t="s">
        <v>300</v>
      </c>
      <c r="C429">
        <v>11</v>
      </c>
      <c r="D429">
        <v>15</v>
      </c>
      <c r="E429">
        <v>2</v>
      </c>
      <c r="F429" s="5" t="str">
        <f>HYPERLINK("https://axonsv.app.intel.com/apps/record-viewer?id=292838f1-f6a0-493a-bc6d-6b11f72d9e06","292838f1-f6a0-493a-bc6d-6b11f72d9e06")</f>
        <v>292838f1-f6a0-493a-bc6d-6b11f72d9e06</v>
      </c>
    </row>
    <row r="430" spans="1:6" x14ac:dyDescent="0.35">
      <c r="A430" t="s">
        <v>301</v>
      </c>
      <c r="B430" t="s">
        <v>302</v>
      </c>
      <c r="C430">
        <v>11</v>
      </c>
      <c r="D430">
        <v>15</v>
      </c>
      <c r="E430">
        <v>2</v>
      </c>
      <c r="F430" s="5" t="str">
        <f>HYPERLINK("https://axonsv.app.intel.com/apps/record-viewer?id=ba4ed509-30d6-fd9e-4732-49d0873d4088","ba4ed509-30d6-fd9e-4732-49d0873d4088")</f>
        <v>ba4ed509-30d6-fd9e-4732-49d0873d4088</v>
      </c>
    </row>
    <row r="431" spans="1:6" x14ac:dyDescent="0.35">
      <c r="A431" t="s">
        <v>210</v>
      </c>
      <c r="B431" t="s">
        <v>303</v>
      </c>
      <c r="C431">
        <v>14</v>
      </c>
      <c r="D431">
        <v>10</v>
      </c>
      <c r="E431">
        <v>1</v>
      </c>
      <c r="F431" s="5" t="str">
        <f>HYPERLINK("https://axonsv.app.intel.com/apps/record-viewer?id=54f1fd2b-b016-4581-bbf6-edab77a7a42e","54f1fd2b-b016-4581-bbf6-edab77a7a42e")</f>
        <v>54f1fd2b-b016-4581-bbf6-edab77a7a42e</v>
      </c>
    </row>
    <row r="432" spans="1:6" x14ac:dyDescent="0.35">
      <c r="A432" t="s">
        <v>210</v>
      </c>
      <c r="B432" t="s">
        <v>303</v>
      </c>
      <c r="C432">
        <v>14</v>
      </c>
      <c r="D432">
        <v>10</v>
      </c>
      <c r="E432">
        <v>1</v>
      </c>
      <c r="F432" s="5" t="str">
        <f>HYPERLINK("https://axonsv.app.intel.com/apps/record-viewer?id=9fa91b37-bfd0-4de3-8ab2-0529085dda26","9fa91b37-bfd0-4de3-8ab2-0529085dda26")</f>
        <v>9fa91b37-bfd0-4de3-8ab2-0529085dda26</v>
      </c>
    </row>
    <row r="433" spans="1:6" x14ac:dyDescent="0.35">
      <c r="A433" t="s">
        <v>248</v>
      </c>
      <c r="B433" t="s">
        <v>304</v>
      </c>
      <c r="C433">
        <v>11</v>
      </c>
      <c r="D433">
        <v>15</v>
      </c>
      <c r="E433">
        <v>2</v>
      </c>
      <c r="F433" s="5" t="str">
        <f>HYPERLINK("https://axonsv.app.intel.com/apps/record-viewer?id=e56a72af-6b0d-4ec2-a14c-de23dea9edb1","e56a72af-6b0d-4ec2-a14c-de23dea9edb1")</f>
        <v>e56a72af-6b0d-4ec2-a14c-de23dea9edb1</v>
      </c>
    </row>
    <row r="434" spans="1:6" x14ac:dyDescent="0.35">
      <c r="A434" t="s">
        <v>172</v>
      </c>
      <c r="B434" t="s">
        <v>305</v>
      </c>
      <c r="C434">
        <v>11</v>
      </c>
      <c r="D434">
        <v>15</v>
      </c>
      <c r="E434">
        <v>2</v>
      </c>
      <c r="F434" s="5" t="str">
        <f>HYPERLINK("https://axonsv.app.intel.com/apps/record-viewer?id=3094b7c2-50c7-40fb-a49d-56e2c4d302c3","3094b7c2-50c7-40fb-a49d-56e2c4d302c3")</f>
        <v>3094b7c2-50c7-40fb-a49d-56e2c4d302c3</v>
      </c>
    </row>
    <row r="435" spans="1:6" x14ac:dyDescent="0.35">
      <c r="A435" t="s">
        <v>216</v>
      </c>
      <c r="B435" t="s">
        <v>272</v>
      </c>
      <c r="C435">
        <v>14</v>
      </c>
      <c r="D435">
        <v>10</v>
      </c>
      <c r="E435">
        <v>1</v>
      </c>
      <c r="F435" s="5" t="str">
        <f>HYPERLINK("https://axonsv.app.intel.com/apps/record-viewer?id=1d7c4d25-9c9e-44f2-8430-f71dabd1b306","1d7c4d25-9c9e-44f2-8430-f71dabd1b306")</f>
        <v>1d7c4d25-9c9e-44f2-8430-f71dabd1b306</v>
      </c>
    </row>
    <row r="436" spans="1:6" x14ac:dyDescent="0.35">
      <c r="A436" t="s">
        <v>248</v>
      </c>
      <c r="B436" t="s">
        <v>306</v>
      </c>
      <c r="C436">
        <v>11</v>
      </c>
      <c r="D436">
        <v>15</v>
      </c>
      <c r="E436">
        <v>2</v>
      </c>
      <c r="F436" s="5" t="str">
        <f>HYPERLINK("https://axonsv.app.intel.com/apps/record-viewer?id=d19a707c-21a6-4ebc-b762-b33b15d3411e","d19a707c-21a6-4ebc-b762-b33b15d3411e")</f>
        <v>d19a707c-21a6-4ebc-b762-b33b15d3411e</v>
      </c>
    </row>
    <row r="437" spans="1:6" x14ac:dyDescent="0.35">
      <c r="A437" t="s">
        <v>172</v>
      </c>
      <c r="B437" t="s">
        <v>307</v>
      </c>
      <c r="C437">
        <v>11</v>
      </c>
      <c r="D437">
        <v>15</v>
      </c>
      <c r="E437">
        <v>2</v>
      </c>
      <c r="F437" s="5" t="str">
        <f>HYPERLINK("https://axonsv.app.intel.com/apps/record-viewer?id=3701e307-7f9f-4113-9e04-e4926a78d9c3","3701e307-7f9f-4113-9e04-e4926a78d9c3")</f>
        <v>3701e307-7f9f-4113-9e04-e4926a78d9c3</v>
      </c>
    </row>
    <row r="438" spans="1:6" x14ac:dyDescent="0.35">
      <c r="A438" t="s">
        <v>248</v>
      </c>
      <c r="B438" t="s">
        <v>308</v>
      </c>
      <c r="C438">
        <v>11</v>
      </c>
      <c r="D438">
        <v>15</v>
      </c>
      <c r="E438">
        <v>2</v>
      </c>
      <c r="F438" s="5" t="str">
        <f>HYPERLINK("https://axonsv.app.intel.com/apps/record-viewer?id=2aa534ce-d07a-6676-87fc-7c0cfab10479","2aa534ce-d07a-6676-87fc-7c0cfab10479")</f>
        <v>2aa534ce-d07a-6676-87fc-7c0cfab10479</v>
      </c>
    </row>
    <row r="439" spans="1:6" x14ac:dyDescent="0.35">
      <c r="A439" t="s">
        <v>309</v>
      </c>
      <c r="B439" t="s">
        <v>310</v>
      </c>
      <c r="C439">
        <v>11</v>
      </c>
      <c r="D439">
        <v>15</v>
      </c>
      <c r="E439">
        <v>2</v>
      </c>
      <c r="F439" s="5" t="str">
        <f>HYPERLINK("https://axonsv.app.intel.com/apps/record-viewer?id=72787163-5627-4914-9757-49b6fb4a4504","72787163-5627-4914-9757-49b6fb4a4504")</f>
        <v>72787163-5627-4914-9757-49b6fb4a4504</v>
      </c>
    </row>
    <row r="440" spans="1:6" x14ac:dyDescent="0.35">
      <c r="A440" t="s">
        <v>311</v>
      </c>
      <c r="B440" t="s">
        <v>312</v>
      </c>
      <c r="C440">
        <v>11</v>
      </c>
      <c r="D440">
        <v>15</v>
      </c>
      <c r="E440">
        <v>2</v>
      </c>
      <c r="F440" s="5" t="str">
        <f>HYPERLINK("https://axonsv.app.intel.com/apps/record-viewer?id=d8f6c2f3-efeb-4282-bb63-88a002492e30","d8f6c2f3-efeb-4282-bb63-88a002492e30")</f>
        <v>d8f6c2f3-efeb-4282-bb63-88a002492e30</v>
      </c>
    </row>
    <row r="441" spans="1:6" x14ac:dyDescent="0.35">
      <c r="A441" t="s">
        <v>313</v>
      </c>
      <c r="B441" t="s">
        <v>314</v>
      </c>
      <c r="C441">
        <v>11</v>
      </c>
      <c r="D441">
        <v>15</v>
      </c>
      <c r="E441">
        <v>2</v>
      </c>
      <c r="F441" s="5" t="str">
        <f>HYPERLINK("https://axonsv.app.intel.com/apps/record-viewer?id=9ce443e1-75e5-40aa-bc9d-980df99b1ba8","9ce443e1-75e5-40aa-bc9d-980df99b1ba8")</f>
        <v>9ce443e1-75e5-40aa-bc9d-980df99b1ba8</v>
      </c>
    </row>
    <row r="442" spans="1:6" x14ac:dyDescent="0.35">
      <c r="A442" t="s">
        <v>315</v>
      </c>
      <c r="B442" t="s">
        <v>316</v>
      </c>
      <c r="C442">
        <v>6</v>
      </c>
      <c r="D442">
        <v>0</v>
      </c>
      <c r="E442">
        <v>0</v>
      </c>
      <c r="F442" s="5" t="str">
        <f>HYPERLINK("https://axonsv.app.intel.com/apps/record-viewer?id=dd510ccd-1132-4497-a092-9b1d3477cc19","dd510ccd-1132-4497-a092-9b1d3477cc19")</f>
        <v>dd510ccd-1132-4497-a092-9b1d3477cc19</v>
      </c>
    </row>
    <row r="443" spans="1:6" x14ac:dyDescent="0.35">
      <c r="A443" t="s">
        <v>315</v>
      </c>
      <c r="B443" t="s">
        <v>290</v>
      </c>
      <c r="C443">
        <v>14</v>
      </c>
      <c r="D443">
        <v>10</v>
      </c>
      <c r="E443">
        <v>1</v>
      </c>
      <c r="F443" s="5" t="str">
        <f>HYPERLINK("https://axonsv.app.intel.com/apps/record-viewer?id=94ff806c-bbad-41e9-b196-a9859f875cb4","94ff806c-bbad-41e9-b196-a9859f875cb4")</f>
        <v>94ff806c-bbad-41e9-b196-a9859f875cb4</v>
      </c>
    </row>
    <row r="444" spans="1:6" x14ac:dyDescent="0.35">
      <c r="A444" t="s">
        <v>317</v>
      </c>
      <c r="B444" t="s">
        <v>272</v>
      </c>
      <c r="C444">
        <v>14</v>
      </c>
      <c r="D444">
        <v>10</v>
      </c>
      <c r="E444">
        <v>1</v>
      </c>
      <c r="F444" s="5" t="str">
        <f>HYPERLINK("https://axonsv.app.intel.com/apps/record-viewer?id=b138833e-9bea-4015-85c7-d6b78f7b6cba","b138833e-9bea-4015-85c7-d6b78f7b6cba")</f>
        <v>b138833e-9bea-4015-85c7-d6b78f7b6cba</v>
      </c>
    </row>
    <row r="445" spans="1:6" x14ac:dyDescent="0.35">
      <c r="A445" t="s">
        <v>21</v>
      </c>
      <c r="B445" t="s">
        <v>272</v>
      </c>
      <c r="C445">
        <v>14</v>
      </c>
      <c r="D445">
        <v>10</v>
      </c>
      <c r="E445">
        <v>1</v>
      </c>
      <c r="F445" s="5" t="str">
        <f>HYPERLINK("https://axonsv.app.intel.com/apps/record-viewer?id=45b7ab38-5ad8-4fcd-9de0-b242240d75a2","45b7ab38-5ad8-4fcd-9de0-b242240d75a2")</f>
        <v>45b7ab38-5ad8-4fcd-9de0-b242240d75a2</v>
      </c>
    </row>
    <row r="446" spans="1:6" x14ac:dyDescent="0.35">
      <c r="A446" t="s">
        <v>318</v>
      </c>
      <c r="B446" t="s">
        <v>125</v>
      </c>
      <c r="C446">
        <v>20</v>
      </c>
      <c r="D446">
        <v>10</v>
      </c>
      <c r="E446">
        <v>0</v>
      </c>
      <c r="F446" s="5" t="str">
        <f>HYPERLINK("https://axonsv.app.intel.com/apps/record-viewer?id=81b762dd-ba7f-4c8a-abf5-43f8da0ec68c","81b762dd-ba7f-4c8a-abf5-43f8da0ec68c")</f>
        <v>81b762dd-ba7f-4c8a-abf5-43f8da0ec68c</v>
      </c>
    </row>
    <row r="447" spans="1:6" x14ac:dyDescent="0.35">
      <c r="A447" t="s">
        <v>318</v>
      </c>
      <c r="B447" t="s">
        <v>319</v>
      </c>
      <c r="C447">
        <v>16</v>
      </c>
      <c r="D447">
        <v>12</v>
      </c>
      <c r="E447">
        <v>1</v>
      </c>
      <c r="F447" s="5" t="str">
        <f>HYPERLINK("https://axonsv.app.intel.com/apps/record-viewer?id=b6dc3b3d-d6a3-4754-a88f-64b5ac874d1a","b6dc3b3d-d6a3-4754-a88f-64b5ac874d1a")</f>
        <v>b6dc3b3d-d6a3-4754-a88f-64b5ac874d1a</v>
      </c>
    </row>
    <row r="448" spans="1:6" x14ac:dyDescent="0.35">
      <c r="A448" t="s">
        <v>320</v>
      </c>
      <c r="B448" t="s">
        <v>321</v>
      </c>
      <c r="C448">
        <v>11</v>
      </c>
      <c r="D448">
        <v>15</v>
      </c>
      <c r="E448">
        <v>2</v>
      </c>
      <c r="F448" s="5" t="str">
        <f>HYPERLINK("https://axonsv.app.intel.com/apps/record-viewer?id=380318be-bcc9-4697-9e15-6821763b53cd","380318be-bcc9-4697-9e15-6821763b53cd")</f>
        <v>380318be-bcc9-4697-9e15-6821763b53cd</v>
      </c>
    </row>
    <row r="449" spans="1:6" x14ac:dyDescent="0.35">
      <c r="A449" t="s">
        <v>322</v>
      </c>
      <c r="B449" t="s">
        <v>323</v>
      </c>
      <c r="C449">
        <v>11</v>
      </c>
      <c r="D449">
        <v>15</v>
      </c>
      <c r="E449">
        <v>2</v>
      </c>
      <c r="F449" s="5" t="str">
        <f>HYPERLINK("https://axonsv.app.intel.com/apps/record-viewer?id=deee9636-4a00-4aaf-a146-3455cd2216ca","deee9636-4a00-4aaf-a146-3455cd2216ca")</f>
        <v>deee9636-4a00-4aaf-a146-3455cd2216ca</v>
      </c>
    </row>
    <row r="450" spans="1:6" x14ac:dyDescent="0.35">
      <c r="A450" t="s">
        <v>324</v>
      </c>
      <c r="B450" t="s">
        <v>325</v>
      </c>
      <c r="C450">
        <v>12</v>
      </c>
      <c r="D450">
        <v>16</v>
      </c>
      <c r="E450">
        <v>1</v>
      </c>
      <c r="F450" s="5" t="str">
        <f>HYPERLINK("https://axonsv.app.intel.com/apps/record-viewer?id=9e47141d-d9e1-4483-91b2-a9c9e48e0f0e","9e47141d-d9e1-4483-91b2-a9c9e48e0f0e")</f>
        <v>9e47141d-d9e1-4483-91b2-a9c9e48e0f0e</v>
      </c>
    </row>
    <row r="451" spans="1:6" x14ac:dyDescent="0.35">
      <c r="A451" t="s">
        <v>326</v>
      </c>
      <c r="B451" t="s">
        <v>327</v>
      </c>
      <c r="C451">
        <v>13</v>
      </c>
      <c r="D451">
        <v>17</v>
      </c>
      <c r="E451">
        <v>1</v>
      </c>
      <c r="F451" s="5" t="str">
        <f>HYPERLINK("https://axonsv.app.intel.com/apps/record-viewer?id=281bf802-4907-4c64-9b4d-2852cf149c36","281bf802-4907-4c64-9b4d-2852cf149c36")</f>
        <v>281bf802-4907-4c64-9b4d-2852cf149c36</v>
      </c>
    </row>
    <row r="452" spans="1:6" x14ac:dyDescent="0.35">
      <c r="A452" t="s">
        <v>328</v>
      </c>
      <c r="B452" t="s">
        <v>329</v>
      </c>
      <c r="C452">
        <v>14</v>
      </c>
      <c r="D452">
        <v>10</v>
      </c>
      <c r="E452">
        <v>1</v>
      </c>
      <c r="F452" s="5" t="str">
        <f>HYPERLINK("https://axonsv.app.intel.com/apps/record-viewer?id=a3c7e28e-40d4-41b5-ae8a-5f120a1e7fb6","a3c7e28e-40d4-41b5-ae8a-5f120a1e7fb6")</f>
        <v>a3c7e28e-40d4-41b5-ae8a-5f120a1e7fb6</v>
      </c>
    </row>
    <row r="453" spans="1:6" x14ac:dyDescent="0.35">
      <c r="A453" t="s">
        <v>330</v>
      </c>
      <c r="B453" t="s">
        <v>331</v>
      </c>
      <c r="C453">
        <v>11</v>
      </c>
      <c r="D453">
        <v>15</v>
      </c>
      <c r="E453">
        <v>2</v>
      </c>
      <c r="F453" s="5" t="str">
        <f>HYPERLINK("https://axonsv.app.intel.com/apps/record-viewer?id=976c6846-0911-4c6c-9b85-eb0f6674d432","976c6846-0911-4c6c-9b85-eb0f6674d432")</f>
        <v>976c6846-0911-4c6c-9b85-eb0f6674d432</v>
      </c>
    </row>
    <row r="454" spans="1:6" x14ac:dyDescent="0.35">
      <c r="A454" t="s">
        <v>332</v>
      </c>
      <c r="B454" t="s">
        <v>333</v>
      </c>
      <c r="C454">
        <v>11</v>
      </c>
      <c r="D454">
        <v>15</v>
      </c>
      <c r="E454">
        <v>2</v>
      </c>
      <c r="F454" s="5" t="str">
        <f>HYPERLINK("https://axonsv.app.intel.com/apps/record-viewer?id=46c8123c-ed3e-4582-84af-378dbb590dc0","46c8123c-ed3e-4582-84af-378dbb590dc0")</f>
        <v>46c8123c-ed3e-4582-84af-378dbb590dc0</v>
      </c>
    </row>
    <row r="455" spans="1:6" x14ac:dyDescent="0.35">
      <c r="A455" t="s">
        <v>334</v>
      </c>
      <c r="B455" t="s">
        <v>335</v>
      </c>
      <c r="C455">
        <v>14</v>
      </c>
      <c r="D455">
        <v>10</v>
      </c>
      <c r="E455">
        <v>1</v>
      </c>
      <c r="F455" s="5" t="str">
        <f>HYPERLINK("https://axonsv.app.intel.com/apps/record-viewer?id=f6b8e936-4cc2-4f11-86d0-3cac660091bf","f6b8e936-4cc2-4f11-86d0-3cac660091bf")</f>
        <v>f6b8e936-4cc2-4f11-86d0-3cac660091bf</v>
      </c>
    </row>
    <row r="456" spans="1:6" x14ac:dyDescent="0.35">
      <c r="A456" t="s">
        <v>336</v>
      </c>
      <c r="B456" t="s">
        <v>337</v>
      </c>
      <c r="C456">
        <v>12</v>
      </c>
      <c r="D456">
        <v>16</v>
      </c>
      <c r="E456">
        <v>1</v>
      </c>
      <c r="F456" s="5" t="str">
        <f>HYPERLINK("https://axonsv.app.intel.com/apps/record-viewer?id=3b164900-b4f0-4674-93c1-f116742b90b0","3b164900-b4f0-4674-93c1-f116742b90b0")</f>
        <v>3b164900-b4f0-4674-93c1-f116742b90b0</v>
      </c>
    </row>
    <row r="457" spans="1:6" x14ac:dyDescent="0.35">
      <c r="A457" t="s">
        <v>338</v>
      </c>
      <c r="B457" t="s">
        <v>339</v>
      </c>
      <c r="C457">
        <v>13</v>
      </c>
      <c r="D457">
        <v>17</v>
      </c>
      <c r="E457">
        <v>1</v>
      </c>
      <c r="F457" s="5" t="str">
        <f>HYPERLINK("https://axonsv.app.intel.com/apps/record-viewer?id=d4db9649-63bb-4881-9ab0-e69223ae6566","d4db9649-63bb-4881-9ab0-e69223ae6566")</f>
        <v>d4db9649-63bb-4881-9ab0-e69223ae6566</v>
      </c>
    </row>
    <row r="458" spans="1:6" x14ac:dyDescent="0.35">
      <c r="A458" t="s">
        <v>340</v>
      </c>
      <c r="B458" t="s">
        <v>341</v>
      </c>
      <c r="C458">
        <v>12</v>
      </c>
      <c r="D458">
        <v>16</v>
      </c>
      <c r="E458">
        <v>1</v>
      </c>
      <c r="F458" s="5" t="str">
        <f>HYPERLINK("https://axonsv.app.intel.com/apps/record-viewer?id=f6e807b4-675c-4282-97ae-56b521176818","f6e807b4-675c-4282-97ae-56b521176818")</f>
        <v>f6e807b4-675c-4282-97ae-56b521176818</v>
      </c>
    </row>
    <row r="459" spans="1:6" x14ac:dyDescent="0.35">
      <c r="A459" t="s">
        <v>342</v>
      </c>
      <c r="B459" t="s">
        <v>343</v>
      </c>
      <c r="C459">
        <v>13</v>
      </c>
      <c r="D459">
        <v>17</v>
      </c>
      <c r="E459">
        <v>1</v>
      </c>
      <c r="F459" s="5" t="str">
        <f>HYPERLINK("https://axonsv.app.intel.com/apps/record-viewer?id=d52f2272-bb3b-4734-a378-a14cc276c900","d52f2272-bb3b-4734-a378-a14cc276c900")</f>
        <v>d52f2272-bb3b-4734-a378-a14cc276c900</v>
      </c>
    </row>
    <row r="460" spans="1:6" x14ac:dyDescent="0.35">
      <c r="A460" t="s">
        <v>344</v>
      </c>
      <c r="B460" t="s">
        <v>345</v>
      </c>
      <c r="C460">
        <v>14</v>
      </c>
      <c r="D460">
        <v>10</v>
      </c>
      <c r="E460">
        <v>1</v>
      </c>
      <c r="F460" s="5" t="str">
        <f>HYPERLINK("https://axonsv.app.intel.com/apps/record-viewer?id=66386e1a-db4f-4391-bca4-37c7729985f1","66386e1a-db4f-4391-bca4-37c7729985f1")</f>
        <v>66386e1a-db4f-4391-bca4-37c7729985f1</v>
      </c>
    </row>
    <row r="461" spans="1:6" x14ac:dyDescent="0.35">
      <c r="A461" t="s">
        <v>346</v>
      </c>
      <c r="B461" t="s">
        <v>347</v>
      </c>
      <c r="C461">
        <v>19</v>
      </c>
      <c r="D461">
        <v>15</v>
      </c>
      <c r="E461">
        <v>2</v>
      </c>
      <c r="F461" s="5" t="str">
        <f>HYPERLINK("https://axonsv.app.intel.com/apps/record-viewer?id=3fd1a627-c70e-4bb7-b613-2b689006f6cb","3fd1a627-c70e-4bb7-b613-2b689006f6cb")</f>
        <v>3fd1a627-c70e-4bb7-b613-2b689006f6cb</v>
      </c>
    </row>
    <row r="462" spans="1:6" x14ac:dyDescent="0.35">
      <c r="A462" t="s">
        <v>346</v>
      </c>
      <c r="B462" t="s">
        <v>348</v>
      </c>
      <c r="C462">
        <v>11</v>
      </c>
      <c r="D462">
        <v>15</v>
      </c>
      <c r="E462">
        <v>2</v>
      </c>
      <c r="F462" s="5" t="str">
        <f>HYPERLINK("https://axonsv.app.intel.com/apps/record-viewer?id=1c7bf453-8ece-4a02-af57-3386a99bd977","1c7bf453-8ece-4a02-af57-3386a99bd977")</f>
        <v>1c7bf453-8ece-4a02-af57-3386a99bd977</v>
      </c>
    </row>
    <row r="463" spans="1:6" x14ac:dyDescent="0.35">
      <c r="A463" t="s">
        <v>349</v>
      </c>
      <c r="B463" t="s">
        <v>350</v>
      </c>
      <c r="C463">
        <v>13</v>
      </c>
      <c r="D463">
        <v>17</v>
      </c>
      <c r="E463">
        <v>1</v>
      </c>
      <c r="F463" s="5" t="str">
        <f>HYPERLINK("https://axonsv.app.intel.com/apps/record-viewer?id=1a353088-5089-43a1-9d85-5301eceadb03","1a353088-5089-43a1-9d85-5301eceadb03")</f>
        <v>1a353088-5089-43a1-9d85-5301eceadb03</v>
      </c>
    </row>
    <row r="464" spans="1:6" x14ac:dyDescent="0.35">
      <c r="A464" t="s">
        <v>351</v>
      </c>
      <c r="B464" t="s">
        <v>352</v>
      </c>
      <c r="C464">
        <v>13</v>
      </c>
      <c r="D464">
        <v>17</v>
      </c>
      <c r="E464">
        <v>1</v>
      </c>
      <c r="F464" s="5" t="str">
        <f>HYPERLINK("https://axonsv.app.intel.com/apps/record-viewer?id=0b0f56bb-dfd1-4ade-b90e-aa0747baff35","0b0f56bb-dfd1-4ade-b90e-aa0747baff35")</f>
        <v>0b0f56bb-dfd1-4ade-b90e-aa0747baff35</v>
      </c>
    </row>
    <row r="465" spans="1:6" x14ac:dyDescent="0.35">
      <c r="A465" t="s">
        <v>326</v>
      </c>
      <c r="B465" t="s">
        <v>353</v>
      </c>
      <c r="C465">
        <v>13</v>
      </c>
      <c r="D465">
        <v>17</v>
      </c>
      <c r="E465">
        <v>1</v>
      </c>
      <c r="F465" s="5" t="str">
        <f>HYPERLINK("https://axonsv.app.intel.com/apps/record-viewer?id=8dee3708-46ac-4ee5-9cf4-1d1d80314d57","8dee3708-46ac-4ee5-9cf4-1d1d80314d57")</f>
        <v>8dee3708-46ac-4ee5-9cf4-1d1d80314d57</v>
      </c>
    </row>
    <row r="466" spans="1:6" x14ac:dyDescent="0.35">
      <c r="A466" t="s">
        <v>318</v>
      </c>
      <c r="B466" t="s">
        <v>353</v>
      </c>
      <c r="C466">
        <v>13</v>
      </c>
      <c r="D466">
        <v>17</v>
      </c>
      <c r="E466">
        <v>1</v>
      </c>
      <c r="F466" s="5" t="str">
        <f>HYPERLINK("https://axonsv.app.intel.com/apps/record-viewer?id=9f858eba-2203-44fa-a7ed-a26ceaeeb4bf","9f858eba-2203-44fa-a7ed-a26ceaeeb4bf")</f>
        <v>9f858eba-2203-44fa-a7ed-a26ceaeeb4bf</v>
      </c>
    </row>
    <row r="467" spans="1:6" x14ac:dyDescent="0.35">
      <c r="A467" t="s">
        <v>326</v>
      </c>
      <c r="B467" t="s">
        <v>329</v>
      </c>
      <c r="C467">
        <v>14</v>
      </c>
      <c r="D467">
        <v>10</v>
      </c>
      <c r="E467">
        <v>1</v>
      </c>
      <c r="F467" s="5" t="str">
        <f>HYPERLINK("https://axonsv.app.intel.com/apps/record-viewer?id=8a8a2b9f-9ea2-489e-856b-ac8536eec70a","8a8a2b9f-9ea2-489e-856b-ac8536eec70a")</f>
        <v>8a8a2b9f-9ea2-489e-856b-ac8536eec70a</v>
      </c>
    </row>
    <row r="468" spans="1:6" x14ac:dyDescent="0.35">
      <c r="A468" t="s">
        <v>354</v>
      </c>
      <c r="B468" t="s">
        <v>329</v>
      </c>
      <c r="C468">
        <v>14</v>
      </c>
      <c r="D468">
        <v>10</v>
      </c>
      <c r="E468">
        <v>1</v>
      </c>
      <c r="F468" s="5" t="str">
        <f>HYPERLINK("https://axonsv.app.intel.com/apps/record-viewer?id=1ebc7612-f27e-4a27-b62a-b2ac0941df36","1ebc7612-f27e-4a27-b62a-b2ac0941df36")</f>
        <v>1ebc7612-f27e-4a27-b62a-b2ac0941df36</v>
      </c>
    </row>
    <row r="469" spans="1:6" x14ac:dyDescent="0.35">
      <c r="A469" t="s">
        <v>355</v>
      </c>
      <c r="B469" t="s">
        <v>272</v>
      </c>
      <c r="C469">
        <v>14</v>
      </c>
      <c r="D469">
        <v>10</v>
      </c>
      <c r="E469">
        <v>1</v>
      </c>
      <c r="F469" s="5" t="str">
        <f>HYPERLINK("https://axonsv.app.intel.com/apps/record-viewer?id=dbc5b343-3992-4e76-b5c4-47f87e5584bd","dbc5b343-3992-4e76-b5c4-47f87e5584bd")</f>
        <v>dbc5b343-3992-4e76-b5c4-47f87e5584bd</v>
      </c>
    </row>
    <row r="470" spans="1:6" x14ac:dyDescent="0.35">
      <c r="A470" t="s">
        <v>356</v>
      </c>
      <c r="B470" t="s">
        <v>357</v>
      </c>
      <c r="C470">
        <v>11</v>
      </c>
      <c r="D470">
        <v>15</v>
      </c>
      <c r="E470">
        <v>2</v>
      </c>
      <c r="F470" s="5" t="str">
        <f>HYPERLINK("https://axonsv.app.intel.com/apps/record-viewer?id=60884576-45f2-19b2-1bd3-b1631232ed33","60884576-45f2-19b2-1bd3-b1631232ed33")</f>
        <v>60884576-45f2-19b2-1bd3-b1631232ed33</v>
      </c>
    </row>
    <row r="471" spans="1:6" x14ac:dyDescent="0.35">
      <c r="A471" t="s">
        <v>358</v>
      </c>
      <c r="B471" t="s">
        <v>359</v>
      </c>
      <c r="C471">
        <v>14</v>
      </c>
      <c r="D471">
        <v>10</v>
      </c>
      <c r="E471">
        <v>1</v>
      </c>
      <c r="F471" s="5" t="str">
        <f>HYPERLINK("https://axonsv.app.intel.com/apps/record-viewer?id=221c24ab-5d39-46f1-9bee-779962d27b5d","221c24ab-5d39-46f1-9bee-779962d27b5d")</f>
        <v>221c24ab-5d39-46f1-9bee-779962d27b5d</v>
      </c>
    </row>
    <row r="472" spans="1:6" x14ac:dyDescent="0.35">
      <c r="A472" t="s">
        <v>358</v>
      </c>
      <c r="B472" t="s">
        <v>360</v>
      </c>
      <c r="C472">
        <v>12</v>
      </c>
      <c r="D472">
        <v>16</v>
      </c>
      <c r="E472">
        <v>1</v>
      </c>
      <c r="F472" s="5" t="str">
        <f>HYPERLINK("https://axonsv.app.intel.com/apps/record-viewer?id=b8be47d8-49cf-4dc9-847b-dd9cc4e6148a","b8be47d8-49cf-4dc9-847b-dd9cc4e6148a")</f>
        <v>b8be47d8-49cf-4dc9-847b-dd9cc4e6148a</v>
      </c>
    </row>
    <row r="473" spans="1:6" x14ac:dyDescent="0.35">
      <c r="A473" t="s">
        <v>361</v>
      </c>
      <c r="B473" t="s">
        <v>362</v>
      </c>
      <c r="C473">
        <v>13</v>
      </c>
      <c r="D473">
        <v>17</v>
      </c>
      <c r="E473">
        <v>1</v>
      </c>
      <c r="F473" s="5" t="str">
        <f>HYPERLINK("https://axonsv.app.intel.com/apps/record-viewer?id=1c91d8fc-0976-4b5b-ab8c-7f2dddcd0f2a","1c91d8fc-0976-4b5b-ab8c-7f2dddcd0f2a")</f>
        <v>1c91d8fc-0976-4b5b-ab8c-7f2dddcd0f2a</v>
      </c>
    </row>
    <row r="474" spans="1:6" x14ac:dyDescent="0.35">
      <c r="A474" t="s">
        <v>363</v>
      </c>
      <c r="B474" t="s">
        <v>290</v>
      </c>
      <c r="C474">
        <v>14</v>
      </c>
      <c r="D474">
        <v>10</v>
      </c>
      <c r="E474">
        <v>1</v>
      </c>
      <c r="F474" s="5" t="str">
        <f>HYPERLINK("https://axonsv.app.intel.com/apps/record-viewer?id=1d947483-aaae-4500-9d10-3bbcf2b1db22","1d947483-aaae-4500-9d10-3bbcf2b1db22")</f>
        <v>1d947483-aaae-4500-9d10-3bbcf2b1db22</v>
      </c>
    </row>
    <row r="475" spans="1:6" x14ac:dyDescent="0.35">
      <c r="A475" t="s">
        <v>364</v>
      </c>
      <c r="B475" t="s">
        <v>272</v>
      </c>
      <c r="C475">
        <v>14</v>
      </c>
      <c r="D475">
        <v>10</v>
      </c>
      <c r="E475">
        <v>1</v>
      </c>
      <c r="F475" s="5" t="str">
        <f>HYPERLINK("https://axonsv.app.intel.com/apps/record-viewer?id=caaaaa6c-2753-4ce7-bb46-00bf256fe0e7","caaaaa6c-2753-4ce7-bb46-00bf256fe0e7")</f>
        <v>caaaaa6c-2753-4ce7-bb46-00bf256fe0e7</v>
      </c>
    </row>
    <row r="476" spans="1:6" x14ac:dyDescent="0.35">
      <c r="A476" t="s">
        <v>365</v>
      </c>
      <c r="B476" t="s">
        <v>366</v>
      </c>
      <c r="C476">
        <v>3</v>
      </c>
      <c r="D476">
        <v>19</v>
      </c>
      <c r="E476">
        <v>0</v>
      </c>
      <c r="F476" s="5" t="str">
        <f>HYPERLINK("https://axonsv.app.intel.com/apps/record-viewer?id=a47f6751-a4b7-44e7-ae81-37783302976e","a47f6751-a4b7-44e7-ae81-37783302976e")</f>
        <v>a47f6751-a4b7-44e7-ae81-37783302976e</v>
      </c>
    </row>
    <row r="477" spans="1:6" x14ac:dyDescent="0.35">
      <c r="A477" t="s">
        <v>318</v>
      </c>
      <c r="B477" t="s">
        <v>367</v>
      </c>
      <c r="C477">
        <v>13</v>
      </c>
      <c r="D477">
        <v>17</v>
      </c>
      <c r="E477">
        <v>1</v>
      </c>
      <c r="F477" s="5" t="str">
        <f>HYPERLINK("https://axonsv.app.intel.com/apps/record-viewer?id=955ca81a-2a15-4c74-af15-3a507ac6735a","955ca81a-2a15-4c74-af15-3a507ac6735a")</f>
        <v>955ca81a-2a15-4c74-af15-3a507ac6735a</v>
      </c>
    </row>
    <row r="478" spans="1:6" x14ac:dyDescent="0.35">
      <c r="A478" t="s">
        <v>368</v>
      </c>
      <c r="B478" t="s">
        <v>290</v>
      </c>
      <c r="C478">
        <v>14</v>
      </c>
      <c r="D478">
        <v>10</v>
      </c>
      <c r="E478">
        <v>1</v>
      </c>
      <c r="F478" s="5" t="str">
        <f>HYPERLINK("https://axonsv.app.intel.com/apps/record-viewer?id=a7446e3f-91a2-4c13-982f-90faaad7f2bf","a7446e3f-91a2-4c13-982f-90faaad7f2bf")</f>
        <v>a7446e3f-91a2-4c13-982f-90faaad7f2bf</v>
      </c>
    </row>
    <row r="479" spans="1:6" x14ac:dyDescent="0.35">
      <c r="A479" t="s">
        <v>369</v>
      </c>
      <c r="B479" t="s">
        <v>370</v>
      </c>
      <c r="C479">
        <v>13</v>
      </c>
      <c r="D479">
        <v>17</v>
      </c>
      <c r="E479">
        <v>1</v>
      </c>
      <c r="F479" s="5" t="str">
        <f>HYPERLINK("https://axonsv.app.intel.com/apps/record-viewer?id=5ca4dcf0-47d3-4dee-93fc-7360f531efa6","5ca4dcf0-47d3-4dee-93fc-7360f531efa6")</f>
        <v>5ca4dcf0-47d3-4dee-93fc-7360f531efa6</v>
      </c>
    </row>
    <row r="480" spans="1:6" x14ac:dyDescent="0.35">
      <c r="A480" t="s">
        <v>371</v>
      </c>
      <c r="B480" t="s">
        <v>372</v>
      </c>
      <c r="C480">
        <v>11</v>
      </c>
      <c r="D480">
        <v>15</v>
      </c>
      <c r="E480">
        <v>2</v>
      </c>
      <c r="F480" s="5" t="str">
        <f>HYPERLINK("https://axonsv.app.intel.com/apps/record-viewer?id=c092d667-7ee4-b170-4492-332ffbc0470f","c092d667-7ee4-b170-4492-332ffbc0470f")</f>
        <v>c092d667-7ee4-b170-4492-332ffbc0470f</v>
      </c>
    </row>
    <row r="481" spans="1:6" x14ac:dyDescent="0.35">
      <c r="A481" t="s">
        <v>373</v>
      </c>
      <c r="B481" t="s">
        <v>374</v>
      </c>
      <c r="C481">
        <v>11</v>
      </c>
      <c r="D481">
        <v>15</v>
      </c>
      <c r="E481">
        <v>2</v>
      </c>
      <c r="F481" s="5" t="str">
        <f>HYPERLINK("https://axonsv.app.intel.com/apps/record-viewer?id=276a09bf-a8cd-a5b1-67d5-a213eae57492","276a09bf-a8cd-a5b1-67d5-a213eae57492")</f>
        <v>276a09bf-a8cd-a5b1-67d5-a213eae57492</v>
      </c>
    </row>
    <row r="482" spans="1:6" x14ac:dyDescent="0.35">
      <c r="A482" t="s">
        <v>375</v>
      </c>
      <c r="B482" t="s">
        <v>376</v>
      </c>
      <c r="C482">
        <v>11</v>
      </c>
      <c r="D482">
        <v>15</v>
      </c>
      <c r="E482">
        <v>2</v>
      </c>
      <c r="F482" s="5" t="str">
        <f>HYPERLINK("https://axonsv.app.intel.com/apps/record-viewer?id=79a91728-f744-42f6-9bac-3d4162af9584","79a91728-f744-42f6-9bac-3d4162af9584")</f>
        <v>79a91728-f744-42f6-9bac-3d4162af9584</v>
      </c>
    </row>
    <row r="483" spans="1:6" x14ac:dyDescent="0.35">
      <c r="A483" t="s">
        <v>377</v>
      </c>
      <c r="B483" t="s">
        <v>378</v>
      </c>
      <c r="C483">
        <v>11</v>
      </c>
      <c r="D483">
        <v>15</v>
      </c>
      <c r="E483">
        <v>2</v>
      </c>
      <c r="F483" s="5" t="str">
        <f>HYPERLINK("https://axonsv.app.intel.com/apps/record-viewer?id=8e150cc6-46e2-4ca6-aa13-389d0f03c268","8e150cc6-46e2-4ca6-aa13-389d0f03c268")</f>
        <v>8e150cc6-46e2-4ca6-aa13-389d0f03c268</v>
      </c>
    </row>
    <row r="484" spans="1:6" x14ac:dyDescent="0.35">
      <c r="A484" t="s">
        <v>379</v>
      </c>
      <c r="B484" t="s">
        <v>380</v>
      </c>
      <c r="C484">
        <v>12</v>
      </c>
      <c r="D484">
        <v>16</v>
      </c>
      <c r="E484">
        <v>0</v>
      </c>
      <c r="F484" s="5" t="str">
        <f>HYPERLINK("https://axonsv.app.intel.com/apps/record-viewer?id=477a1a72-139b-0136-e031-662550a81f92","477a1a72-139b-0136-e031-662550a81f92")</f>
        <v>477a1a72-139b-0136-e031-662550a81f92</v>
      </c>
    </row>
    <row r="485" spans="1:6" x14ac:dyDescent="0.35">
      <c r="A485" t="s">
        <v>381</v>
      </c>
      <c r="B485" t="s">
        <v>382</v>
      </c>
      <c r="C485">
        <v>11</v>
      </c>
      <c r="D485">
        <v>15</v>
      </c>
      <c r="E485">
        <v>2</v>
      </c>
      <c r="F485" s="5" t="str">
        <f>HYPERLINK("https://axonsv.app.intel.com/apps/record-viewer?id=703c731b-32a1-479f-89b2-6e6378b44e51","703c731b-32a1-479f-89b2-6e6378b44e51")</f>
        <v>703c731b-32a1-479f-89b2-6e6378b44e51</v>
      </c>
    </row>
    <row r="486" spans="1:6" x14ac:dyDescent="0.35">
      <c r="A486" t="s">
        <v>383</v>
      </c>
      <c r="B486" t="s">
        <v>384</v>
      </c>
      <c r="C486">
        <v>11</v>
      </c>
      <c r="D486">
        <v>15</v>
      </c>
      <c r="E486">
        <v>2</v>
      </c>
      <c r="F486" s="5" t="str">
        <f>HYPERLINK("https://axonsv.app.intel.com/apps/record-viewer?id=95bca579-61e0-2ca9-6816-8449629ce85e","95bca579-61e0-2ca9-6816-8449629ce85e")</f>
        <v>95bca579-61e0-2ca9-6816-8449629ce85e</v>
      </c>
    </row>
    <row r="487" spans="1:6" x14ac:dyDescent="0.35">
      <c r="A487" t="s">
        <v>385</v>
      </c>
      <c r="B487" t="s">
        <v>386</v>
      </c>
      <c r="C487">
        <v>11</v>
      </c>
      <c r="D487">
        <v>15</v>
      </c>
      <c r="E487">
        <v>2</v>
      </c>
      <c r="F487" s="5" t="str">
        <f>HYPERLINK("https://axonsv.app.intel.com/apps/record-viewer?id=fb3c0e7f-52d3-43d0-a51d-fcfdab6b074a","fb3c0e7f-52d3-43d0-a51d-fcfdab6b074a")</f>
        <v>fb3c0e7f-52d3-43d0-a51d-fcfdab6b074a</v>
      </c>
    </row>
    <row r="488" spans="1:6" x14ac:dyDescent="0.35">
      <c r="A488" t="s">
        <v>387</v>
      </c>
      <c r="B488" t="s">
        <v>388</v>
      </c>
      <c r="C488">
        <v>11</v>
      </c>
      <c r="D488">
        <v>15</v>
      </c>
      <c r="E488">
        <v>2</v>
      </c>
      <c r="F488" s="5" t="str">
        <f>HYPERLINK("https://axonsv.app.intel.com/apps/record-viewer?id=f2a7431d-8952-3f51-8e44-6f1e942da22a","f2a7431d-8952-3f51-8e44-6f1e942da22a")</f>
        <v>f2a7431d-8952-3f51-8e44-6f1e942da22a</v>
      </c>
    </row>
    <row r="489" spans="1:6" x14ac:dyDescent="0.35">
      <c r="A489" t="s">
        <v>389</v>
      </c>
      <c r="B489" t="s">
        <v>390</v>
      </c>
      <c r="C489">
        <v>11</v>
      </c>
      <c r="D489">
        <v>15</v>
      </c>
      <c r="E489">
        <v>2</v>
      </c>
      <c r="F489" s="5" t="str">
        <f>HYPERLINK("https://axonsv.app.intel.com/apps/record-viewer?id=4f875520-6e41-4025-b107-8a4c2aef114a","4f875520-6e41-4025-b107-8a4c2aef114a")</f>
        <v>4f875520-6e41-4025-b107-8a4c2aef114a</v>
      </c>
    </row>
    <row r="490" spans="1:6" x14ac:dyDescent="0.35">
      <c r="A490" t="s">
        <v>391</v>
      </c>
      <c r="B490" t="s">
        <v>392</v>
      </c>
      <c r="C490">
        <v>11</v>
      </c>
      <c r="D490">
        <v>15</v>
      </c>
      <c r="E490">
        <v>2</v>
      </c>
      <c r="F490" s="5" t="str">
        <f>HYPERLINK("https://axonsv.app.intel.com/apps/record-viewer?id=39f2dc9f-996f-4dd7-b327-a590a9c37a82","39f2dc9f-996f-4dd7-b327-a590a9c37a82")</f>
        <v>39f2dc9f-996f-4dd7-b327-a590a9c37a82</v>
      </c>
    </row>
    <row r="491" spans="1:6" x14ac:dyDescent="0.35">
      <c r="A491" t="s">
        <v>393</v>
      </c>
      <c r="B491" t="s">
        <v>394</v>
      </c>
      <c r="C491">
        <v>11</v>
      </c>
      <c r="D491">
        <v>15</v>
      </c>
      <c r="E491">
        <v>2</v>
      </c>
      <c r="F491" s="5" t="str">
        <f>HYPERLINK("https://axonsv.app.intel.com/apps/record-viewer?id=110496e1-84ff-b34c-194d-bde5d3b46ee9","110496e1-84ff-b34c-194d-bde5d3b46ee9")</f>
        <v>110496e1-84ff-b34c-194d-bde5d3b46ee9</v>
      </c>
    </row>
    <row r="492" spans="1:6" x14ac:dyDescent="0.35">
      <c r="A492" t="s">
        <v>395</v>
      </c>
      <c r="B492" t="s">
        <v>396</v>
      </c>
      <c r="C492">
        <v>11</v>
      </c>
      <c r="D492">
        <v>15</v>
      </c>
      <c r="E492">
        <v>2</v>
      </c>
      <c r="F492" s="5" t="str">
        <f>HYPERLINK("https://axonsv.app.intel.com/apps/record-viewer?id=9629aa3d-f1f2-f3d7-62e1-797a045c3d3b","9629aa3d-f1f2-f3d7-62e1-797a045c3d3b")</f>
        <v>9629aa3d-f1f2-f3d7-62e1-797a045c3d3b</v>
      </c>
    </row>
    <row r="493" spans="1:6" x14ac:dyDescent="0.35">
      <c r="A493" t="s">
        <v>397</v>
      </c>
      <c r="B493" t="s">
        <v>398</v>
      </c>
      <c r="C493">
        <v>11</v>
      </c>
      <c r="D493">
        <v>15</v>
      </c>
      <c r="E493">
        <v>2</v>
      </c>
      <c r="F493" s="5" t="str">
        <f>HYPERLINK("https://axonsv.app.intel.com/apps/record-viewer?id=c2d9d4ac-5fc5-4999-b30b-456c3e839df7","c2d9d4ac-5fc5-4999-b30b-456c3e839df7")</f>
        <v>c2d9d4ac-5fc5-4999-b30b-456c3e839df7</v>
      </c>
    </row>
    <row r="494" spans="1:6" x14ac:dyDescent="0.35">
      <c r="A494" t="s">
        <v>399</v>
      </c>
      <c r="B494" t="s">
        <v>400</v>
      </c>
      <c r="C494">
        <v>11</v>
      </c>
      <c r="D494">
        <v>15</v>
      </c>
      <c r="E494">
        <v>2</v>
      </c>
      <c r="F494" s="5" t="str">
        <f>HYPERLINK("https://axonsv.app.intel.com/apps/record-viewer?id=900d029e-cf58-4432-bfdd-58fba5a0af4c","900d029e-cf58-4432-bfdd-58fba5a0af4c")</f>
        <v>900d029e-cf58-4432-bfdd-58fba5a0af4c</v>
      </c>
    </row>
    <row r="495" spans="1:6" x14ac:dyDescent="0.35">
      <c r="A495" t="s">
        <v>391</v>
      </c>
      <c r="B495" t="s">
        <v>401</v>
      </c>
      <c r="C495">
        <v>11</v>
      </c>
      <c r="D495">
        <v>15</v>
      </c>
      <c r="E495">
        <v>2</v>
      </c>
      <c r="F495" s="5" t="str">
        <f>HYPERLINK("https://axonsv.app.intel.com/apps/record-viewer?id=6c2c46b8-78a6-44ce-813c-bfae71a3db56","6c2c46b8-78a6-44ce-813c-bfae71a3db56")</f>
        <v>6c2c46b8-78a6-44ce-813c-bfae71a3db56</v>
      </c>
    </row>
    <row r="496" spans="1:6" x14ac:dyDescent="0.35">
      <c r="A496" t="s">
        <v>402</v>
      </c>
      <c r="B496" t="s">
        <v>403</v>
      </c>
      <c r="C496">
        <v>18</v>
      </c>
      <c r="D496">
        <v>14</v>
      </c>
      <c r="E496">
        <v>0</v>
      </c>
      <c r="F496" s="5" t="str">
        <f>HYPERLINK("https://axonsv.app.intel.com/apps/record-viewer?id=2238a18d-ee01-4f1e-b0a3-a9fa2763d315","2238a18d-ee01-4f1e-b0a3-a9fa2763d315")</f>
        <v>2238a18d-ee01-4f1e-b0a3-a9fa2763d315</v>
      </c>
    </row>
    <row r="497" spans="1:6" x14ac:dyDescent="0.35">
      <c r="A497" t="s">
        <v>404</v>
      </c>
      <c r="B497" t="s">
        <v>405</v>
      </c>
      <c r="C497">
        <v>11</v>
      </c>
      <c r="D497">
        <v>15</v>
      </c>
      <c r="E497">
        <v>2</v>
      </c>
      <c r="F497" s="5" t="str">
        <f>HYPERLINK("https://axonsv.app.intel.com/apps/record-viewer?id=9409993b-0bf7-4002-83c3-ddd4e7489f88","9409993b-0bf7-4002-83c3-ddd4e7489f88")</f>
        <v>9409993b-0bf7-4002-83c3-ddd4e7489f88</v>
      </c>
    </row>
    <row r="498" spans="1:6" x14ac:dyDescent="0.35">
      <c r="A498" t="s">
        <v>406</v>
      </c>
      <c r="B498" t="s">
        <v>407</v>
      </c>
      <c r="C498">
        <v>11</v>
      </c>
      <c r="D498">
        <v>15</v>
      </c>
      <c r="E498">
        <v>2</v>
      </c>
      <c r="F498" s="5" t="str">
        <f>HYPERLINK("https://axonsv.app.intel.com/apps/record-viewer?id=3e3e6760-9190-cea4-30fd-821921d7badf","3e3e6760-9190-cea4-30fd-821921d7badf")</f>
        <v>3e3e6760-9190-cea4-30fd-821921d7badf</v>
      </c>
    </row>
    <row r="499" spans="1:6" x14ac:dyDescent="0.35">
      <c r="A499" t="s">
        <v>408</v>
      </c>
      <c r="B499" t="s">
        <v>409</v>
      </c>
      <c r="C499">
        <v>11</v>
      </c>
      <c r="D499">
        <v>15</v>
      </c>
      <c r="E499">
        <v>2</v>
      </c>
      <c r="F499" s="5" t="str">
        <f>HYPERLINK("https://axonsv.app.intel.com/apps/record-viewer?id=db77243a-0a02-4b6b-813a-d0a938aa0573","db77243a-0a02-4b6b-813a-d0a938aa0573")</f>
        <v>db77243a-0a02-4b6b-813a-d0a938aa0573</v>
      </c>
    </row>
    <row r="500" spans="1:6" x14ac:dyDescent="0.35">
      <c r="A500" t="s">
        <v>410</v>
      </c>
      <c r="B500" t="s">
        <v>411</v>
      </c>
      <c r="C500">
        <v>11</v>
      </c>
      <c r="D500">
        <v>15</v>
      </c>
      <c r="E500">
        <v>2</v>
      </c>
      <c r="F500" s="5" t="str">
        <f>HYPERLINK("https://axonsv.app.intel.com/apps/record-viewer?id=9518a3c4-3b8b-13c6-d2e8-eb3f61c3b182","9518a3c4-3b8b-13c6-d2e8-eb3f61c3b182")</f>
        <v>9518a3c4-3b8b-13c6-d2e8-eb3f61c3b182</v>
      </c>
    </row>
    <row r="501" spans="1:6" x14ac:dyDescent="0.35">
      <c r="A501" t="s">
        <v>412</v>
      </c>
      <c r="B501" t="s">
        <v>413</v>
      </c>
      <c r="C501">
        <v>11</v>
      </c>
      <c r="D501">
        <v>15</v>
      </c>
      <c r="E501">
        <v>2</v>
      </c>
      <c r="F501" s="5" t="str">
        <f>HYPERLINK("https://axonsv.app.intel.com/apps/record-viewer?id=4d706350-bb9b-4d51-a641-94f0eaede136","4d706350-bb9b-4d51-a641-94f0eaede136")</f>
        <v>4d706350-bb9b-4d51-a641-94f0eaede136</v>
      </c>
    </row>
    <row r="502" spans="1:6" x14ac:dyDescent="0.35">
      <c r="A502" t="s">
        <v>414</v>
      </c>
      <c r="B502" t="s">
        <v>415</v>
      </c>
      <c r="C502">
        <v>11</v>
      </c>
      <c r="D502">
        <v>15</v>
      </c>
      <c r="E502">
        <v>2</v>
      </c>
      <c r="F502" s="5" t="str">
        <f>HYPERLINK("https://axonsv.app.intel.com/apps/record-viewer?id=e8317d02-e120-43e4-befa-bbc24be5fc15","e8317d02-e120-43e4-befa-bbc24be5fc15")</f>
        <v>e8317d02-e120-43e4-befa-bbc24be5fc15</v>
      </c>
    </row>
    <row r="503" spans="1:6" x14ac:dyDescent="0.35">
      <c r="A503" t="s">
        <v>416</v>
      </c>
      <c r="B503" t="s">
        <v>417</v>
      </c>
      <c r="C503">
        <v>11</v>
      </c>
      <c r="D503">
        <v>15</v>
      </c>
      <c r="E503">
        <v>2</v>
      </c>
      <c r="F503" s="5" t="str">
        <f>HYPERLINK("https://axonsv.app.intel.com/apps/record-viewer?id=5516d263-2adb-4b89-a601-c82b64a4f1f2","5516d263-2adb-4b89-a601-c82b64a4f1f2")</f>
        <v>5516d263-2adb-4b89-a601-c82b64a4f1f2</v>
      </c>
    </row>
    <row r="504" spans="1:6" x14ac:dyDescent="0.35">
      <c r="A504" t="s">
        <v>418</v>
      </c>
      <c r="B504" t="s">
        <v>419</v>
      </c>
      <c r="C504">
        <v>11</v>
      </c>
      <c r="D504">
        <v>15</v>
      </c>
      <c r="E504">
        <v>2</v>
      </c>
      <c r="F504" s="5" t="str">
        <f>HYPERLINK("https://axonsv.app.intel.com/apps/record-viewer?id=e3a369d4-7ca9-4eef-bb85-7e9ce600a4b0","e3a369d4-7ca9-4eef-bb85-7e9ce600a4b0")</f>
        <v>e3a369d4-7ca9-4eef-bb85-7e9ce600a4b0</v>
      </c>
    </row>
    <row r="505" spans="1:6" x14ac:dyDescent="0.35">
      <c r="A505" t="s">
        <v>420</v>
      </c>
      <c r="B505" t="s">
        <v>421</v>
      </c>
      <c r="C505">
        <v>11</v>
      </c>
      <c r="D505">
        <v>15</v>
      </c>
      <c r="E505">
        <v>2</v>
      </c>
      <c r="F505" s="5" t="str">
        <f>HYPERLINK("https://axonsv.app.intel.com/apps/record-viewer?id=41a8b287-8f13-46fd-bdba-92527fc49043","41a8b287-8f13-46fd-bdba-92527fc49043")</f>
        <v>41a8b287-8f13-46fd-bdba-92527fc49043</v>
      </c>
    </row>
    <row r="506" spans="1:6" x14ac:dyDescent="0.35">
      <c r="A506" t="s">
        <v>422</v>
      </c>
      <c r="B506" t="s">
        <v>423</v>
      </c>
      <c r="C506">
        <v>11</v>
      </c>
      <c r="D506">
        <v>15</v>
      </c>
      <c r="E506">
        <v>2</v>
      </c>
      <c r="F506" s="5" t="str">
        <f>HYPERLINK("https://axonsv.app.intel.com/apps/record-viewer?id=16671a09-f336-43a4-87b1-eafe8f1d4b45","16671a09-f336-43a4-87b1-eafe8f1d4b45")</f>
        <v>16671a09-f336-43a4-87b1-eafe8f1d4b45</v>
      </c>
    </row>
    <row r="507" spans="1:6" x14ac:dyDescent="0.35">
      <c r="A507" t="s">
        <v>424</v>
      </c>
      <c r="B507" t="s">
        <v>425</v>
      </c>
      <c r="C507">
        <v>11</v>
      </c>
      <c r="D507">
        <v>15</v>
      </c>
      <c r="E507">
        <v>2</v>
      </c>
      <c r="F507" s="5" t="str">
        <f>HYPERLINK("https://axonsv.app.intel.com/apps/record-viewer?id=867a766d-d8fb-416a-aa4c-ea4911b6818b","867a766d-d8fb-416a-aa4c-ea4911b6818b")</f>
        <v>867a766d-d8fb-416a-aa4c-ea4911b6818b</v>
      </c>
    </row>
    <row r="508" spans="1:6" x14ac:dyDescent="0.35">
      <c r="A508" t="s">
        <v>426</v>
      </c>
      <c r="B508" t="s">
        <v>427</v>
      </c>
      <c r="C508">
        <v>11</v>
      </c>
      <c r="D508">
        <v>15</v>
      </c>
      <c r="E508">
        <v>2</v>
      </c>
      <c r="F508" s="5" t="str">
        <f>HYPERLINK("https://axonsv.app.intel.com/apps/record-viewer?id=ae33ddee-0a9e-4732-9cc0-bb7017468998","ae33ddee-0a9e-4732-9cc0-bb7017468998")</f>
        <v>ae33ddee-0a9e-4732-9cc0-bb7017468998</v>
      </c>
    </row>
    <row r="509" spans="1:6" x14ac:dyDescent="0.35">
      <c r="A509" t="s">
        <v>428</v>
      </c>
      <c r="B509" t="s">
        <v>429</v>
      </c>
      <c r="C509">
        <v>11</v>
      </c>
      <c r="D509">
        <v>15</v>
      </c>
      <c r="E509">
        <v>2</v>
      </c>
      <c r="F509" s="5" t="str">
        <f>HYPERLINK("https://axonsv.app.intel.com/apps/record-viewer?id=e4b7515e-7344-4001-9500-fbbfec877212","e4b7515e-7344-4001-9500-fbbfec877212")</f>
        <v>e4b7515e-7344-4001-9500-fbbfec877212</v>
      </c>
    </row>
    <row r="510" spans="1:6" x14ac:dyDescent="0.35">
      <c r="A510" t="s">
        <v>430</v>
      </c>
      <c r="B510" t="s">
        <v>431</v>
      </c>
      <c r="C510">
        <v>11</v>
      </c>
      <c r="D510">
        <v>15</v>
      </c>
      <c r="E510">
        <v>2</v>
      </c>
      <c r="F510" s="5" t="str">
        <f>HYPERLINK("https://axonsv.app.intel.com/apps/record-viewer?id=5a9fb788-9e5e-4e23-8705-0773faa746ab","5a9fb788-9e5e-4e23-8705-0773faa746ab")</f>
        <v>5a9fb788-9e5e-4e23-8705-0773faa746ab</v>
      </c>
    </row>
    <row r="511" spans="1:6" x14ac:dyDescent="0.35">
      <c r="A511" t="s">
        <v>358</v>
      </c>
      <c r="B511" t="s">
        <v>432</v>
      </c>
      <c r="C511">
        <v>18</v>
      </c>
      <c r="D511">
        <v>14</v>
      </c>
      <c r="E511">
        <v>0</v>
      </c>
      <c r="F511" s="5" t="str">
        <f>HYPERLINK("https://axonsv.app.intel.com/apps/record-viewer?id=59b107ac-33ca-4a06-b6ab-cc31bbc44f22","59b107ac-33ca-4a06-b6ab-cc31bbc44f22")</f>
        <v>59b107ac-33ca-4a06-b6ab-cc31bbc44f22</v>
      </c>
    </row>
    <row r="512" spans="1:6" x14ac:dyDescent="0.35">
      <c r="A512" t="s">
        <v>433</v>
      </c>
      <c r="B512" t="s">
        <v>434</v>
      </c>
      <c r="C512">
        <v>11</v>
      </c>
      <c r="D512">
        <v>15</v>
      </c>
      <c r="E512">
        <v>2</v>
      </c>
      <c r="F512" s="5" t="str">
        <f>HYPERLINK("https://axonsv.app.intel.com/apps/record-viewer?id=18da2d54-3fc5-4032-9489-f1723bcb9a06","18da2d54-3fc5-4032-9489-f1723bcb9a06")</f>
        <v>18da2d54-3fc5-4032-9489-f1723bcb9a06</v>
      </c>
    </row>
    <row r="513" spans="1:6" x14ac:dyDescent="0.35">
      <c r="A513" t="s">
        <v>435</v>
      </c>
      <c r="B513" t="s">
        <v>436</v>
      </c>
      <c r="C513">
        <v>11</v>
      </c>
      <c r="D513">
        <v>15</v>
      </c>
      <c r="E513">
        <v>2</v>
      </c>
      <c r="F513" s="5" t="str">
        <f>HYPERLINK("https://axonsv.app.intel.com/apps/record-viewer?id=253bbf3a-ad3a-46a7-ba45-befda935bd53","253bbf3a-ad3a-46a7-ba45-befda935bd53")</f>
        <v>253bbf3a-ad3a-46a7-ba45-befda935bd53</v>
      </c>
    </row>
    <row r="514" spans="1:6" x14ac:dyDescent="0.35">
      <c r="A514" t="s">
        <v>437</v>
      </c>
      <c r="B514" t="s">
        <v>438</v>
      </c>
      <c r="C514">
        <v>11</v>
      </c>
      <c r="D514">
        <v>15</v>
      </c>
      <c r="E514">
        <v>2</v>
      </c>
      <c r="F514" s="5" t="str">
        <f>HYPERLINK("https://axonsv.app.intel.com/apps/record-viewer?id=beb4a1d5-dcbd-0833-dc2b-06a9f861c0ff","beb4a1d5-dcbd-0833-dc2b-06a9f861c0ff")</f>
        <v>beb4a1d5-dcbd-0833-dc2b-06a9f861c0ff</v>
      </c>
    </row>
    <row r="515" spans="1:6" x14ac:dyDescent="0.35">
      <c r="A515" t="s">
        <v>318</v>
      </c>
      <c r="B515" t="s">
        <v>439</v>
      </c>
      <c r="C515">
        <v>11</v>
      </c>
      <c r="D515">
        <v>15</v>
      </c>
      <c r="E515">
        <v>2</v>
      </c>
      <c r="F515" s="5" t="str">
        <f>HYPERLINK("https://axonsv.app.intel.com/apps/record-viewer?id=e4d4a632-e810-7957-b18c-9ec77621b4d1","e4d4a632-e810-7957-b18c-9ec77621b4d1")</f>
        <v>e4d4a632-e810-7957-b18c-9ec77621b4d1</v>
      </c>
    </row>
    <row r="516" spans="1:6" x14ac:dyDescent="0.35">
      <c r="A516" t="s">
        <v>440</v>
      </c>
      <c r="B516" t="s">
        <v>441</v>
      </c>
      <c r="C516">
        <v>11</v>
      </c>
      <c r="D516">
        <v>15</v>
      </c>
      <c r="E516">
        <v>2</v>
      </c>
      <c r="F516" s="5" t="str">
        <f>HYPERLINK("https://axonsv.app.intel.com/apps/record-viewer?id=26542200-8d0f-4eed-a879-a551dcb904ae","26542200-8d0f-4eed-a879-a551dcb904ae")</f>
        <v>26542200-8d0f-4eed-a879-a551dcb904ae</v>
      </c>
    </row>
    <row r="517" spans="1:6" x14ac:dyDescent="0.35">
      <c r="A517" t="s">
        <v>318</v>
      </c>
      <c r="B517" t="s">
        <v>442</v>
      </c>
      <c r="C517">
        <v>20</v>
      </c>
      <c r="D517">
        <v>10</v>
      </c>
      <c r="E517">
        <v>0</v>
      </c>
      <c r="F517" s="5" t="str">
        <f>HYPERLINK("https://axonsv.app.intel.com/apps/record-viewer?id=88889040-d99c-417e-9e28-559cfaac6a07","88889040-d99c-417e-9e28-559cfaac6a07")</f>
        <v>88889040-d99c-417e-9e28-559cfaac6a07</v>
      </c>
    </row>
    <row r="518" spans="1:6" x14ac:dyDescent="0.35">
      <c r="A518" t="s">
        <v>318</v>
      </c>
      <c r="B518" t="s">
        <v>443</v>
      </c>
      <c r="C518">
        <v>13</v>
      </c>
      <c r="D518">
        <v>17</v>
      </c>
      <c r="E518">
        <v>1</v>
      </c>
      <c r="F518" s="5" t="str">
        <f>HYPERLINK("https://axonsv.app.intel.com/apps/record-viewer?id=006bd099-40e4-4de3-b4db-0a637f2d1a39","006bd099-40e4-4de3-b4db-0a637f2d1a39")</f>
        <v>006bd099-40e4-4de3-b4db-0a637f2d1a39</v>
      </c>
    </row>
    <row r="519" spans="1:6" x14ac:dyDescent="0.35">
      <c r="A519" t="s">
        <v>318</v>
      </c>
      <c r="B519" t="s">
        <v>442</v>
      </c>
      <c r="C519">
        <v>20</v>
      </c>
      <c r="D519">
        <v>10</v>
      </c>
      <c r="E519">
        <v>0</v>
      </c>
      <c r="F519" s="5" t="str">
        <f>HYPERLINK("https://axonsv.app.intel.com/apps/record-viewer?id=9e6813d4-5c78-49b5-be80-5b28e3014c1e","9e6813d4-5c78-49b5-be80-5b28e3014c1e")</f>
        <v>9e6813d4-5c78-49b5-be80-5b28e3014c1e</v>
      </c>
    </row>
    <row r="520" spans="1:6" x14ac:dyDescent="0.35">
      <c r="A520" t="s">
        <v>318</v>
      </c>
      <c r="B520" t="s">
        <v>444</v>
      </c>
      <c r="C520">
        <v>18</v>
      </c>
      <c r="D520">
        <v>14</v>
      </c>
      <c r="E520">
        <v>0</v>
      </c>
      <c r="F520" s="5" t="str">
        <f>HYPERLINK("https://axonsv.app.intel.com/apps/record-viewer?id=9f166c5b-aa0d-4a40-8fce-ca0fe9320cda","9f166c5b-aa0d-4a40-8fce-ca0fe9320cda")</f>
        <v>9f166c5b-aa0d-4a40-8fce-ca0fe9320cda</v>
      </c>
    </row>
    <row r="521" spans="1:6" x14ac:dyDescent="0.35">
      <c r="A521" t="s">
        <v>318</v>
      </c>
      <c r="B521" t="s">
        <v>445</v>
      </c>
      <c r="C521">
        <v>16</v>
      </c>
      <c r="D521">
        <v>12</v>
      </c>
      <c r="E521">
        <v>1</v>
      </c>
      <c r="F521" s="5" t="str">
        <f>HYPERLINK("https://axonsv.app.intel.com/apps/record-viewer?id=c71d5c9a-e7d6-413a-a8e4-c0884600e5c8","c71d5c9a-e7d6-413a-a8e4-c0884600e5c8")</f>
        <v>c71d5c9a-e7d6-413a-a8e4-c0884600e5c8</v>
      </c>
    </row>
    <row r="522" spans="1:6" x14ac:dyDescent="0.35">
      <c r="A522" t="s">
        <v>446</v>
      </c>
      <c r="B522" t="s">
        <v>447</v>
      </c>
      <c r="C522">
        <v>13</v>
      </c>
      <c r="D522">
        <v>17</v>
      </c>
      <c r="E522">
        <v>1</v>
      </c>
      <c r="F522" s="5" t="str">
        <f>HYPERLINK("https://axonsv.app.intel.com/apps/record-viewer?id=589940a3-812e-462b-a75b-34760deb3c20","589940a3-812e-462b-a75b-34760deb3c20")</f>
        <v>589940a3-812e-462b-a75b-34760deb3c20</v>
      </c>
    </row>
    <row r="523" spans="1:6" x14ac:dyDescent="0.35">
      <c r="A523" t="s">
        <v>448</v>
      </c>
      <c r="B523" t="s">
        <v>449</v>
      </c>
      <c r="C523">
        <v>11</v>
      </c>
      <c r="D523">
        <v>15</v>
      </c>
      <c r="E523">
        <v>2</v>
      </c>
      <c r="F523" s="5" t="str">
        <f>HYPERLINK("https://axonsv.app.intel.com/apps/record-viewer?id=d5242e5b-7f3a-d45d-03bc-ed657a6ee9d4","d5242e5b-7f3a-d45d-03bc-ed657a6ee9d4")</f>
        <v>d5242e5b-7f3a-d45d-03bc-ed657a6ee9d4</v>
      </c>
    </row>
    <row r="524" spans="1:6" x14ac:dyDescent="0.35">
      <c r="A524" t="s">
        <v>318</v>
      </c>
      <c r="B524" t="s">
        <v>450</v>
      </c>
      <c r="C524">
        <v>16</v>
      </c>
      <c r="D524">
        <v>12</v>
      </c>
      <c r="E524">
        <v>1</v>
      </c>
      <c r="F524" s="5" t="str">
        <f>HYPERLINK("https://axonsv.app.intel.com/apps/record-viewer?id=f77b1c14-99c5-4107-9c7d-f601c53f00e8","f77b1c14-99c5-4107-9c7d-f601c53f00e8")</f>
        <v>f77b1c14-99c5-4107-9c7d-f601c53f00e8</v>
      </c>
    </row>
    <row r="525" spans="1:6" x14ac:dyDescent="0.35">
      <c r="A525" t="s">
        <v>320</v>
      </c>
      <c r="B525" t="s">
        <v>451</v>
      </c>
      <c r="C525">
        <v>11</v>
      </c>
      <c r="D525">
        <v>15</v>
      </c>
      <c r="E525">
        <v>2</v>
      </c>
      <c r="F525" s="5" t="str">
        <f>HYPERLINK("https://axonsv.app.intel.com/apps/record-viewer?id=d89cecfe-c4dc-477d-5faf-d4eea0f983ba","d89cecfe-c4dc-477d-5faf-d4eea0f983ba")</f>
        <v>d89cecfe-c4dc-477d-5faf-d4eea0f983ba</v>
      </c>
    </row>
    <row r="526" spans="1:6" x14ac:dyDescent="0.35">
      <c r="A526" t="s">
        <v>452</v>
      </c>
      <c r="B526" t="s">
        <v>453</v>
      </c>
      <c r="C526">
        <v>11</v>
      </c>
      <c r="D526">
        <v>15</v>
      </c>
      <c r="E526">
        <v>2</v>
      </c>
      <c r="F526" s="5" t="str">
        <f>HYPERLINK("https://axonsv.app.intel.com/apps/record-viewer?id=09060041-daba-49d8-9f06-f27f4de07e62","09060041-daba-49d8-9f06-f27f4de07e62")</f>
        <v>09060041-daba-49d8-9f06-f27f4de07e62</v>
      </c>
    </row>
    <row r="527" spans="1:6" x14ac:dyDescent="0.35">
      <c r="A527" t="s">
        <v>318</v>
      </c>
      <c r="B527" t="s">
        <v>454</v>
      </c>
      <c r="C527">
        <v>11</v>
      </c>
      <c r="D527">
        <v>15</v>
      </c>
      <c r="E527">
        <v>2</v>
      </c>
      <c r="F527" s="5" t="str">
        <f>HYPERLINK("https://axonsv.app.intel.com/apps/record-viewer?id=03a32d69-0a4c-4f6f-8755-e558d0517c89","03a32d69-0a4c-4f6f-8755-e558d0517c89")</f>
        <v>03a32d69-0a4c-4f6f-8755-e558d0517c89</v>
      </c>
    </row>
    <row r="528" spans="1:6" x14ac:dyDescent="0.35">
      <c r="A528" t="s">
        <v>318</v>
      </c>
      <c r="B528" t="s">
        <v>455</v>
      </c>
      <c r="C528">
        <v>16</v>
      </c>
      <c r="D528">
        <v>12</v>
      </c>
      <c r="E528">
        <v>1</v>
      </c>
      <c r="F528" s="5" t="str">
        <f>HYPERLINK("https://axonsv.app.intel.com/apps/record-viewer?id=6cfff395-8e00-49c5-8346-3529eb831a2c","6cfff395-8e00-49c5-8346-3529eb831a2c")</f>
        <v>6cfff395-8e00-49c5-8346-3529eb831a2c</v>
      </c>
    </row>
    <row r="529" spans="1:6" x14ac:dyDescent="0.35">
      <c r="A529" t="s">
        <v>456</v>
      </c>
      <c r="B529" t="s">
        <v>457</v>
      </c>
      <c r="C529">
        <v>11</v>
      </c>
      <c r="D529">
        <v>15</v>
      </c>
      <c r="E529">
        <v>2</v>
      </c>
      <c r="F529" s="5" t="str">
        <f>HYPERLINK("https://axonsv.app.intel.com/apps/record-viewer?id=0e12a0d0-7c2e-0720-4edb-912827bdb61b","0e12a0d0-7c2e-0720-4edb-912827bdb61b")</f>
        <v>0e12a0d0-7c2e-0720-4edb-912827bdb61b</v>
      </c>
    </row>
    <row r="530" spans="1:6" x14ac:dyDescent="0.35">
      <c r="A530" t="s">
        <v>318</v>
      </c>
      <c r="B530" t="s">
        <v>458</v>
      </c>
      <c r="C530">
        <v>12</v>
      </c>
      <c r="D530">
        <v>16</v>
      </c>
      <c r="E530">
        <v>1</v>
      </c>
      <c r="F530" s="5" t="str">
        <f>HYPERLINK("https://axonsv.app.intel.com/apps/record-viewer?id=0d414b87-7141-4cb5-bd24-8e1f46bab36d","0d414b87-7141-4cb5-bd24-8e1f46bab36d")</f>
        <v>0d414b87-7141-4cb5-bd24-8e1f46bab36d</v>
      </c>
    </row>
    <row r="531" spans="1:6" x14ac:dyDescent="0.35">
      <c r="A531" t="s">
        <v>318</v>
      </c>
      <c r="B531" t="s">
        <v>450</v>
      </c>
      <c r="C531">
        <v>16</v>
      </c>
      <c r="D531">
        <v>12</v>
      </c>
      <c r="E531">
        <v>1</v>
      </c>
      <c r="F531" s="5" t="str">
        <f>HYPERLINK("https://axonsv.app.intel.com/apps/record-viewer?id=e0eb83f1-88f7-4480-b7a0-842e330bb97f","e0eb83f1-88f7-4480-b7a0-842e330bb97f")</f>
        <v>e0eb83f1-88f7-4480-b7a0-842e330bb97f</v>
      </c>
    </row>
    <row r="532" spans="1:6" x14ac:dyDescent="0.35">
      <c r="A532" t="s">
        <v>318</v>
      </c>
      <c r="B532" t="s">
        <v>459</v>
      </c>
      <c r="C532">
        <v>18</v>
      </c>
      <c r="D532">
        <v>14</v>
      </c>
      <c r="E532">
        <v>0</v>
      </c>
      <c r="F532" s="5" t="str">
        <f>HYPERLINK("https://axonsv.app.intel.com/apps/record-viewer?id=e766e04f-bc2f-4ae6-b046-d1b36e7d5677","e766e04f-bc2f-4ae6-b046-d1b36e7d5677")</f>
        <v>e766e04f-bc2f-4ae6-b046-d1b36e7d5677</v>
      </c>
    </row>
    <row r="533" spans="1:6" x14ac:dyDescent="0.35">
      <c r="A533" t="s">
        <v>460</v>
      </c>
      <c r="B533" t="s">
        <v>461</v>
      </c>
      <c r="C533">
        <v>11</v>
      </c>
      <c r="D533">
        <v>15</v>
      </c>
      <c r="E533">
        <v>2</v>
      </c>
      <c r="F533" s="5" t="str">
        <f>HYPERLINK("https://axonsv.app.intel.com/apps/record-viewer?id=fca8725f-0292-45c7-a7e2-4b1d8a228cd8","fca8725f-0292-45c7-a7e2-4b1d8a228cd8")</f>
        <v>fca8725f-0292-45c7-a7e2-4b1d8a228cd8</v>
      </c>
    </row>
    <row r="534" spans="1:6" x14ac:dyDescent="0.35">
      <c r="A534" t="s">
        <v>446</v>
      </c>
      <c r="B534" t="s">
        <v>455</v>
      </c>
      <c r="C534">
        <v>10</v>
      </c>
      <c r="D534">
        <v>12</v>
      </c>
      <c r="E534">
        <v>1</v>
      </c>
      <c r="F534" s="5" t="str">
        <f>HYPERLINK("https://axonsv.app.intel.com/apps/record-viewer?id=3b8f64ac-bcb4-41ff-9638-cf2fa823cc64","3b8f64ac-bcb4-41ff-9638-cf2fa823cc64")</f>
        <v>3b8f64ac-bcb4-41ff-9638-cf2fa823cc64</v>
      </c>
    </row>
    <row r="535" spans="1:6" x14ac:dyDescent="0.35">
      <c r="A535" t="s">
        <v>318</v>
      </c>
      <c r="B535" t="s">
        <v>455</v>
      </c>
      <c r="C535">
        <v>16</v>
      </c>
      <c r="D535">
        <v>12</v>
      </c>
      <c r="E535">
        <v>1</v>
      </c>
      <c r="F535" s="5" t="str">
        <f>HYPERLINK("https://axonsv.app.intel.com/apps/record-viewer?id=f9db27ce-e35c-4e59-a388-f2639a3f1475","f9db27ce-e35c-4e59-a388-f2639a3f1475")</f>
        <v>f9db27ce-e35c-4e59-a388-f2639a3f1475</v>
      </c>
    </row>
    <row r="536" spans="1:6" x14ac:dyDescent="0.35">
      <c r="A536" t="s">
        <v>318</v>
      </c>
      <c r="B536" t="s">
        <v>450</v>
      </c>
      <c r="C536">
        <v>16</v>
      </c>
      <c r="D536">
        <v>12</v>
      </c>
      <c r="E536">
        <v>1</v>
      </c>
      <c r="F536" s="5" t="str">
        <f>HYPERLINK("https://axonsv.app.intel.com/apps/record-viewer?id=654e51c9-ae3b-4276-bc43-9399b5e4f7bf","654e51c9-ae3b-4276-bc43-9399b5e4f7bf")</f>
        <v>654e51c9-ae3b-4276-bc43-9399b5e4f7bf</v>
      </c>
    </row>
    <row r="537" spans="1:6" x14ac:dyDescent="0.35">
      <c r="A537" t="s">
        <v>462</v>
      </c>
      <c r="B537" t="s">
        <v>463</v>
      </c>
      <c r="C537">
        <v>11</v>
      </c>
      <c r="D537">
        <v>15</v>
      </c>
      <c r="E537">
        <v>2</v>
      </c>
      <c r="F537" s="5" t="str">
        <f>HYPERLINK("https://axonsv.app.intel.com/apps/record-viewer?id=c40733d4-9571-403d-b1c7-9bf3e29d62c6","c40733d4-9571-403d-b1c7-9bf3e29d62c6")</f>
        <v>c40733d4-9571-403d-b1c7-9bf3e29d62c6</v>
      </c>
    </row>
    <row r="538" spans="1:6" x14ac:dyDescent="0.35">
      <c r="A538" t="s">
        <v>318</v>
      </c>
      <c r="B538" t="s">
        <v>450</v>
      </c>
      <c r="C538">
        <v>16</v>
      </c>
      <c r="D538">
        <v>12</v>
      </c>
      <c r="E538">
        <v>1</v>
      </c>
      <c r="F538" s="5" t="str">
        <f>HYPERLINK("https://axonsv.app.intel.com/apps/record-viewer?id=0bb00c6d-7937-4adc-8e42-016712ec9d9c","0bb00c6d-7937-4adc-8e42-016712ec9d9c")</f>
        <v>0bb00c6d-7937-4adc-8e42-016712ec9d9c</v>
      </c>
    </row>
    <row r="539" spans="1:6" x14ac:dyDescent="0.35">
      <c r="A539" t="s">
        <v>318</v>
      </c>
      <c r="B539" t="s">
        <v>450</v>
      </c>
      <c r="C539">
        <v>16</v>
      </c>
      <c r="D539">
        <v>12</v>
      </c>
      <c r="E539">
        <v>1</v>
      </c>
      <c r="F539" s="5" t="str">
        <f>HYPERLINK("https://axonsv.app.intel.com/apps/record-viewer?id=448a38b6-17c8-4f99-a54c-7a85933390d0","448a38b6-17c8-4f99-a54c-7a85933390d0")</f>
        <v>448a38b6-17c8-4f99-a54c-7a85933390d0</v>
      </c>
    </row>
    <row r="540" spans="1:6" x14ac:dyDescent="0.35">
      <c r="A540" t="s">
        <v>318</v>
      </c>
      <c r="B540" t="s">
        <v>464</v>
      </c>
      <c r="C540">
        <v>12</v>
      </c>
      <c r="D540">
        <v>16</v>
      </c>
      <c r="E540">
        <v>1</v>
      </c>
      <c r="F540" s="5" t="str">
        <f>HYPERLINK("https://axonsv.app.intel.com/apps/record-viewer?id=fb18c5d9-98f7-4f71-b538-468083c24f5e","fb18c5d9-98f7-4f71-b538-468083c24f5e")</f>
        <v>fb18c5d9-98f7-4f71-b538-468083c24f5e</v>
      </c>
    </row>
    <row r="541" spans="1:6" x14ac:dyDescent="0.35">
      <c r="A541" t="s">
        <v>318</v>
      </c>
      <c r="B541" t="s">
        <v>465</v>
      </c>
      <c r="C541">
        <v>16</v>
      </c>
      <c r="D541">
        <v>12</v>
      </c>
      <c r="E541">
        <v>1</v>
      </c>
      <c r="F541" s="5" t="str">
        <f>HYPERLINK("https://axonsv.app.intel.com/apps/record-viewer?id=3440dd55-226a-48ae-8453-cb0fc0bfee77","3440dd55-226a-48ae-8453-cb0fc0bfee77")</f>
        <v>3440dd55-226a-48ae-8453-cb0fc0bfee77</v>
      </c>
    </row>
    <row r="542" spans="1:6" x14ac:dyDescent="0.35">
      <c r="A542" t="s">
        <v>318</v>
      </c>
      <c r="B542" t="s">
        <v>466</v>
      </c>
      <c r="C542">
        <v>17</v>
      </c>
      <c r="D542">
        <v>20</v>
      </c>
      <c r="E542">
        <v>0</v>
      </c>
      <c r="F542" s="5" t="str">
        <f>HYPERLINK("https://axonsv.app.intel.com/apps/record-viewer?id=9a929dba-9e74-4908-b7f0-7ce8ad565e33","9a929dba-9e74-4908-b7f0-7ce8ad565e33")</f>
        <v>9a929dba-9e74-4908-b7f0-7ce8ad565e33</v>
      </c>
    </row>
    <row r="543" spans="1:6" x14ac:dyDescent="0.35">
      <c r="A543" t="s">
        <v>446</v>
      </c>
      <c r="B543" t="s">
        <v>467</v>
      </c>
      <c r="C543">
        <v>10</v>
      </c>
      <c r="D543">
        <v>13</v>
      </c>
      <c r="E543">
        <v>0</v>
      </c>
      <c r="F543" s="5" t="str">
        <f>HYPERLINK("https://axonsv.app.intel.com/apps/record-viewer?id=3b21c565-ac6d-4793-9555-f43c629724a2","3b21c565-ac6d-4793-9555-f43c629724a2")</f>
        <v>3b21c565-ac6d-4793-9555-f43c629724a2</v>
      </c>
    </row>
    <row r="544" spans="1:6" x14ac:dyDescent="0.35">
      <c r="A544" t="s">
        <v>318</v>
      </c>
      <c r="B544" t="s">
        <v>450</v>
      </c>
      <c r="C544">
        <v>16</v>
      </c>
      <c r="D544">
        <v>12</v>
      </c>
      <c r="E544">
        <v>1</v>
      </c>
      <c r="F544" s="5" t="str">
        <f>HYPERLINK("https://axonsv.app.intel.com/apps/record-viewer?id=acfd16f7-cac4-45aa-b053-50411a600b07","acfd16f7-cac4-45aa-b053-50411a600b07")</f>
        <v>acfd16f7-cac4-45aa-b053-50411a600b07</v>
      </c>
    </row>
    <row r="545" spans="1:6" x14ac:dyDescent="0.35">
      <c r="A545" t="s">
        <v>318</v>
      </c>
      <c r="B545" t="s">
        <v>468</v>
      </c>
      <c r="C545">
        <v>11</v>
      </c>
      <c r="D545">
        <v>15</v>
      </c>
      <c r="E545">
        <v>2</v>
      </c>
      <c r="F545" s="5" t="str">
        <f>HYPERLINK("https://axonsv.app.intel.com/apps/record-viewer?id=62ab160c-a42a-500f-dfb1-e4dbebb0cdcb","62ab160c-a42a-500f-dfb1-e4dbebb0cdcb")</f>
        <v>62ab160c-a42a-500f-dfb1-e4dbebb0cdcb</v>
      </c>
    </row>
    <row r="546" spans="1:6" x14ac:dyDescent="0.35">
      <c r="A546" t="s">
        <v>318</v>
      </c>
      <c r="B546" t="s">
        <v>207</v>
      </c>
      <c r="C546">
        <v>20</v>
      </c>
      <c r="D546">
        <v>10</v>
      </c>
      <c r="E546">
        <v>0</v>
      </c>
      <c r="F546" s="5" t="str">
        <f>HYPERLINK("https://axonsv.app.intel.com/apps/record-viewer?id=5322c22f-204a-4a48-b4d0-91eec0d2c7ff","5322c22f-204a-4a48-b4d0-91eec0d2c7ff")</f>
        <v>5322c22f-204a-4a48-b4d0-91eec0d2c7ff</v>
      </c>
    </row>
    <row r="547" spans="1:6" x14ac:dyDescent="0.35">
      <c r="A547" t="s">
        <v>469</v>
      </c>
      <c r="B547" t="s">
        <v>470</v>
      </c>
      <c r="C547">
        <v>11</v>
      </c>
      <c r="D547">
        <v>15</v>
      </c>
      <c r="E547">
        <v>2</v>
      </c>
      <c r="F547" s="5" t="str">
        <f>HYPERLINK("https://axonsv.app.intel.com/apps/record-viewer?id=d7af96f4-badc-4f2b-bcaa-0b2223bb2edc","d7af96f4-badc-4f2b-bcaa-0b2223bb2edc")</f>
        <v>d7af96f4-badc-4f2b-bcaa-0b2223bb2edc</v>
      </c>
    </row>
    <row r="548" spans="1:6" x14ac:dyDescent="0.35">
      <c r="A548" t="s">
        <v>318</v>
      </c>
      <c r="B548" t="s">
        <v>207</v>
      </c>
      <c r="C548">
        <v>20</v>
      </c>
      <c r="D548">
        <v>10</v>
      </c>
      <c r="E548">
        <v>0</v>
      </c>
      <c r="F548" s="5" t="str">
        <f>HYPERLINK("https://axonsv.app.intel.com/apps/record-viewer?id=50b0eef9-8d30-4b9a-bd22-82df25996e99","50b0eef9-8d30-4b9a-bd22-82df25996e99")</f>
        <v>50b0eef9-8d30-4b9a-bd22-82df25996e99</v>
      </c>
    </row>
    <row r="549" spans="1:6" x14ac:dyDescent="0.35">
      <c r="A549" t="s">
        <v>318</v>
      </c>
      <c r="B549" t="s">
        <v>471</v>
      </c>
      <c r="C549">
        <v>12</v>
      </c>
      <c r="D549">
        <v>16</v>
      </c>
      <c r="E549">
        <v>1</v>
      </c>
      <c r="F549" s="5" t="str">
        <f>HYPERLINK("https://axonsv.app.intel.com/apps/record-viewer?id=4bc6d0db-8397-4275-bec1-7f28f69db884","4bc6d0db-8397-4275-bec1-7f28f69db884")</f>
        <v>4bc6d0db-8397-4275-bec1-7f28f69db884</v>
      </c>
    </row>
    <row r="550" spans="1:6" x14ac:dyDescent="0.35">
      <c r="A550" t="s">
        <v>318</v>
      </c>
      <c r="B550" t="s">
        <v>472</v>
      </c>
      <c r="C550">
        <v>20</v>
      </c>
      <c r="D550">
        <v>10</v>
      </c>
      <c r="E550">
        <v>0</v>
      </c>
      <c r="F550" s="5" t="str">
        <f>HYPERLINK("https://axonsv.app.intel.com/apps/record-viewer?id=25a5d4ea-a3ac-46a8-a83f-5cb710032dec","25a5d4ea-a3ac-46a8-a83f-5cb710032dec")</f>
        <v>25a5d4ea-a3ac-46a8-a83f-5cb710032dec</v>
      </c>
    </row>
    <row r="551" spans="1:6" x14ac:dyDescent="0.35">
      <c r="A551" t="s">
        <v>318</v>
      </c>
      <c r="B551" t="s">
        <v>473</v>
      </c>
      <c r="C551">
        <v>9</v>
      </c>
      <c r="D551">
        <v>5</v>
      </c>
      <c r="E551">
        <v>0</v>
      </c>
      <c r="F551" s="5" t="str">
        <f>HYPERLINK("https://axonsv.app.intel.com/apps/record-viewer?id=8bd5ed75-e736-4211-ac66-7b7c4bda8cdb","8bd5ed75-e736-4211-ac66-7b7c4bda8cdb")</f>
        <v>8bd5ed75-e736-4211-ac66-7b7c4bda8cdb</v>
      </c>
    </row>
    <row r="552" spans="1:6" x14ac:dyDescent="0.35">
      <c r="A552" t="s">
        <v>318</v>
      </c>
      <c r="B552" t="s">
        <v>474</v>
      </c>
      <c r="C552">
        <v>10</v>
      </c>
      <c r="D552">
        <v>13</v>
      </c>
      <c r="E552">
        <v>0</v>
      </c>
      <c r="F552" s="5" t="str">
        <f>HYPERLINK("https://axonsv.app.intel.com/apps/record-viewer?id=2f2a496e-f87d-4e24-9ea2-1c2082ce41ef","2f2a496e-f87d-4e24-9ea2-1c2082ce41ef")</f>
        <v>2f2a496e-f87d-4e24-9ea2-1c2082ce41ef</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Performance Metrics</vt:lpstr>
      <vt:lpstr>Sheet1</vt:lpstr>
      <vt:lpstr>Sheet12</vt:lpstr>
      <vt:lpstr>Clusters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Choudhari, Nakul</cp:lastModifiedBy>
  <dcterms:created xsi:type="dcterms:W3CDTF">2024-10-23T04:13:51Z</dcterms:created>
  <dcterms:modified xsi:type="dcterms:W3CDTF">2024-10-24T08:41:48Z</dcterms:modified>
</cp:coreProperties>
</file>