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LP_Project_1\"/>
    </mc:Choice>
  </mc:AlternateContent>
  <xr:revisionPtr revIDLastSave="0" documentId="13_ncr:1_{A00B4F23-3DA9-4185-8228-6486629496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2" i="1" l="1"/>
  <c r="F552" i="1"/>
  <c r="E552" i="1"/>
  <c r="A552" i="1"/>
  <c r="G551" i="1"/>
  <c r="F551" i="1"/>
  <c r="E551" i="1"/>
  <c r="A551" i="1"/>
  <c r="G550" i="1"/>
  <c r="F550" i="1"/>
  <c r="E550" i="1"/>
  <c r="A550" i="1"/>
  <c r="G549" i="1"/>
  <c r="F549" i="1"/>
  <c r="E549" i="1"/>
  <c r="A549" i="1"/>
  <c r="G548" i="1"/>
  <c r="F548" i="1"/>
  <c r="E548" i="1"/>
  <c r="A548" i="1"/>
  <c r="G547" i="1"/>
  <c r="F547" i="1"/>
  <c r="E547" i="1"/>
  <c r="A547" i="1"/>
  <c r="G546" i="1"/>
  <c r="F546" i="1"/>
  <c r="E546" i="1"/>
  <c r="A546" i="1"/>
  <c r="G545" i="1"/>
  <c r="F545" i="1"/>
  <c r="E545" i="1"/>
  <c r="A545" i="1"/>
  <c r="G544" i="1"/>
  <c r="F544" i="1"/>
  <c r="E544" i="1"/>
  <c r="A544" i="1"/>
  <c r="G543" i="1"/>
  <c r="F543" i="1"/>
  <c r="E543" i="1"/>
  <c r="A543" i="1"/>
  <c r="G542" i="1"/>
  <c r="F542" i="1"/>
  <c r="E542" i="1"/>
  <c r="A542" i="1"/>
  <c r="G541" i="1"/>
  <c r="F541" i="1"/>
  <c r="E541" i="1"/>
  <c r="A541" i="1"/>
  <c r="G540" i="1"/>
  <c r="F540" i="1"/>
  <c r="E540" i="1"/>
  <c r="A540" i="1"/>
  <c r="G539" i="1"/>
  <c r="F539" i="1"/>
  <c r="E539" i="1"/>
  <c r="A539" i="1"/>
  <c r="G538" i="1"/>
  <c r="F538" i="1"/>
  <c r="E538" i="1"/>
  <c r="A538" i="1"/>
  <c r="G537" i="1"/>
  <c r="F537" i="1"/>
  <c r="E537" i="1"/>
  <c r="A537" i="1"/>
  <c r="G536" i="1"/>
  <c r="F536" i="1"/>
  <c r="E536" i="1"/>
  <c r="A536" i="1"/>
  <c r="G535" i="1"/>
  <c r="F535" i="1"/>
  <c r="E535" i="1"/>
  <c r="A535" i="1"/>
  <c r="G534" i="1"/>
  <c r="F534" i="1"/>
  <c r="E534" i="1"/>
  <c r="A534" i="1"/>
  <c r="G533" i="1"/>
  <c r="F533" i="1"/>
  <c r="E533" i="1"/>
  <c r="A533" i="1"/>
  <c r="G532" i="1"/>
  <c r="F532" i="1"/>
  <c r="E532" i="1"/>
  <c r="A532" i="1"/>
  <c r="G531" i="1"/>
  <c r="F531" i="1"/>
  <c r="E531" i="1"/>
  <c r="A531" i="1"/>
  <c r="G530" i="1"/>
  <c r="F530" i="1"/>
  <c r="E530" i="1"/>
  <c r="A530" i="1"/>
  <c r="G529" i="1"/>
  <c r="F529" i="1"/>
  <c r="E529" i="1"/>
  <c r="A529" i="1"/>
  <c r="G528" i="1"/>
  <c r="F528" i="1"/>
  <c r="E528" i="1"/>
  <c r="A528" i="1"/>
  <c r="G527" i="1"/>
  <c r="F527" i="1"/>
  <c r="E527" i="1"/>
  <c r="A527" i="1"/>
  <c r="G526" i="1"/>
  <c r="F526" i="1"/>
  <c r="E526" i="1"/>
  <c r="A526" i="1"/>
  <c r="G525" i="1"/>
  <c r="F525" i="1"/>
  <c r="E525" i="1"/>
  <c r="A525" i="1"/>
  <c r="G524" i="1"/>
  <c r="F524" i="1"/>
  <c r="E524" i="1"/>
  <c r="A524" i="1"/>
  <c r="G523" i="1"/>
  <c r="F523" i="1"/>
  <c r="E523" i="1"/>
  <c r="A523" i="1"/>
  <c r="G522" i="1"/>
  <c r="F522" i="1"/>
  <c r="E522" i="1"/>
  <c r="A522" i="1"/>
  <c r="G521" i="1"/>
  <c r="F521" i="1"/>
  <c r="E521" i="1"/>
  <c r="A521" i="1"/>
  <c r="G520" i="1"/>
  <c r="F520" i="1"/>
  <c r="E520" i="1"/>
  <c r="A520" i="1"/>
  <c r="G519" i="1"/>
  <c r="F519" i="1"/>
  <c r="E519" i="1"/>
  <c r="A519" i="1"/>
  <c r="G518" i="1"/>
  <c r="F518" i="1"/>
  <c r="E518" i="1"/>
  <c r="A518" i="1"/>
  <c r="G517" i="1"/>
  <c r="F517" i="1"/>
  <c r="E517" i="1"/>
  <c r="A517" i="1"/>
  <c r="G516" i="1"/>
  <c r="F516" i="1"/>
  <c r="E516" i="1"/>
  <c r="A516" i="1"/>
  <c r="G515" i="1"/>
  <c r="F515" i="1"/>
  <c r="E515" i="1"/>
  <c r="A515" i="1"/>
  <c r="G514" i="1"/>
  <c r="F514" i="1"/>
  <c r="E514" i="1"/>
  <c r="A514" i="1"/>
  <c r="G513" i="1"/>
  <c r="F513" i="1"/>
  <c r="E513" i="1"/>
  <c r="A513" i="1"/>
  <c r="G512" i="1"/>
  <c r="F512" i="1"/>
  <c r="E512" i="1"/>
  <c r="A512" i="1"/>
  <c r="G511" i="1"/>
  <c r="F511" i="1"/>
  <c r="E511" i="1"/>
  <c r="A511" i="1"/>
  <c r="G510" i="1"/>
  <c r="F510" i="1"/>
  <c r="E510" i="1"/>
  <c r="A510" i="1"/>
  <c r="G509" i="1"/>
  <c r="F509" i="1"/>
  <c r="E509" i="1"/>
  <c r="A509" i="1"/>
  <c r="G508" i="1"/>
  <c r="F508" i="1"/>
  <c r="E508" i="1"/>
  <c r="A508" i="1"/>
  <c r="G507" i="1"/>
  <c r="F507" i="1"/>
  <c r="E507" i="1"/>
  <c r="A507" i="1"/>
  <c r="G506" i="1"/>
  <c r="F506" i="1"/>
  <c r="E506" i="1"/>
  <c r="A506" i="1"/>
  <c r="G505" i="1"/>
  <c r="F505" i="1"/>
  <c r="E505" i="1"/>
  <c r="A505" i="1"/>
  <c r="G504" i="1"/>
  <c r="F504" i="1"/>
  <c r="E504" i="1"/>
  <c r="A504" i="1"/>
  <c r="G503" i="1"/>
  <c r="F503" i="1"/>
  <c r="E503" i="1"/>
  <c r="A503" i="1"/>
  <c r="G502" i="1"/>
  <c r="F502" i="1"/>
  <c r="E502" i="1"/>
  <c r="A502" i="1"/>
  <c r="G501" i="1"/>
  <c r="F501" i="1"/>
  <c r="E501" i="1"/>
  <c r="A501" i="1"/>
  <c r="G500" i="1"/>
  <c r="F500" i="1"/>
  <c r="E500" i="1"/>
  <c r="A500" i="1"/>
  <c r="G499" i="1"/>
  <c r="F499" i="1"/>
  <c r="E499" i="1"/>
  <c r="A499" i="1"/>
  <c r="G498" i="1"/>
  <c r="F498" i="1"/>
  <c r="E498" i="1"/>
  <c r="A498" i="1"/>
  <c r="G497" i="1"/>
  <c r="F497" i="1"/>
  <c r="E497" i="1"/>
  <c r="A497" i="1"/>
  <c r="G496" i="1"/>
  <c r="F496" i="1"/>
  <c r="E496" i="1"/>
  <c r="A496" i="1"/>
  <c r="G495" i="1"/>
  <c r="F495" i="1"/>
  <c r="E495" i="1"/>
  <c r="A495" i="1"/>
  <c r="G494" i="1"/>
  <c r="F494" i="1"/>
  <c r="E494" i="1"/>
  <c r="A494" i="1"/>
  <c r="G493" i="1"/>
  <c r="F493" i="1"/>
  <c r="E493" i="1"/>
  <c r="A493" i="1"/>
  <c r="G492" i="1"/>
  <c r="F492" i="1"/>
  <c r="A492" i="1"/>
  <c r="G491" i="1"/>
  <c r="F491" i="1"/>
  <c r="E491" i="1"/>
  <c r="A491" i="1"/>
  <c r="G490" i="1"/>
  <c r="F490" i="1"/>
  <c r="E490" i="1"/>
  <c r="A490" i="1"/>
  <c r="G489" i="1"/>
  <c r="F489" i="1"/>
  <c r="E489" i="1"/>
  <c r="A489" i="1"/>
  <c r="G488" i="1"/>
  <c r="F488" i="1"/>
  <c r="E488" i="1"/>
  <c r="A488" i="1"/>
  <c r="G487" i="1"/>
  <c r="F487" i="1"/>
  <c r="E487" i="1"/>
  <c r="A487" i="1"/>
  <c r="G486" i="1"/>
  <c r="F486" i="1"/>
  <c r="E486" i="1"/>
  <c r="A486" i="1"/>
  <c r="G485" i="1"/>
  <c r="F485" i="1"/>
  <c r="E485" i="1"/>
  <c r="A485" i="1"/>
  <c r="G484" i="1"/>
  <c r="F484" i="1"/>
  <c r="E484" i="1"/>
  <c r="A484" i="1"/>
  <c r="G483" i="1"/>
  <c r="F483" i="1"/>
  <c r="E483" i="1"/>
  <c r="A483" i="1"/>
  <c r="G482" i="1"/>
  <c r="F482" i="1"/>
  <c r="E482" i="1"/>
  <c r="A482" i="1"/>
  <c r="G481" i="1"/>
  <c r="F481" i="1"/>
  <c r="E481" i="1"/>
  <c r="A481" i="1"/>
  <c r="G480" i="1"/>
  <c r="F480" i="1"/>
  <c r="E480" i="1"/>
  <c r="A480" i="1"/>
  <c r="G479" i="1"/>
  <c r="F479" i="1"/>
  <c r="E479" i="1"/>
  <c r="A479" i="1"/>
  <c r="G478" i="1"/>
  <c r="F478" i="1"/>
  <c r="E478" i="1"/>
  <c r="A478" i="1"/>
  <c r="G477" i="1"/>
  <c r="F477" i="1"/>
  <c r="E477" i="1"/>
  <c r="A477" i="1"/>
  <c r="G476" i="1"/>
  <c r="F476" i="1"/>
  <c r="E476" i="1"/>
  <c r="A476" i="1"/>
  <c r="G475" i="1"/>
  <c r="F475" i="1"/>
  <c r="E475" i="1"/>
  <c r="A475" i="1"/>
  <c r="G474" i="1"/>
  <c r="F474" i="1"/>
  <c r="E474" i="1"/>
  <c r="A474" i="1"/>
  <c r="G473" i="1"/>
  <c r="F473" i="1"/>
  <c r="E473" i="1"/>
  <c r="A473" i="1"/>
  <c r="G472" i="1"/>
  <c r="F472" i="1"/>
  <c r="E472" i="1"/>
  <c r="A472" i="1"/>
  <c r="G471" i="1"/>
  <c r="F471" i="1"/>
  <c r="E471" i="1"/>
  <c r="A471" i="1"/>
  <c r="G470" i="1"/>
  <c r="F470" i="1"/>
  <c r="E470" i="1"/>
  <c r="A470" i="1"/>
  <c r="G469" i="1"/>
  <c r="F469" i="1"/>
  <c r="E469" i="1"/>
  <c r="A469" i="1"/>
  <c r="G468" i="1"/>
  <c r="F468" i="1"/>
  <c r="E468" i="1"/>
  <c r="A468" i="1"/>
  <c r="G467" i="1"/>
  <c r="F467" i="1"/>
  <c r="E467" i="1"/>
  <c r="A467" i="1"/>
  <c r="G466" i="1"/>
  <c r="F466" i="1"/>
  <c r="E466" i="1"/>
  <c r="A466" i="1"/>
  <c r="G465" i="1"/>
  <c r="F465" i="1"/>
  <c r="E465" i="1"/>
  <c r="A465" i="1"/>
  <c r="G464" i="1"/>
  <c r="F464" i="1"/>
  <c r="E464" i="1"/>
  <c r="A464" i="1"/>
  <c r="G463" i="1"/>
  <c r="F463" i="1"/>
  <c r="E463" i="1"/>
  <c r="A463" i="1"/>
  <c r="G462" i="1"/>
  <c r="F462" i="1"/>
  <c r="E462" i="1"/>
  <c r="A462" i="1"/>
  <c r="G461" i="1"/>
  <c r="F461" i="1"/>
  <c r="E461" i="1"/>
  <c r="A461" i="1"/>
  <c r="G460" i="1"/>
  <c r="F460" i="1"/>
  <c r="E460" i="1"/>
  <c r="A460" i="1"/>
  <c r="G459" i="1"/>
  <c r="F459" i="1"/>
  <c r="E459" i="1"/>
  <c r="A459" i="1"/>
  <c r="G458" i="1"/>
  <c r="F458" i="1"/>
  <c r="E458" i="1"/>
  <c r="A458" i="1"/>
  <c r="G457" i="1"/>
  <c r="F457" i="1"/>
  <c r="E457" i="1"/>
  <c r="A457" i="1"/>
  <c r="G456" i="1"/>
  <c r="F456" i="1"/>
  <c r="E456" i="1"/>
  <c r="A456" i="1"/>
  <c r="G455" i="1"/>
  <c r="F455" i="1"/>
  <c r="E455" i="1"/>
  <c r="A455" i="1"/>
  <c r="G454" i="1"/>
  <c r="F454" i="1"/>
  <c r="E454" i="1"/>
  <c r="A454" i="1"/>
  <c r="G453" i="1"/>
  <c r="F453" i="1"/>
  <c r="E453" i="1"/>
  <c r="A453" i="1"/>
  <c r="G452" i="1"/>
  <c r="F452" i="1"/>
  <c r="E452" i="1"/>
  <c r="A452" i="1"/>
  <c r="G451" i="1"/>
  <c r="F451" i="1"/>
  <c r="E451" i="1"/>
  <c r="A451" i="1"/>
  <c r="G450" i="1"/>
  <c r="F450" i="1"/>
  <c r="E450" i="1"/>
  <c r="A450" i="1"/>
  <c r="G449" i="1"/>
  <c r="F449" i="1"/>
  <c r="E449" i="1"/>
  <c r="A449" i="1"/>
  <c r="G448" i="1"/>
  <c r="F448" i="1"/>
  <c r="E448" i="1"/>
  <c r="A448" i="1"/>
  <c r="G447" i="1"/>
  <c r="F447" i="1"/>
  <c r="E447" i="1"/>
  <c r="A447" i="1"/>
  <c r="G446" i="1"/>
  <c r="F446" i="1"/>
  <c r="E446" i="1"/>
  <c r="A446" i="1"/>
  <c r="G445" i="1"/>
  <c r="F445" i="1"/>
  <c r="E445" i="1"/>
  <c r="A445" i="1"/>
  <c r="G444" i="1"/>
  <c r="F444" i="1"/>
  <c r="E444" i="1"/>
  <c r="A444" i="1"/>
  <c r="G443" i="1"/>
  <c r="F443" i="1"/>
  <c r="E443" i="1"/>
  <c r="A443" i="1"/>
  <c r="G442" i="1"/>
  <c r="F442" i="1"/>
  <c r="E442" i="1"/>
  <c r="A442" i="1"/>
  <c r="G441" i="1"/>
  <c r="F441" i="1"/>
  <c r="E441" i="1"/>
  <c r="A441" i="1"/>
  <c r="G440" i="1"/>
  <c r="F440" i="1"/>
  <c r="E440" i="1"/>
  <c r="A440" i="1"/>
  <c r="G439" i="1"/>
  <c r="F439" i="1"/>
  <c r="A439" i="1"/>
  <c r="G438" i="1"/>
  <c r="F438" i="1"/>
  <c r="E438" i="1"/>
  <c r="A438" i="1"/>
  <c r="G437" i="1"/>
  <c r="F437" i="1"/>
  <c r="E437" i="1"/>
  <c r="A437" i="1"/>
  <c r="G436" i="1"/>
  <c r="F436" i="1"/>
  <c r="E436" i="1"/>
  <c r="A436" i="1"/>
  <c r="G435" i="1"/>
  <c r="F435" i="1"/>
  <c r="E435" i="1"/>
  <c r="A435" i="1"/>
  <c r="G434" i="1"/>
  <c r="F434" i="1"/>
  <c r="E434" i="1"/>
  <c r="A434" i="1"/>
  <c r="G433" i="1"/>
  <c r="F433" i="1"/>
  <c r="E433" i="1"/>
  <c r="A433" i="1"/>
  <c r="G432" i="1"/>
  <c r="F432" i="1"/>
  <c r="E432" i="1"/>
  <c r="A432" i="1"/>
  <c r="G431" i="1"/>
  <c r="F431" i="1"/>
  <c r="E431" i="1"/>
  <c r="A431" i="1"/>
  <c r="G430" i="1"/>
  <c r="F430" i="1"/>
  <c r="E430" i="1"/>
  <c r="A430" i="1"/>
  <c r="G429" i="1"/>
  <c r="F429" i="1"/>
  <c r="E429" i="1"/>
  <c r="A429" i="1"/>
  <c r="G428" i="1"/>
  <c r="F428" i="1"/>
  <c r="E428" i="1"/>
  <c r="A428" i="1"/>
  <c r="G427" i="1"/>
  <c r="F427" i="1"/>
  <c r="E427" i="1"/>
  <c r="A427" i="1"/>
  <c r="G426" i="1"/>
  <c r="F426" i="1"/>
  <c r="E426" i="1"/>
  <c r="A426" i="1"/>
  <c r="G425" i="1"/>
  <c r="F425" i="1"/>
  <c r="E425" i="1"/>
  <c r="A425" i="1"/>
  <c r="G424" i="1"/>
  <c r="F424" i="1"/>
  <c r="E424" i="1"/>
  <c r="A424" i="1"/>
  <c r="G423" i="1"/>
  <c r="F423" i="1"/>
  <c r="E423" i="1"/>
  <c r="A423" i="1"/>
  <c r="G422" i="1"/>
  <c r="F422" i="1"/>
  <c r="E422" i="1"/>
  <c r="A422" i="1"/>
  <c r="G421" i="1"/>
  <c r="F421" i="1"/>
  <c r="E421" i="1"/>
  <c r="A421" i="1"/>
  <c r="G420" i="1"/>
  <c r="F420" i="1"/>
  <c r="E420" i="1"/>
  <c r="A420" i="1"/>
  <c r="G419" i="1"/>
  <c r="F419" i="1"/>
  <c r="E419" i="1"/>
  <c r="A419" i="1"/>
  <c r="G418" i="1"/>
  <c r="F418" i="1"/>
  <c r="E418" i="1"/>
  <c r="A418" i="1"/>
  <c r="G417" i="1"/>
  <c r="F417" i="1"/>
  <c r="E417" i="1"/>
  <c r="A417" i="1"/>
  <c r="G416" i="1"/>
  <c r="F416" i="1"/>
  <c r="E416" i="1"/>
  <c r="A416" i="1"/>
  <c r="G415" i="1"/>
  <c r="F415" i="1"/>
  <c r="E415" i="1"/>
  <c r="A415" i="1"/>
  <c r="G414" i="1"/>
  <c r="F414" i="1"/>
  <c r="E414" i="1"/>
  <c r="A414" i="1"/>
  <c r="G413" i="1"/>
  <c r="F413" i="1"/>
  <c r="E413" i="1"/>
  <c r="A413" i="1"/>
  <c r="G412" i="1"/>
  <c r="F412" i="1"/>
  <c r="E412" i="1"/>
  <c r="A412" i="1"/>
  <c r="G411" i="1"/>
  <c r="F411" i="1"/>
  <c r="E411" i="1"/>
  <c r="A411" i="1"/>
  <c r="G410" i="1"/>
  <c r="F410" i="1"/>
  <c r="E410" i="1"/>
  <c r="A410" i="1"/>
  <c r="G409" i="1"/>
  <c r="F409" i="1"/>
  <c r="E409" i="1"/>
  <c r="A409" i="1"/>
  <c r="G408" i="1"/>
  <c r="F408" i="1"/>
  <c r="E408" i="1"/>
  <c r="A408" i="1"/>
  <c r="G407" i="1"/>
  <c r="F407" i="1"/>
  <c r="E407" i="1"/>
  <c r="A407" i="1"/>
  <c r="G406" i="1"/>
  <c r="F406" i="1"/>
  <c r="E406" i="1"/>
  <c r="A406" i="1"/>
  <c r="G405" i="1"/>
  <c r="F405" i="1"/>
  <c r="E405" i="1"/>
  <c r="A405" i="1"/>
  <c r="G404" i="1"/>
  <c r="F404" i="1"/>
  <c r="E404" i="1"/>
  <c r="A404" i="1"/>
  <c r="G403" i="1"/>
  <c r="F403" i="1"/>
  <c r="E403" i="1"/>
  <c r="A403" i="1"/>
  <c r="G402" i="1"/>
  <c r="F402" i="1"/>
  <c r="E402" i="1"/>
  <c r="A402" i="1"/>
  <c r="G401" i="1"/>
  <c r="F401" i="1"/>
  <c r="E401" i="1"/>
  <c r="A401" i="1"/>
  <c r="G400" i="1"/>
  <c r="F400" i="1"/>
  <c r="E400" i="1"/>
  <c r="A400" i="1"/>
  <c r="G399" i="1"/>
  <c r="F399" i="1"/>
  <c r="E399" i="1"/>
  <c r="A399" i="1"/>
  <c r="G398" i="1"/>
  <c r="F398" i="1"/>
  <c r="E398" i="1"/>
  <c r="A398" i="1"/>
  <c r="G397" i="1"/>
  <c r="F397" i="1"/>
  <c r="E397" i="1"/>
  <c r="A397" i="1"/>
  <c r="G396" i="1"/>
  <c r="F396" i="1"/>
  <c r="E396" i="1"/>
  <c r="A396" i="1"/>
  <c r="G395" i="1"/>
  <c r="F395" i="1"/>
  <c r="E395" i="1"/>
  <c r="A395" i="1"/>
  <c r="G394" i="1"/>
  <c r="F394" i="1"/>
  <c r="E394" i="1"/>
  <c r="A394" i="1"/>
  <c r="G393" i="1"/>
  <c r="F393" i="1"/>
  <c r="E393" i="1"/>
  <c r="A393" i="1"/>
  <c r="G392" i="1"/>
  <c r="F392" i="1"/>
  <c r="E392" i="1"/>
  <c r="A392" i="1"/>
  <c r="G391" i="1"/>
  <c r="F391" i="1"/>
  <c r="E391" i="1"/>
  <c r="A391" i="1"/>
  <c r="G390" i="1"/>
  <c r="F390" i="1"/>
  <c r="E390" i="1"/>
  <c r="A390" i="1"/>
  <c r="G389" i="1"/>
  <c r="F389" i="1"/>
  <c r="E389" i="1"/>
  <c r="A389" i="1"/>
  <c r="G388" i="1"/>
  <c r="F388" i="1"/>
  <c r="E388" i="1"/>
  <c r="A388" i="1"/>
  <c r="G387" i="1"/>
  <c r="F387" i="1"/>
  <c r="E387" i="1"/>
  <c r="A387" i="1"/>
  <c r="G386" i="1"/>
  <c r="F386" i="1"/>
  <c r="E386" i="1"/>
  <c r="A386" i="1"/>
  <c r="G385" i="1"/>
  <c r="F385" i="1"/>
  <c r="E385" i="1"/>
  <c r="A385" i="1"/>
  <c r="G384" i="1"/>
  <c r="F384" i="1"/>
  <c r="E384" i="1"/>
  <c r="A384" i="1"/>
  <c r="G383" i="1"/>
  <c r="F383" i="1"/>
  <c r="E383" i="1"/>
  <c r="A383" i="1"/>
  <c r="G382" i="1"/>
  <c r="F382" i="1"/>
  <c r="E382" i="1"/>
  <c r="A382" i="1"/>
  <c r="G381" i="1"/>
  <c r="F381" i="1"/>
  <c r="E381" i="1"/>
  <c r="A381" i="1"/>
  <c r="G380" i="1"/>
  <c r="F380" i="1"/>
  <c r="E380" i="1"/>
  <c r="A380" i="1"/>
  <c r="G379" i="1"/>
  <c r="F379" i="1"/>
  <c r="E379" i="1"/>
  <c r="A379" i="1"/>
  <c r="G378" i="1"/>
  <c r="F378" i="1"/>
  <c r="E378" i="1"/>
  <c r="A378" i="1"/>
  <c r="G377" i="1"/>
  <c r="F377" i="1"/>
  <c r="E377" i="1"/>
  <c r="A377" i="1"/>
  <c r="G376" i="1"/>
  <c r="F376" i="1"/>
  <c r="E376" i="1"/>
  <c r="A376" i="1"/>
  <c r="G375" i="1"/>
  <c r="F375" i="1"/>
  <c r="E375" i="1"/>
  <c r="A375" i="1"/>
  <c r="G374" i="1"/>
  <c r="F374" i="1"/>
  <c r="E374" i="1"/>
  <c r="A374" i="1"/>
  <c r="G373" i="1"/>
  <c r="F373" i="1"/>
  <c r="E373" i="1"/>
  <c r="A373" i="1"/>
  <c r="G372" i="1"/>
  <c r="F372" i="1"/>
  <c r="E372" i="1"/>
  <c r="A372" i="1"/>
  <c r="G371" i="1"/>
  <c r="F371" i="1"/>
  <c r="E371" i="1"/>
  <c r="A371" i="1"/>
  <c r="G370" i="1"/>
  <c r="F370" i="1"/>
  <c r="E370" i="1"/>
  <c r="A370" i="1"/>
  <c r="G369" i="1"/>
  <c r="F369" i="1"/>
  <c r="E369" i="1"/>
  <c r="A369" i="1"/>
  <c r="G368" i="1"/>
  <c r="F368" i="1"/>
  <c r="E368" i="1"/>
  <c r="A368" i="1"/>
  <c r="G367" i="1"/>
  <c r="F367" i="1"/>
  <c r="E367" i="1"/>
  <c r="A367" i="1"/>
  <c r="G366" i="1"/>
  <c r="F366" i="1"/>
  <c r="E366" i="1"/>
  <c r="A366" i="1"/>
  <c r="G365" i="1"/>
  <c r="F365" i="1"/>
  <c r="E365" i="1"/>
  <c r="A365" i="1"/>
  <c r="G364" i="1"/>
  <c r="F364" i="1"/>
  <c r="E364" i="1"/>
  <c r="A364" i="1"/>
  <c r="G363" i="1"/>
  <c r="F363" i="1"/>
  <c r="E363" i="1"/>
  <c r="A363" i="1"/>
  <c r="G362" i="1"/>
  <c r="F362" i="1"/>
  <c r="E362" i="1"/>
  <c r="A362" i="1"/>
  <c r="G361" i="1"/>
  <c r="F361" i="1"/>
  <c r="E361" i="1"/>
  <c r="A361" i="1"/>
  <c r="G360" i="1"/>
  <c r="F360" i="1"/>
  <c r="E360" i="1"/>
  <c r="A360" i="1"/>
  <c r="G359" i="1"/>
  <c r="F359" i="1"/>
  <c r="E359" i="1"/>
  <c r="A359" i="1"/>
  <c r="G358" i="1"/>
  <c r="F358" i="1"/>
  <c r="E358" i="1"/>
  <c r="A358" i="1"/>
  <c r="G357" i="1"/>
  <c r="F357" i="1"/>
  <c r="E357" i="1"/>
  <c r="A357" i="1"/>
  <c r="G356" i="1"/>
  <c r="F356" i="1"/>
  <c r="E356" i="1"/>
  <c r="A356" i="1"/>
  <c r="G355" i="1"/>
  <c r="F355" i="1"/>
  <c r="E355" i="1"/>
  <c r="A355" i="1"/>
  <c r="G354" i="1"/>
  <c r="F354" i="1"/>
  <c r="E354" i="1"/>
  <c r="A354" i="1"/>
  <c r="G353" i="1"/>
  <c r="F353" i="1"/>
  <c r="E353" i="1"/>
  <c r="A353" i="1"/>
  <c r="G352" i="1"/>
  <c r="F352" i="1"/>
  <c r="E352" i="1"/>
  <c r="A352" i="1"/>
  <c r="G351" i="1"/>
  <c r="F351" i="1"/>
  <c r="E351" i="1"/>
  <c r="A351" i="1"/>
  <c r="G350" i="1"/>
  <c r="F350" i="1"/>
  <c r="E350" i="1"/>
  <c r="A350" i="1"/>
  <c r="G349" i="1"/>
  <c r="F349" i="1"/>
  <c r="E349" i="1"/>
  <c r="A349" i="1"/>
  <c r="G348" i="1"/>
  <c r="F348" i="1"/>
  <c r="E348" i="1"/>
  <c r="A348" i="1"/>
  <c r="G347" i="1"/>
  <c r="F347" i="1"/>
  <c r="E347" i="1"/>
  <c r="A347" i="1"/>
  <c r="G346" i="1"/>
  <c r="F346" i="1"/>
  <c r="E346" i="1"/>
  <c r="A346" i="1"/>
  <c r="G345" i="1"/>
  <c r="F345" i="1"/>
  <c r="E345" i="1"/>
  <c r="A345" i="1"/>
  <c r="G344" i="1"/>
  <c r="F344" i="1"/>
  <c r="E344" i="1"/>
  <c r="A344" i="1"/>
  <c r="G343" i="1"/>
  <c r="F343" i="1"/>
  <c r="E343" i="1"/>
  <c r="A343" i="1"/>
  <c r="G342" i="1"/>
  <c r="F342" i="1"/>
  <c r="E342" i="1"/>
  <c r="A342" i="1"/>
  <c r="G341" i="1"/>
  <c r="F341" i="1"/>
  <c r="E341" i="1"/>
  <c r="A341" i="1"/>
  <c r="G340" i="1"/>
  <c r="F340" i="1"/>
  <c r="E340" i="1"/>
  <c r="A340" i="1"/>
  <c r="G339" i="1"/>
  <c r="F339" i="1"/>
  <c r="E339" i="1"/>
  <c r="A339" i="1"/>
  <c r="G338" i="1"/>
  <c r="F338" i="1"/>
  <c r="E338" i="1"/>
  <c r="A338" i="1"/>
  <c r="G337" i="1"/>
  <c r="F337" i="1"/>
  <c r="E337" i="1"/>
  <c r="A337" i="1"/>
  <c r="G336" i="1"/>
  <c r="F336" i="1"/>
  <c r="E336" i="1"/>
  <c r="A336" i="1"/>
  <c r="G335" i="1"/>
  <c r="F335" i="1"/>
  <c r="E335" i="1"/>
  <c r="A335" i="1"/>
  <c r="G334" i="1"/>
  <c r="F334" i="1"/>
  <c r="E334" i="1"/>
  <c r="A334" i="1"/>
  <c r="G333" i="1"/>
  <c r="F333" i="1"/>
  <c r="E333" i="1"/>
  <c r="A333" i="1"/>
  <c r="G332" i="1"/>
  <c r="F332" i="1"/>
  <c r="E332" i="1"/>
  <c r="A332" i="1"/>
  <c r="G331" i="1"/>
  <c r="F331" i="1"/>
  <c r="E331" i="1"/>
  <c r="A331" i="1"/>
  <c r="G330" i="1"/>
  <c r="F330" i="1"/>
  <c r="E330" i="1"/>
  <c r="A330" i="1"/>
  <c r="G329" i="1"/>
  <c r="F329" i="1"/>
  <c r="E329" i="1"/>
  <c r="A329" i="1"/>
  <c r="G328" i="1"/>
  <c r="F328" i="1"/>
  <c r="A328" i="1"/>
  <c r="G327" i="1"/>
  <c r="F327" i="1"/>
  <c r="E327" i="1"/>
  <c r="A327" i="1"/>
  <c r="G326" i="1"/>
  <c r="F326" i="1"/>
  <c r="E326" i="1"/>
  <c r="A326" i="1"/>
  <c r="G325" i="1"/>
  <c r="F325" i="1"/>
  <c r="E325" i="1"/>
  <c r="A325" i="1"/>
  <c r="G324" i="1"/>
  <c r="F324" i="1"/>
  <c r="E324" i="1"/>
  <c r="A324" i="1"/>
  <c r="G323" i="1"/>
  <c r="F323" i="1"/>
  <c r="E323" i="1"/>
  <c r="A323" i="1"/>
  <c r="G322" i="1"/>
  <c r="F322" i="1"/>
  <c r="E322" i="1"/>
  <c r="A322" i="1"/>
  <c r="G321" i="1"/>
  <c r="F321" i="1"/>
  <c r="E321" i="1"/>
  <c r="A321" i="1"/>
  <c r="G320" i="1"/>
  <c r="F320" i="1"/>
  <c r="E320" i="1"/>
  <c r="A320" i="1"/>
  <c r="G319" i="1"/>
  <c r="F319" i="1"/>
  <c r="E319" i="1"/>
  <c r="A319" i="1"/>
  <c r="G318" i="1"/>
  <c r="F318" i="1"/>
  <c r="E318" i="1"/>
  <c r="A318" i="1"/>
  <c r="G317" i="1"/>
  <c r="F317" i="1"/>
  <c r="E317" i="1"/>
  <c r="A317" i="1"/>
  <c r="G316" i="1"/>
  <c r="F316" i="1"/>
  <c r="E316" i="1"/>
  <c r="A316" i="1"/>
  <c r="G315" i="1"/>
  <c r="F315" i="1"/>
  <c r="E315" i="1"/>
  <c r="A315" i="1"/>
  <c r="G314" i="1"/>
  <c r="F314" i="1"/>
  <c r="E314" i="1"/>
  <c r="A314" i="1"/>
  <c r="G313" i="1"/>
  <c r="F313" i="1"/>
  <c r="E313" i="1"/>
  <c r="A313" i="1"/>
  <c r="G312" i="1"/>
  <c r="F312" i="1"/>
  <c r="E312" i="1"/>
  <c r="A312" i="1"/>
  <c r="G311" i="1"/>
  <c r="F311" i="1"/>
  <c r="E311" i="1"/>
  <c r="A311" i="1"/>
  <c r="G310" i="1"/>
  <c r="F310" i="1"/>
  <c r="E310" i="1"/>
  <c r="A310" i="1"/>
  <c r="G309" i="1"/>
  <c r="F309" i="1"/>
  <c r="E309" i="1"/>
  <c r="A309" i="1"/>
  <c r="G308" i="1"/>
  <c r="F308" i="1"/>
  <c r="E308" i="1"/>
  <c r="A308" i="1"/>
  <c r="G307" i="1"/>
  <c r="F307" i="1"/>
  <c r="E307" i="1"/>
  <c r="A307" i="1"/>
  <c r="G306" i="1"/>
  <c r="F306" i="1"/>
  <c r="E306" i="1"/>
  <c r="A306" i="1"/>
  <c r="G305" i="1"/>
  <c r="F305" i="1"/>
  <c r="E305" i="1"/>
  <c r="A305" i="1"/>
  <c r="G304" i="1"/>
  <c r="F304" i="1"/>
  <c r="E304" i="1"/>
  <c r="A304" i="1"/>
  <c r="G303" i="1"/>
  <c r="F303" i="1"/>
  <c r="E303" i="1"/>
  <c r="A303" i="1"/>
  <c r="G302" i="1"/>
  <c r="F302" i="1"/>
  <c r="E302" i="1"/>
  <c r="A302" i="1"/>
  <c r="G301" i="1"/>
  <c r="F301" i="1"/>
  <c r="E301" i="1"/>
  <c r="A301" i="1"/>
  <c r="G300" i="1"/>
  <c r="F300" i="1"/>
  <c r="E300" i="1"/>
  <c r="A300" i="1"/>
  <c r="G299" i="1"/>
  <c r="F299" i="1"/>
  <c r="E299" i="1"/>
  <c r="A299" i="1"/>
  <c r="G298" i="1"/>
  <c r="F298" i="1"/>
  <c r="E298" i="1"/>
  <c r="A298" i="1"/>
  <c r="G297" i="1"/>
  <c r="F297" i="1"/>
  <c r="A297" i="1"/>
  <c r="G296" i="1"/>
  <c r="F296" i="1"/>
  <c r="A296" i="1"/>
  <c r="G295" i="1"/>
  <c r="F295" i="1"/>
  <c r="E295" i="1"/>
  <c r="A295" i="1"/>
  <c r="G294" i="1"/>
  <c r="F294" i="1"/>
  <c r="E294" i="1"/>
  <c r="A294" i="1"/>
  <c r="G293" i="1"/>
  <c r="F293" i="1"/>
  <c r="E293" i="1"/>
  <c r="A293" i="1"/>
  <c r="G292" i="1"/>
  <c r="F292" i="1"/>
  <c r="E292" i="1"/>
  <c r="A292" i="1"/>
  <c r="G291" i="1"/>
  <c r="F291" i="1"/>
  <c r="E291" i="1"/>
  <c r="A291" i="1"/>
  <c r="G290" i="1"/>
  <c r="F290" i="1"/>
  <c r="E290" i="1"/>
  <c r="A290" i="1"/>
  <c r="G289" i="1"/>
  <c r="F289" i="1"/>
  <c r="E289" i="1"/>
  <c r="A289" i="1"/>
  <c r="G288" i="1"/>
  <c r="F288" i="1"/>
  <c r="E288" i="1"/>
  <c r="A288" i="1"/>
  <c r="G287" i="1"/>
  <c r="F287" i="1"/>
  <c r="E287" i="1"/>
  <c r="A287" i="1"/>
  <c r="G286" i="1"/>
  <c r="F286" i="1"/>
  <c r="E286" i="1"/>
  <c r="A286" i="1"/>
  <c r="G285" i="1"/>
  <c r="F285" i="1"/>
  <c r="E285" i="1"/>
  <c r="A285" i="1"/>
  <c r="G284" i="1"/>
  <c r="F284" i="1"/>
  <c r="E284" i="1"/>
  <c r="A284" i="1"/>
  <c r="G283" i="1"/>
  <c r="F283" i="1"/>
  <c r="E283" i="1"/>
  <c r="A283" i="1"/>
  <c r="G282" i="1"/>
  <c r="F282" i="1"/>
  <c r="E282" i="1"/>
  <c r="A282" i="1"/>
  <c r="G281" i="1"/>
  <c r="F281" i="1"/>
  <c r="E281" i="1"/>
  <c r="A281" i="1"/>
  <c r="G280" i="1"/>
  <c r="F280" i="1"/>
  <c r="E280" i="1"/>
  <c r="A280" i="1"/>
  <c r="G279" i="1"/>
  <c r="F279" i="1"/>
  <c r="E279" i="1"/>
  <c r="A279" i="1"/>
  <c r="G278" i="1"/>
  <c r="F278" i="1"/>
  <c r="E278" i="1"/>
  <c r="A278" i="1"/>
  <c r="G277" i="1"/>
  <c r="F277" i="1"/>
  <c r="E277" i="1"/>
  <c r="A277" i="1"/>
  <c r="G276" i="1"/>
  <c r="F276" i="1"/>
  <c r="E276" i="1"/>
  <c r="A276" i="1"/>
  <c r="G275" i="1"/>
  <c r="F275" i="1"/>
  <c r="E275" i="1"/>
  <c r="A275" i="1"/>
  <c r="G274" i="1"/>
  <c r="F274" i="1"/>
  <c r="E274" i="1"/>
  <c r="A274" i="1"/>
  <c r="G273" i="1"/>
  <c r="F273" i="1"/>
  <c r="E273" i="1"/>
  <c r="A273" i="1"/>
  <c r="G272" i="1"/>
  <c r="F272" i="1"/>
  <c r="E272" i="1"/>
  <c r="A272" i="1"/>
  <c r="G271" i="1"/>
  <c r="F271" i="1"/>
  <c r="E271" i="1"/>
  <c r="A271" i="1"/>
  <c r="G270" i="1"/>
  <c r="F270" i="1"/>
  <c r="E270" i="1"/>
  <c r="A270" i="1"/>
  <c r="G269" i="1"/>
  <c r="F269" i="1"/>
  <c r="E269" i="1"/>
  <c r="A269" i="1"/>
  <c r="G268" i="1"/>
  <c r="F268" i="1"/>
  <c r="E268" i="1"/>
  <c r="A268" i="1"/>
  <c r="G267" i="1"/>
  <c r="F267" i="1"/>
  <c r="E267" i="1"/>
  <c r="A267" i="1"/>
  <c r="G266" i="1"/>
  <c r="F266" i="1"/>
  <c r="E266" i="1"/>
  <c r="A266" i="1"/>
  <c r="G265" i="1"/>
  <c r="F265" i="1"/>
  <c r="E265" i="1"/>
  <c r="A265" i="1"/>
  <c r="G264" i="1"/>
  <c r="F264" i="1"/>
  <c r="E264" i="1"/>
  <c r="A264" i="1"/>
  <c r="G263" i="1"/>
  <c r="F263" i="1"/>
  <c r="E263" i="1"/>
  <c r="A263" i="1"/>
  <c r="G262" i="1"/>
  <c r="F262" i="1"/>
  <c r="E262" i="1"/>
  <c r="A262" i="1"/>
  <c r="G261" i="1"/>
  <c r="F261" i="1"/>
  <c r="E261" i="1"/>
  <c r="A261" i="1"/>
  <c r="G260" i="1"/>
  <c r="F260" i="1"/>
  <c r="E260" i="1"/>
  <c r="A260" i="1"/>
  <c r="G259" i="1"/>
  <c r="F259" i="1"/>
  <c r="E259" i="1"/>
  <c r="A259" i="1"/>
  <c r="G258" i="1"/>
  <c r="F258" i="1"/>
  <c r="E258" i="1"/>
  <c r="A258" i="1"/>
  <c r="G257" i="1"/>
  <c r="F257" i="1"/>
  <c r="E257" i="1"/>
  <c r="A257" i="1"/>
  <c r="G256" i="1"/>
  <c r="F256" i="1"/>
  <c r="E256" i="1"/>
  <c r="A256" i="1"/>
  <c r="G255" i="1"/>
  <c r="F255" i="1"/>
  <c r="E255" i="1"/>
  <c r="A255" i="1"/>
  <c r="G254" i="1"/>
  <c r="F254" i="1"/>
  <c r="E254" i="1"/>
  <c r="A254" i="1"/>
  <c r="G253" i="1"/>
  <c r="F253" i="1"/>
  <c r="E253" i="1"/>
  <c r="A253" i="1"/>
  <c r="G252" i="1"/>
  <c r="F252" i="1"/>
  <c r="E252" i="1"/>
  <c r="A252" i="1"/>
  <c r="G251" i="1"/>
  <c r="F251" i="1"/>
  <c r="E251" i="1"/>
  <c r="A251" i="1"/>
  <c r="G250" i="1"/>
  <c r="F250" i="1"/>
  <c r="E250" i="1"/>
  <c r="A250" i="1"/>
  <c r="G249" i="1"/>
  <c r="F249" i="1"/>
  <c r="E249" i="1"/>
  <c r="A249" i="1"/>
  <c r="G248" i="1"/>
  <c r="F248" i="1"/>
  <c r="A248" i="1"/>
  <c r="G247" i="1"/>
  <c r="F247" i="1"/>
  <c r="E247" i="1"/>
  <c r="A247" i="1"/>
  <c r="G246" i="1"/>
  <c r="F246" i="1"/>
  <c r="E246" i="1"/>
  <c r="A246" i="1"/>
  <c r="G245" i="1"/>
  <c r="F245" i="1"/>
  <c r="E245" i="1"/>
  <c r="A245" i="1"/>
  <c r="G244" i="1"/>
  <c r="F244" i="1"/>
  <c r="E244" i="1"/>
  <c r="A244" i="1"/>
  <c r="G243" i="1"/>
  <c r="F243" i="1"/>
  <c r="E243" i="1"/>
  <c r="A243" i="1"/>
  <c r="G242" i="1"/>
  <c r="F242" i="1"/>
  <c r="E242" i="1"/>
  <c r="A242" i="1"/>
  <c r="G241" i="1"/>
  <c r="F241" i="1"/>
  <c r="E241" i="1"/>
  <c r="A241" i="1"/>
  <c r="G240" i="1"/>
  <c r="F240" i="1"/>
  <c r="E240" i="1"/>
  <c r="A240" i="1"/>
  <c r="G239" i="1"/>
  <c r="F239" i="1"/>
  <c r="E239" i="1"/>
  <c r="A239" i="1"/>
  <c r="G238" i="1"/>
  <c r="F238" i="1"/>
  <c r="E238" i="1"/>
  <c r="A238" i="1"/>
  <c r="G237" i="1"/>
  <c r="F237" i="1"/>
  <c r="E237" i="1"/>
  <c r="A237" i="1"/>
  <c r="G236" i="1"/>
  <c r="F236" i="1"/>
  <c r="E236" i="1"/>
  <c r="A236" i="1"/>
  <c r="G235" i="1"/>
  <c r="F235" i="1"/>
  <c r="E235" i="1"/>
  <c r="A235" i="1"/>
  <c r="G234" i="1"/>
  <c r="F234" i="1"/>
  <c r="E234" i="1"/>
  <c r="A234" i="1"/>
  <c r="G233" i="1"/>
  <c r="F233" i="1"/>
  <c r="E233" i="1"/>
  <c r="A233" i="1"/>
  <c r="G232" i="1"/>
  <c r="F232" i="1"/>
  <c r="E232" i="1"/>
  <c r="A232" i="1"/>
  <c r="G231" i="1"/>
  <c r="F231" i="1"/>
  <c r="A231" i="1"/>
  <c r="G230" i="1"/>
  <c r="F230" i="1"/>
  <c r="E230" i="1"/>
  <c r="A230" i="1"/>
  <c r="G229" i="1"/>
  <c r="F229" i="1"/>
  <c r="E229" i="1"/>
  <c r="A229" i="1"/>
  <c r="G228" i="1"/>
  <c r="F228" i="1"/>
  <c r="E228" i="1"/>
  <c r="A228" i="1"/>
  <c r="G227" i="1"/>
  <c r="F227" i="1"/>
  <c r="E227" i="1"/>
  <c r="A227" i="1"/>
  <c r="G226" i="1"/>
  <c r="F226" i="1"/>
  <c r="E226" i="1"/>
  <c r="A226" i="1"/>
  <c r="G225" i="1"/>
  <c r="F225" i="1"/>
  <c r="E225" i="1"/>
  <c r="A225" i="1"/>
  <c r="G224" i="1"/>
  <c r="F224" i="1"/>
  <c r="E224" i="1"/>
  <c r="A224" i="1"/>
  <c r="G223" i="1"/>
  <c r="F223" i="1"/>
  <c r="E223" i="1"/>
  <c r="A223" i="1"/>
  <c r="G222" i="1"/>
  <c r="F222" i="1"/>
  <c r="E222" i="1"/>
  <c r="A222" i="1"/>
  <c r="G221" i="1"/>
  <c r="F221" i="1"/>
  <c r="E221" i="1"/>
  <c r="A221" i="1"/>
  <c r="G220" i="1"/>
  <c r="F220" i="1"/>
  <c r="E220" i="1"/>
  <c r="A220" i="1"/>
  <c r="G219" i="1"/>
  <c r="F219" i="1"/>
  <c r="E219" i="1"/>
  <c r="A219" i="1"/>
  <c r="G218" i="1"/>
  <c r="F218" i="1"/>
  <c r="E218" i="1"/>
  <c r="A218" i="1"/>
  <c r="G217" i="1"/>
  <c r="F217" i="1"/>
  <c r="E217" i="1"/>
  <c r="A217" i="1"/>
  <c r="G216" i="1"/>
  <c r="F216" i="1"/>
  <c r="E216" i="1"/>
  <c r="A216" i="1"/>
  <c r="G215" i="1"/>
  <c r="F215" i="1"/>
  <c r="E215" i="1"/>
  <c r="A215" i="1"/>
  <c r="G214" i="1"/>
  <c r="F214" i="1"/>
  <c r="E214" i="1"/>
  <c r="A214" i="1"/>
  <c r="G213" i="1"/>
  <c r="F213" i="1"/>
  <c r="E213" i="1"/>
  <c r="A213" i="1"/>
  <c r="G212" i="1"/>
  <c r="F212" i="1"/>
  <c r="E212" i="1"/>
  <c r="A212" i="1"/>
  <c r="G211" i="1"/>
  <c r="F211" i="1"/>
  <c r="E211" i="1"/>
  <c r="A211" i="1"/>
  <c r="G210" i="1"/>
  <c r="F210" i="1"/>
  <c r="E210" i="1"/>
  <c r="A210" i="1"/>
  <c r="G209" i="1"/>
  <c r="F209" i="1"/>
  <c r="E209" i="1"/>
  <c r="A209" i="1"/>
  <c r="G208" i="1"/>
  <c r="F208" i="1"/>
  <c r="E208" i="1"/>
  <c r="A208" i="1"/>
  <c r="G207" i="1"/>
  <c r="F207" i="1"/>
  <c r="E207" i="1"/>
  <c r="A207" i="1"/>
  <c r="G206" i="1"/>
  <c r="F206" i="1"/>
  <c r="E206" i="1"/>
  <c r="A206" i="1"/>
  <c r="G205" i="1"/>
  <c r="F205" i="1"/>
  <c r="E205" i="1"/>
  <c r="A205" i="1"/>
  <c r="G204" i="1"/>
  <c r="F204" i="1"/>
  <c r="E204" i="1"/>
  <c r="A204" i="1"/>
  <c r="G203" i="1"/>
  <c r="F203" i="1"/>
  <c r="E203" i="1"/>
  <c r="A203" i="1"/>
  <c r="G202" i="1"/>
  <c r="F202" i="1"/>
  <c r="E202" i="1"/>
  <c r="A202" i="1"/>
  <c r="G201" i="1"/>
  <c r="F201" i="1"/>
  <c r="E201" i="1"/>
  <c r="A201" i="1"/>
  <c r="G200" i="1"/>
  <c r="F200" i="1"/>
  <c r="E200" i="1"/>
  <c r="A200" i="1"/>
  <c r="G199" i="1"/>
  <c r="F199" i="1"/>
  <c r="E199" i="1"/>
  <c r="A199" i="1"/>
  <c r="G198" i="1"/>
  <c r="F198" i="1"/>
  <c r="E198" i="1"/>
  <c r="A198" i="1"/>
  <c r="G197" i="1"/>
  <c r="F197" i="1"/>
  <c r="E197" i="1"/>
  <c r="A197" i="1"/>
  <c r="G196" i="1"/>
  <c r="F196" i="1"/>
  <c r="E196" i="1"/>
  <c r="A196" i="1"/>
  <c r="G195" i="1"/>
  <c r="F195" i="1"/>
  <c r="E195" i="1"/>
  <c r="A195" i="1"/>
  <c r="G194" i="1"/>
  <c r="F194" i="1"/>
  <c r="E194" i="1"/>
  <c r="A194" i="1"/>
  <c r="G193" i="1"/>
  <c r="F193" i="1"/>
  <c r="E193" i="1"/>
  <c r="A193" i="1"/>
  <c r="G192" i="1"/>
  <c r="F192" i="1"/>
  <c r="E192" i="1"/>
  <c r="A192" i="1"/>
  <c r="G191" i="1"/>
  <c r="F191" i="1"/>
  <c r="E191" i="1"/>
  <c r="A191" i="1"/>
  <c r="G190" i="1"/>
  <c r="F190" i="1"/>
  <c r="E190" i="1"/>
  <c r="A190" i="1"/>
  <c r="G189" i="1"/>
  <c r="F189" i="1"/>
  <c r="E189" i="1"/>
  <c r="A189" i="1"/>
  <c r="G188" i="1"/>
  <c r="F188" i="1"/>
  <c r="E188" i="1"/>
  <c r="A188" i="1"/>
  <c r="G187" i="1"/>
  <c r="F187" i="1"/>
  <c r="E187" i="1"/>
  <c r="A187" i="1"/>
  <c r="G186" i="1"/>
  <c r="F186" i="1"/>
  <c r="E186" i="1"/>
  <c r="A186" i="1"/>
  <c r="G185" i="1"/>
  <c r="F185" i="1"/>
  <c r="E185" i="1"/>
  <c r="A185" i="1"/>
  <c r="G184" i="1"/>
  <c r="F184" i="1"/>
  <c r="E184" i="1"/>
  <c r="A184" i="1"/>
  <c r="G183" i="1"/>
  <c r="F183" i="1"/>
  <c r="E183" i="1"/>
  <c r="A183" i="1"/>
  <c r="G182" i="1"/>
  <c r="F182" i="1"/>
  <c r="E182" i="1"/>
  <c r="A182" i="1"/>
  <c r="G181" i="1"/>
  <c r="F181" i="1"/>
  <c r="E181" i="1"/>
  <c r="A181" i="1"/>
  <c r="G180" i="1"/>
  <c r="F180" i="1"/>
  <c r="E180" i="1"/>
  <c r="A180" i="1"/>
  <c r="G179" i="1"/>
  <c r="F179" i="1"/>
  <c r="E179" i="1"/>
  <c r="A179" i="1"/>
  <c r="G178" i="1"/>
  <c r="F178" i="1"/>
  <c r="E178" i="1"/>
  <c r="A178" i="1"/>
  <c r="G177" i="1"/>
  <c r="F177" i="1"/>
  <c r="E177" i="1"/>
  <c r="A177" i="1"/>
  <c r="G176" i="1"/>
  <c r="F176" i="1"/>
  <c r="E176" i="1"/>
  <c r="A176" i="1"/>
  <c r="G175" i="1"/>
  <c r="F175" i="1"/>
  <c r="E175" i="1"/>
  <c r="A175" i="1"/>
  <c r="G174" i="1"/>
  <c r="F174" i="1"/>
  <c r="E174" i="1"/>
  <c r="A174" i="1"/>
  <c r="G173" i="1"/>
  <c r="F173" i="1"/>
  <c r="E173" i="1"/>
  <c r="A173" i="1"/>
  <c r="G172" i="1"/>
  <c r="F172" i="1"/>
  <c r="E172" i="1"/>
  <c r="A172" i="1"/>
  <c r="G171" i="1"/>
  <c r="F171" i="1"/>
  <c r="E171" i="1"/>
  <c r="A171" i="1"/>
  <c r="G170" i="1"/>
  <c r="F170" i="1"/>
  <c r="E170" i="1"/>
  <c r="A170" i="1"/>
  <c r="G169" i="1"/>
  <c r="F169" i="1"/>
  <c r="E169" i="1"/>
  <c r="A169" i="1"/>
  <c r="G168" i="1"/>
  <c r="F168" i="1"/>
  <c r="E168" i="1"/>
  <c r="A168" i="1"/>
  <c r="G167" i="1"/>
  <c r="F167" i="1"/>
  <c r="E167" i="1"/>
  <c r="A167" i="1"/>
  <c r="G166" i="1"/>
  <c r="F166" i="1"/>
  <c r="E166" i="1"/>
  <c r="A166" i="1"/>
  <c r="G165" i="1"/>
  <c r="F165" i="1"/>
  <c r="E165" i="1"/>
  <c r="A165" i="1"/>
  <c r="G164" i="1"/>
  <c r="F164" i="1"/>
  <c r="E164" i="1"/>
  <c r="A164" i="1"/>
  <c r="G163" i="1"/>
  <c r="F163" i="1"/>
  <c r="E163" i="1"/>
  <c r="A163" i="1"/>
  <c r="G162" i="1"/>
  <c r="F162" i="1"/>
  <c r="E162" i="1"/>
  <c r="A162" i="1"/>
  <c r="G161" i="1"/>
  <c r="F161" i="1"/>
  <c r="E161" i="1"/>
  <c r="A161" i="1"/>
  <c r="G160" i="1"/>
  <c r="F160" i="1"/>
  <c r="E160" i="1"/>
  <c r="A160" i="1"/>
  <c r="G159" i="1"/>
  <c r="F159" i="1"/>
  <c r="E159" i="1"/>
  <c r="A159" i="1"/>
  <c r="G158" i="1"/>
  <c r="F158" i="1"/>
  <c r="E158" i="1"/>
  <c r="A158" i="1"/>
  <c r="G157" i="1"/>
  <c r="F157" i="1"/>
  <c r="E157" i="1"/>
  <c r="A157" i="1"/>
  <c r="G156" i="1"/>
  <c r="F156" i="1"/>
  <c r="E156" i="1"/>
  <c r="A156" i="1"/>
  <c r="G155" i="1"/>
  <c r="F155" i="1"/>
  <c r="E155" i="1"/>
  <c r="A155" i="1"/>
  <c r="G154" i="1"/>
  <c r="F154" i="1"/>
  <c r="E154" i="1"/>
  <c r="A154" i="1"/>
  <c r="G153" i="1"/>
  <c r="F153" i="1"/>
  <c r="A153" i="1"/>
  <c r="G152" i="1"/>
  <c r="F152" i="1"/>
  <c r="E152" i="1"/>
  <c r="A152" i="1"/>
  <c r="G151" i="1"/>
  <c r="F151" i="1"/>
  <c r="E151" i="1"/>
  <c r="A151" i="1"/>
  <c r="G150" i="1"/>
  <c r="F150" i="1"/>
  <c r="E150" i="1"/>
  <c r="A150" i="1"/>
  <c r="G149" i="1"/>
  <c r="F149" i="1"/>
  <c r="E149" i="1"/>
  <c r="A149" i="1"/>
  <c r="G148" i="1"/>
  <c r="F148" i="1"/>
  <c r="E148" i="1"/>
  <c r="A148" i="1"/>
  <c r="G147" i="1"/>
  <c r="F147" i="1"/>
  <c r="E147" i="1"/>
  <c r="A147" i="1"/>
  <c r="G146" i="1"/>
  <c r="F146" i="1"/>
  <c r="E146" i="1"/>
  <c r="A146" i="1"/>
  <c r="G145" i="1"/>
  <c r="F145" i="1"/>
  <c r="E145" i="1"/>
  <c r="A145" i="1"/>
  <c r="G144" i="1"/>
  <c r="F144" i="1"/>
  <c r="E144" i="1"/>
  <c r="A144" i="1"/>
  <c r="G143" i="1"/>
  <c r="F143" i="1"/>
  <c r="E143" i="1"/>
  <c r="A143" i="1"/>
  <c r="G142" i="1"/>
  <c r="F142" i="1"/>
  <c r="E142" i="1"/>
  <c r="A142" i="1"/>
  <c r="G141" i="1"/>
  <c r="F141" i="1"/>
  <c r="E141" i="1"/>
  <c r="A141" i="1"/>
  <c r="G140" i="1"/>
  <c r="F140" i="1"/>
  <c r="E140" i="1"/>
  <c r="A140" i="1"/>
  <c r="G139" i="1"/>
  <c r="F139" i="1"/>
  <c r="E139" i="1"/>
  <c r="A139" i="1"/>
  <c r="G138" i="1"/>
  <c r="F138" i="1"/>
  <c r="E138" i="1"/>
  <c r="A138" i="1"/>
  <c r="G137" i="1"/>
  <c r="F137" i="1"/>
  <c r="E137" i="1"/>
  <c r="A137" i="1"/>
  <c r="G136" i="1"/>
  <c r="F136" i="1"/>
  <c r="E136" i="1"/>
  <c r="A136" i="1"/>
  <c r="G135" i="1"/>
  <c r="F135" i="1"/>
  <c r="E135" i="1"/>
  <c r="A135" i="1"/>
  <c r="G134" i="1"/>
  <c r="F134" i="1"/>
  <c r="E134" i="1"/>
  <c r="A134" i="1"/>
  <c r="G133" i="1"/>
  <c r="F133" i="1"/>
  <c r="E133" i="1"/>
  <c r="A133" i="1"/>
  <c r="G132" i="1"/>
  <c r="F132" i="1"/>
  <c r="E132" i="1"/>
  <c r="A132" i="1"/>
  <c r="G131" i="1"/>
  <c r="F131" i="1"/>
  <c r="E131" i="1"/>
  <c r="A131" i="1"/>
  <c r="G130" i="1"/>
  <c r="F130" i="1"/>
  <c r="E130" i="1"/>
  <c r="A130" i="1"/>
  <c r="G129" i="1"/>
  <c r="F129" i="1"/>
  <c r="E129" i="1"/>
  <c r="A129" i="1"/>
  <c r="G128" i="1"/>
  <c r="F128" i="1"/>
  <c r="E128" i="1"/>
  <c r="A128" i="1"/>
  <c r="G127" i="1"/>
  <c r="F127" i="1"/>
  <c r="E127" i="1"/>
  <c r="A127" i="1"/>
  <c r="G126" i="1"/>
  <c r="F126" i="1"/>
  <c r="E126" i="1"/>
  <c r="A126" i="1"/>
  <c r="G125" i="1"/>
  <c r="F125" i="1"/>
  <c r="E125" i="1"/>
  <c r="A125" i="1"/>
  <c r="G124" i="1"/>
  <c r="F124" i="1"/>
  <c r="E124" i="1"/>
  <c r="A124" i="1"/>
  <c r="G123" i="1"/>
  <c r="F123" i="1"/>
  <c r="E123" i="1"/>
  <c r="A123" i="1"/>
  <c r="G122" i="1"/>
  <c r="F122" i="1"/>
  <c r="E122" i="1"/>
  <c r="A122" i="1"/>
  <c r="G121" i="1"/>
  <c r="F121" i="1"/>
  <c r="E121" i="1"/>
  <c r="A121" i="1"/>
  <c r="G120" i="1"/>
  <c r="F120" i="1"/>
  <c r="E120" i="1"/>
  <c r="A120" i="1"/>
  <c r="G119" i="1"/>
  <c r="F119" i="1"/>
  <c r="E119" i="1"/>
  <c r="A119" i="1"/>
  <c r="G118" i="1"/>
  <c r="F118" i="1"/>
  <c r="E118" i="1"/>
  <c r="A118" i="1"/>
  <c r="G117" i="1"/>
  <c r="F117" i="1"/>
  <c r="E117" i="1"/>
  <c r="A117" i="1"/>
  <c r="G116" i="1"/>
  <c r="F116" i="1"/>
  <c r="E116" i="1"/>
  <c r="A116" i="1"/>
  <c r="G115" i="1"/>
  <c r="F115" i="1"/>
  <c r="E115" i="1"/>
  <c r="A115" i="1"/>
  <c r="G114" i="1"/>
  <c r="F114" i="1"/>
  <c r="E114" i="1"/>
  <c r="A114" i="1"/>
  <c r="G113" i="1"/>
  <c r="F113" i="1"/>
  <c r="E113" i="1"/>
  <c r="A113" i="1"/>
  <c r="G112" i="1"/>
  <c r="F112" i="1"/>
  <c r="E112" i="1"/>
  <c r="A112" i="1"/>
  <c r="G111" i="1"/>
  <c r="F111" i="1"/>
  <c r="E111" i="1"/>
  <c r="A111" i="1"/>
  <c r="G110" i="1"/>
  <c r="F110" i="1"/>
  <c r="E110" i="1"/>
  <c r="A110" i="1"/>
  <c r="G109" i="1"/>
  <c r="F109" i="1"/>
  <c r="E109" i="1"/>
  <c r="A109" i="1"/>
  <c r="G108" i="1"/>
  <c r="F108" i="1"/>
  <c r="E108" i="1"/>
  <c r="A108" i="1"/>
  <c r="G107" i="1"/>
  <c r="F107" i="1"/>
  <c r="E107" i="1"/>
  <c r="A107" i="1"/>
  <c r="G106" i="1"/>
  <c r="F106" i="1"/>
  <c r="E106" i="1"/>
  <c r="A106" i="1"/>
  <c r="G105" i="1"/>
  <c r="F105" i="1"/>
  <c r="E105" i="1"/>
  <c r="A105" i="1"/>
  <c r="G104" i="1"/>
  <c r="F104" i="1"/>
  <c r="E104" i="1"/>
  <c r="A104" i="1"/>
  <c r="G103" i="1"/>
  <c r="F103" i="1"/>
  <c r="E103" i="1"/>
  <c r="A103" i="1"/>
  <c r="G102" i="1"/>
  <c r="F102" i="1"/>
  <c r="E102" i="1"/>
  <c r="A102" i="1"/>
  <c r="G101" i="1"/>
  <c r="F101" i="1"/>
  <c r="E101" i="1"/>
  <c r="A101" i="1"/>
  <c r="G100" i="1"/>
  <c r="F100" i="1"/>
  <c r="E100" i="1"/>
  <c r="A100" i="1"/>
  <c r="G99" i="1"/>
  <c r="F99" i="1"/>
  <c r="E99" i="1"/>
  <c r="A99" i="1"/>
  <c r="G98" i="1"/>
  <c r="F98" i="1"/>
  <c r="E98" i="1"/>
  <c r="A98" i="1"/>
  <c r="G97" i="1"/>
  <c r="F97" i="1"/>
  <c r="E97" i="1"/>
  <c r="A97" i="1"/>
  <c r="G96" i="1"/>
  <c r="F96" i="1"/>
  <c r="E96" i="1"/>
  <c r="A96" i="1"/>
  <c r="G95" i="1"/>
  <c r="F95" i="1"/>
  <c r="E95" i="1"/>
  <c r="A95" i="1"/>
  <c r="G94" i="1"/>
  <c r="F94" i="1"/>
  <c r="E94" i="1"/>
  <c r="A94" i="1"/>
  <c r="G93" i="1"/>
  <c r="F93" i="1"/>
  <c r="A93" i="1"/>
  <c r="G92" i="1"/>
  <c r="F92" i="1"/>
  <c r="A92" i="1"/>
  <c r="G91" i="1"/>
  <c r="F91" i="1"/>
  <c r="E91" i="1"/>
  <c r="A91" i="1"/>
  <c r="G90" i="1"/>
  <c r="F90" i="1"/>
  <c r="E90" i="1"/>
  <c r="A90" i="1"/>
  <c r="G89" i="1"/>
  <c r="F89" i="1"/>
  <c r="E89" i="1"/>
  <c r="A89" i="1"/>
  <c r="G88" i="1"/>
  <c r="F88" i="1"/>
  <c r="E88" i="1"/>
  <c r="A88" i="1"/>
  <c r="G87" i="1"/>
  <c r="F87" i="1"/>
  <c r="E87" i="1"/>
  <c r="A87" i="1"/>
  <c r="G86" i="1"/>
  <c r="F86" i="1"/>
  <c r="E86" i="1"/>
  <c r="A86" i="1"/>
  <c r="G85" i="1"/>
  <c r="F85" i="1"/>
  <c r="E85" i="1"/>
  <c r="A85" i="1"/>
  <c r="G84" i="1"/>
  <c r="F84" i="1"/>
  <c r="E84" i="1"/>
  <c r="A84" i="1"/>
  <c r="G83" i="1"/>
  <c r="F83" i="1"/>
  <c r="E83" i="1"/>
  <c r="A83" i="1"/>
  <c r="G82" i="1"/>
  <c r="F82" i="1"/>
  <c r="E82" i="1"/>
  <c r="A82" i="1"/>
  <c r="G81" i="1"/>
  <c r="F81" i="1"/>
  <c r="E81" i="1"/>
  <c r="A81" i="1"/>
  <c r="G80" i="1"/>
  <c r="F80" i="1"/>
  <c r="E80" i="1"/>
  <c r="A80" i="1"/>
  <c r="G79" i="1"/>
  <c r="F79" i="1"/>
  <c r="E79" i="1"/>
  <c r="A79" i="1"/>
  <c r="G78" i="1"/>
  <c r="F78" i="1"/>
  <c r="E78" i="1"/>
  <c r="A78" i="1"/>
  <c r="G77" i="1"/>
  <c r="F77" i="1"/>
  <c r="E77" i="1"/>
  <c r="A77" i="1"/>
  <c r="G76" i="1"/>
  <c r="F76" i="1"/>
  <c r="E76" i="1"/>
  <c r="A76" i="1"/>
  <c r="G75" i="1"/>
  <c r="F75" i="1"/>
  <c r="E75" i="1"/>
  <c r="A75" i="1"/>
  <c r="G74" i="1"/>
  <c r="F74" i="1"/>
  <c r="E74" i="1"/>
  <c r="A74" i="1"/>
  <c r="G73" i="1"/>
  <c r="F73" i="1"/>
  <c r="E73" i="1"/>
  <c r="A73" i="1"/>
  <c r="G72" i="1"/>
  <c r="F72" i="1"/>
  <c r="E72" i="1"/>
  <c r="A72" i="1"/>
  <c r="G71" i="1"/>
  <c r="F71" i="1"/>
  <c r="E71" i="1"/>
  <c r="A71" i="1"/>
  <c r="G70" i="1"/>
  <c r="F70" i="1"/>
  <c r="E70" i="1"/>
  <c r="A70" i="1"/>
  <c r="G69" i="1"/>
  <c r="F69" i="1"/>
  <c r="E69" i="1"/>
  <c r="A69" i="1"/>
  <c r="G68" i="1"/>
  <c r="F68" i="1"/>
  <c r="A68" i="1"/>
  <c r="G67" i="1"/>
  <c r="F67" i="1"/>
  <c r="E67" i="1"/>
  <c r="A67" i="1"/>
  <c r="G66" i="1"/>
  <c r="F66" i="1"/>
  <c r="E66" i="1"/>
  <c r="A66" i="1"/>
  <c r="G65" i="1"/>
  <c r="F65" i="1"/>
  <c r="E65" i="1"/>
  <c r="A65" i="1"/>
  <c r="G64" i="1"/>
  <c r="F64" i="1"/>
  <c r="E64" i="1"/>
  <c r="A64" i="1"/>
  <c r="G63" i="1"/>
  <c r="F63" i="1"/>
  <c r="E63" i="1"/>
  <c r="A63" i="1"/>
  <c r="G62" i="1"/>
  <c r="F62" i="1"/>
  <c r="E62" i="1"/>
  <c r="A62" i="1"/>
  <c r="G61" i="1"/>
  <c r="F61" i="1"/>
  <c r="E61" i="1"/>
  <c r="A61" i="1"/>
  <c r="G60" i="1"/>
  <c r="F60" i="1"/>
  <c r="E60" i="1"/>
  <c r="A60" i="1"/>
  <c r="G59" i="1"/>
  <c r="F59" i="1"/>
  <c r="E59" i="1"/>
  <c r="A59" i="1"/>
  <c r="G58" i="1"/>
  <c r="F58" i="1"/>
  <c r="E58" i="1"/>
  <c r="A58" i="1"/>
  <c r="G57" i="1"/>
  <c r="F57" i="1"/>
  <c r="E57" i="1"/>
  <c r="A57" i="1"/>
  <c r="G56" i="1"/>
  <c r="F56" i="1"/>
  <c r="E56" i="1"/>
  <c r="A56" i="1"/>
  <c r="G55" i="1"/>
  <c r="F55" i="1"/>
  <c r="E55" i="1"/>
  <c r="A55" i="1"/>
  <c r="G54" i="1"/>
  <c r="F54" i="1"/>
  <c r="E54" i="1"/>
  <c r="A54" i="1"/>
  <c r="G53" i="1"/>
  <c r="F53" i="1"/>
  <c r="E53" i="1"/>
  <c r="A53" i="1"/>
  <c r="G52" i="1"/>
  <c r="F52" i="1"/>
  <c r="E52" i="1"/>
  <c r="A52" i="1"/>
  <c r="G51" i="1"/>
  <c r="F51" i="1"/>
  <c r="E51" i="1"/>
  <c r="A51" i="1"/>
  <c r="G50" i="1"/>
  <c r="F50" i="1"/>
  <c r="E50" i="1"/>
  <c r="A50" i="1"/>
  <c r="G49" i="1"/>
  <c r="F49" i="1"/>
  <c r="E49" i="1"/>
  <c r="A49" i="1"/>
  <c r="G48" i="1"/>
  <c r="F48" i="1"/>
  <c r="E48" i="1"/>
  <c r="A48" i="1"/>
  <c r="G47" i="1"/>
  <c r="F47" i="1"/>
  <c r="E47" i="1"/>
  <c r="A47" i="1"/>
  <c r="G46" i="1"/>
  <c r="F46" i="1"/>
  <c r="E46" i="1"/>
  <c r="A46" i="1"/>
  <c r="G45" i="1"/>
  <c r="F45" i="1"/>
  <c r="E45" i="1"/>
  <c r="A45" i="1"/>
  <c r="G44" i="1"/>
  <c r="F44" i="1"/>
  <c r="E44" i="1"/>
  <c r="A44" i="1"/>
  <c r="G43" i="1"/>
  <c r="F43" i="1"/>
  <c r="E43" i="1"/>
  <c r="A43" i="1"/>
  <c r="G42" i="1"/>
  <c r="F42" i="1"/>
  <c r="E42" i="1"/>
  <c r="A42" i="1"/>
  <c r="G41" i="1"/>
  <c r="F41" i="1"/>
  <c r="E41" i="1"/>
  <c r="A41" i="1"/>
  <c r="G40" i="1"/>
  <c r="F40" i="1"/>
  <c r="E40" i="1"/>
  <c r="A40" i="1"/>
  <c r="G39" i="1"/>
  <c r="F39" i="1"/>
  <c r="E39" i="1"/>
  <c r="A39" i="1"/>
  <c r="G38" i="1"/>
  <c r="F38" i="1"/>
  <c r="E38" i="1"/>
  <c r="A38" i="1"/>
  <c r="G37" i="1"/>
  <c r="F37" i="1"/>
  <c r="E37" i="1"/>
  <c r="A37" i="1"/>
  <c r="G36" i="1"/>
  <c r="F36" i="1"/>
  <c r="E36" i="1"/>
  <c r="A36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29" i="1"/>
  <c r="F29" i="1"/>
  <c r="E29" i="1"/>
  <c r="A29" i="1"/>
  <c r="G28" i="1"/>
  <c r="F28" i="1"/>
  <c r="E28" i="1"/>
  <c r="A28" i="1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19" i="1"/>
  <c r="F19" i="1"/>
  <c r="E19" i="1"/>
  <c r="A19" i="1"/>
  <c r="G18" i="1"/>
  <c r="F18" i="1"/>
  <c r="E18" i="1"/>
  <c r="A18" i="1"/>
  <c r="G17" i="1"/>
  <c r="F17" i="1"/>
  <c r="E17" i="1"/>
  <c r="A17" i="1"/>
  <c r="G16" i="1"/>
  <c r="F16" i="1"/>
  <c r="E16" i="1"/>
  <c r="A16" i="1"/>
  <c r="G15" i="1"/>
  <c r="F15" i="1"/>
  <c r="E15" i="1"/>
  <c r="A15" i="1"/>
  <c r="G14" i="1"/>
  <c r="F14" i="1"/>
  <c r="E14" i="1"/>
  <c r="A14" i="1"/>
  <c r="G13" i="1"/>
  <c r="F13" i="1"/>
  <c r="E13" i="1"/>
  <c r="A13" i="1"/>
  <c r="G12" i="1"/>
  <c r="F12" i="1"/>
  <c r="E12" i="1"/>
  <c r="A12" i="1"/>
  <c r="G11" i="1"/>
  <c r="F11" i="1"/>
  <c r="E11" i="1"/>
  <c r="A11" i="1"/>
  <c r="G10" i="1"/>
  <c r="F10" i="1"/>
  <c r="E10" i="1"/>
  <c r="A10" i="1"/>
  <c r="G9" i="1"/>
  <c r="F9" i="1"/>
  <c r="E9" i="1"/>
  <c r="A9" i="1"/>
  <c r="G8" i="1"/>
  <c r="F8" i="1"/>
  <c r="E8" i="1"/>
  <c r="A8" i="1"/>
  <c r="G7" i="1"/>
  <c r="F7" i="1"/>
  <c r="E7" i="1"/>
  <c r="A7" i="1"/>
  <c r="G6" i="1"/>
  <c r="F6" i="1"/>
  <c r="E6" i="1"/>
  <c r="A6" i="1"/>
  <c r="G5" i="1"/>
  <c r="F5" i="1"/>
  <c r="E5" i="1"/>
  <c r="A5" i="1"/>
  <c r="G4" i="1"/>
  <c r="F4" i="1"/>
  <c r="E4" i="1"/>
  <c r="A4" i="1"/>
  <c r="G3" i="1"/>
  <c r="F3" i="1"/>
  <c r="E3" i="1"/>
  <c r="A3" i="1"/>
  <c r="G2" i="1"/>
  <c r="F2" i="1"/>
  <c r="E2" i="1"/>
  <c r="A2" i="1"/>
</calcChain>
</file>

<file path=xl/sharedStrings.xml><?xml version="1.0" encoding="utf-8"?>
<sst xmlns="http://schemas.openxmlformats.org/spreadsheetml/2006/main" count="2901" uniqueCount="706">
  <si>
    <t>Failure Name</t>
  </si>
  <si>
    <t>Station Name</t>
  </si>
  <si>
    <t>Stage</t>
  </si>
  <si>
    <t>Failed Step Name</t>
  </si>
  <si>
    <t>Bucket Name</t>
  </si>
  <si>
    <t>Suite</t>
  </si>
  <si>
    <t>Debug Snapshot</t>
  </si>
  <si>
    <t>User Notes</t>
  </si>
  <si>
    <t>Failure Tags</t>
  </si>
  <si>
    <t>Group</t>
  </si>
  <si>
    <t>jf04wvaw5337</t>
  </si>
  <si>
    <t>PreBoot</t>
  </si>
  <si>
    <t>tpreboot_update_Racepointbeach</t>
  </si>
  <si>
    <t>HW.CFG.ERR, HW.CORR, HW.ERR, HW.KNOWN_ISSUE, SW.FW</t>
  </si>
  <si>
    <t>Concurrency</t>
  </si>
  <si>
    <t>hpreboot_installexepackage_1</t>
  </si>
  <si>
    <t>hpreboot_updateifwi</t>
  </si>
  <si>
    <t>HW.CFG.ERR, HW.CORR, HW.ERR, HW.KNOWN_ISSUE, HW.MCE.IIO, SW.FW</t>
  </si>
  <si>
    <t>jf04wvaw5026</t>
  </si>
  <si>
    <t>hpreboot_updatettk3_145</t>
  </si>
  <si>
    <t>Memory</t>
  </si>
  <si>
    <t>jf04wvaw5179</t>
  </si>
  <si>
    <t>Test</t>
  </si>
  <si>
    <t>MC_memicals_highmem_1</t>
  </si>
  <si>
    <t>MC_memicals_WriteOnly</t>
  </si>
  <si>
    <t>PostTest</t>
  </si>
  <si>
    <t>tposttest_projectend</t>
  </si>
  <si>
    <t>jf04wvaw5291</t>
  </si>
  <si>
    <t>MC_memicals_Data</t>
  </si>
  <si>
    <t>ba05wvaw0055</t>
  </si>
  <si>
    <t>RebootStation</t>
  </si>
  <si>
    <t>jf04wvaw5040</t>
  </si>
  <si>
    <t>warmResetSolar_B2B_10</t>
  </si>
  <si>
    <t>HW.CFG.ERR, HW.CORR, HW.ERR</t>
  </si>
  <si>
    <t>Reset</t>
  </si>
  <si>
    <t>ba05wvaw0134</t>
  </si>
  <si>
    <t>python_pcie_ras_cfgac_X1</t>
  </si>
  <si>
    <t>HW.CFG.ERR, HW.CORR, HW.ERR, HW.MCE.IIO</t>
  </si>
  <si>
    <t>PCIe</t>
  </si>
  <si>
    <t>python_pcie_ras_errnf_X1</t>
  </si>
  <si>
    <t>null
1/9/2023, 1:41:59 PM GMT+5:30
These Pretest failures are in custom test steps and not due to Default flow steps</t>
  </si>
  <si>
    <t>jf04wvaw5321</t>
  </si>
  <si>
    <t>Posted_queue_stress_Header</t>
  </si>
  <si>
    <t>ACS_stress</t>
  </si>
  <si>
    <t>ba05wvaw0136</t>
  </si>
  <si>
    <t>hposttest_projectend_moka</t>
  </si>
  <si>
    <t>HW.CFG.ERR, HW.CORR, HW.ERR, HW.MCE.IIO, HW.MCE.PCU</t>
  </si>
  <si>
    <t>UPI</t>
  </si>
  <si>
    <t>ba05wvaw0065</t>
  </si>
  <si>
    <t>sc_Lock_Stress</t>
  </si>
  <si>
    <t xml:space="preserve">2/10/2023, 5:54:13 PM PST
Target Hang bcs of UPI ERROR </t>
  </si>
  <si>
    <t>Mesh</t>
  </si>
  <si>
    <t>sc_IDI_Stress_tgt_co_located</t>
  </si>
  <si>
    <t>2/6/2023, 3:24:09 PM GMT+5:30
Target Hang bcs of UPI ERROR ( mcacod:0xe0f desc:Bus/Interconnect Errors: GEN.NTO.ERR.OTH.LG) and UBOX ERROR ( mcacod:0x40c desc:Shutdown suppression)</t>
  </si>
  <si>
    <t>sc_IDI_Stress_heavy_gv</t>
  </si>
  <si>
    <t>2/10/2023, 5:56:20 PM PST
CXL hang: CHA TOR Timeout, IOMCA error, watchdog_timer</t>
  </si>
  <si>
    <t>HW.CFG.ERR, HW.CORR, HW.ERR, HW.MCE.CHA, HW.MCE.IIO, HW.MCE.PCU</t>
  </si>
  <si>
    <t>ba05wvaw0099</t>
  </si>
  <si>
    <t>sc_UboxMsgCh_Stress</t>
  </si>
  <si>
    <t>HW.CFG.ERR, HW.CORR, HW.ERR, HW.MCE.PCU</t>
  </si>
  <si>
    <t>RTM_execution</t>
  </si>
  <si>
    <t>Virtualization</t>
  </si>
  <si>
    <t>VTD_PCIE_DSA_IAX_CPU</t>
  </si>
  <si>
    <t>ba05wvaw0083</t>
  </si>
  <si>
    <t>coldResetSolar</t>
  </si>
  <si>
    <t>ba05wvaw0096</t>
  </si>
  <si>
    <t>hrebootstation_gracefulreboot_overrides</t>
  </si>
  <si>
    <t>ba05wvaw0063</t>
  </si>
  <si>
    <t>warmResetSolar_Cycle</t>
  </si>
  <si>
    <t>ba05wvaw0066</t>
  </si>
  <si>
    <t>hpreboot_updateifwi_overrides</t>
  </si>
  <si>
    <t>ba05wvaw0098</t>
  </si>
  <si>
    <t>ISCLK_configuration_blob_silicon</t>
  </si>
  <si>
    <t>jf04wvaw5072</t>
  </si>
  <si>
    <t>Security</t>
  </si>
  <si>
    <t>ba05wvaw0123</t>
  </si>
  <si>
    <t>ba05wvaw0127</t>
  </si>
  <si>
    <t>sc_Stress_1_1</t>
  </si>
  <si>
    <t>2/13/2023, 11:13:30 AM GMT+5:30
Target Hang bcs of UPI ERROR ( mcacod:0xe0f desc:Bus/Interconnect Errors: GEN.NTO.ERR.OTH.LG)( mscod:0x1 desc: UPI Phy Detected Drift Buffer Alarm) and PUNIT ERROR ( mcacod:0x402 desc:Pcode Error)( mscod:0x1a00 desc: MCA_DISP_RUN_BUSY_TIMEOUT)</t>
  </si>
  <si>
    <t>HW.CFG.ERR, HW.CORR, HW.ERR, HW.MCE.PCU, HW.MCE.UPI</t>
  </si>
  <si>
    <t>ba05wvaw0124</t>
  </si>
  <si>
    <t>jf04wvaw5188</t>
  </si>
  <si>
    <t>RDT_Mesh</t>
  </si>
  <si>
    <t>ba05wvaw0091</t>
  </si>
  <si>
    <t>Mba_Mba3_0_Walk_Thread_Silicon</t>
  </si>
  <si>
    <t>ba05wvaw0086</t>
  </si>
  <si>
    <t>ba05wvaw0071</t>
  </si>
  <si>
    <t>ba05wvaw0137</t>
  </si>
  <si>
    <t>PreTest</t>
  </si>
  <si>
    <t>tpretest_projectcfg</t>
  </si>
  <si>
    <t>ba05wvaw0073</t>
  </si>
  <si>
    <t>jf04wvaw5022</t>
  </si>
  <si>
    <t>trebootstation_cambria_override_dynamic_mapping</t>
  </si>
  <si>
    <t>policy_value_retains_warmboot</t>
  </si>
  <si>
    <t>sc_IDI_Stress_4h</t>
  </si>
  <si>
    <t>trebootstation_biosknobovr</t>
  </si>
  <si>
    <t>ba05wvaw0047</t>
  </si>
  <si>
    <t>jf04wvaw5311</t>
  </si>
  <si>
    <t>jf04wvaw5147</t>
  </si>
  <si>
    <t>MKTME_Reboot_stress_test_Cold_Boot_Command</t>
  </si>
  <si>
    <t>jf04wvaw5442</t>
  </si>
  <si>
    <t>ba05wvaw0505</t>
  </si>
  <si>
    <t>ba05wvaw0077</t>
  </si>
  <si>
    <t>jf04wvaw5135</t>
  </si>
  <si>
    <t>ba05wvaw0135</t>
  </si>
  <si>
    <t>set_hang_breaks</t>
  </si>
  <si>
    <t>3/7/2023, 5:38:11 PM PST
itp.go() and system hang observed with kernel panic</t>
  </si>
  <si>
    <t>jf04wvaw5172</t>
  </si>
  <si>
    <t>ba05wvaw0141</t>
  </si>
  <si>
    <t>ba05wvaw0109</t>
  </si>
  <si>
    <t>Basic_PTM_protocol_silicon</t>
  </si>
  <si>
    <t>jf04wvaw5348</t>
  </si>
  <si>
    <t>IIO_Matrix</t>
  </si>
  <si>
    <t>GNR_rocket_upi_phy_txcrcinj</t>
  </si>
  <si>
    <t>sc_UboxMsgCh_Stress_MultiRowCol</t>
  </si>
  <si>
    <t>3/29/2023, 5:53:44 PM PDT
Core Parity issue</t>
  </si>
  <si>
    <t>S5_OS_Trigger_solar</t>
  </si>
  <si>
    <t>upi_VV_L0_2</t>
  </si>
  <si>
    <t>HW.CFG.ERR, HW.CORR, HW.ERR, HW.MCE.CHA, HW.MCE.IIO, HW.MCE.PCU, HW.MCE.UPI</t>
  </si>
  <si>
    <t>ba05wvaw0148</t>
  </si>
  <si>
    <t>HW.CFG.ERR, HW.CORR, HW.ERR, HW.MCE.IIO, HW.MCE.PCU, HW.MCE.UPI</t>
  </si>
  <si>
    <t>ba05wvaw0139</t>
  </si>
  <si>
    <t>Logical_MSI_Cluster_x2APIC_hyperthreadingOFF_rem_cxl</t>
  </si>
  <si>
    <t>ba05wvaw0167</t>
  </si>
  <si>
    <t>3/15/2023, 8:19:04 PM PDT
Core Parity error</t>
  </si>
  <si>
    <t>ba05wvaw0093</t>
  </si>
  <si>
    <t>ba05wvaw0145</t>
  </si>
  <si>
    <t>ba05wvaw0088</t>
  </si>
  <si>
    <t>Dualcast_to_RP</t>
  </si>
  <si>
    <t>ba05wvaw0001</t>
  </si>
  <si>
    <t>TDX_cold_reset</t>
  </si>
  <si>
    <t>sc_Rand_Stress13_4h</t>
  </si>
  <si>
    <t>3/16/2023, 3:39:30 PM PDT
Global IEH-IOMCA</t>
  </si>
  <si>
    <t>jf04wvaw5461</t>
  </si>
  <si>
    <t>jf04wvaw5018</t>
  </si>
  <si>
    <t>sc_Stress_1_1_heavy_remote</t>
  </si>
  <si>
    <t>jf04wvaw5194</t>
  </si>
  <si>
    <t>3/13/2023, 5:14:03 PM GMT+5:30
itp.go() and system hang observed with kernel panic</t>
  </si>
  <si>
    <t>ba05wvaw0118</t>
  </si>
  <si>
    <t>Multi_Key_IDI_Stress_silicon_test_128</t>
  </si>
  <si>
    <t>IOMMU_Posted_Intrs_HvyLocks_silicon</t>
  </si>
  <si>
    <t>IOMMU_AtomicOps</t>
  </si>
  <si>
    <t>sc_Rand_Stress13</t>
  </si>
  <si>
    <t xml:space="preserve">3/20/2023, 11:59:58 AM GMT+5:30
ERROR: Arden Verify detected 3 errors while checking for PCIE uncorr errors on /sv/socket0/bus3/pciExpress2/local-cxl-00/vm0. Completion Timeout Detected on CXL card.
Sighting Info:[GNR A1 VV][X1][SCF] [SV4S2,SV5S1] Supercollider test failed with Completion Timeout Error on CXL cards 
https://hsdes.intel.com/appstore/article/#/22017064108 </t>
  </si>
  <si>
    <t>HW.CFG.ERR, HW.CORR, HW.ERR, HW.MCE.CHA, HW.MCE.PCU</t>
  </si>
  <si>
    <t>Perl_ltssm_redoEx_gen_x_x</t>
  </si>
  <si>
    <t>3/20/2023, 7:40:56 PM PDT
Test command had wrong spelling</t>
  </si>
  <si>
    <t>Mba_Mba4_0_T0_Throttling_Upi_And_T1_No_Throttling_Cxl_Mem_Crdps_Ddr_1C_2T_Different_Clos_Rmid_Resources_Silicon</t>
  </si>
  <si>
    <t>ba05wvaw0173</t>
  </si>
  <si>
    <t>jf04wvaw5358</t>
  </si>
  <si>
    <t>Perl_ltssm_L1_PM_genx_cfg3</t>
  </si>
  <si>
    <t>3/27/2023, 10:44:36 AM PDT
Rerunning tests after blocking SaaS driver</t>
  </si>
  <si>
    <t>Mba_Mba3_0_Perthread_Throttling_Target_Upi_Silicon</t>
  </si>
  <si>
    <t>4/5/2023, 11:18:25 PM GMT+5:30
raj 215 failures 101</t>
  </si>
  <si>
    <t>Iocat_Noisy_Neighbor_Exclusive_Waymask_Io_Traffics_And_Ia_Traffics_Silicon</t>
  </si>
  <si>
    <t>4/5/2023, 11:20:38 PM GMT+5:30
raj 215 failures 102</t>
  </si>
  <si>
    <t>Iombm_Multi_Socket_One_Device_In_One_Socket_And_Another_Device_On_A_Different_Socket_Silicon</t>
  </si>
  <si>
    <t>4/5/2023, 11:34:51 PM GMT+5:30
raj 215 failures 103</t>
  </si>
  <si>
    <t>HW.CFG.ERR, HW.CORR, HW.ERR, HW.MCE.CHA, HW.MCE.UPI</t>
  </si>
  <si>
    <t>Perl_ltssm_redoEx_gen_4_x_cfg3</t>
  </si>
  <si>
    <t>MC_gnrDemandScrubECC</t>
  </si>
  <si>
    <t>ba05wvaw0117</t>
  </si>
  <si>
    <t>MC_CAPHarrasser</t>
  </si>
  <si>
    <t>ba05wvaw0132</t>
  </si>
  <si>
    <t>MC_gnrPatrolScrub_1</t>
  </si>
  <si>
    <t xml:space="preserve">3/24/2023, 12:37:44 PM GMT+5:30
ERROR: Arden Verify detected 3 errors while checking for PCIE uncorr errors on /sv/socket0/bus3/pciExpress2/local-cxl-00/vm0. Completion Timeout Detected on CXL card.
Sighting Info:[GNR A1 VV][X1][SCF] [SV4S2,SV5S1] Supercollider test failed with Completion Timeout Error on CXL cards 
https://hsdes.intel.com/appstore/article/#/22017064108 </t>
  </si>
  <si>
    <t>ba05wvaw0030</t>
  </si>
  <si>
    <t>MC_MHERNAN3_ADDDC_default</t>
  </si>
  <si>
    <t>Iocat_Validate_With_Shared_Channels_Of_Dsa__Iax</t>
  </si>
  <si>
    <t>3/27/2023, 12:31:35 PM GMT+5:30
Deepthi Serial Number: 06</t>
  </si>
  <si>
    <t>SQ_PCIe_High_Stress_Concurrency_SV5_SV7</t>
  </si>
  <si>
    <t>DSA_IAX_PCIe_stress_Interrupts</t>
  </si>
  <si>
    <t>HW.CFG.ERR, HW.CORR, HW.ERR, HW.MCE.MLC</t>
  </si>
  <si>
    <t>Iombm_Mix_Local_Remote_Memory_Traffic_Silicon</t>
  </si>
  <si>
    <t>3/27/2023, 2:19:42 PM GMT+5:30
Deepthi Serial Number: 12</t>
  </si>
  <si>
    <t>ba05wvaw0005</t>
  </si>
  <si>
    <t>Lock_Stress</t>
  </si>
  <si>
    <t>ba05wvaw0130</t>
  </si>
  <si>
    <t>DSA_IAX_CPU_PCIE</t>
  </si>
  <si>
    <t>ba05wvaw0054</t>
  </si>
  <si>
    <t>Mba_Parallel_Fast_Throttling_Cross_Product_Silicon</t>
  </si>
  <si>
    <t>4/6/2023, 12:14:06 AM GMT+5:30
raj 215 failures 120</t>
  </si>
  <si>
    <t>Mbm_Multi_Threads_N_Threads_Mapped_To_N_Rmids_Silicon</t>
  </si>
  <si>
    <t>jf04wvaw5468</t>
  </si>
  <si>
    <t>TPostTest_projectcfg_pkgc</t>
  </si>
  <si>
    <t>jf04wvaw5054</t>
  </si>
  <si>
    <t>3/27/2023, 3:21:17 PM GMT+5:30
serial_number:25_49</t>
  </si>
  <si>
    <t>jf04wvaw5329</t>
  </si>
  <si>
    <t>Mba_Mba3_0_Perthread_Throttling_Target_Local_Cxl_Mem_Silicon</t>
  </si>
  <si>
    <t>3/27/2023, 3:09:52 PM GMT+5:30
serial_number:25_47</t>
  </si>
  <si>
    <t>Mba_Mba3_0_Testing_With_Ht_Off_Configurations_Silicon</t>
  </si>
  <si>
    <t>3/27/2023, 2:46:14 PM GMT+5:30
serial_number:25_44</t>
  </si>
  <si>
    <t>Iocat_Cat_All_Valid_Ways_Shared_Target_Silicon</t>
  </si>
  <si>
    <t>3/27/2023, 2:39:57 PM GMT+5:30
serial_number:25_43</t>
  </si>
  <si>
    <t>MC_gnrEccHarasser_cecc_only</t>
  </si>
  <si>
    <t>Iombm_Common_Rmid_For_Io_And_Core_Silicon</t>
  </si>
  <si>
    <t>3/27/2023, 1:16:52 PM GMT+5:30
serial_number:25_36</t>
  </si>
  <si>
    <t>3/27/2023, 9:09:50 AM PDT
@Anil to take a look</t>
  </si>
  <si>
    <t>MC_gnrRefreshHarasser_noPmons</t>
  </si>
  <si>
    <t>MC_MHERNAN3_ADDDC_ucecc</t>
  </si>
  <si>
    <t>HW.CFG.ERR, HW.CORR, HW.ERR, HW.MCE.UPI</t>
  </si>
  <si>
    <t>Cat_L2_Cdp_Increasing_Waymask_Silicon_Cross_Product_With_L3_Cmt</t>
  </si>
  <si>
    <t>4/6/2023, 9:24:42 AM GMT+5:30
raj 215 failures 128</t>
  </si>
  <si>
    <t>PkgC_with_Cstate</t>
  </si>
  <si>
    <t>Qos_Devload_Light_Optimal_Memtype_Ddr_Silicon_By_Pcie_Agent</t>
  </si>
  <si>
    <t>3/27/2023, 12:05:53 PM GMT+5:30
serial_number:25_23</t>
  </si>
  <si>
    <t>MC_scheduling_preemption_1</t>
  </si>
  <si>
    <t>MC_PKGC_CAPHarasser</t>
  </si>
  <si>
    <t>Qos_Devload_Light_Optimal_Memtype_Ddr_Silicon</t>
  </si>
  <si>
    <t>3/27/2023, 11:07:13 AM GMT+5:30
serial_number:25_15</t>
  </si>
  <si>
    <t>jf04wvaw5342</t>
  </si>
  <si>
    <t>Qos_Distress_Local_Cxl_Resource_Silicon_By_Pcie_Agent</t>
  </si>
  <si>
    <t>3/27/2023, 10:51:17 AM GMT+5:30
serial_number:25_12</t>
  </si>
  <si>
    <t>jf04wvaw5173</t>
  </si>
  <si>
    <t>MC_gnrDemandScrubECC_ucecc</t>
  </si>
  <si>
    <t>gnrWdbEccHarasser_cecc</t>
  </si>
  <si>
    <t>DRAM_DSA_IAX_CPU_MEMICALS</t>
  </si>
  <si>
    <t>ba05wvaw0131</t>
  </si>
  <si>
    <t>Iocat_Multithread_Single_Waymasks_Io_Traffics_And_Ia_Traffics_Silicon</t>
  </si>
  <si>
    <t>MC_gnrThrottlingHarasser</t>
  </si>
  <si>
    <t>Cat_L2_Cat_Noisy_Neighbour_Silicon_Cross_Product_With_L3_Cmt</t>
  </si>
  <si>
    <t>3/26/2023, 10:05:29 PM GMT+5:30
Prakash Serial Number 02</t>
  </si>
  <si>
    <t>3/26/2023, 10:09:39 PM GMT+5:30
Prakash Serial Number 03</t>
  </si>
  <si>
    <t>ba05wvaw0072</t>
  </si>
  <si>
    <t>HW.CFG.ERR, HW.CORR, HW.ERR, HW.MCE.IIO, HW.MCE.MLC, HW.MCE.PCU</t>
  </si>
  <si>
    <t>Mba_Mba3_0_High_Llc_Hit_Traffic_Silicon</t>
  </si>
  <si>
    <t>3/26/2023, 11:18:28 PM GMT+5:30
Prakash Serial Number 13</t>
  </si>
  <si>
    <t>ba05wvaw0110</t>
  </si>
  <si>
    <t>Iocmt_Sweep_Through_All_Threads_Silicon</t>
  </si>
  <si>
    <t>3/26/2023, 11:35:42 PM GMT+5:30
Prakash Serial Number 15</t>
  </si>
  <si>
    <t>ba05wvaw0116</t>
  </si>
  <si>
    <t>3/26/2023, 11:42:51 PM GMT+5:30
Prakash Serial Number 16</t>
  </si>
  <si>
    <t>jf04wvaw5287</t>
  </si>
  <si>
    <t>IDE_transanctions</t>
  </si>
  <si>
    <t>HW.CFG.ERR, HW.CORR, HW.ERR, HW.MCE.CHA, HW.MCE.MLC, HW.MCE.PCU</t>
  </si>
  <si>
    <t>ba05wvaw0076</t>
  </si>
  <si>
    <t>ba05wvaw0138</t>
  </si>
  <si>
    <t>MC_McTrackerHarasser_ecc</t>
  </si>
  <si>
    <t>Mba_Mba3_0_Throttle_Variance_Within_Tests_Silicon</t>
  </si>
  <si>
    <t>gnrThrottlingHarasser</t>
  </si>
  <si>
    <t>VTD_DSA_IAX_CPU_SV5_SV7</t>
  </si>
  <si>
    <t>tdx_cpu_vtd_accl_mem_intr</t>
  </si>
  <si>
    <t>SQ_PCIe_Memory_Stress</t>
  </si>
  <si>
    <t>Qos_Disable_Distress_For_Ddr_Behind_B2Cmi_By_Pcie_Agent</t>
  </si>
  <si>
    <t>Post Moka check fail - MSE - mse_mci_misc.model_specific MokaValidationException:Non-zero value detected 0x800000000000</t>
  </si>
  <si>
    <t>ba05wvaw0147</t>
  </si>
  <si>
    <t>sc_PM_Stress_PkgC_harassers</t>
  </si>
  <si>
    <t>3/30/2023, 3:00:19 PM GMT+5:30
MCA_HPM_MSG_SEND_TIMEOUT - (PM) - PUNIT ERROR ( mcacod:0x402 desc:Pcode Error)  + core - MLC 3 strike</t>
  </si>
  <si>
    <t>HW.CFG.ERR, HW.CORR, HW.ERR, HW.MCE.MLC, HW.MCE.PCU</t>
  </si>
  <si>
    <t>Cat_Dynamically_Change_Rmid_Clos_For_A_Thread</t>
  </si>
  <si>
    <t>sc_IDI_Stress_Harassers</t>
  </si>
  <si>
    <t>3/30/2023, 3:02:13 PM GMT+5:30
ERROR: S0 B1 P02 AFU00: BBS Detected Error(s)</t>
  </si>
  <si>
    <t>jf04wvaw5334</t>
  </si>
  <si>
    <t>Accl_Mem</t>
  </si>
  <si>
    <t>jf04wvaw5100</t>
  </si>
  <si>
    <t>jf04wvaw5035</t>
  </si>
  <si>
    <t>TDX_tdxapp_10hkid_allmemtarget</t>
  </si>
  <si>
    <t>MC_MHERNAN3_gnrPatrolScrub_ucecc</t>
  </si>
  <si>
    <t>Iocmt_Cmt_Multithread_Multisocket_Shared_Target_Silicon</t>
  </si>
  <si>
    <t>4/6/2023, 9:32:25 AM GMT+5:30
raj 215 failures 131</t>
  </si>
  <si>
    <t>3/30/2023, 12:18:05 AM GMT+5:30
raj serial 3-29-23 18</t>
  </si>
  <si>
    <t>Mba_Mba3_0_All_Threads_Different_Clos_Bw_Check</t>
  </si>
  <si>
    <t>3/29/2023, 9:11:50 PM GMT+5:30
raj serial 3-29-23 10</t>
  </si>
  <si>
    <t>Iombm_Local_Total_Walk_Rmids_Silicon</t>
  </si>
  <si>
    <t>3/29/2023, 11:34:40 PM GMT+5:30
raj serial 3-29-23 13</t>
  </si>
  <si>
    <t>3/29/2023, 8:11:06 PM GMT+5:30
raj serial 3-29-23 05</t>
  </si>
  <si>
    <t>ba05wvaw0097</t>
  </si>
  <si>
    <t>Mbm_Walk_Cha_Local</t>
  </si>
  <si>
    <t>3/29/2023, 7:56:24 PM GMT+5:30
raj serial 3-29-23 04</t>
  </si>
  <si>
    <t>3/30/2023, 8:35:34 AM GMT+5:30
raj serial 3-29-23 24</t>
  </si>
  <si>
    <t>rocket_core_hcx_mem_pcie_dlb_dsa_wa</t>
  </si>
  <si>
    <t>ba05wvaw0058</t>
  </si>
  <si>
    <t>Qos_Distress_Local_Ddr_Resource_Silicon_By_Pcie_Agent</t>
  </si>
  <si>
    <t>MC_memicals_cstate</t>
  </si>
  <si>
    <t>Iombm_Mbm_Pcm_Check_For_Cxl_Memory_Silicon</t>
  </si>
  <si>
    <t>4/6/2023, 9:49:13 AM GMT+5:30
raj 215 failures 138</t>
  </si>
  <si>
    <t>ba05wvaw0069</t>
  </si>
  <si>
    <t>Cdp_Multi_Thread_Multi_Cos_Multi_Rmid</t>
  </si>
  <si>
    <t>3/31/2023, 10:43:43 AM GMT+5:30
raj serial number 3-30-2023 05</t>
  </si>
  <si>
    <t>pm_cpu_rapl_pmx</t>
  </si>
  <si>
    <t>3/31/2023, 11:42:32 AM GMT+5:30
raj serial number 3-30-2023 10</t>
  </si>
  <si>
    <t>MC_dramrapl</t>
  </si>
  <si>
    <t>TDX_actm_coldreset</t>
  </si>
  <si>
    <t>Iombm_N_Io_Devices_Mapped_To_N_Rmids_Silicon</t>
  </si>
  <si>
    <t>3/31/2023, 4:45:46 PM GMT+5:30
raj serial number 3-31-2023 10</t>
  </si>
  <si>
    <t>4/6/2023, 10:16:12 AM GMT+5:30
raj 215 failures 147</t>
  </si>
  <si>
    <t>Iombm_Io_Mbm_Check_With_Clustering_Modes_Silicon</t>
  </si>
  <si>
    <t>4/6/2023, 10:20:59 AM GMT+5:30
raj 215 failures 149</t>
  </si>
  <si>
    <t>posted_intr</t>
  </si>
  <si>
    <t>Qcontroller Failed to wait for vtdman.</t>
  </si>
  <si>
    <t>hpreboot_updatebmc</t>
  </si>
  <si>
    <t>HW.CFG.ERR, HW.CORR, HW.ERR, HW.KNOWN_ISSUE, HW.MCE.MLC, HW.MCE.PCU, SW.FW</t>
  </si>
  <si>
    <t>ba05wvaw0087</t>
  </si>
  <si>
    <t>pcie_cxl_p2p</t>
  </si>
  <si>
    <t>Perl_ltssm_link_disable_genx</t>
  </si>
  <si>
    <t>legacyP_c_ufs_solar_X3</t>
  </si>
  <si>
    <t>Abort_Errors_stress</t>
  </si>
  <si>
    <t>Mbm_Multi_Threads_One_Thread_On_One_Socket_Another_Thread_On_Another_Socket_Local</t>
  </si>
  <si>
    <t>4/2/2023, 6:56:10 PM GMT+5:30
raj serial number 4-1-2023 13</t>
  </si>
  <si>
    <t>PMThrottling</t>
  </si>
  <si>
    <t>4/3/2023, 9:46:36 AM GMT+5:30
raj serial number 4-2-2023 13</t>
  </si>
  <si>
    <t>Physical_MSI_xAPIC_rem_cxl</t>
  </si>
  <si>
    <t>cpu_vtd_accl_mem_intr</t>
  </si>
  <si>
    <t>Cat_L2_Cat_Increasing_Waymask_Silicon_Cross_Product_With_L3_Cmt</t>
  </si>
  <si>
    <t>4/6/2023, 12:08:44 AM GMT+5:30
Prakash SNO 13</t>
  </si>
  <si>
    <t>4/5/2023, 11:30:32 PM GMT+5:30
Prakash SNO 10</t>
  </si>
  <si>
    <t>hpreboot_boardinfo</t>
  </si>
  <si>
    <t>isclk_reg_prog__sil</t>
  </si>
  <si>
    <t>ERROR: "reg_cpltoreg_type" was not found in "/sv/socket1/bus10/pciExpress2/local-cxl-00/global".</t>
  </si>
  <si>
    <t>MC_gnrPtrrHarasser</t>
  </si>
  <si>
    <t>SQ_Lock_Stress</t>
  </si>
  <si>
    <t>jf04wvaw5090</t>
  </si>
  <si>
    <t>patrol_freq</t>
  </si>
  <si>
    <t>patrol_freq State Failed due to sleep10: command not found</t>
  </si>
  <si>
    <t>Mbm_Total_Multi_Thread_Silicon</t>
  </si>
  <si>
    <t>4/7/2023, 10:11:55 PM GMT+5:30
raj 215 failures 171</t>
  </si>
  <si>
    <t>ba05wvaw0143</t>
  </si>
  <si>
    <t>SQ_Lock_Stress_NotCXL</t>
  </si>
  <si>
    <t>Perl_ltssm_speed_width</t>
  </si>
  <si>
    <t>ba05wvaw0166</t>
  </si>
  <si>
    <t>4/7/2023, 10:47:21 PM GMT+5:30
raj 215 failures 187</t>
  </si>
  <si>
    <t>4/7/2023, 10:49:09 PM GMT+5:30
raj 215 failures 188</t>
  </si>
  <si>
    <t>4/7/2023, 11:26:28 PM GMT+5:30
raj 215 failures 203</t>
  </si>
  <si>
    <t>HW.CFG.ERR, HW.CORR, HW.ERR, HW.MCE.DCU, HW.MCE.MLC, HW.MCE.PCU</t>
  </si>
  <si>
    <t>ba05wvaw0114</t>
  </si>
  <si>
    <t>4/7/2023, 11:42:09 PM GMT+5:30
raj 215 failures 210</t>
  </si>
  <si>
    <t>jf04wvaw5083</t>
  </si>
  <si>
    <t>4/10/2023, 9:17:09 AM GMT+5:30
raj 215 failures 212</t>
  </si>
  <si>
    <t>HW.CFG.ERR, HW.CORR, HW.ERR, HW.MCE.CHA, HW.MCE.IIO, HW.MCE.MLC, HW.MCE.PCU</t>
  </si>
  <si>
    <t>MC_MHERNAN3_memicals_highmem</t>
  </si>
  <si>
    <t>MC_MHERNAN3_ADDDC_rank_only</t>
  </si>
  <si>
    <t>HW.CFG.ERR, HW.CORR, HW.ERR, HW.MCE.CHA, HW.MCE.IIO, HW.MCE.IMC, HW.MCE.MLC, HW.MCE.PCU</t>
  </si>
  <si>
    <t>sc_DRd8_T1_Stress</t>
  </si>
  <si>
    <t>4/17/2023, 10:26:53 AM GMT+5:30
Hard Hang with core 3 strike TO, UPI LL Rx detected CRC error and Punit WATCHDOG_TIMER_EXPIRED</t>
  </si>
  <si>
    <t>HW.CFG.ERR, HW.CORR, HW.ERR, HW.MCE.MLC, HW.MCE.PCU, HW.MCE.UPI</t>
  </si>
  <si>
    <t>jf04wvaw5123</t>
  </si>
  <si>
    <t>CXL_Solar_SurpriseReset</t>
  </si>
  <si>
    <t>jf04wvaw5119</t>
  </si>
  <si>
    <t>jf04wvaw5326</t>
  </si>
  <si>
    <t>hpreboot_pcode_probemode_disable</t>
  </si>
  <si>
    <t>TPreTest_projectcfg_nofail_pkgc</t>
  </si>
  <si>
    <t>HW.CFG.ERR, HW.CORR, HW.ERR, HW.MCE.DTLB, HW.MCE.IFU, HW.MCE.MLC, HW.MCE.PCU</t>
  </si>
  <si>
    <t>sc_HA_CONFLICTS_HEAVY</t>
  </si>
  <si>
    <t>5/1/2023, 1:20:53 PM PDT
Hang with error from B2upi, SCF Bridge IP:CMS error</t>
  </si>
  <si>
    <t>HW.CFG.ERR, HW.CORR, HW.ERR, HW.KNOWN_ISSUE, HW.MCE.IIO, HW.MCE.PCU, HW.MCE.UPI</t>
  </si>
  <si>
    <t>Completion_queue_stress</t>
  </si>
  <si>
    <t xml:space="preserve">5/1/2023, 9:42:14 AM PDT
Check with UPI team for the failure </t>
  </si>
  <si>
    <t>5/1/2023, 1:23:08 PM PDT
Hang with error from B2upi, SCF Bridge IP:CMS error</t>
  </si>
  <si>
    <t>HW.CFG.ERR, HW.CORR, HW.ERR, HW.KNOWN_ISSUE, HW.MCE.CHA, HW.MCE.IIO, HW.MCE.PCU, HW.MCE.UPI</t>
  </si>
  <si>
    <t>PCIe_Base_Stress_noCPU</t>
  </si>
  <si>
    <t>jf04wvaw5063</t>
  </si>
  <si>
    <t>X3_global_reset_cross_pm</t>
  </si>
  <si>
    <t>Reset-Matrix</t>
  </si>
  <si>
    <t>HW.CFG.ERR, HW.CORR, HW.ERR, HW.MCE, HW.MCE.DCU, HW.MCE.MLC, HW.MCE.PCU</t>
  </si>
  <si>
    <t>ba05wvaw0081</t>
  </si>
  <si>
    <t>HW.CFG.ERR, HW.CORR, HW.ERR, HW.MCE, HW.MCE.IIO, HW.MCE.PCU</t>
  </si>
  <si>
    <t>jf04wvaw5139</t>
  </si>
  <si>
    <t>HW.CFG.ERR, HW.CORR, HW.ERR, HW.MCE, HW.MCE.CHA, HW.MCE.IIO, HW.MCE.MLC, HW.MCE.PCU, HW.MCE.UPI</t>
  </si>
  <si>
    <t>ba05wvaw0079</t>
  </si>
  <si>
    <t>HW.CFG.ERR, HW.CORR, HW.ERR, HW.MCE, HW.MCE.CHA, HW.MCE.IIO, HW.MCE.PCU</t>
  </si>
  <si>
    <t>jf04wvaw5143</t>
  </si>
  <si>
    <t>HW.CFG.ERR, HW.CORR, HW.ERR, HW.MCE, HW.MCE.CHA, HW.MCE.IIO, HW.MCE.MLC, HW.MCE.PCU</t>
  </si>
  <si>
    <t>jf04wvaw5078</t>
  </si>
  <si>
    <t>CRS_response_stress</t>
  </si>
  <si>
    <t>HW.CFG.ERR, HW.CORR, HW.ERR, HW.MCE, HW.MCE.CHA, HW.MCE.IIO, HW.MCE.PCU, HW.MCE.UPI</t>
  </si>
  <si>
    <t>ba05wvaw0064</t>
  </si>
  <si>
    <t>sc_IDI_Stress_rand_ring_ratio</t>
  </si>
  <si>
    <t>5/9/2023, 8:32:30 PM PDT
SBO/MDFIS HIT A PARITY ERROR</t>
  </si>
  <si>
    <t>HW.CFG.ERR, HW.CORR, HW.ERR, HW.KNOWN_ISSUE, HW.MCE, HW.MCE.IIO, HW.MCE.LLC, HW.MCE.MLC, HW.MCE.PCU</t>
  </si>
  <si>
    <t>TPreboot_UpdateSVOSRel</t>
  </si>
  <si>
    <t>5/9/2023, 8:32:00 PM PDT
Hard Hang MLC 3-strike TO + Punit TO + Core DCU Errors</t>
  </si>
  <si>
    <t>HW.CFG.ERR, HW.CORR, HW.ERR, HW.MCE, HW.MCE.MLC, HW.MCE.PCU</t>
  </si>
  <si>
    <t>HW.CFG.ERR, HW.CORR</t>
  </si>
  <si>
    <t xml:space="preserve">5/12/2023, 12:59:49 PM GMT+5:30
Hard hang bcs of MCE from UBOX SBO_BL_DATA_PAR_ERR and PUNIT Error and CHA Error with parity </t>
  </si>
  <si>
    <t>HW.CFG.ERR, HW.CORR, HW.ERR, HW.KNOWN_ISSUE, HW.MCE, HW.MCE.CHA, HW.MCE.IIO, HW.MCE.LLC, HW.MCE.PCU</t>
  </si>
  <si>
    <t>jf04wvaw5070</t>
  </si>
  <si>
    <t>GNR_Rocket_RxCRC</t>
  </si>
  <si>
    <t>PCIe_PkgC_Exec</t>
  </si>
  <si>
    <t>5/15/2023, 4:11:37 PM PDT
Failed older collaterals, need to rerun once config moves to latest</t>
  </si>
  <si>
    <t>5/15/2023, 10:24:23 AM GMT+5:30
mcacod:0x412 desc:SCF Bridge IP:CMS error)( mscod:0x1 desc: Error (from {'PORTID': '0x4a0', 'source_name': 'io0:scf_b2upi.0.scf_b2upi.0'}) 
CHA Waiting on completion from a remote Ubox or M2IOSF</t>
  </si>
  <si>
    <t>jf04wvaw5088</t>
  </si>
  <si>
    <t>sc_Stress_1_1_4h</t>
  </si>
  <si>
    <t>5/15/2023, 4:59:49 PM PDT
Failed older collaterals, need to rerun once config moves to latest</t>
  </si>
  <si>
    <t>HW.CFG.ERR, HW.CORR, HW.ERR, HW.KNOWN_ISSUE, HW.MCE, HW.MCE.CHA, HW.MCE.MLC, HW.MCE.PCU, HW.MCE.UPI</t>
  </si>
  <si>
    <t>sc_UboxMsgCh_Stress_hvyPM</t>
  </si>
  <si>
    <t>5/15/2023, 12:52:10 PM GMT+5:30
`THREE_STRIKE`: Thread 1 3-strike, Both Threads Active, DCU ERROR ( mcacod:0x114 desc:Cache Errors: RD.D.L0)</t>
  </si>
  <si>
    <t>MKTME_Keyid_Aliasing_256_2S</t>
  </si>
  <si>
    <t>HW.CFG.ERR, HW.CORR, HW.ERR, HW.MCE, HW.MCE.CHA, HW.MCE.MLC, HW.MCE.PCU</t>
  </si>
  <si>
    <t>X3_ISCLK_configuration_blob_silicon</t>
  </si>
  <si>
    <t>HW.CFG.ERR, HW.CORR, HW.ERR, HW.MCE, HW.MCE.PCU, HW.MCE.UPI</t>
  </si>
  <si>
    <t>HW.CFG.ERR, HW.CORR, HW.MCE.CHA</t>
  </si>
  <si>
    <t>memic_cmd</t>
  </si>
  <si>
    <t>Hard Hang observed with CHA error and UBOX error.</t>
  </si>
  <si>
    <t>ba05wvaw0078</t>
  </si>
  <si>
    <t>X3_coldResetSolar_logPath</t>
  </si>
  <si>
    <t>HW.CFG.ERR, HW.CORR, HW.ERR, HW.MCE.DCU, HW.MCE.DTLB, HW.MCE.IFU, HW.MCE.MLC</t>
  </si>
  <si>
    <t>MC_gnrSpdHarasser</t>
  </si>
  <si>
    <t>Cmt_Walk_Chas_X3</t>
  </si>
  <si>
    <t>5/25/2023, 1:54:07 PM GMT+5:30
Could not start supercollider.</t>
  </si>
  <si>
    <t>Mba_Mba3_0_Walk_Thread_Silicon_X3</t>
  </si>
  <si>
    <t>5/22/2023, 10:04:02 AM GMT+5:30
X3 15</t>
  </si>
  <si>
    <t>HW.CFG.ERR, HW.CORR, HW.ERR, HW.MCE.DCU, HW.MCE.DTLB, HW.MCE.IFU, HW.MCE.MLC, HW.MCE.UPI</t>
  </si>
  <si>
    <t>HW.CFG.ERR, HW.CORR, HW.ERR, HW.MCE.DCU, HW.MCE.DTLB</t>
  </si>
  <si>
    <t>HW.CFG.ERR, HW.CORR, HW.ERR, HW.MCE.DCU, HW.MCE.DTLB, HW.MCE.IFU, HW.MCE.MLC, HW.MCE.PCU, HW.MCE.PUNIT</t>
  </si>
  <si>
    <t>sc_IDI_Stress_rand_slice</t>
  </si>
  <si>
    <t>5/21/2023, 9:19:22 PM PDT
ERROR: hashBuildPhysAddrList: Target[0]: Physical Addr search for slice 38 has exceeded bounds. You may need to lower the number of cache lines (16) with -sets.''</t>
  </si>
  <si>
    <t>sc_IDI_Stress_Atomics</t>
  </si>
  <si>
    <t>5/21/2023, 9:16:47 PM PDT
ardenFetchAddErrorCheck Detected Data Error + MWr Data misscompare
5/22/2023, 8:04:27 PM PDT
ardenFetchAddErrorCheck Detected Data Error + MWr Data misscompare svos2313.10</t>
  </si>
  <si>
    <t>X3_concurrency_test_solar_3</t>
  </si>
  <si>
    <t>ba05wvaw0122</t>
  </si>
  <si>
    <t>HW.CFG.ERR, HW.CORR, HW.ERR, HW.MCE.DCU, HW.MCE.IFU, HW.MCE.MLC</t>
  </si>
  <si>
    <t>5/23/2023, 10:33:20 AM GMT+5:30
Hard Hang bcs of MCE from SBO Data parity error SBO_BL_DATA_PAR_ERR</t>
  </si>
  <si>
    <t>HW.CFG.ERR, HW.CORR, HW.ERR, HW.KNOWN_ISSUE, HW.MCE, HW.MCE.CHA, HW.MCE.IIO, HW.MCE.PCU</t>
  </si>
  <si>
    <t>HW.CFG.ERR, HW.CORR, HW.ERR, HW.MCE, HW.MCE.PCU</t>
  </si>
  <si>
    <t>HW.CFG.ERR, HW.CORR, HW.ERR, HW.MCE.DCU, HW.MCE.DTLB, HW.MCE.IFU, HW.MCE.UPI</t>
  </si>
  <si>
    <t>Iocmt_Sweep_Through_All_Rmids_Silicon_X3</t>
  </si>
  <si>
    <t>5/25/2023, 11:43:30 AM GMT+5:30
ERROR: hashBuildPhysAddrList: Target[0]: Physical Addr search for slice 16 has exceeded bounds. You may need to lower the number of cache lines (128) with -sets.
ERROR    :Could not start supercollider to generate IO traffic</t>
  </si>
  <si>
    <t>PCIe_RedoEQ_SpeedChg_TLS_1</t>
  </si>
  <si>
    <t>5/30/2023, 1:15:16 PM PDT
TkPC1.4B Data miscompare
6/2/2023, 10:39:58 PM GMT+5:30
TkPC1.4B Data miscompare
6/2/2023, 10:47:23 PM GMT+5:30
Arden mis-match
6/2/2023, 11:42:42 PM GMT+5:30
SBO Parity</t>
  </si>
  <si>
    <t>sc_CXL_Stress_all2cxlm_ms</t>
  </si>
  <si>
    <t>5/30/2023, 1:24:27 PM PDT
Core data error when targeting CXL hdm</t>
  </si>
  <si>
    <t>PTM_with_L1_silicon</t>
  </si>
  <si>
    <t>Exception (KeyError): 'mktme'</t>
  </si>
  <si>
    <t>HW.CFG.ERR, HW.CORR, HW.ERR, HW.MCE.MLC, HW.MCE.PCU, HW.MCE.PUNIT</t>
  </si>
  <si>
    <t>MC_memicals_pmx_cstates</t>
  </si>
  <si>
    <t>acc_all</t>
  </si>
  <si>
    <t>dsarand failed with Error in setup for plugin "dix"</t>
  </si>
  <si>
    <t>ba05wvaw0060</t>
  </si>
  <si>
    <t>sc_HA_IODC_STRESS</t>
  </si>
  <si>
    <t>5/30/2023, 11:06:01 AM PDT
FastPath device /sv/socket0/bus17/pciExpress2/local-arden-00/vm_w0 is done but loopcount=0</t>
  </si>
  <si>
    <t>HW.CFG.ERR, HW.CORR, HW.ERR, HW.MCE.DTLB</t>
  </si>
  <si>
    <t>ba05wvaw0149</t>
  </si>
  <si>
    <t>enable_max_ip</t>
  </si>
  <si>
    <t>FastpathRand failed with an ERROR: VTd engine not enabled, Passthrough mode not supported !</t>
  </si>
  <si>
    <t>HW.CFG.ERR, HW.CORR, HW.ERR, HW.KNOWN_ISSUE, HW.MCE.DCU, HW.MCE.DTLB, HW.MCE.IFU, HW.MCE.MLC</t>
  </si>
  <si>
    <t>HW.CFG.ERR, HW.CORR, HW.ERR, HW.MCE, HW.MCE.MLC, HW.MCE.PCU, HW.MCE.PUNIT, HW.MCE.UPI</t>
  </si>
  <si>
    <t>ba05wvaw0502</t>
  </si>
  <si>
    <t>jf04wvaw5039</t>
  </si>
  <si>
    <t>no_p2p</t>
  </si>
  <si>
    <t>sc_Lock_Stress_MultiRowCol</t>
  </si>
  <si>
    <t>6/2/2023, 12:12:14 PM GMT+5:30
Pysces ERROR: hashBuildPhysAddrList: Target[0]: Physical Addr search for slice 20 has exceeded bounds. You may need to lower the number of cache lines (15) with -sets.</t>
  </si>
  <si>
    <t>GNR_upi_rocket_rxcrcreinit_txcrc_silicon</t>
  </si>
  <si>
    <t>6/2/2023, 12:15:24 PM GMT+5:30
Core Data Mis compare when core writes to DDR memory</t>
  </si>
  <si>
    <t>6/5/2023, 12:43:47 PM GMT+5:30
Hard Hang bcs of MCE from MLC Error Internal Timer / UPI GEN.NTO.ERR.OTH.LG / PUNIT Errors</t>
  </si>
  <si>
    <t>HW.CFG.ERR, HW.CORR, HW.ERR, HW.KNOWN_ISSUE, HW.MCE, HW.MCE.CHA, HW.MCE.MLC, HW.MCE.PCU, HW.MCE.PUNIT, HW.MCE.UPI</t>
  </si>
  <si>
    <t>cpu_dsa_iax_pcie</t>
  </si>
  <si>
    <t>Mba_Mba3_0_Testing_With_Ht_Off_Configurations_Silicon_X3</t>
  </si>
  <si>
    <t>6/5/2023, 1:09:20 PM GMT+5:30
Caught unhandled exception: local variable 'IRDT_Table' referenced before assignment</t>
  </si>
  <si>
    <t>vtd_with_QI_no_IR_x3_wo_iax</t>
  </si>
  <si>
    <t>Solar not picking up correct requested freq</t>
  </si>
  <si>
    <t>ba05wvaw0085</t>
  </si>
  <si>
    <t>Mba_Mba3_0_High_Llc_Hit_Traffic_Silicon_X3</t>
  </si>
  <si>
    <t>6/5/2023, 1:09:55 PM GMT+5:30
Caught unhandled exception: local variable 'IRDT_Table' referenced before assignment</t>
  </si>
  <si>
    <t>X3_warmResetSolar_Cycle</t>
  </si>
  <si>
    <t>HW.CFG.ERR, HW.CORR, HW.ERR, HW.MCE, HW.MCE.DCU, HW.MCE.DTLB, HW.MCE.IFU, HW.MCE.MLC, HW.MCE.UPI</t>
  </si>
  <si>
    <t>jf04wvaw5077</t>
  </si>
  <si>
    <t>PCIe_RedoEQ_SpeedChg_GEN1</t>
  </si>
  <si>
    <t>sc_IDI_Stress</t>
  </si>
  <si>
    <t>6/4/2023, 11:19:32 PM GMT+5:30
Arden data mismatch</t>
  </si>
  <si>
    <t>MC_McTrackerHarasser</t>
  </si>
  <si>
    <t>X3_warmResetSolar</t>
  </si>
  <si>
    <t>HW.CFG.ERR, HW.CORR, HW.ERR, HW.MCE, HW.MCE.CHA, HW.MCE.IIO, HW.MCE.PCU, HW.MCE.PUNIT, HW.MCE.UBOX</t>
  </si>
  <si>
    <t>IOMMU_SM_FL_Translation_Privilege_PASID_FP</t>
  </si>
  <si>
    <t>HW.CFG.ERR, HW.CORR, HW.ERR, HW.MCE, HW.MCE.IIO, HW.MCE.PCU, HW.MCE.PUNIT, HW.MCE.UBOX</t>
  </si>
  <si>
    <t>maxip_no_vtd_no_dsa_iax_no_fastpath</t>
  </si>
  <si>
    <t>IDI_Sttress_Keyid_Alias_Integrity_silicon_128bit</t>
  </si>
  <si>
    <t>python_pcie_ras_egp_X3</t>
  </si>
  <si>
    <t>HW.CFG.ERR, HW.CORR, HW.ERR, HW.MCE, HW.MCE.IIO, HW.MCE.PCU, HW.MCE.PUNIT, HW.MCE.UBOX, HW.MCE.UPI</t>
  </si>
  <si>
    <t>X3_globalResetSolar_x1</t>
  </si>
  <si>
    <t>UFS_Harraser</t>
  </si>
  <si>
    <t>PCONFIG_MKTME_KeyIDs_with_all_possible_MKTME_TDX_partitions_test</t>
  </si>
  <si>
    <t>HW.CFG.ERR, HW.CORR, HW.ERR, HW.MCE, HW.MCE.CHA, HW.MCE.MLC, HW.MCE.PCU, HW.MCE.PUNIT</t>
  </si>
  <si>
    <t>TDX_rocket_dram_pcie_tdx_cpu</t>
  </si>
  <si>
    <t>DSA_IAX_DLB_DRAM_CPU_WO_PCIE</t>
  </si>
  <si>
    <t>HW.CFG.ERR, HW.CORR, HW.ERR, HW.MCE, HW.MCE.PCU, HW.MCE.PUNIT</t>
  </si>
  <si>
    <t>jf04wvaw5281</t>
  </si>
  <si>
    <t>HW.CFG.ERR, HW.CORR, HW.ERR, HW.MCE, HW.MCE.IIO, HW.MCE.PCU, HW.MCE.UPI</t>
  </si>
  <si>
    <t>python_pcie_dpc_entry_X3</t>
  </si>
  <si>
    <t>conc_base_cmd_with_max_ip</t>
  </si>
  <si>
    <t>ba05wvaw0013</t>
  </si>
  <si>
    <t>HW.CFG.ERR, HW.CORR, HW.ERR, HW.MCE, HW.MCE.PCU, HW.MCE.PUNIT, HW.MCE.UPI</t>
  </si>
  <si>
    <t>7/8/2023, 1:11:44 PM PDT
rerun</t>
  </si>
  <si>
    <t>HW.CFG.ERR, HW.CORR, HW.ERR, HW.MCE, HW.MCE.CHA, HW.MCE.PCU, HW.MCE.PUNIT, HW.MCE.UPI</t>
  </si>
  <si>
    <t>ba05wvaw0146</t>
  </si>
  <si>
    <t>sc_PM_Monitor_Stress</t>
  </si>
  <si>
    <t>6/30/2023, 11:16:02 AM PDT
rerun noCTO</t>
  </si>
  <si>
    <t>DRNG</t>
  </si>
  <si>
    <t>HW.CFG.ERR, HW.CORR, HW.ERR, HW.MCE.DTLB, HW.MCE.IFU</t>
  </si>
  <si>
    <t>Mba_Mba3_0_Perthread_Throttling_Target_Local_Ddr_Silicon_X3_Triage_DCF_1_8</t>
  </si>
  <si>
    <t>6/19/2023, 10:05:55 AM GMT+5:30
script issue, rdt_utils.py", line 1211, in read_RDT_counters, RMID_SNC_DISABLE is 0 and RMID outside the first cluster is being used !</t>
  </si>
  <si>
    <t>Iombm_Local_Total_Walk_Rmids_Silicon_X3</t>
  </si>
  <si>
    <t>6/19/2023, 11:01:54 AM GMT+5:30
timed out, need to add cmdline arg, run_with_reduced_rmids</t>
  </si>
  <si>
    <t>discuss, HW.CFG.ERR, HW.CORR, HW.ERR, HW.MCE.DCU, HW.MCE.DTLB, HW.MCE.IFU, HW.MCE.MLC</t>
  </si>
  <si>
    <t>conc_cmd_maxip_include_vtd</t>
  </si>
  <si>
    <t xml:space="preserve"> conc_cmd_maxip_include_vtd Step Failed with Timed Out Error.</t>
  </si>
  <si>
    <t>Cmt_Cache_Division_Single_Socket_Silicon_X3</t>
  </si>
  <si>
    <t>6/19/2023, 11:05:35 AM GMT+5:30
CMT counts not reaching min bounds.</t>
  </si>
  <si>
    <t>ba05wvaw0074</t>
  </si>
  <si>
    <t>atomics_p2p_conc_base_cmd_noVTD</t>
  </si>
  <si>
    <t xml:space="preserve"> atomics_p2p_conc_base_cmd_noVTD Step Failed with  Timed Out Error.</t>
  </si>
  <si>
    <t>HW.CFG.ERR, HW.CORR, HW.ERR, HW.MCE.DCU, HW.MCE.DTLB, HW.MCE.MLC</t>
  </si>
  <si>
    <t>vtd_no_invalidation_no_IR_x3</t>
  </si>
  <si>
    <t>dsarand exited with signal 11.</t>
  </si>
  <si>
    <t>sc_IDI_Stress_Interrupts</t>
  </si>
  <si>
    <t>7/7/2023, 2:11:06 PM PDT
Rerun SBO</t>
  </si>
  <si>
    <t>HW.CFG.ERR, HW.CORR, HW.ERR, HW.KNOWN_ISSUE, HW.MCE, HW.MCE.IIO, HW.MCE.LLC, HW.MCE.MLC, HW.MCE.MSE, HW.MCE.PCU, HW.MCE.PUNIT, HW.MCE.UBOX, HW.MCE.UPI</t>
  </si>
  <si>
    <t>X3_G3_Cycle_solar</t>
  </si>
  <si>
    <t>HW.CFG.ERR, HW.CORR, HW.ERR, HW.MCE.DCU</t>
  </si>
  <si>
    <t>sc_Lock_Stress_CXL_m</t>
  </si>
  <si>
    <t>6/18/2023, 10:23:06 AM GMT+5:30
Aren data mismatch</t>
  </si>
  <si>
    <t>X3_S5_OS_Trigger_solar</t>
  </si>
  <si>
    <t>sc_IDI_Stress_multiple_ha</t>
  </si>
  <si>
    <t>6/18/2023, 10:59:21 PM GMT+5:30
SBO Parity Error</t>
  </si>
  <si>
    <t>HW.CFG.ERR, HW.CORR, HW.ERR, HW.KNOWN_ISSUE, HW.MCE, HW.MCE.CHA, HW.MCE.IIO, HW.MCE.LLC, HW.MCE.MSE, HW.MCE.PCU, HW.MCE.PUNIT, HW.MCE.UBOX, HW.MCE.UPI</t>
  </si>
  <si>
    <t>Rocket failed with Unable to create shared memory IPC region</t>
  </si>
  <si>
    <t>sc_UboxMsgCh_Stress_4h</t>
  </si>
  <si>
    <t>HW.CFG.ERR, HW.CORR, HW.ERR, HW.KNOWN_ISSUE, HW.MCE, HW.MCE.CHA, HW.MCE.IIO, HW.MCE.MSE, HW.MCE.PCU, HW.MCE.PUNIT, HW.MCE.UBOX, HW.MCE.UPI</t>
  </si>
  <si>
    <t>6/19/2023, 3:51:50 PM GMT+5:30
SBO Parity Error: SBO/MDFIS HIT A PARITY ERROR</t>
  </si>
  <si>
    <t>HW.CFG.ERR, HW.CORR, HW.ERR, HW.KNOWN_ISSUE, HW.MCE, HW.MCE.IIO, HW.MCE.PCU, HW.MCE.PUNIT, HW.MCE.UBOX, HW.MCE.UPI</t>
  </si>
  <si>
    <t>conc_cmd_maxip_include_vtd_pciefastpath</t>
  </si>
  <si>
    <t>Target hang with Waiting on data completion from a remote Ubox or M2IOSF.</t>
  </si>
  <si>
    <t>HW.CFG.ERR, HW.CORR, HW.ERR, HW.KNOWN_ISSUE, HW.MCE, HW.MCE.CHA, HW.MCE.IIO, HW.MCE.PCU, HW.MCE.PUNIT, HW.MCE.UBOX</t>
  </si>
  <si>
    <t>6/19/2023, 3:54:17 PM GMT+5:30
ERROR: hashBuildPhysAddrList: Target[31]: Physical Addr search for slice 18 has exceeded bounds. You may need to lower the number of cache lines (2) with -sets.'').</t>
  </si>
  <si>
    <t>HW.CFG.ERR, HW.CORR, HW.ERR, HW.MCE, HW.MCE.DCU, HW.MCE.DTLB, HW.MCE.IFU, HW.MCE.MLC</t>
  </si>
  <si>
    <t>HW.CFG.ERR, HW.CORR, HW.ERR, HW.MCE.DCU, HW.MCE.DTLB, HW.MCE.IFU</t>
  </si>
  <si>
    <t>6/20/2023, 12:13:08 PM GMT+5:30
Content Issue</t>
  </si>
  <si>
    <t>6/20/2023, 1:22:10 PM GMT+5:30
Hard Hang but log not found for Status scope or mca dump</t>
  </si>
  <si>
    <t>base_cmd_n0_memicals</t>
  </si>
  <si>
    <t>ArdenRand failed with Atomic Cycle Based Result Mismatches.</t>
  </si>
  <si>
    <t>6/20/2023, 11:40:34 AM GMT+5:30
Arden data mismatch</t>
  </si>
  <si>
    <t>IDI_STRESS</t>
  </si>
  <si>
    <t>Hard hang with SBO/MDFIS HIT A PARITY ERROR</t>
  </si>
  <si>
    <t>HW.CFG.ERR, HW.CORR, HW.ERR, HW.KNOWN_ISSUE, HW.MCE, HW.MCE.CHA, HW.MCE.IIO, HW.MCE.PCU, HW.MCE.PUNIT, HW.MCE.UBOX, S@_HW_KNOWN_HSD_16019640136, S@_HW_KNOWN_HSD_16019933053</t>
  </si>
  <si>
    <t>jf04wvaw5127</t>
  </si>
  <si>
    <t>conc_cmd_maxpi_no_vtd</t>
  </si>
  <si>
    <t xml:space="preserve">IAX Failures for /sv/socket0/bus4/local-iax-00 (all values in hex)
</t>
  </si>
  <si>
    <t>HW.CFG.ERR, HW.CORR, HW.ERR, HW.MCE.IFU, HW.MCE.MLC</t>
  </si>
  <si>
    <t>HW.CFG.ERR, HW.CORR, HW.ERR, HW.KNOWN_ISSUE, HW.MCE, HW.MCE.PCU, HW.MCE.PUNIT, HW.MCE.UPI, S@_HW_KNOWN_HSD_16019933053</t>
  </si>
  <si>
    <t>Target hang with SBO/MDFIS HIT A PARITY ERROR</t>
  </si>
  <si>
    <t>jf04wvaw5006</t>
  </si>
  <si>
    <t>Target hang with Waiting on lock completion from Ubox.</t>
  </si>
  <si>
    <t>HW.CFG.ERR, HW.CORR, HW.ERR, HW.MCE, HW.MCE.CHA, HW.MCE.IIO, HW.MCE.PCU, HW.MCE.PUNIT, HW.MCE.UBOX, HW.MCE.UPI</t>
  </si>
  <si>
    <t xml:space="preserve">Supercollider failed with an ERROR: initPcieDataStruct: ardenGetVMByName for device: /sv/socket0/bus0/pciExpress2/local-arden-00/vm0 failed: No free test card found
</t>
  </si>
  <si>
    <t>HW.CFG.ERR, HW.CORR, HW.ERR, HW.MCE, HW.MCE.CHA, HW.MCE.PCU, HW.MCE.UPI</t>
  </si>
  <si>
    <t>jf04wvaw5176</t>
  </si>
  <si>
    <t>clear_CMOS_reboot</t>
  </si>
  <si>
    <t>jf04wvaw5485</t>
  </si>
  <si>
    <t>ba05wvaw0094</t>
  </si>
  <si>
    <t>DMA_Fault_SM_Root_Entry_error_SRT_1_FC_38h_arden_smt_4_34</t>
  </si>
  <si>
    <t>X3_SR_X_SC_solar</t>
  </si>
  <si>
    <t xml:space="preserve">8/15/2023, 2:25:08 PM PDT
UPI CRC error </t>
  </si>
  <si>
    <t>HW.CFG.ERR, HW.CORR, HW.ERR, HW.MCE, HW.MCE.CHA, HW.MCE.UPI</t>
  </si>
  <si>
    <t>conc_cmd_noPCIE_nofp_thread1_noVTD</t>
  </si>
  <si>
    <t>HW.CFG.ERR, HW.CORR, HW.ERR, HW.MCE, HW.MCE.CHA, HW.MCE.IIO, HW.MCE.MLC, HW.MCE.UBOX, HW.MCE.UPI</t>
  </si>
  <si>
    <t>HW.CFG.ERR, HW.CORR, HW.ERR, HW.MCE, HW.MCE.UPI</t>
  </si>
  <si>
    <t>hpreboot_updateifwi_overrides Failed TargetHang, HW.CFG.ERR, HW.CORR, HW.ERR</t>
  </si>
  <si>
    <t>MC_memicals_pmx_cstates_1</t>
  </si>
  <si>
    <t>HW.CFG.ERR, HW.CORR, HW.ERR, MC_memicals_pmx_cstates_1 Failed Exit Code 254</t>
  </si>
  <si>
    <t>MC_memicals_pmx_cstates_2</t>
  </si>
  <si>
    <t>HW, HW.CFG.ERR, HW.CORR, HW.ERR</t>
  </si>
  <si>
    <t>HW, HW.CFG.ERR, HW.CORR, HW.ERR, HW.MCE, HW.MCE.PCU, HW.MCE.PUNIT</t>
  </si>
  <si>
    <t>11/15/2023, 1:38:53 PM PST
core 3 strike</t>
  </si>
  <si>
    <t>HW, HW.CFG.ERR, HW.CORR, HW.ERR, HW.KNOWN_ISSUE, HW.MCE, HW.MCE.UPI</t>
  </si>
  <si>
    <t>ba05wvaw0126</t>
  </si>
  <si>
    <t>X3_All_Resets_solar</t>
  </si>
  <si>
    <t>HW, HW.CFG.ERR, HW.CORR, HW.ERR, X3_All_Resets_solar Failed TargetRebootTimeout</t>
  </si>
  <si>
    <t>HW, HW.CFG.ERR, HW.CORR, HW.ERR, X3_All_Resets_solar Failed Exit Code 8</t>
  </si>
  <si>
    <t>hpreboot_updatebmc Failed TargetHang, HW, HW.CFG.ERR, HW.CORR, HW.ERR</t>
  </si>
  <si>
    <t>X3_warmResetSolar_logPath</t>
  </si>
  <si>
    <t>HW, HW.CFG.ERR, HW.CORR, HW.ERR, HW.MCE, HW.MCE.CHA, HW.MCE.IIO, X3_warmResetSolar_logPath Failed TargetRebootTimeout</t>
  </si>
  <si>
    <t>11/29/2023, 9:22:55 PM GMT+5:30
SBO_AD_CTRL_PAR_ERR</t>
  </si>
  <si>
    <t>HW, HW.CFG.ERR, HW.CORR, HW.ERR, HW.KNOWN_ISSUE, HW.MCE, HW.MCE.IIO, HW.MCE.UBOX, HW.MCE.UPI, S@_HW_KNOWN_HSD_16019640136, S@_HW_KNOWN_HSD_16019933053, sc_Stress_1_1 Failed TargetHang</t>
  </si>
  <si>
    <t>HW, HW.CFG.ERR, HW.CORR, HW.ERR, X3_G3_Cycle_solar Failed Exit Code 8</t>
  </si>
  <si>
    <t>hposttest_projectend_moka Failed Exit Code 4105, HW, HW.CFG.ERR, HW.CORR, HW.ERR</t>
  </si>
  <si>
    <t>peer_to_peer_along_with_Cambria_to_PVC</t>
  </si>
  <si>
    <t>HW, HW.CFG.ERR, HW.CORR, HW.ERR, peer_to_peer_along_with_Cambria_to_PVC Failed Exit Code 1</t>
  </si>
  <si>
    <t>peer_to_peer_with_PVC_to_cambria_combination</t>
  </si>
  <si>
    <t>HW, HW.CFG.ERR, HW.CORR, HW.ERR, peer_to_peer_with_PVC_to_cambria_combination Failed TimedOut</t>
  </si>
  <si>
    <t>1/23/2024, 12:24:09 PM GMT+5:30
CXL Host Protocol Table Error</t>
  </si>
  <si>
    <t>HW, HW.CFG.ERR, HW.CORR, HW.ERR, sc_IDI_Stress_4h Failed Exit Code 1</t>
  </si>
  <si>
    <t>X3_All_Resets_cross_PM_solar</t>
  </si>
  <si>
    <t>HW, HW.CFG.ERR, HW.CORR, HW.ERR, X3_All_Resets_cross_PM_solar Failed Exit Code 2</t>
  </si>
  <si>
    <t>HW, HW.CFG.ERR, HW.CORR, HW.ERR, HW.MCE, HW.MCE.PCU, HW.MCE.PUNIT, tpretest_projectcfg Failed Exit Code 1</t>
  </si>
  <si>
    <t>HW, HW.CFG.ERR, HW.CORR, HW.ERR, X3_SR_X_SC_solar Failed Exit Code 8</t>
  </si>
  <si>
    <t>X3_PMxWRCR_Solar</t>
  </si>
  <si>
    <t>HW, HW.CFG.ERR, HW.CORR, HW.ERR, X3_PMxWRCR_Solar Failed Exit Code 2</t>
  </si>
  <si>
    <t>hposttest_projectend_moka Failed Exit Code 4098, HW, HW.CFG.ERR, HW.CORR, HW.ERR</t>
  </si>
  <si>
    <t>sc_IDI_Stress_rand_slice_HIGHsetsize</t>
  </si>
  <si>
    <t>HW, HW.CFG.ERR, HW.CORR, HW.ERR, HW.MCE.MLC</t>
  </si>
  <si>
    <t>ba05wvaw0129</t>
  </si>
  <si>
    <t>Cleanup</t>
  </si>
  <si>
    <t>hcleanup_retryrunner</t>
  </si>
  <si>
    <t>hpretest_projectcfg Failed Exit Code 4099, HW, HW.CFG.ERR, HW.CORR, HW.ERR, HW.MCE, HW.MCE.CHA, HW.MCE.IIO, HW.MCE.MLC, HW.MCE.UBOX</t>
  </si>
  <si>
    <t>X3_SOC_IP_DISABLE</t>
  </si>
  <si>
    <t>HW, HW.CFG.ERR, HW.CORR, HW.ERR, X3_SOC_IP_DISABLE Failed TargetRebootTimeout</t>
  </si>
  <si>
    <t>jf04wvaw5101</t>
  </si>
  <si>
    <t>X3_All_Resets_noGRSR_cross_PM_solar</t>
  </si>
  <si>
    <t>HW, HW.CFG.ERR, HW.CORR, HW.ERR, X3_All_Resets_noGRSR_cross_PM_solar Failed Exit Code 8</t>
  </si>
  <si>
    <t>Lock_stress_NoVMs</t>
  </si>
  <si>
    <t>HW, HW.CFG.ERR, HW.CORR, HW.ERR, Lock_stress_NoVMs Failed TimedOut</t>
  </si>
  <si>
    <t>rtm_execution_vtd_sanity</t>
  </si>
  <si>
    <t>HW, HW.CFG.ERR, HW.CORR, HW.ERR, rtm_execution_vtd_sanity Failed TimedOut</t>
  </si>
  <si>
    <t>ba05wvaw0075</t>
  </si>
  <si>
    <t>Basic_rocket_SV8</t>
  </si>
  <si>
    <t>Basic_rocket_SV8 Failed Exit Code 144, HW, HW.CFG.ERR, HW.CORR, HW.ERR</t>
  </si>
  <si>
    <t>X3_All_Resets_noGRSR_X_SC_solar</t>
  </si>
  <si>
    <t>HW, HW.CFG.ERR, HW.CORR, HW.ERR, X3_All_Resets_noGRSR_cross_PM_solar Failed TargetRebootTimeout</t>
  </si>
  <si>
    <t>X3_G3_Cycle_solar_delay</t>
  </si>
  <si>
    <t>HW, HW.CFG.ERR, HW.CORR, HW.ERR, X3_G3_Cycle_solar_delay Failed Exit Code 8</t>
  </si>
  <si>
    <t>jf04wvaw5315</t>
  </si>
  <si>
    <t>PCIe_Base_Stress</t>
  </si>
  <si>
    <t>HW, HW.CFG.ERR, HW.CORR, HW.ERR, HW.MCE, HW.MCE.PCU, HW.MCE.PUNIT, PCIe_Base_Stress Failed Exit Code 135</t>
  </si>
  <si>
    <t>HW, HW.CFG.ERR, HW.CORR, HW.ERR, HW.MCE, HW.MCE.PCU, HW.MCE.PUNIT, HW.MCE.UPI, sc_Lock_Stress Failed Exit Code 1</t>
  </si>
  <si>
    <t>trebootstation_biosovr_aspm</t>
  </si>
  <si>
    <t>HW, HW.CFG.ERR, HW.CORR, HW.ERR, HW.MCE, HW.MCE.PCU, HW.MCE.PUNIT, trebootstation_biosovr_aspm Failed TargetHang</t>
  </si>
  <si>
    <t>jf04wvaw5335</t>
  </si>
  <si>
    <t>sc_Rand_Stress13_longSeeds</t>
  </si>
  <si>
    <t xml:space="preserve">4/11/2024, 9:53:14 AM GMT+5:30
Core 3 strike </t>
  </si>
  <si>
    <t>HW, HW.CFG.ERR, HW.CORR, HW.ERR, HW.MCE, HW.MCE.CHA, HW.MCE.MLC, sc_Rand_Stress13_longSeeds Failed TargetHang</t>
  </si>
  <si>
    <t>MC_memicals_highmem</t>
  </si>
  <si>
    <t>HW, HW.CFG.ERR, HW.CORR, HW.MCE.IMC, MC_gnrEccHarasser_cecc_only Failed Exit Code 8</t>
  </si>
  <si>
    <t>Rocket_Basic</t>
  </si>
  <si>
    <t>HW, HW.CFG.ERR, HW.CORR, HW.ERR, HW.MCE, HW.MCE.CHA, HW.MCE.IIO, HW.MCE.MLC, HW.MCE.UBOX, Rocket_Basic Failed TargetHang</t>
  </si>
  <si>
    <t>jf04wvaw5158</t>
  </si>
  <si>
    <t>4/12/2024, 10:39:32 AM GMT+5:30
socket0.io0.uncore.pi5.pxp1.rp0.cfg.errcorsts=0x3041</t>
  </si>
  <si>
    <t>hpretest_projectcfg Failed Exit Code 4097, HW, HW.CFG.ERR, HW.CORR, HW.ERR, HW.MCE, HW.MCE.MLC, HW.MCE.PCU, HW.MCE.PUNIT, HW.MCE.UPI</t>
  </si>
  <si>
    <t>trebootstation_biosknobovr_custom</t>
  </si>
  <si>
    <t>HW, HW.CFG.ERR, HW.CORR, HW.ERR, HW.MCE, HW.MCE.PCU, HW.MCE.PUNIT, HW.MCE.UPI, trebootstation_biosknobovr_custom Failed TargetHang</t>
  </si>
  <si>
    <t>ba05wvaw0120</t>
  </si>
  <si>
    <t>hposttest_projectend_moka Failed Exit Code 4097, HW, HW.CFG.ERR, HW.CORR, HW.ERR, HW.MCE, HW.MCE.IIO, HW.MCE.PCU, HW.MCE.PUNIT, HW.MCE.UBOX, HW.MCE.UPI</t>
  </si>
  <si>
    <t>hposttest_projectend_moka Failed Exit Code 4205, HW, HW.CFG.ERR, HW.CORR, HW.ERR, HW.MCE, HW.MCE.PCU, HW.MCE.PUNIT, HW.MCE.UPI</t>
  </si>
  <si>
    <t>MC_Sandstone_182</t>
  </si>
  <si>
    <t>HW, HW.CFG.ERR, HW.CORR, HW.ERR, HW.MCE, HW.MCE.PCU, HW.MCE.PUNIT, MC_Sandstone_170 Failed TargetHang</t>
  </si>
  <si>
    <t>rtm_execution_tdxio_security</t>
  </si>
  <si>
    <t>HW, HW.CFG.ERR, HW.CORR, HW.ERR, HW.MCE, HW.MCE.PCU, HW.MCE.PUNIT, HW.MCE.UPI, rtm_execution_tdxio_security Failed TimedOut</t>
  </si>
  <si>
    <t>sc_UboxMsgCh_Stress_wbinv_WA</t>
  </si>
  <si>
    <t>4/17/2024, 9:04:18 AM GMT+5:30
MCA_DISP_RUN_BUSY_TIMEOUT</t>
  </si>
  <si>
    <t>hpretest_projectcfg Failed Exit Code 1, HW, HW.CFG.ERR, HW.CORR, HW.ERR, HW.MCE, HW.MCE.MLC, HW.MCE.PCU, HW.MCE.PUNIT, HW.MCE.UPI</t>
  </si>
  <si>
    <t>TDXIO_warm_reset</t>
  </si>
  <si>
    <t>HW, HW.CFG.ERR, HW.CORR, HW.ERR, HW.MCE, HW.MCE.DCU, HW.MCE.UPI, TDXIO_warm_reset Failed UnexpectedReboot</t>
  </si>
  <si>
    <t>TDXIO_cold_reset</t>
  </si>
  <si>
    <t>HW, HW.CFG.ERR, HW.CORR, HW.ERR, HW.MCE, HW.MCE.DCU, HW.MCE.IIO, HW.MCE.UBOX, HW.MCE.UPI, TDXIO_cold_reset Failed UnexpectedReboot</t>
  </si>
  <si>
    <t>X3_All_Resets_noGRSR_solar</t>
  </si>
  <si>
    <t>HW, HW.CFG.ERR, HW.CORR, HW.ERR, X3_All_Resets_noGRSR_solar Failed TargetRebootTimeout</t>
  </si>
  <si>
    <t>ba05wvaw0100</t>
  </si>
  <si>
    <t>HW, HW.CFG.ERR, HW.CORR, HW.ERR, HW.MCE, HW.MCE.PCU, HW.MCE.PUNIT, HW.MCE.UPI, X3_All_Resets_noGRSR_cross_PM_solar Failed TargetRebootTimeout</t>
  </si>
  <si>
    <t>jf04wvaw5463</t>
  </si>
  <si>
    <t>tpretest_projectcfg_nofail</t>
  </si>
  <si>
    <t>HW, HW.CFG.ERR, HW.CORR, HW.ERR, HW.MCE, HW.MCE.CHA, HW.MCE.IIO, tpretest_projectcfg_nofail Failed TargetHang</t>
  </si>
  <si>
    <t>jf04wvaw5198</t>
  </si>
  <si>
    <t>HW, HW.CFG.ERR, HW.CORR, HW.ERR, HW.MCE, HW.MCE.IIO, HW.MCE.MLC, HW.MCE.PCU, HW.MCE.PUNIT, HW.MCE.UBOX, X3_All_Resets_noGRSR_cross_PM_solar Failed TargetRebootTimeout</t>
  </si>
  <si>
    <t>IOMMU_Table_Read_Priority_silicon</t>
  </si>
  <si>
    <t>HW, HW.CFG.ERR, HW.CORR, HW.ERR, HW.MCE, HW.MCE.IIO, HW.MCE.MLC, HW.MCE.UBOX, IOMMU_Table_Read_Priority_silicon Failed TimedOut</t>
  </si>
  <si>
    <t>sc_MC_MultWrite</t>
  </si>
  <si>
    <t>5/12/2024, 1:10:18 PM GMT+5:30
core3 strike</t>
  </si>
  <si>
    <t>HW, HW.CFG.ERR, HW.CORR, HW.ERR, HW.MCE, HW.MCE.MLC, sc_MC_MultWrite Failed TargetHang</t>
  </si>
  <si>
    <t>sc_Rand_Stress13_longRun</t>
  </si>
  <si>
    <t>5/12/2024, 9:38:57 PM GMT+5:30
core3 strike</t>
  </si>
  <si>
    <t>HW, HW.CFG.ERR, HW.CORR, HW.ERR, HW.KNOWN_ISSUE, HW.MCE, HW.MCE.MLC, S@_HW_KNOWN_HSD_16019933053, sc_Rand_Stress13_longRun Failed TargetHang</t>
  </si>
  <si>
    <t>HW, HW.CFG.ERR, HW.CORR, HW.ERR, HW.MCE, HW.MCE.PCU, HW.MCE.PUNIT, HW.MCE.UPI, MC_Sandstone_170 Failed TargetHang</t>
  </si>
  <si>
    <t>X3_All_Resets_X_SC_solar</t>
  </si>
  <si>
    <t>HW, HW.CFG.ERR, HW.CORR, HW.ERR, HW.MCE, HW.MCE.IIO, HW.MCE.PCU, X3_All_Resets_X_SC_solar Failed TargetRebootTimeout</t>
  </si>
  <si>
    <t>jf04wvaw5298</t>
  </si>
  <si>
    <t>CXL_Python_TxCMatch2_Memrd_MemWr_SUT</t>
  </si>
  <si>
    <t>CXL_Python_TxCMatch2_Memrd_MemWr_SUT Failed TargetHang, HW, HW.CFG.ERR, HW.CORR, HW.ERR, HW.MCE, HW.MCE.DCU, HW.MCE.IIO, HW.MCE.UBOX</t>
  </si>
  <si>
    <t>HW, HW.CFG.ERR, HW.CORR, HW.ERR, HW.MCE, HW.MCE.PCU, X3_All_Resets_solar Failed TargetRebootTimeout</t>
  </si>
  <si>
    <t>CXL_Python_cxl_F2LM_traffic_PkgC_checker_For_Reset</t>
  </si>
  <si>
    <t>CXL_Python_cxl_F2LM_traffic_PkgC_checker_For_Reset Failed TargetHang, HW, HW.CFG.ERR, HW.CORR, HW.ERR, HW.MCE, HW.MCE.DCU, HW.MCE.IIO, HW.MCE.UBOX</t>
  </si>
  <si>
    <t>5/27/2024, 2:12:42 PM GMT+5:30
3strike and RRQ/WBQ request to non-HOM</t>
  </si>
  <si>
    <t>HW, HW.CFG.ERR, HW.CORR, HW.ERR, HW.MCE, HW.MCE.CHA, HW.MCE.MLC, sc_Stress_1_1_heavy_remote Failed TargetHang</t>
  </si>
  <si>
    <t>5/27/2024, 2:36:40 PM GMT+5:30
core 3 strike</t>
  </si>
  <si>
    <t>HW, HW.CFG.ERR, HW.CORR, HW.ERR, HW.MCE, HW.MCE.MLC, HW.MCE.PCU, HW.MCE.PUNIT, sc_UboxMsgCh_Stress_hvyPM Failed TargetHang</t>
  </si>
  <si>
    <t>5/28/2024, 10:37:18 AM GMT+5:30
MCA_DISP_RUN_BUSY_TIMEOUT</t>
  </si>
  <si>
    <t>HW, HW.CFG.ERR, HW.CORR, HW.ERR, HW.MCE, HW.MCE.MLC, HW.MCE.PCU, HW.MCE.PUNIT, sc_PM_Monitor_Stress Failed TargetHang</t>
  </si>
  <si>
    <t>5/28/2024, 3:42:18 PM GMT+5:30
 RRQ/WBQ request to non-HOM</t>
  </si>
  <si>
    <t>HW, HW.CFG.ERR, HW.CORR, HW.ERR, HW.KNOWN_ISSUE, HW.MCE, HW.MCE.CHA, HW.MCE.MLC, S@_HW_KNOWN_HSD_16019933053, sc_Rand_Stress13_longRun Failed TargetHang</t>
  </si>
  <si>
    <t>hrebootstation_gracefulreboot_overrides Failed Exit Code 1, HW, HW.CFG.ERR, HW.CORR, HW.ERR, HW.MCE, HW.MCE.PCU, HW.MCE.PUNIT, HW.MCE.UPI</t>
  </si>
  <si>
    <t>hpretest_projectcfg Failed Exit Code 4097, HW, HW.CFG.ERR, HW.CORR, HW.ERR, HW.MCE, HW.MCE.MLC, HW.MCE.UPI</t>
  </si>
  <si>
    <t>X3_upi_1lane_disable_bios_knob_update</t>
  </si>
  <si>
    <t>jf04wvaw5307</t>
  </si>
  <si>
    <t>HW, HW.CFG.ERR, HW.CORR, HW.ERR, HW.MCE, HW.MCE.IIO, HW.MCE.PCU, HW.MCE.PUNIT, HW.MCE.UBOX</t>
  </si>
  <si>
    <t>PMSB_Harasser_PkgC6</t>
  </si>
  <si>
    <t>MC_package_cstate_check_eax33_2H_GNR_B0</t>
  </si>
  <si>
    <t>PMSB_Harasser_ADDDC</t>
  </si>
  <si>
    <t>ba05wvaw0011</t>
  </si>
  <si>
    <t>X3_Solar_Host_IP_Gen</t>
  </si>
  <si>
    <t>tpreboot_get_pcu_data_new_tp</t>
  </si>
  <si>
    <t>HW, HW.CFG.ERR, HW.CORR, HW.ERR, HW.MCE.MSE</t>
  </si>
  <si>
    <t>PMSB_Harasser_No_Check_Errors</t>
  </si>
  <si>
    <t>HW, HW.CFG.ERR, HW.CORR, HW.ERR, HW.MCE, HW.MCE.DTLB, HW.MCE.IIO, HW.MCE.UBOX, HW.MCE.UPI</t>
  </si>
  <si>
    <t>jf04wvaw5469</t>
  </si>
  <si>
    <t>X3_Idle_All_Resets_noGRSR_solar</t>
  </si>
  <si>
    <t>X3_SOC_IP_DISABLE_CLEAN</t>
  </si>
  <si>
    <t>HW, HW.CFG.ERR, HW.CORR, HW.ERR, HW.MCE, HW.MCE.IIO, HW.MCE.MLC, HW.MCE.PCU, HW.MCE.PUNIT, HW.MCE.UBOX</t>
  </si>
  <si>
    <t>HW, HW.CFG.ERR, HW.CORR, HW.ERR, HW.MCE, HW.MCE.DTLB, HW.MCE.IIO, HW.MCE.UBOX</t>
  </si>
  <si>
    <t>MC_memhot_B3</t>
  </si>
  <si>
    <t>ba05wvaw0111</t>
  </si>
  <si>
    <t>HW, HW.CFG.ERR, HW.CORR, HW.ERR, HW.MCE, HW.MCE.CHA, HW.MCE.MLC, HW.MCE.PCU, HW.MCE.PUNIT, HW.MCE.UPI</t>
  </si>
  <si>
    <t>pm_pmx_memhot_debug</t>
  </si>
  <si>
    <t>HW, HW.CFG.ERR, HW.CORR, HW.ERR, HW.KNOWN_ISSUE</t>
  </si>
  <si>
    <t>sgx_hydra</t>
  </si>
  <si>
    <t>atomics_p2p_conc_base_cmd</t>
  </si>
  <si>
    <t xml:space="preserve">Arden Rand failed with FSB MSI interrupt </t>
  </si>
  <si>
    <t>sc_IDI_Stress_heavy_gv_tgt_add_all_cxl</t>
  </si>
  <si>
    <t>HW, HW.CFG.ERR, HW.CORR, HW.ERR, HW.MCE, HW.MCE.MLC, HW.MCE.PCU, HW.MCE.PUNIT, HW.MCE.UPI</t>
  </si>
  <si>
    <t>X3_All_Resets_noGRSR_cross_CohWBINVD_solar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</si>
</sst>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2"/>
  <sheetViews>
    <sheetView tabSelected="1" topLeftCell="I1" workbookViewId="0">
      <pane ySplit="1" topLeftCell="A2" activePane="bottomLeft" state="frozen"/>
      <selection pane="bottomLeft" activeCell="L11" sqref="L11"/>
    </sheetView>
  </sheetViews>
  <sheetFormatPr defaultRowHeight="15" customHeight="1" x14ac:dyDescent="0.35"/>
  <cols>
    <col min="1" max="10" width="28.453125" customWidth="1"/>
  </cols>
  <sheetData>
    <row r="1" spans="1:10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35">
      <c r="A2" s="2" t="str">
        <f>HYPERLINK("https://nga.laas.intel.com/#/nga_fv_gnr/failureManagement/failures/07abab9e-b4e9-4f2d-946d-03670a6d98b3","07abab9e")</f>
        <v>07abab9e</v>
      </c>
      <c r="B2" t="s">
        <v>10</v>
      </c>
      <c r="C2" t="s">
        <v>11</v>
      </c>
      <c r="D2" t="s">
        <v>12</v>
      </c>
      <c r="E2" s="2" t="str">
        <f>HYPERLINK("https://nga.laas.intel.com/#/nga_fv_gnr/failureManagement/bucket/2f27efda-976f-4053-9b0a-08f369c18c2e","hw_err_msm_corecrashlog_ctrl_haderror,hw_err_msm_global_status_ctrl_reg_crashlog_err,hw_err_msm_global_status_ctrl_reg_global_viral,hw_err_msm_global_status_ctrl_reg_ierr,hw_err_msm_mbx_error_sts_mbx_overflow,hw_err_ras_uncore_punit,hw_err_ubox_ncevents_n")</f>
        <v>hw_err_msm_corecrashlog_ctrl_haderror,hw_err_msm_global_status_ctrl_reg_crashlog_err,hw_err_msm_global_status_ctrl_reg_global_viral,hw_err_msm_global_status_ctrl_reg_ierr,hw_err_msm_mbx_error_sts_mbx_overflow,hw_err_ras_uncore_punit,hw_err_ubox_ncevents_n</v>
      </c>
      <c r="F2" s="2" t="str">
        <f t="shared" ref="F2:F11" si="0">HYPERLINK("https://nga.laas.intel.com/#/nga_fv_gnr/planning/suites/916f2bfd-4b3e-45cb-a6cc-361834cf7479","GNR-AP-X1_PO_2B_VV")</f>
        <v>GNR-AP-X1_PO_2B_VV</v>
      </c>
      <c r="G2" s="2" t="str">
        <f>HYPERLINK("https://axonsv.app.intel.com/apps/record-viewer?id=09b2709c-a0af-82da-d61d-dec66ab782bd","09b2709c-a0af-82da-d61d-dec66ab782bd")</f>
        <v>09b2709c-a0af-82da-d61d-dec66ab782bd</v>
      </c>
      <c r="I2" t="s">
        <v>13</v>
      </c>
      <c r="J2" t="s">
        <v>14</v>
      </c>
    </row>
    <row r="3" spans="1:10" ht="15" customHeight="1" x14ac:dyDescent="0.35">
      <c r="A3" s="2" t="str">
        <f>HYPERLINK("https://nga.laas.intel.com/#/nga_fv_gnr/failureManagement/failures/7208d2c8-fb6c-4065-8d3c-04c1c45c837b","7208d2c8")</f>
        <v>7208d2c8</v>
      </c>
      <c r="B3" t="s">
        <v>10</v>
      </c>
      <c r="C3" t="s">
        <v>11</v>
      </c>
      <c r="D3" t="s">
        <v>15</v>
      </c>
      <c r="E3" s="2" t="str">
        <f>HYPERLINK("https://nga.laas.intel.com/#/nga_fv_gnr/failureManagement/bucket/8266efca-2b35-4285-9990-107c0e6ee0ee","hw_err_msm_global_status_ctrl_reg_global_viral,hw_err_msm_global_status_ctrl_reg_ierr,hw_err_msm_mbx_error_sts_mbx_overflow,hw_err_ras_uncore_punit,hw_err_ubox_ncevents_ncevents_cr_bankmerge6_errlog,hw_err_uncersts_msm_received_an_unsupported_request,hw_e")</f>
        <v>hw_err_msm_global_status_ctrl_reg_global_viral,hw_err_msm_global_status_ctrl_reg_ierr,hw_err_msm_mbx_error_sts_mbx_overflow,hw_err_ras_uncore_punit,hw_err_ubox_ncevents_ncevents_cr_bankmerge6_errlog,hw_err_uncersts_msm_received_an_unsupported_request,hw_e</v>
      </c>
      <c r="F3" s="2" t="str">
        <f t="shared" si="0"/>
        <v>GNR-AP-X1_PO_2B_VV</v>
      </c>
      <c r="G3" s="2" t="str">
        <f>HYPERLINK("https://axonsv.app.intel.com/apps/record-viewer?id=0ba849d8-7b3b-f571-de4c-0997a0dcdeea","0ba849d8-7b3b-f571-de4c-0997a0dcdeea")</f>
        <v>0ba849d8-7b3b-f571-de4c-0997a0dcdeea</v>
      </c>
      <c r="I3" t="s">
        <v>13</v>
      </c>
      <c r="J3" t="s">
        <v>14</v>
      </c>
    </row>
    <row r="4" spans="1:10" ht="15" customHeight="1" x14ac:dyDescent="0.35">
      <c r="A4" s="2" t="str">
        <f>HYPERLINK("https://nga.laas.intel.com/#/nga_fv_gnr/failureManagement/failures/f3c41875-840f-4a47-b253-1c37cb1ab760","f3c41875")</f>
        <v>f3c41875</v>
      </c>
      <c r="B4" t="s">
        <v>10</v>
      </c>
      <c r="C4" t="s">
        <v>11</v>
      </c>
      <c r="D4" t="s">
        <v>16</v>
      </c>
      <c r="E4" s="2" t="str">
        <f>HYPERLINK("https://nga.laas.intel.com/#/nga_fv_gnr/failureManagement/bucket/680bb203-c57a-42b2-957f-16d120ec4124","hw_err_msm_global_status_ctrl_reg_global_viral,hw_err_msm_global_status_ctrl_reg_ierr,hw_err_msm_mbx_error_sts_mbx_overflow,hw_err_ras_uncore_punit,hw_err_ras_uncore_ubox,hw_err_ubox_ncevents_ncevents_cr_bankmerge6_errlog,hw_err_uncersts_msm_received_an_u")</f>
        <v>hw_err_msm_global_status_ctrl_reg_global_viral,hw_err_msm_global_status_ctrl_reg_ierr,hw_err_msm_mbx_error_sts_mbx_overflow,hw_err_ras_uncore_punit,hw_err_ras_uncore_ubox,hw_err_ubox_ncevents_ncevents_cr_bankmerge6_errlog,hw_err_uncersts_msm_received_an_u</v>
      </c>
      <c r="F4" s="2" t="str">
        <f t="shared" si="0"/>
        <v>GNR-AP-X1_PO_2B_VV</v>
      </c>
      <c r="G4" s="2" t="str">
        <f>HYPERLINK("https://axonsv.app.intel.com/apps/record-viewer?id=a416b26f-70ab-685e-f385-4ad0c1fe9306","a416b26f-70ab-685e-f385-4ad0c1fe9306")</f>
        <v>a416b26f-70ab-685e-f385-4ad0c1fe9306</v>
      </c>
      <c r="I4" t="s">
        <v>17</v>
      </c>
      <c r="J4" t="s">
        <v>14</v>
      </c>
    </row>
    <row r="5" spans="1:10" ht="15" customHeight="1" x14ac:dyDescent="0.35">
      <c r="A5" s="2" t="str">
        <f>HYPERLINK("https://nga.laas.intel.com/#/nga_fv_gnr/failureManagement/failures/999d0301-3784-4c62-af04-0464bea12b5a","999d0301")</f>
        <v>999d0301</v>
      </c>
      <c r="B5" t="s">
        <v>18</v>
      </c>
      <c r="C5" t="s">
        <v>11</v>
      </c>
      <c r="D5" t="s">
        <v>19</v>
      </c>
      <c r="E5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5" s="2" t="str">
        <f t="shared" si="0"/>
        <v>GNR-AP-X1_PO_2B_VV</v>
      </c>
      <c r="G5" s="2" t="str">
        <f>HYPERLINK("https://axonsv.app.intel.com/apps/record-viewer?id=e656b700-798c-fc35-22aa-c00790793e7a","e656b700-798c-fc35-22aa-c00790793e7a")</f>
        <v>e656b700-798c-fc35-22aa-c00790793e7a</v>
      </c>
      <c r="I5" t="s">
        <v>13</v>
      </c>
      <c r="J5" t="s">
        <v>20</v>
      </c>
    </row>
    <row r="6" spans="1:10" ht="15" customHeight="1" x14ac:dyDescent="0.35">
      <c r="A6" s="2" t="str">
        <f>HYPERLINK("https://nga.laas.intel.com/#/nga_fv_gnr/failureManagement/failures/07e9c2c7-af4a-4ff1-b8eb-1d70371e35c9","07e9c2c7")</f>
        <v>07e9c2c7</v>
      </c>
      <c r="B6" t="s">
        <v>21</v>
      </c>
      <c r="C6" t="s">
        <v>22</v>
      </c>
      <c r="D6" t="s">
        <v>23</v>
      </c>
      <c r="E6" s="2" t="str">
        <f>HYPERLINK("https://nga.laas.intel.com/#/nga_fv_gnr/failureManagement/bucket/dbcf25e5-a283-45f0-b035-2a2c900ef287","hw_err_msm_global_status_ctrl_reg_general_mca_hw_err_msm_global_status_ctrl_reg_global_viral_hw_err_msm_global_status_ctrl_reg_ierr_hw_err_msm_mbx_error_sts_mbx_overflow_hw_err_ras_uncore_punit_hw_err_ras_uncore_ubox_hw_err_ubox_ncevents_ncevents_cr_ba...")</f>
        <v>hw_err_msm_global_status_ctrl_reg_general_mca_hw_err_msm_global_status_ctrl_reg_global_viral_hw_err_msm_global_status_ctrl_reg_ierr_hw_err_msm_mbx_error_sts_mbx_overflow_hw_err_ras_uncore_punit_hw_err_ras_uncore_ubox_hw_err_ubox_ncevents_ncevents_cr_ba...</v>
      </c>
      <c r="F6" s="2" t="str">
        <f t="shared" si="0"/>
        <v>GNR-AP-X1_PO_2B_VV</v>
      </c>
      <c r="G6" s="2" t="str">
        <f>HYPERLINK("https://axonsv.app.intel.com/apps/record-viewer?id=ac88f0c3-3105-77dd-b934-b0e0946bc982","ac88f0c3-3105-77dd-b934-b0e0946bc982")</f>
        <v>ac88f0c3-3105-77dd-b934-b0e0946bc982</v>
      </c>
      <c r="I6" t="s">
        <v>17</v>
      </c>
      <c r="J6" t="s">
        <v>20</v>
      </c>
    </row>
    <row r="7" spans="1:10" ht="15" customHeight="1" x14ac:dyDescent="0.35">
      <c r="A7" s="2" t="str">
        <f>HYPERLINK("https://nga.laas.intel.com/#/nga_fv_gnr/failureManagement/failures/26c65794-d272-4cc1-8fef-01b56d1b3198","26c65794")</f>
        <v>26c65794</v>
      </c>
      <c r="B7" t="s">
        <v>21</v>
      </c>
      <c r="C7" t="s">
        <v>22</v>
      </c>
      <c r="D7" t="s">
        <v>24</v>
      </c>
      <c r="E7" s="2" t="str">
        <f>HYPERLINK("https://nga.laas.intel.com/#/nga_fv_gnr/failureManagement/bucket/dbcf25e5-a283-45f0-b035-2a2c900ef287","hw_err_msm_global_status_ctrl_reg_general_mca_hw_err_msm_global_status_ctrl_reg_global_viral_hw_err_msm_global_status_ctrl_reg_ierr_hw_err_msm_mbx_error_sts_mbx_overflow_hw_err_ras_uncore_punit_hw_err_ras_uncore_ubox_hw_err_ubox_ncevents_ncevents_cr_ba...")</f>
        <v>hw_err_msm_global_status_ctrl_reg_general_mca_hw_err_msm_global_status_ctrl_reg_global_viral_hw_err_msm_global_status_ctrl_reg_ierr_hw_err_msm_mbx_error_sts_mbx_overflow_hw_err_ras_uncore_punit_hw_err_ras_uncore_ubox_hw_err_ubox_ncevents_ncevents_cr_ba...</v>
      </c>
      <c r="F7" s="2" t="str">
        <f t="shared" si="0"/>
        <v>GNR-AP-X1_PO_2B_VV</v>
      </c>
      <c r="G7" s="2" t="str">
        <f>HYPERLINK("https://axonsv.app.intel.com/apps/record-viewer?id=1e9c4da9-0425-e67c-e8c1-fd0575eb9e8a","1e9c4da9-0425-e67c-e8c1-fd0575eb9e8a")</f>
        <v>1e9c4da9-0425-e67c-e8c1-fd0575eb9e8a</v>
      </c>
      <c r="I7" t="s">
        <v>17</v>
      </c>
      <c r="J7" t="s">
        <v>20</v>
      </c>
    </row>
    <row r="8" spans="1:10" ht="15" customHeight="1" x14ac:dyDescent="0.35">
      <c r="A8" s="2" t="str">
        <f>HYPERLINK("https://nga.laas.intel.com/#/nga_fv_gnr/failureManagement/failures/6fe9cfe1-c9de-4c03-b0b4-11685c00c752","6fe9cfe1")</f>
        <v>6fe9cfe1</v>
      </c>
      <c r="B8" t="s">
        <v>18</v>
      </c>
      <c r="C8" t="s">
        <v>25</v>
      </c>
      <c r="D8" t="s">
        <v>26</v>
      </c>
      <c r="E8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8" s="2" t="str">
        <f t="shared" si="0"/>
        <v>GNR-AP-X1_PO_2B_VV</v>
      </c>
      <c r="G8" s="2" t="str">
        <f>HYPERLINK("https://axonsv.app.intel.com/apps/record-viewer?id=c0a19c86-916f-99fd-4c95-43605e90a39f","c0a19c86-916f-99fd-4c95-43605e90a39f")</f>
        <v>c0a19c86-916f-99fd-4c95-43605e90a39f</v>
      </c>
      <c r="I8" t="s">
        <v>17</v>
      </c>
      <c r="J8" t="s">
        <v>20</v>
      </c>
    </row>
    <row r="9" spans="1:10" ht="15" customHeight="1" x14ac:dyDescent="0.35">
      <c r="A9" s="2" t="str">
        <f>HYPERLINK("https://nga.laas.intel.com/#/nga_fv_gnr/failureManagement/failures/37d9f3da-4697-45dc-a4e9-0c1c45d45565","37d9f3da")</f>
        <v>37d9f3da</v>
      </c>
      <c r="B9" t="s">
        <v>27</v>
      </c>
      <c r="C9" t="s">
        <v>22</v>
      </c>
      <c r="D9" t="s">
        <v>28</v>
      </c>
      <c r="E9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9" s="2" t="str">
        <f t="shared" si="0"/>
        <v>GNR-AP-X1_PO_2B_VV</v>
      </c>
      <c r="G9" s="2" t="str">
        <f>HYPERLINK("https://axonsv.app.intel.com/apps/record-viewer?id=6b1dd2a0-ad9e-a9e5-3f32-ef56f10ab95b","6b1dd2a0-ad9e-a9e5-3f32-ef56f10ab95b")</f>
        <v>6b1dd2a0-ad9e-a9e5-3f32-ef56f10ab95b</v>
      </c>
      <c r="I9" t="s">
        <v>17</v>
      </c>
      <c r="J9" t="s">
        <v>20</v>
      </c>
    </row>
    <row r="10" spans="1:10" ht="15" customHeight="1" x14ac:dyDescent="0.35">
      <c r="A10" s="2" t="str">
        <f>HYPERLINK("https://nga.laas.intel.com/#/nga_fv_gnr/failureManagement/failures/64982737-9423-471e-ac99-22b649fb5a64","64982737")</f>
        <v>64982737</v>
      </c>
      <c r="B10" t="s">
        <v>29</v>
      </c>
      <c r="C10" t="s">
        <v>25</v>
      </c>
      <c r="D10" t="s">
        <v>26</v>
      </c>
      <c r="E10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10" s="2" t="str">
        <f t="shared" si="0"/>
        <v>GNR-AP-X1_PO_2B_VV</v>
      </c>
      <c r="G10" s="2" t="str">
        <f>HYPERLINK("https://axonsv.app.intel.com/apps/record-viewer?id=7bd382de-1d84-0b72-cbdf-2b6a8830c93f","7bd382de-1d84-0b72-cbdf-2b6a8830c93f")</f>
        <v>7bd382de-1d84-0b72-cbdf-2b6a8830c93f</v>
      </c>
      <c r="I10" t="s">
        <v>17</v>
      </c>
      <c r="J10" t="s">
        <v>14</v>
      </c>
    </row>
    <row r="11" spans="1:10" ht="15" customHeight="1" x14ac:dyDescent="0.35">
      <c r="A11" s="2" t="str">
        <f>HYPERLINK("https://nga.laas.intel.com/#/nga_fv_gnr/failureManagement/failures/193cae44-0be7-42d4-962d-1cbff668fca3","193cae44")</f>
        <v>193cae44</v>
      </c>
      <c r="B11" t="s">
        <v>29</v>
      </c>
      <c r="C11" t="s">
        <v>25</v>
      </c>
      <c r="D11" t="s">
        <v>26</v>
      </c>
      <c r="E11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11" s="2" t="str">
        <f t="shared" si="0"/>
        <v>GNR-AP-X1_PO_2B_VV</v>
      </c>
      <c r="G11" s="2" t="str">
        <f>HYPERLINK("https://axonsv.app.intel.com/apps/record-viewer?id=5a634cbb-35af-d59b-6bb3-03e52f027bf6","5a634cbb-35af-d59b-6bb3-03e52f027bf6")</f>
        <v>5a634cbb-35af-d59b-6bb3-03e52f027bf6</v>
      </c>
      <c r="I11" t="s">
        <v>17</v>
      </c>
      <c r="J11" t="s">
        <v>14</v>
      </c>
    </row>
    <row r="12" spans="1:10" ht="15" customHeight="1" x14ac:dyDescent="0.35">
      <c r="A12" s="2" t="str">
        <f>HYPERLINK("https://nga.laas.intel.com/#/nga_fv_gnr/failureManagement/failures/8bcf1d3f-a663-458c-8c1c-026e01ef9d8e","8bcf1d3f")</f>
        <v>8bcf1d3f</v>
      </c>
      <c r="B12" t="s">
        <v>31</v>
      </c>
      <c r="C12" t="s">
        <v>22</v>
      </c>
      <c r="D12" t="s">
        <v>32</v>
      </c>
      <c r="E12" s="2" t="str">
        <f>HYPERLINK("https://nga.laas.intel.com/#/nga_fv_gnr/failureManagement/bucket/5e5cc6d1-ef70-4f0d-a091-dee49a716206","junk")</f>
        <v>junk</v>
      </c>
      <c r="F12" s="2" t="str">
        <f t="shared" ref="F12:F42" si="1">HYPERLINK("https://nga.laas.intel.com/#/nga_fv_gnr/planning/suites/4602b7c0-cc4c-4841-bc78-d3764cf13fe2","GNR-AP-X1_A0_VV")</f>
        <v>GNR-AP-X1_A0_VV</v>
      </c>
      <c r="G12" s="2" t="str">
        <f>HYPERLINK("https://axonsv.app.intel.com/apps/record-viewer?id=cbef3451-0c4e-04ed-5530-5e90415aa404","cbef3451-0c4e-04ed-5530-5e90415aa404")</f>
        <v>cbef3451-0c4e-04ed-5530-5e90415aa404</v>
      </c>
      <c r="I12" t="s">
        <v>33</v>
      </c>
      <c r="J12" t="s">
        <v>34</v>
      </c>
    </row>
    <row r="13" spans="1:10" ht="15" customHeight="1" x14ac:dyDescent="0.35">
      <c r="A13" s="2" t="str">
        <f>HYPERLINK("https://nga.laas.intel.com/#/nga_fv_gnr/failureManagement/failures/37c7a144-b32f-4004-8bff-0f37149ea44c","37c7a144")</f>
        <v>37c7a144</v>
      </c>
      <c r="B13" t="s">
        <v>35</v>
      </c>
      <c r="C13" t="s">
        <v>22</v>
      </c>
      <c r="D13" t="s">
        <v>36</v>
      </c>
      <c r="E13" s="2" t="str">
        <f>HYPERLINK("https://nga.laas.intel.com/#/nga_fv_gnr/failureManagement/bucket/5e5cc6d1-ef70-4f0d-a091-dee49a716206","junk")</f>
        <v>junk</v>
      </c>
      <c r="F13" s="2" t="str">
        <f t="shared" si="1"/>
        <v>GNR-AP-X1_A0_VV</v>
      </c>
      <c r="G13" s="2" t="str">
        <f>HYPERLINK("https://axonsv.app.intel.com/apps/record-viewer?id=6cb44eb4-a350-496a-4921-0391e5df9add","6cb44eb4-a350-496a-4921-0391e5df9add")</f>
        <v>6cb44eb4-a350-496a-4921-0391e5df9add</v>
      </c>
      <c r="I13" t="s">
        <v>37</v>
      </c>
      <c r="J13" t="s">
        <v>38</v>
      </c>
    </row>
    <row r="14" spans="1:10" ht="15" customHeight="1" x14ac:dyDescent="0.35">
      <c r="A14" s="2" t="str">
        <f>HYPERLINK("https://nga.laas.intel.com/#/nga_fv_gnr/failureManagement/failures/a1768083-6339-4b90-a744-1708b9136ed9","a1768083")</f>
        <v>a1768083</v>
      </c>
      <c r="B14" t="s">
        <v>29</v>
      </c>
      <c r="C14" t="s">
        <v>22</v>
      </c>
      <c r="D14" t="s">
        <v>39</v>
      </c>
      <c r="E14" s="2" t="str">
        <f>HYPERLINK("https://nga.laas.intel.com/#/nga_fv_gnr/failureManagement/bucket/f3c9a2c6-979c-47f6-9fc5-5b623a631610","hw_err_msm_corecrashlog_ctrl_haderror_hw_err_msm_global_status_ctrl_reg_crashlog_err_hw_err_msm_global_status_ctrl_reg_global_viral_hw_err_msm_global_status_ctrl_reg_ierr_hw_err_msm_mbx_error_sts_mbx_overflow_hw_err_ras_uncore_punit_hw_err_ras_uncore_ubox")</f>
        <v>hw_err_msm_corecrashlog_ctrl_haderror_hw_err_msm_global_status_ctrl_reg_crashlog_err_hw_err_msm_global_status_ctrl_reg_global_viral_hw_err_msm_global_status_ctrl_reg_ierr_hw_err_msm_mbx_error_sts_mbx_overflow_hw_err_ras_uncore_punit_hw_err_ras_uncore_ubox</v>
      </c>
      <c r="F14" s="2" t="str">
        <f t="shared" si="1"/>
        <v>GNR-AP-X1_A0_VV</v>
      </c>
      <c r="G14" s="2" t="str">
        <f>HYPERLINK("https://axonsv.app.intel.com/apps/record-viewer?id=8243f2f9-de5b-0e14-46cb-556f63945c2c","8243f2f9-de5b-0e14-46cb-556f63945c2c")</f>
        <v>8243f2f9-de5b-0e14-46cb-556f63945c2c</v>
      </c>
      <c r="H14" t="s">
        <v>40</v>
      </c>
      <c r="I14" t="s">
        <v>37</v>
      </c>
      <c r="J14" t="s">
        <v>38</v>
      </c>
    </row>
    <row r="15" spans="1:10" ht="15" customHeight="1" x14ac:dyDescent="0.35">
      <c r="A15" s="2" t="str">
        <f>HYPERLINK("https://nga.laas.intel.com/#/nga_fv_gnr/failureManagement/failures/df82aad4-9e73-4e13-9dd1-20cebe9068a7","df82aad4")</f>
        <v>df82aad4</v>
      </c>
      <c r="B15" t="s">
        <v>41</v>
      </c>
      <c r="C15" t="s">
        <v>22</v>
      </c>
      <c r="D15" t="s">
        <v>42</v>
      </c>
      <c r="E15" s="2" t="str">
        <f>HYPERLINK("https://nga.laas.intel.com/#/nga_fv_gnr/failureManagement/bucket/5e5cc6d1-ef70-4f0d-a091-dee49a716206","junk")</f>
        <v>junk</v>
      </c>
      <c r="F15" s="2" t="str">
        <f t="shared" si="1"/>
        <v>GNR-AP-X1_A0_VV</v>
      </c>
      <c r="G15" s="2" t="str">
        <f>HYPERLINK("https://axonsv.app.intel.com/apps/record-viewer?id=d222ba31-82ec-65e0-3b01-889e8da9d85f","d222ba31-82ec-65e0-3b01-889e8da9d85f")</f>
        <v>d222ba31-82ec-65e0-3b01-889e8da9d85f</v>
      </c>
      <c r="I15" t="s">
        <v>37</v>
      </c>
      <c r="J15" t="s">
        <v>38</v>
      </c>
    </row>
    <row r="16" spans="1:10" ht="15" customHeight="1" x14ac:dyDescent="0.35">
      <c r="A16" s="2" t="str">
        <f>HYPERLINK("https://nga.laas.intel.com/#/nga_fv_gnr/failureManagement/failures/a60724ae-cc73-41dd-9b31-20c6214b4460","a60724ae")</f>
        <v>a60724ae</v>
      </c>
      <c r="B16" t="s">
        <v>29</v>
      </c>
      <c r="C16" t="s">
        <v>22</v>
      </c>
      <c r="D16" t="s">
        <v>43</v>
      </c>
      <c r="E16" s="2" t="str">
        <f>HYPERLINK("https://nga.laas.intel.com/#/nga_fv_gnr/failureManagement/bucket/5e5cc6d1-ef70-4f0d-a091-dee49a716206","junk")</f>
        <v>junk</v>
      </c>
      <c r="F16" s="2" t="str">
        <f t="shared" si="1"/>
        <v>GNR-AP-X1_A0_VV</v>
      </c>
      <c r="G16" s="2" t="str">
        <f>HYPERLINK("https://axonsv.app.intel.com/apps/record-viewer?id=8c0a04ae-0959-20fd-3050-734d2e5d6643","8c0a04ae-0959-20fd-3050-734d2e5d6643")</f>
        <v>8c0a04ae-0959-20fd-3050-734d2e5d6643</v>
      </c>
      <c r="I16" t="s">
        <v>37</v>
      </c>
      <c r="J16" t="s">
        <v>38</v>
      </c>
    </row>
    <row r="17" spans="1:10" ht="15" customHeight="1" x14ac:dyDescent="0.35">
      <c r="A17" s="2" t="str">
        <f>HYPERLINK("https://nga.laas.intel.com/#/nga_fv_gnr/failureManagement/failures/cb1f55fd-7d6a-4572-ba41-0a2bfc1ab73f","cb1f55fd")</f>
        <v>cb1f55fd</v>
      </c>
      <c r="B17" t="s">
        <v>44</v>
      </c>
      <c r="C17" t="s">
        <v>25</v>
      </c>
      <c r="D17" t="s">
        <v>45</v>
      </c>
      <c r="E17" s="2" t="str">
        <f>HYPERLINK("https://nga.laas.intel.com/#/nga_fv_gnr/failureManagement/bucket/5e5cc6d1-ef70-4f0d-a091-dee49a716206","junk")</f>
        <v>junk</v>
      </c>
      <c r="F17" s="2" t="str">
        <f t="shared" si="1"/>
        <v>GNR-AP-X1_A0_VV</v>
      </c>
      <c r="G17" s="2" t="str">
        <f>HYPERLINK("https://axonsv.app.intel.com/apps/record-viewer?id=2fe3428a-e215-5143-dffa-f92242185253","2fe3428a-e215-5143-dffa-f92242185253")</f>
        <v>2fe3428a-e215-5143-dffa-f92242185253</v>
      </c>
      <c r="I17" t="s">
        <v>46</v>
      </c>
      <c r="J17" t="s">
        <v>47</v>
      </c>
    </row>
    <row r="18" spans="1:10" ht="14.5" x14ac:dyDescent="0.35">
      <c r="A18" s="2" t="str">
        <f>HYPERLINK("https://nga.laas.intel.com/#/nga_fv_gnr/failureManagement/failures/ec3fe6a9-1a3d-45e0-8170-03e375bdb0dc","ec3fe6a9")</f>
        <v>ec3fe6a9</v>
      </c>
      <c r="B18" t="s">
        <v>48</v>
      </c>
      <c r="C18" t="s">
        <v>22</v>
      </c>
      <c r="D18" t="s">
        <v>49</v>
      </c>
      <c r="E18" s="2" t="str">
        <f>HYPERLINK("https://nga.laas.intel.com/#/nga_fv_gnr/failureManagement/bucket/c84af993-959b-4451-9b32-c8c3b76f4824","hw_err_ieh_satieh3_gerrnonsts,hw_err_ieh_satieh4_gerrnonsts,hw_err_msm_corecrashlog_ctrl_haderror,hw_err_msm_global_status_ctrl_reg_crashlog_err,hw_err_msm_global_status_ctrl_reg_general_mca,hw_err_msm_global_status_ctrl_reg_global_viral,hw_err_msm_global")</f>
        <v>hw_err_ieh_satieh3_gerrnonsts,hw_err_ieh_satieh4_gerrnonsts,hw_err_msm_corecrashlog_ctrl_haderror,hw_err_msm_global_status_ctrl_reg_crashlog_err,hw_err_msm_global_status_ctrl_reg_general_mca,hw_err_msm_global_status_ctrl_reg_global_viral,hw_err_msm_global</v>
      </c>
      <c r="F18" s="2" t="str">
        <f t="shared" si="1"/>
        <v>GNR-AP-X1_A0_VV</v>
      </c>
      <c r="G18" s="2" t="str">
        <f>HYPERLINK("https://axonsv.app.intel.com/apps/record-viewer?id=ebfc033d-6781-2cd3-49fb-3ff7e22c987b","ebfc033d-6781-2cd3-49fb-3ff7e22c987b")</f>
        <v>ebfc033d-6781-2cd3-49fb-3ff7e22c987b</v>
      </c>
      <c r="H18" t="s">
        <v>50</v>
      </c>
      <c r="I18" t="s">
        <v>46</v>
      </c>
      <c r="J18" t="s">
        <v>51</v>
      </c>
    </row>
    <row r="19" spans="1:10" ht="14.5" x14ac:dyDescent="0.35">
      <c r="A19" s="2" t="str">
        <f>HYPERLINK("https://nga.laas.intel.com/#/nga_fv_gnr/failureManagement/failures/5afca327-e515-4bb4-9deb-1579f9dad0a0","5afca327")</f>
        <v>5afca327</v>
      </c>
      <c r="B19" t="s">
        <v>44</v>
      </c>
      <c r="C19" t="s">
        <v>22</v>
      </c>
      <c r="D19" t="s">
        <v>52</v>
      </c>
      <c r="E19" s="2" t="str">
        <f>HYPERLINK("https://nga.laas.intel.com/#/nga_fv_gnr/failureManagement/bucket/5e5cc6d1-ef70-4f0d-a091-dee49a716206","junk")</f>
        <v>junk</v>
      </c>
      <c r="F19" s="2" t="str">
        <f t="shared" si="1"/>
        <v>GNR-AP-X1_A0_VV</v>
      </c>
      <c r="G19" s="2" t="str">
        <f>HYPERLINK("https://axonsv.app.intel.com/apps/record-viewer?id=a0e5f684-b2bd-2b03-5e00-43d745f06275","a0e5f684-b2bd-2b03-5e00-43d745f06275")</f>
        <v>a0e5f684-b2bd-2b03-5e00-43d745f06275</v>
      </c>
      <c r="H19" t="s">
        <v>53</v>
      </c>
      <c r="I19" t="s">
        <v>46</v>
      </c>
      <c r="J19" t="s">
        <v>51</v>
      </c>
    </row>
    <row r="20" spans="1:10" ht="14.5" x14ac:dyDescent="0.35">
      <c r="A20" s="2" t="str">
        <f>HYPERLINK("https://nga.laas.intel.com/#/nga_fv_gnr/failureManagement/failures/67fa921b-6d79-47e9-bec3-1c8df5b1085e","67fa921b")</f>
        <v>67fa921b</v>
      </c>
      <c r="B20" t="s">
        <v>48</v>
      </c>
      <c r="C20" t="s">
        <v>22</v>
      </c>
      <c r="D20" t="s">
        <v>54</v>
      </c>
      <c r="E20" s="2" t="str">
        <f>HYPERLINK("https://nga.laas.intel.com/#/nga_fv_gnr/failureManagement/bucket/e57c6252-51a6-4760-8d31-81f193347e56","hw_err_ieh_satieh2_gerrcorsts_hw_err_ieh_satieh3_gerrcorsts_hw_err_ieh_satieh3_gerrnonsts_hw_err_msm_corecrashlog_ctrl_haderror_hw_err_msm_global_status_ctrl_reg_crashlog_err_hw_err_msm_global_status_ctrl_reg_general_mca_hw_err_msm_global_status_ctrl_r...")</f>
        <v>hw_err_ieh_satieh2_gerrcorsts_hw_err_ieh_satieh3_gerrcorsts_hw_err_ieh_satieh3_gerrnonsts_hw_err_msm_corecrashlog_ctrl_haderror_hw_err_msm_global_status_ctrl_reg_crashlog_err_hw_err_msm_global_status_ctrl_reg_general_mca_hw_err_msm_global_status_ctrl_r...</v>
      </c>
      <c r="F20" s="2" t="str">
        <f t="shared" si="1"/>
        <v>GNR-AP-X1_A0_VV</v>
      </c>
      <c r="G20" s="2" t="str">
        <f>HYPERLINK("https://axonsv.app.intel.com/apps/record-viewer?id=b9140941-c27e-6165-38ad-361323edee38","b9140941-c27e-6165-38ad-361323edee38")</f>
        <v>b9140941-c27e-6165-38ad-361323edee38</v>
      </c>
      <c r="H20" t="s">
        <v>55</v>
      </c>
      <c r="I20" t="s">
        <v>56</v>
      </c>
      <c r="J20" t="s">
        <v>51</v>
      </c>
    </row>
    <row r="21" spans="1:10" ht="14.5" x14ac:dyDescent="0.35">
      <c r="A21" s="2" t="str">
        <f>HYPERLINK("https://nga.laas.intel.com/#/nga_fv_gnr/failureManagement/failures/3d113957-720a-4e17-a6f4-22937cf1f1f2","3d113957")</f>
        <v>3d113957</v>
      </c>
      <c r="B21" t="s">
        <v>57</v>
      </c>
      <c r="C21" t="s">
        <v>22</v>
      </c>
      <c r="D21" t="s">
        <v>58</v>
      </c>
      <c r="E21" s="2" t="str">
        <f>HYPERLINK("https://nga.laas.intel.com/#/nga_fv_gnr/failureManagement/bucket/5e5cc6d1-ef70-4f0d-a091-dee49a716206","junk")</f>
        <v>junk</v>
      </c>
      <c r="F21" s="2" t="str">
        <f t="shared" si="1"/>
        <v>GNR-AP-X1_A0_VV</v>
      </c>
      <c r="G21" s="2" t="str">
        <f>HYPERLINK("https://axonsv.app.intel.com/apps/record-viewer?id=f81206c2-307d-3fd4-e4ac-be2024ee5dae","f81206c2-307d-3fd4-e4ac-be2024ee5dae")</f>
        <v>f81206c2-307d-3fd4-e4ac-be2024ee5dae</v>
      </c>
      <c r="I21" t="s">
        <v>59</v>
      </c>
      <c r="J21" t="s">
        <v>51</v>
      </c>
    </row>
    <row r="22" spans="1:10" ht="14.5" x14ac:dyDescent="0.35">
      <c r="A22" s="2" t="str">
        <f>HYPERLINK("https://nga.laas.intel.com/#/nga_fv_gnr/failureManagement/failures/d45663f7-fb50-42eb-854d-019668a8d238","d45663f7")</f>
        <v>d45663f7</v>
      </c>
      <c r="B22" t="s">
        <v>48</v>
      </c>
      <c r="C22" t="s">
        <v>22</v>
      </c>
      <c r="D22" t="s">
        <v>60</v>
      </c>
      <c r="E22" s="2" t="str">
        <f>HYPERLINK("https://nga.laas.intel.com/#/nga_fv_gnr/failureManagement/bucket/5e5cc6d1-ef70-4f0d-a091-dee49a716206","junk")</f>
        <v>junk</v>
      </c>
      <c r="F22" s="2" t="str">
        <f t="shared" si="1"/>
        <v>GNR-AP-X1_A0_VV</v>
      </c>
      <c r="G22" s="2" t="str">
        <f>HYPERLINK("https://axonsv.app.intel.com/apps/record-viewer?id=a39ddbd1-e7d0-12d1-0f10-7d03bc0962fd","a39ddbd1-e7d0-12d1-0f10-7d03bc0962fd")</f>
        <v>a39ddbd1-e7d0-12d1-0f10-7d03bc0962fd</v>
      </c>
      <c r="I22" t="s">
        <v>46</v>
      </c>
      <c r="J22" t="s">
        <v>61</v>
      </c>
    </row>
    <row r="23" spans="1:10" ht="14.5" x14ac:dyDescent="0.35">
      <c r="A23" s="2" t="str">
        <f>HYPERLINK("https://nga.laas.intel.com/#/nga_fv_gnr/failureManagement/failures/4bed6ee6-51eb-40fb-b188-05514891ee81","4bed6ee6")</f>
        <v>4bed6ee6</v>
      </c>
      <c r="B23" t="s">
        <v>57</v>
      </c>
      <c r="C23" t="s">
        <v>22</v>
      </c>
      <c r="D23" t="s">
        <v>62</v>
      </c>
      <c r="E23" s="2" t="str">
        <f>HYPERLINK("https://nga.laas.intel.com/#/nga_fv_gnr/failureManagement/bucket/ffb2c894-9000-4c29-9c43-103610aa0a1c","hw_err_msm_corecrashlog_ctrl_haderror_hw_err_msm_global_status_ctrl_reg_crashlog_err_hw_err_msm_global_status_ctrl_reg_general_mca_hw_err_msm_global_status_ctrl_reg_global_viral_hw_err_msm_global_status_ctrl_reg_ierr_hw_err_msm_mbx_error_sts_mbx_overflow_")</f>
        <v>hw_err_msm_corecrashlog_ctrl_haderror_hw_err_msm_global_status_ctrl_reg_crashlog_err_hw_err_msm_global_status_ctrl_reg_general_mca_hw_err_msm_global_status_ctrl_reg_global_viral_hw_err_msm_global_status_ctrl_reg_ierr_hw_err_msm_mbx_error_sts_mbx_overflow_</v>
      </c>
      <c r="F23" s="2" t="str">
        <f t="shared" si="1"/>
        <v>GNR-AP-X1_A0_VV</v>
      </c>
      <c r="G23" s="2" t="str">
        <f>HYPERLINK("https://axonsv.app.intel.com/apps/record-viewer?id=e306a087-5ec9-c1cd-5939-d91d468dadf1","e306a087-5ec9-c1cd-5939-d91d468dadf1")</f>
        <v>e306a087-5ec9-c1cd-5939-d91d468dadf1</v>
      </c>
      <c r="I23" t="s">
        <v>46</v>
      </c>
      <c r="J23" t="s">
        <v>14</v>
      </c>
    </row>
    <row r="24" spans="1:10" ht="14.5" x14ac:dyDescent="0.35">
      <c r="A24" s="2" t="str">
        <f>HYPERLINK("https://nga.laas.intel.com/#/nga_fv_gnr/failureManagement/failures/4e62513f-4d49-42c6-bbac-014110bdac7e","4e62513f")</f>
        <v>4e62513f</v>
      </c>
      <c r="B24" t="s">
        <v>63</v>
      </c>
      <c r="C24" t="s">
        <v>22</v>
      </c>
      <c r="D24" t="s">
        <v>64</v>
      </c>
      <c r="E24" s="2" t="str">
        <f>HYPERLINK("https://nga.laas.intel.com/#/nga_fv_gnr/failureManagement/bucket/e239033d-1fd1-4f93-b161-08ab8d7c22c0","hw_err_ieh_satieh2_gerrnonsts_hw_err_ieh_satieh3_gerrnonsts_hw_err_ieh_satieh4_gerrnonsts_hw_err_ieh_satieh5_gerrnonsts_hw_err_msm_global_status_ctrl_reg_general_mca_hw_err_msm_global_status_ctrl_reg_global_viral_hw_err_msm_global_status_ctrl_reg_ierr_...")</f>
        <v>hw_err_ieh_satieh2_gerrnonsts_hw_err_ieh_satieh3_gerrnonsts_hw_err_ieh_satieh4_gerrnonsts_hw_err_ieh_satieh5_gerrnonsts_hw_err_msm_global_status_ctrl_reg_general_mca_hw_err_msm_global_status_ctrl_reg_global_viral_hw_err_msm_global_status_ctrl_reg_ierr_...</v>
      </c>
      <c r="F24" s="2" t="str">
        <f t="shared" si="1"/>
        <v>GNR-AP-X1_A0_VV</v>
      </c>
      <c r="G24" s="2" t="str">
        <f>HYPERLINK("https://axonsv.app.intel.com/apps/record-viewer?id=43fd7517-52b9-2208-8acb-8e5462905587","43fd7517-52b9-2208-8acb-8e5462905587")</f>
        <v>43fd7517-52b9-2208-8acb-8e5462905587</v>
      </c>
      <c r="I24" t="s">
        <v>59</v>
      </c>
      <c r="J24" t="s">
        <v>34</v>
      </c>
    </row>
    <row r="25" spans="1:10" ht="14.5" x14ac:dyDescent="0.35">
      <c r="A25" s="2" t="str">
        <f>HYPERLINK("https://nga.laas.intel.com/#/nga_fv_gnr/failureManagement/failures/b2eb4095-63c3-4e37-9e3a-17d7275715f7","b2eb4095")</f>
        <v>b2eb4095</v>
      </c>
      <c r="B25" t="s">
        <v>65</v>
      </c>
      <c r="C25" t="s">
        <v>30</v>
      </c>
      <c r="D25" t="s">
        <v>66</v>
      </c>
      <c r="E25" s="2" t="str">
        <f>HYPERLINK("https://nga.laas.intel.com/#/nga_fv_gnr/failureManagement/bucket/1cc5b52c-60ff-4e83-9266-02b415af2c22","hw_err_msm_global_status_ctrl_reg_global_viral_hw_err_ras_uncore_punit_hw_mce_pcu_mcacod_0402h_mscod_ierr_generic")</f>
        <v>hw_err_msm_global_status_ctrl_reg_global_viral_hw_err_ras_uncore_punit_hw_mce_pcu_mcacod_0402h_mscod_ierr_generic</v>
      </c>
      <c r="F25" s="2" t="str">
        <f t="shared" si="1"/>
        <v>GNR-AP-X1_A0_VV</v>
      </c>
      <c r="G25" s="2" t="str">
        <f>HYPERLINK("https://axonsv.app.intel.com/apps/record-viewer?id=3cd77430-87be-6386-b783-9c8a8aeb1702","3cd77430-87be-6386-b783-9c8a8aeb1702")</f>
        <v>3cd77430-87be-6386-b783-9c8a8aeb1702</v>
      </c>
      <c r="I25" t="s">
        <v>59</v>
      </c>
      <c r="J25" t="s">
        <v>34</v>
      </c>
    </row>
    <row r="26" spans="1:10" ht="14.5" x14ac:dyDescent="0.35">
      <c r="A26" s="2" t="str">
        <f>HYPERLINK("https://nga.laas.intel.com/#/nga_fv_gnr/failureManagement/failures/a085e5c4-4726-473a-bd7e-1d006b3f675b","a085e5c4")</f>
        <v>a085e5c4</v>
      </c>
      <c r="B26" t="s">
        <v>67</v>
      </c>
      <c r="C26" t="s">
        <v>22</v>
      </c>
      <c r="D26" t="s">
        <v>68</v>
      </c>
      <c r="E26" s="2" t="str">
        <f>HYPERLINK("https://nga.laas.intel.com/#/nga_fv_gnr/failureManagement/bucket/7551ee7f-526d-48c2-a134-bf164a5010bb","hw_err_ieh_satieh2_gerrnonsts_hw_err_ieh_satieh4_gerrnonsts_hw_err_msm_global_status_ctrl_reg_general_mca_hw_err_msm_global_status_ctrl_reg_global_viral_hw_err_msm_global_status_ctrl_reg_ierr_hw_err_msm_mbx_error_sts_mbx_overflow_hw_err_ras_uncore_punit_h")</f>
        <v>hw_err_ieh_satieh2_gerrnonsts_hw_err_ieh_satieh4_gerrnonsts_hw_err_msm_global_status_ctrl_reg_general_mca_hw_err_msm_global_status_ctrl_reg_global_viral_hw_err_msm_global_status_ctrl_reg_ierr_hw_err_msm_mbx_error_sts_mbx_overflow_hw_err_ras_uncore_punit_h</v>
      </c>
      <c r="F26" s="2" t="str">
        <f t="shared" si="1"/>
        <v>GNR-AP-X1_A0_VV</v>
      </c>
      <c r="G26" s="2" t="str">
        <f>HYPERLINK("https://axonsv.app.intel.com/apps/record-viewer?id=993acbca-4c6d-93c2-4363-187023022b93","993acbca-4c6d-93c2-4363-187023022b93")</f>
        <v>993acbca-4c6d-93c2-4363-187023022b93</v>
      </c>
      <c r="I26" t="s">
        <v>59</v>
      </c>
      <c r="J26" t="s">
        <v>34</v>
      </c>
    </row>
    <row r="27" spans="1:10" ht="14.5" x14ac:dyDescent="0.35">
      <c r="A27" s="2" t="str">
        <f>HYPERLINK("https://nga.laas.intel.com/#/nga_fv_gnr/failureManagement/failures/2db46d40-bcca-4866-9aa7-122e3fac0b57","2db46d40")</f>
        <v>2db46d40</v>
      </c>
      <c r="B27" t="s">
        <v>69</v>
      </c>
      <c r="C27" t="s">
        <v>11</v>
      </c>
      <c r="D27" t="s">
        <v>70</v>
      </c>
      <c r="E27" s="2" t="str">
        <f>HYPERLINK("https://nga.laas.intel.com/#/nga_fv_gnr/failureManagement/bucket/a5c31782-2431-4782-9962-b2b1eea8e1a2","hw_err_ieh_satieh2_gerrcorsts_hw_err_ieh_satieh2_gerrfatsts_hw_err_msm_corecrashlog_ctrl_haderror_hw_err_msm_global_status_ctrl_reg_crashlog_err_hw_err_msm_global_status_ctrl_reg_general_mca_hw_err_msm_global_status_ctrl_reg_global_viral_hw_err_msm_global")</f>
        <v>hw_err_ieh_satieh2_gerrcorsts_hw_err_ieh_satieh2_gerrfatsts_hw_err_msm_corecrashlog_ctrl_haderror_hw_err_msm_global_status_ctrl_reg_crashlog_err_hw_err_msm_global_status_ctrl_reg_general_mca_hw_err_msm_global_status_ctrl_reg_global_viral_hw_err_msm_global</v>
      </c>
      <c r="F27" s="2" t="str">
        <f t="shared" si="1"/>
        <v>GNR-AP-X1_A0_VV</v>
      </c>
      <c r="G27" s="2" t="str">
        <f>HYPERLINK("https://axonsv.app.intel.com/apps/record-viewer?id=eb2b8e29-d030-c557-50c0-6e1a2cad3ffb","eb2b8e29-d030-c557-50c0-6e1a2cad3ffb")</f>
        <v>eb2b8e29-d030-c557-50c0-6e1a2cad3ffb</v>
      </c>
      <c r="I27" t="s">
        <v>59</v>
      </c>
      <c r="J27" t="s">
        <v>20</v>
      </c>
    </row>
    <row r="28" spans="1:10" ht="14.5" x14ac:dyDescent="0.35">
      <c r="A28" s="2" t="str">
        <f>HYPERLINK("https://nga.laas.intel.com/#/nga_fv_gnr/failureManagement/failures/16a91391-7ca5-4e13-a766-00be75ff14f0","16a91391")</f>
        <v>16a91391</v>
      </c>
      <c r="B28" t="s">
        <v>71</v>
      </c>
      <c r="C28" t="s">
        <v>22</v>
      </c>
      <c r="D28" t="s">
        <v>60</v>
      </c>
      <c r="E28" s="2" t="str">
        <f>HYPERLINK("https://nga.laas.intel.com/#/nga_fv_gnr/failureManagement/bucket/5e5cc6d1-ef70-4f0d-a091-dee49a716206","junk")</f>
        <v>junk</v>
      </c>
      <c r="F28" s="2" t="str">
        <f t="shared" si="1"/>
        <v>GNR-AP-X1_A0_VV</v>
      </c>
      <c r="G28" s="2" t="str">
        <f>HYPERLINK("https://axonsv.app.intel.com/apps/record-viewer?id=61c3d11f-a684-1d53-16b0-2559f9097864","61c3d11f-a684-1d53-16b0-2559f9097864")</f>
        <v>61c3d11f-a684-1d53-16b0-2559f9097864</v>
      </c>
      <c r="I28" t="s">
        <v>59</v>
      </c>
      <c r="J28" t="s">
        <v>61</v>
      </c>
    </row>
    <row r="29" spans="1:10" ht="14.5" x14ac:dyDescent="0.35">
      <c r="A29" s="2" t="str">
        <f>HYPERLINK("https://nga.laas.intel.com/#/nga_fv_gnr/failureManagement/failures/5042809c-8b95-4ca1-90b5-0229b370dd75","5042809c")</f>
        <v>5042809c</v>
      </c>
      <c r="B29" t="s">
        <v>48</v>
      </c>
      <c r="C29" t="s">
        <v>22</v>
      </c>
      <c r="D29" t="s">
        <v>72</v>
      </c>
      <c r="E29" s="2" t="str">
        <f>HYPERLINK("https://nga.laas.intel.com/#/nga_fv_gnr/failureManagement/bucket/aaeb208e-146b-4a7a-a2bd-8ec88c3d3f85","hw_err_ieh_satieh2_gerrnonsts_hw_err_ieh_satieh3_gerrnonsts_hw_err_ieh_satieh4_gerrnonsts_hw_err_ieh_satieh5_gerrnonsts_hw_err_msm_global_status_ctrl_reg_general_mca_hw_err_msm_global_status_ctrl_reg_global_viral_hw_err_msm_global_status_ctrl_reg_ierr_hw_")</f>
        <v>hw_err_ieh_satieh2_gerrnonsts_hw_err_ieh_satieh3_gerrnonsts_hw_err_ieh_satieh4_gerrnonsts_hw_err_ieh_satieh5_gerrnonsts_hw_err_msm_global_status_ctrl_reg_general_mca_hw_err_msm_global_status_ctrl_reg_global_viral_hw_err_msm_global_status_ctrl_reg_ierr_hw_</v>
      </c>
      <c r="F29" s="2" t="str">
        <f t="shared" si="1"/>
        <v>GNR-AP-X1_A0_VV</v>
      </c>
      <c r="G29" s="2" t="str">
        <f>HYPERLINK("https://axonsv.app.intel.com/apps/record-viewer?id=499079b3-f305-2454-69e0-642cf116eb7e","499079b3-f305-2454-69e0-642cf116eb7e")</f>
        <v>499079b3-f305-2454-69e0-642cf116eb7e</v>
      </c>
      <c r="I29" t="s">
        <v>59</v>
      </c>
      <c r="J29" t="s">
        <v>34</v>
      </c>
    </row>
    <row r="30" spans="1:10" ht="14.5" x14ac:dyDescent="0.35">
      <c r="A30" s="2" t="str">
        <f>HYPERLINK("https://nga.laas.intel.com/#/nga_fv_gnr/failureManagement/failures/c817d2f4-66a2-437a-ad1a-19c9149c44b1","c817d2f4")</f>
        <v>c817d2f4</v>
      </c>
      <c r="B30" t="s">
        <v>73</v>
      </c>
      <c r="C30" t="s">
        <v>30</v>
      </c>
      <c r="D30" t="s">
        <v>66</v>
      </c>
      <c r="E30" s="2" t="str">
        <f>HYPERLINK("https://nga.laas.intel.com/#/nga_fv_gnr/failureManagement/bucket/3c820556-c647-4b3a-bf7f-5999c47f0bfe","hw_err_msm_global_status_ctrl_reg_global_viral_hw_err_msm_global_status_ctrl_reg_ierr_hw_err_msm_global_status_ctrl_reg_msm_pmsb_err_hw_err_msm_global_status_ctrl_reg_pcode_err_hw_err_msm_global_status_ctrl_reg_peci_err_hw_err_msm_mbx_error_sts_mbx_overfl")</f>
        <v>hw_err_msm_global_status_ctrl_reg_global_viral_hw_err_msm_global_status_ctrl_reg_ierr_hw_err_msm_global_status_ctrl_reg_msm_pmsb_err_hw_err_msm_global_status_ctrl_reg_pcode_err_hw_err_msm_global_status_ctrl_reg_peci_err_hw_err_msm_mbx_error_sts_mbx_overfl</v>
      </c>
      <c r="F30" s="2" t="str">
        <f t="shared" si="1"/>
        <v>GNR-AP-X1_A0_VV</v>
      </c>
      <c r="G30" s="2" t="str">
        <f>HYPERLINK("https://axonsv.app.intel.com/apps/record-viewer?id=9f94f2c5-1a21-e0a8-131b-a75efad450e2","9f94f2c5-1a21-e0a8-131b-a75efad450e2")</f>
        <v>9f94f2c5-1a21-e0a8-131b-a75efad450e2</v>
      </c>
      <c r="I30" t="s">
        <v>33</v>
      </c>
      <c r="J30" t="s">
        <v>74</v>
      </c>
    </row>
    <row r="31" spans="1:10" ht="14.5" x14ac:dyDescent="0.35">
      <c r="A31" s="2" t="str">
        <f>HYPERLINK("https://nga.laas.intel.com/#/nga_fv_gnr/failureManagement/failures/b92eb49b-2171-44dc-a0f7-08afcef4c843","b92eb49b")</f>
        <v>b92eb49b</v>
      </c>
      <c r="B31" t="s">
        <v>73</v>
      </c>
      <c r="C31" t="s">
        <v>22</v>
      </c>
      <c r="D31" t="s">
        <v>60</v>
      </c>
      <c r="E31" s="2" t="str">
        <f>HYPERLINK("https://nga.laas.intel.com/#/nga_fv_gnr/failureManagement/bucket/5e5cc6d1-ef70-4f0d-a091-dee49a716206","junk")</f>
        <v>junk</v>
      </c>
      <c r="F31" s="2" t="str">
        <f t="shared" si="1"/>
        <v>GNR-AP-X1_A0_VV</v>
      </c>
      <c r="G31" s="2" t="str">
        <f>HYPERLINK("https://axonsv.app.intel.com/apps/record-viewer?id=559f8a64-005e-c919-5025-fef6b736efb1","559f8a64-005e-c919-5025-fef6b736efb1")</f>
        <v>559f8a64-005e-c919-5025-fef6b736efb1</v>
      </c>
      <c r="I31" t="s">
        <v>59</v>
      </c>
      <c r="J31" t="s">
        <v>61</v>
      </c>
    </row>
    <row r="32" spans="1:10" ht="14.5" x14ac:dyDescent="0.35">
      <c r="A32" s="2" t="str">
        <f>HYPERLINK("https://nga.laas.intel.com/#/nga_fv_gnr/failureManagement/failures/18ba26f1-8558-4ca1-b65c-02635188d3dd","18ba26f1")</f>
        <v>18ba26f1</v>
      </c>
      <c r="B32" t="s">
        <v>71</v>
      </c>
      <c r="C32" t="s">
        <v>30</v>
      </c>
      <c r="D32" t="s">
        <v>66</v>
      </c>
      <c r="E32" s="2" t="str">
        <f>HYPERLINK("https://nga.laas.intel.com/#/nga_fv_gnr/failureManagement/bucket/c7f6b949-dbe6-406d-98d2-c3eadc52d5bd","hw_err_msm_corecrashlog_ctrl_haderror,hw_err_msm_global_status_ctrl_reg_crashlog_err,hw_err_msm_global_status_ctrl_reg_global_viral,hw_err_msm_global_status_ctrl_reg_ierr,hw_err_msm_mbx_error_sts_mbx_overflow,hw_err_ras_core0_thread0,hw_err_ras_cpu_core0,")</f>
        <v>hw_err_msm_corecrashlog_ctrl_haderror,hw_err_msm_global_status_ctrl_reg_crashlog_err,hw_err_msm_global_status_ctrl_reg_global_viral,hw_err_msm_global_status_ctrl_reg_ierr,hw_err_msm_mbx_error_sts_mbx_overflow,hw_err_ras_core0_thread0,hw_err_ras_cpu_core0,</v>
      </c>
      <c r="F32" s="2" t="str">
        <f t="shared" si="1"/>
        <v>GNR-AP-X1_A0_VV</v>
      </c>
      <c r="G32" s="2" t="str">
        <f>HYPERLINK("https://axonsv.app.intel.com/apps/record-viewer?id=9900bea8-351f-cd45-0f68-1e7880bd5412","9900bea8-351f-cd45-0f68-1e7880bd5412")</f>
        <v>9900bea8-351f-cd45-0f68-1e7880bd5412</v>
      </c>
      <c r="I32" t="s">
        <v>59</v>
      </c>
      <c r="J32" t="s">
        <v>74</v>
      </c>
    </row>
    <row r="33" spans="1:10" ht="14.5" x14ac:dyDescent="0.35">
      <c r="A33" s="2" t="str">
        <f>HYPERLINK("https://nga.laas.intel.com/#/nga_fv_gnr/failureManagement/failures/46a64065-45f1-4536-a9dd-09a986c0c098","46a64065")</f>
        <v>46a64065</v>
      </c>
      <c r="B33" t="s">
        <v>75</v>
      </c>
      <c r="C33" t="s">
        <v>30</v>
      </c>
      <c r="D33" t="s">
        <v>66</v>
      </c>
      <c r="E33" s="2" t="str">
        <f>HYPERLINK("https://nga.laas.intel.com/#/nga_fv_gnr/failureManagement/bucket/c7f6b949-dbe6-406d-98d2-c3eadc52d5bd","hw_err_msm_corecrashlog_ctrl_haderror,hw_err_msm_global_status_ctrl_reg_crashlog_err,hw_err_msm_global_status_ctrl_reg_global_viral,hw_err_msm_global_status_ctrl_reg_ierr,hw_err_msm_mbx_error_sts_mbx_overflow,hw_err_ras_core0_thread0,hw_err_ras_cpu_core0,")</f>
        <v>hw_err_msm_corecrashlog_ctrl_haderror,hw_err_msm_global_status_ctrl_reg_crashlog_err,hw_err_msm_global_status_ctrl_reg_global_viral,hw_err_msm_global_status_ctrl_reg_ierr,hw_err_msm_mbx_error_sts_mbx_overflow,hw_err_ras_core0_thread0,hw_err_ras_cpu_core0,</v>
      </c>
      <c r="F33" s="2" t="str">
        <f t="shared" si="1"/>
        <v>GNR-AP-X1_A0_VV</v>
      </c>
      <c r="G33" s="2" t="str">
        <f>HYPERLINK("https://axonsv.app.intel.com/apps/record-viewer?id=81bf4ea1-c38a-5322-cc3c-88439c79595e","81bf4ea1-c38a-5322-cc3c-88439c79595e")</f>
        <v>81bf4ea1-c38a-5322-cc3c-88439c79595e</v>
      </c>
      <c r="I33" t="s">
        <v>59</v>
      </c>
      <c r="J33" t="s">
        <v>74</v>
      </c>
    </row>
    <row r="34" spans="1:10" ht="14.5" x14ac:dyDescent="0.35">
      <c r="A34" s="2" t="str">
        <f>HYPERLINK("https://nga.laas.intel.com/#/nga_fv_gnr/failureManagement/failures/d80008c9-dbbc-4419-b67c-2158c169d570","d80008c9")</f>
        <v>d80008c9</v>
      </c>
      <c r="B34" t="s">
        <v>76</v>
      </c>
      <c r="C34" t="s">
        <v>30</v>
      </c>
      <c r="D34" t="s">
        <v>66</v>
      </c>
      <c r="E34" s="2" t="str">
        <f>HYPERLINK("https://nga.laas.intel.com/#/nga_fv_gnr/failureManagement/bucket/c7f6b949-dbe6-406d-98d2-c3eadc52d5bd","hw_err_msm_corecrashlog_ctrl_haderror,hw_err_msm_global_status_ctrl_reg_crashlog_err,hw_err_msm_global_status_ctrl_reg_global_viral,hw_err_msm_global_status_ctrl_reg_ierr,hw_err_msm_mbx_error_sts_mbx_overflow,hw_err_ras_core0_thread0,hw_err_ras_cpu_core0,")</f>
        <v>hw_err_msm_corecrashlog_ctrl_haderror,hw_err_msm_global_status_ctrl_reg_crashlog_err,hw_err_msm_global_status_ctrl_reg_global_viral,hw_err_msm_global_status_ctrl_reg_ierr,hw_err_msm_mbx_error_sts_mbx_overflow,hw_err_ras_core0_thread0,hw_err_ras_cpu_core0,</v>
      </c>
      <c r="F34" s="2" t="str">
        <f t="shared" si="1"/>
        <v>GNR-AP-X1_A0_VV</v>
      </c>
      <c r="G34" s="2" t="str">
        <f>HYPERLINK("https://axonsv.app.intel.com/apps/record-viewer?id=a83766c7-c237-e53b-229d-36baf92570c7","a83766c7-c237-e53b-229d-36baf92570c7")</f>
        <v>a83766c7-c237-e53b-229d-36baf92570c7</v>
      </c>
      <c r="I34" t="s">
        <v>59</v>
      </c>
      <c r="J34" t="s">
        <v>74</v>
      </c>
    </row>
    <row r="35" spans="1:10" ht="14.5" x14ac:dyDescent="0.35">
      <c r="A35" s="2" t="str">
        <f>HYPERLINK("https://nga.laas.intel.com/#/nga_fv_gnr/failureManagement/failures/99ef02bc-2eee-4175-9f5d-235a7bcfca89","99ef02bc")</f>
        <v>99ef02bc</v>
      </c>
      <c r="B35" t="s">
        <v>57</v>
      </c>
      <c r="C35" t="s">
        <v>22</v>
      </c>
      <c r="D35" t="s">
        <v>77</v>
      </c>
      <c r="E35" s="2" t="str">
        <f>HYPERLINK("https://nga.laas.intel.com/#/nga_fv_gnr/failureManagement/bucket/cebe6ce6-def9-41c5-984d-875964641081","hw_err_msm_global_status_ctrl_reg_general_mca,hw_err_msm_global_status_ctrl_reg_global_viral,hw_err_msm_global_status_ctrl_reg_ierr,hw_err_msm_mbx_error_sts_mbx_overflow,hw_err_ras_uncore_punit,hw_err_ras_upi_upi2,hw_err_uncersts_msm_received_an_unsupport")</f>
        <v>hw_err_msm_global_status_ctrl_reg_general_mca,hw_err_msm_global_status_ctrl_reg_global_viral,hw_err_msm_global_status_ctrl_reg_ierr,hw_err_msm_mbx_error_sts_mbx_overflow,hw_err_ras_uncore_punit,hw_err_ras_upi_upi2,hw_err_uncersts_msm_received_an_unsupport</v>
      </c>
      <c r="F35" s="2" t="str">
        <f t="shared" si="1"/>
        <v>GNR-AP-X1_A0_VV</v>
      </c>
      <c r="G35" s="2" t="str">
        <f>HYPERLINK("https://axonsv.app.intel.com/apps/record-viewer?id=148c176e-3bc6-aecf-e54b-bd3713280fbe","148c176e-3bc6-aecf-e54b-bd3713280fbe")</f>
        <v>148c176e-3bc6-aecf-e54b-bd3713280fbe</v>
      </c>
      <c r="H35" t="s">
        <v>78</v>
      </c>
      <c r="I35" t="s">
        <v>79</v>
      </c>
      <c r="J35" t="s">
        <v>51</v>
      </c>
    </row>
    <row r="36" spans="1:10" ht="14.5" x14ac:dyDescent="0.35">
      <c r="A36" s="2" t="str">
        <f>HYPERLINK("https://nga.laas.intel.com/#/nga_fv_gnr/failureManagement/failures/5d25db14-a18a-414f-a2c2-1e79f4a62cae","5d25db14")</f>
        <v>5d25db14</v>
      </c>
      <c r="B36" t="s">
        <v>80</v>
      </c>
      <c r="C36" t="s">
        <v>30</v>
      </c>
      <c r="D36" t="s">
        <v>66</v>
      </c>
      <c r="E36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36" s="2" t="str">
        <f t="shared" si="1"/>
        <v>GNR-AP-X1_A0_VV</v>
      </c>
      <c r="G36" s="2" t="str">
        <f>HYPERLINK("https://axonsv.app.intel.com/apps/record-viewer?id=52fb8cf0-4453-9557-272d-77038b040ada","52fb8cf0-4453-9557-272d-77038b040ada")</f>
        <v>52fb8cf0-4453-9557-272d-77038b040ada</v>
      </c>
      <c r="I36" t="s">
        <v>33</v>
      </c>
      <c r="J36" t="s">
        <v>74</v>
      </c>
    </row>
    <row r="37" spans="1:10" ht="14.5" x14ac:dyDescent="0.35">
      <c r="A37" s="2" t="str">
        <f>HYPERLINK("https://nga.laas.intel.com/#/nga_fv_gnr/failureManagement/failures/132bf9b5-694a-47cf-9dbf-20c7b9cbd19a","132bf9b5")</f>
        <v>132bf9b5</v>
      </c>
      <c r="B37" t="s">
        <v>81</v>
      </c>
      <c r="C37" t="s">
        <v>11</v>
      </c>
      <c r="D37" t="s">
        <v>70</v>
      </c>
      <c r="E37" s="2" t="str">
        <f>HYPERLINK("https://nga.laas.intel.com/#/nga_fv_gnr/failureManagement/bucket/72ef2e5b-c130-49c8-912d-927ef890e64a","hw_err_ieh_satieh3_gerrnonsts,hw_err_ieh_satieh4_gerrnonsts,hw_err_msm_global_status_ctrl_reg_general_mca,hw_err_msm_global_status_ctrl_reg_global_viral,hw_err_msm_global_status_ctrl_reg_ierr,hw_err_msm_mbx_error_sts_mbx_overflow,hw_err_ras_uncore_punit,h")</f>
        <v>hw_err_ieh_satieh3_gerrnonsts,hw_err_ieh_satieh4_gerrnonsts,hw_err_msm_global_status_ctrl_reg_general_mca,hw_err_msm_global_status_ctrl_reg_global_viral,hw_err_msm_global_status_ctrl_reg_ierr,hw_err_msm_mbx_error_sts_mbx_overflow,hw_err_ras_uncore_punit,h</v>
      </c>
      <c r="F37" s="2" t="str">
        <f t="shared" si="1"/>
        <v>GNR-AP-X1_A0_VV</v>
      </c>
      <c r="G37" s="2" t="str">
        <f>HYPERLINK("https://axonsv.app.intel.com/apps/record-viewer?id=e243c844-7974-628c-a611-74d7a3e9d5d3","e243c844-7974-628c-a611-74d7a3e9d5d3")</f>
        <v>e243c844-7974-628c-a611-74d7a3e9d5d3</v>
      </c>
      <c r="I37" t="s">
        <v>59</v>
      </c>
      <c r="J37" t="s">
        <v>82</v>
      </c>
    </row>
    <row r="38" spans="1:10" ht="14.5" x14ac:dyDescent="0.35">
      <c r="A38" s="2" t="str">
        <f>HYPERLINK("https://nga.laas.intel.com/#/nga_fv_gnr/failureManagement/failures/26352ea6-4c8d-4e61-b838-0fad76e2642e","26352ea6")</f>
        <v>26352ea6</v>
      </c>
      <c r="B38" t="s">
        <v>83</v>
      </c>
      <c r="C38" t="s">
        <v>22</v>
      </c>
      <c r="D38" t="s">
        <v>84</v>
      </c>
      <c r="E38" s="2" t="str">
        <f>HYPERLINK("https://nga.laas.intel.com/#/nga_fv_gnr/failureManagement/bucket/5e5cc6d1-ef70-4f0d-a091-dee49a716206","junk")</f>
        <v>junk</v>
      </c>
      <c r="F38" s="2" t="str">
        <f t="shared" si="1"/>
        <v>GNR-AP-X1_A0_VV</v>
      </c>
      <c r="G38" s="2" t="str">
        <f>HYPERLINK("https://axonsv.app.intel.com/apps/record-viewer?id=f8098e4b-fb61-e2af-b20f-e0e6ac64b7be","f8098e4b-fb61-e2af-b20f-e0e6ac64b7be")</f>
        <v>f8098e4b-fb61-e2af-b20f-e0e6ac64b7be</v>
      </c>
      <c r="I38" t="s">
        <v>33</v>
      </c>
      <c r="J38" t="s">
        <v>82</v>
      </c>
    </row>
    <row r="39" spans="1:10" ht="14.5" x14ac:dyDescent="0.35">
      <c r="A39" s="2" t="str">
        <f>HYPERLINK("https://nga.laas.intel.com/#/nga_fv_gnr/failureManagement/failures/e63a71dd-9bee-46b6-b082-177af7819518","e63a71dd")</f>
        <v>e63a71dd</v>
      </c>
      <c r="B39" t="s">
        <v>10</v>
      </c>
      <c r="C39" t="s">
        <v>30</v>
      </c>
      <c r="D39" t="s">
        <v>66</v>
      </c>
      <c r="E39" s="2" t="str">
        <f>HYPERLINK("https://nga.laas.intel.com/#/nga_fv_gnr/failureManagement/bucket/ce1e1704-456e-4f9a-b909-b002aa943c20","hw_err_msm_global_status_ctrl_reg_global_viral,hw_err_msm_global_status_ctrl_reg_ierr,hw_err_msm_global_status_ctrl_reg_msm_pmsb_err,hw_err_msm_global_status_ctrl_reg_pcode_err,hw_err_msm_global_status_ctrl_reg_peci_err,hw_err_msm_mbx_error_sts_mbx_overfl")</f>
        <v>hw_err_msm_global_status_ctrl_reg_global_viral,hw_err_msm_global_status_ctrl_reg_ierr,hw_err_msm_global_status_ctrl_reg_msm_pmsb_err,hw_err_msm_global_status_ctrl_reg_pcode_err,hw_err_msm_global_status_ctrl_reg_peci_err,hw_err_msm_mbx_error_sts_mbx_overfl</v>
      </c>
      <c r="F39" s="2" t="str">
        <f t="shared" si="1"/>
        <v>GNR-AP-X1_A0_VV</v>
      </c>
      <c r="G39" s="2" t="str">
        <f>HYPERLINK("https://axonsv.app.intel.com/apps/record-viewer?id=1a7e3e0a-121e-89d4-90bb-6e36658adc8e","1a7e3e0a-121e-89d4-90bb-6e36658adc8e")</f>
        <v>1a7e3e0a-121e-89d4-90bb-6e36658adc8e</v>
      </c>
      <c r="I39" t="s">
        <v>33</v>
      </c>
      <c r="J39" t="s">
        <v>74</v>
      </c>
    </row>
    <row r="40" spans="1:10" ht="14.5" x14ac:dyDescent="0.35">
      <c r="A40" s="2" t="str">
        <f>HYPERLINK("https://nga.laas.intel.com/#/nga_fv_gnr/failureManagement/failures/269964a4-caa8-4a36-9b9c-08b5583850f8","269964a4")</f>
        <v>269964a4</v>
      </c>
      <c r="B40" t="s">
        <v>31</v>
      </c>
      <c r="C40" t="s">
        <v>22</v>
      </c>
      <c r="D40" t="s">
        <v>72</v>
      </c>
      <c r="E40" s="2" t="str">
        <f>HYPERLINK("https://nga.laas.intel.com/#/nga_fv_gnr/failureManagement/bucket/3aa3e6c5-0579-4381-a060-8758ef3623fc","hw_err_msm_global_status_ctrl_reg_global_viral,hw_err_msm_global_status_ctrl_reg_ierr,hw_err_msm_mbx_error_sts_mbx_overflow,hw_err_ras_uncore_punit,hw_err_ras_uncore_ubox,hw_err_uncersts_msm_received_an_unsupported_request,hw_err_uncersts_oob_received_an_")</f>
        <v>hw_err_msm_global_status_ctrl_reg_global_viral,hw_err_msm_global_status_ctrl_reg_ierr,hw_err_msm_mbx_error_sts_mbx_overflow,hw_err_ras_uncore_punit,hw_err_ras_uncore_ubox,hw_err_uncersts_msm_received_an_unsupported_request,hw_err_uncersts_oob_received_an_</v>
      </c>
      <c r="F40" s="2" t="str">
        <f t="shared" si="1"/>
        <v>GNR-AP-X1_A0_VV</v>
      </c>
      <c r="G40" s="2" t="str">
        <f>HYPERLINK("https://axonsv.app.intel.com/apps/record-viewer?id=ed124577-d23a-f890-75d3-3bfbdff5d03a","ed124577-d23a-f890-75d3-3bfbdff5d03a")</f>
        <v>ed124577-d23a-f890-75d3-3bfbdff5d03a</v>
      </c>
      <c r="I40" t="s">
        <v>59</v>
      </c>
      <c r="J40" t="s">
        <v>34</v>
      </c>
    </row>
    <row r="41" spans="1:10" ht="14.5" x14ac:dyDescent="0.35">
      <c r="A41" s="2" t="str">
        <f>HYPERLINK("https://nga.laas.intel.com/#/nga_fv_gnr/failureManagement/failures/33ec73a4-5cc3-4379-9b6c-1d19fd0608d6","33ec73a4")</f>
        <v>33ec73a4</v>
      </c>
      <c r="B41" t="s">
        <v>48</v>
      </c>
      <c r="C41" t="s">
        <v>30</v>
      </c>
      <c r="D41" t="s">
        <v>66</v>
      </c>
      <c r="E41" s="2" t="str">
        <f>HYPERLINK("https://nga.laas.intel.com/#/nga_fv_gnr/failureManagement/bucket/c84af993-959b-4451-9b32-c8c3b76f4824","hw_err_ieh_satieh3_gerrnonsts,hw_err_ieh_satieh4_gerrnonsts,hw_err_msm_corecrashlog_ctrl_haderror,hw_err_msm_global_status_ctrl_reg_crashlog_err,hw_err_msm_global_status_ctrl_reg_general_mca,hw_err_msm_global_status_ctrl_reg_global_viral,hw_err_msm_global")</f>
        <v>hw_err_ieh_satieh3_gerrnonsts,hw_err_ieh_satieh4_gerrnonsts,hw_err_msm_corecrashlog_ctrl_haderror,hw_err_msm_global_status_ctrl_reg_crashlog_err,hw_err_msm_global_status_ctrl_reg_general_mca,hw_err_msm_global_status_ctrl_reg_global_viral,hw_err_msm_global</v>
      </c>
      <c r="F41" s="2" t="str">
        <f t="shared" si="1"/>
        <v>GNR-AP-X1_A0_VV</v>
      </c>
      <c r="G41" s="2" t="str">
        <f>HYPERLINK("https://axonsv.app.intel.com/apps/record-viewer?id=d6f0ecca-436e-ee25-ecb2-d6d801ce5340","d6f0ecca-436e-ee25-ecb2-d6d801ce5340")</f>
        <v>d6f0ecca-436e-ee25-ecb2-d6d801ce5340</v>
      </c>
      <c r="I41" t="s">
        <v>59</v>
      </c>
      <c r="J41" t="s">
        <v>20</v>
      </c>
    </row>
    <row r="42" spans="1:10" ht="14.5" x14ac:dyDescent="0.35">
      <c r="A42" s="2" t="str">
        <f>HYPERLINK("https://nga.laas.intel.com/#/nga_fv_gnr/failureManagement/failures/bd1989a7-3dfd-4624-b6fb-1eec3a51494e","bd1989a7")</f>
        <v>bd1989a7</v>
      </c>
      <c r="B42" t="s">
        <v>75</v>
      </c>
      <c r="C42" t="s">
        <v>30</v>
      </c>
      <c r="D42" t="s">
        <v>66</v>
      </c>
      <c r="E42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42" s="2" t="str">
        <f t="shared" si="1"/>
        <v>GNR-AP-X1_A0_VV</v>
      </c>
      <c r="G42" s="2" t="str">
        <f>HYPERLINK("https://axonsv.app.intel.com/apps/record-viewer?id=4a5c3f6a-991f-ff2f-542c-058a1f3c46b8","4a5c3f6a-991f-ff2f-542c-058a1f3c46b8")</f>
        <v>4a5c3f6a-991f-ff2f-542c-058a1f3c46b8</v>
      </c>
      <c r="I42" t="s">
        <v>33</v>
      </c>
      <c r="J42" t="s">
        <v>74</v>
      </c>
    </row>
    <row r="43" spans="1:10" ht="14.5" x14ac:dyDescent="0.35">
      <c r="A43" s="2" t="str">
        <f>HYPERLINK("https://nga.laas.intel.com/#/nga_fv_gnr/failureManagement/failures/03c59647-01a1-4792-9189-0aba8803acd2","03c59647")</f>
        <v>03c59647</v>
      </c>
      <c r="B43" t="s">
        <v>85</v>
      </c>
      <c r="C43" t="s">
        <v>30</v>
      </c>
      <c r="D43" t="s">
        <v>66</v>
      </c>
      <c r="E43" s="2" t="str">
        <f>HYPERLINK("https://nga.laas.intel.com/#/nga_fv_gnr/failureManagement/bucket/c84af993-959b-4451-9b32-c8c3b76f4824","hw_err_ieh_satieh3_gerrnonsts,hw_err_ieh_satieh4_gerrnonsts,hw_err_msm_corecrashlog_ctrl_haderror,hw_err_msm_global_status_ctrl_reg_crashlog_err,hw_err_msm_global_status_ctrl_reg_general_mca,hw_err_msm_global_status_ctrl_reg_global_viral,hw_err_msm_global")</f>
        <v>hw_err_ieh_satieh3_gerrnonsts,hw_err_ieh_satieh4_gerrnonsts,hw_err_msm_corecrashlog_ctrl_haderror,hw_err_msm_global_status_ctrl_reg_crashlog_err,hw_err_msm_global_status_ctrl_reg_general_mca,hw_err_msm_global_status_ctrl_reg_global_viral,hw_err_msm_global</v>
      </c>
      <c r="F43" s="2" t="str">
        <f t="shared" ref="F43:F57" si="2">HYPERLINK("https://nga.laas.intel.com/#/nga_fv_gnr/planning/suites/4602b7c0-cc4c-4841-bc78-d3764cf13fe2","GNR-AP-X1_A0_VV")</f>
        <v>GNR-AP-X1_A0_VV</v>
      </c>
      <c r="G43" s="2" t="str">
        <f>HYPERLINK("https://axonsv.app.intel.com/apps/record-viewer?id=a4c2e013-f15e-e998-a9d8-20f98a48a392","a4c2e013-f15e-e998-a9d8-20f98a48a392")</f>
        <v>a4c2e013-f15e-e998-a9d8-20f98a48a392</v>
      </c>
      <c r="I43" t="s">
        <v>59</v>
      </c>
      <c r="J43" t="s">
        <v>20</v>
      </c>
    </row>
    <row r="44" spans="1:10" ht="14.5" x14ac:dyDescent="0.35">
      <c r="A44" s="2" t="str">
        <f>HYPERLINK("https://nga.laas.intel.com/#/nga_fv_gnr/failureManagement/failures/70ce5a36-2ccb-4005-b8f2-0652dc918edb","70ce5a36")</f>
        <v>70ce5a36</v>
      </c>
      <c r="B44" t="s">
        <v>86</v>
      </c>
      <c r="C44" t="s">
        <v>11</v>
      </c>
      <c r="D44" t="s">
        <v>70</v>
      </c>
      <c r="E44" s="2" t="str">
        <f>HYPERLINK("https://nga.laas.intel.com/#/nga_fv_gnr/failureManagement/bucket/956f0099-5406-4cc0-875d-d038db124a76","hw_err_msm_global_status_ctrl_reg_general_mca,hw_err_msm_global_status_ctrl_reg_global_viral,hw_err_msm_global_status_ctrl_reg_ierr,hw_err_msm_mbx_error_sts_mbx_overflow,hw_err_ras_uncore_punit,hw_err_ras_uncore_ubox,hw_err_ras_upi_upi2,hw_err_uncersts_ms")</f>
        <v>hw_err_msm_global_status_ctrl_reg_general_mca,hw_err_msm_global_status_ctrl_reg_global_viral,hw_err_msm_global_status_ctrl_reg_ierr,hw_err_msm_mbx_error_sts_mbx_overflow,hw_err_ras_uncore_punit,hw_err_ras_uncore_ubox,hw_err_ras_upi_upi2,hw_err_uncersts_ms</v>
      </c>
      <c r="F44" s="2" t="str">
        <f t="shared" si="2"/>
        <v>GNR-AP-X1_A0_VV</v>
      </c>
      <c r="G44" s="2" t="str">
        <f>HYPERLINK("https://axonsv.app.intel.com/apps/record-viewer?id=a10bf948-b9f8-7621-a1a4-867b4dfd58dc","a10bf948-b9f8-7621-a1a4-867b4dfd58dc")</f>
        <v>a10bf948-b9f8-7621-a1a4-867b4dfd58dc</v>
      </c>
      <c r="I44" t="s">
        <v>59</v>
      </c>
      <c r="J44" t="s">
        <v>51</v>
      </c>
    </row>
    <row r="45" spans="1:10" ht="14.5" x14ac:dyDescent="0.35">
      <c r="A45" s="2" t="str">
        <f>HYPERLINK("https://nga.laas.intel.com/#/nga_fv_gnr/failureManagement/failures/b70f3365-a68e-4937-a73d-1ec134b82968","b70f3365")</f>
        <v>b70f3365</v>
      </c>
      <c r="B45" t="s">
        <v>76</v>
      </c>
      <c r="C45" t="s">
        <v>22</v>
      </c>
      <c r="D45" t="s">
        <v>60</v>
      </c>
      <c r="E45" s="2" t="str">
        <f>HYPERLINK("https://nga.laas.intel.com/#/nga_fv_gnr/failureManagement/bucket/5e5cc6d1-ef70-4f0d-a091-dee49a716206","junk")</f>
        <v>junk</v>
      </c>
      <c r="F45" s="2" t="str">
        <f t="shared" si="2"/>
        <v>GNR-AP-X1_A0_VV</v>
      </c>
      <c r="G45" s="2" t="str">
        <f>HYPERLINK("https://axonsv.app.intel.com/apps/record-viewer?id=0dec6580-86b9-2314-1c8d-9aee8d6e169b","0dec6580-86b9-2314-1c8d-9aee8d6e169b")</f>
        <v>0dec6580-86b9-2314-1c8d-9aee8d6e169b</v>
      </c>
      <c r="I45" t="s">
        <v>59</v>
      </c>
      <c r="J45" t="s">
        <v>61</v>
      </c>
    </row>
    <row r="46" spans="1:10" ht="14.5" x14ac:dyDescent="0.35">
      <c r="A46" s="2" t="str">
        <f>HYPERLINK("https://nga.laas.intel.com/#/nga_fv_gnr/failureManagement/failures/0067ee05-cb2a-4b21-bf34-04e658827cad","0067ee05")</f>
        <v>0067ee05</v>
      </c>
      <c r="B46" t="s">
        <v>91</v>
      </c>
      <c r="C46" t="s">
        <v>30</v>
      </c>
      <c r="D46" t="s">
        <v>92</v>
      </c>
      <c r="E46" s="2" t="str">
        <f>HYPERLINK("https://nga.laas.intel.com/#/nga_fv_gnr/failureManagement/bucket/edfbc12c-c376-4828-965f-09af6a533596","hw_err_ieh_satieh2_gerrcorsts,hw_err_ieh_satieh2_gerrfatsts,hw_err_msm_corecrashlog_ctrl_haderror,hw_err_msm_global_status_ctrl_reg_crashlog_err,hw_err_msm_global_status_ctrl_reg_general_mca,hw_err_msm_global_status_ctrl_reg_global_viral,hw_err_msm_global")</f>
        <v>hw_err_ieh_satieh2_gerrcorsts,hw_err_ieh_satieh2_gerrfatsts,hw_err_msm_corecrashlog_ctrl_haderror,hw_err_msm_global_status_ctrl_reg_crashlog_err,hw_err_msm_global_status_ctrl_reg_general_mca,hw_err_msm_global_status_ctrl_reg_global_viral,hw_err_msm_global</v>
      </c>
      <c r="F46" s="2" t="str">
        <f t="shared" si="2"/>
        <v>GNR-AP-X1_A0_VV</v>
      </c>
      <c r="G46" s="2" t="str">
        <f>HYPERLINK("https://axonsv.app.intel.com/apps/record-viewer?id=77239320-8a02-0874-756e-e8849bbea959","77239320-8a02-0874-756e-e8849bbea959")</f>
        <v>77239320-8a02-0874-756e-e8849bbea959</v>
      </c>
      <c r="I46" t="s">
        <v>37</v>
      </c>
      <c r="J46" t="s">
        <v>61</v>
      </c>
    </row>
    <row r="47" spans="1:10" ht="14.5" x14ac:dyDescent="0.35">
      <c r="A47" s="2" t="str">
        <f>HYPERLINK("https://nga.laas.intel.com/#/nga_fv_gnr/failureManagement/failures/056d31dc-6df1-4d3d-9f8f-1b259be00d04","056d31dc")</f>
        <v>056d31dc</v>
      </c>
      <c r="B47" t="s">
        <v>10</v>
      </c>
      <c r="C47" t="s">
        <v>22</v>
      </c>
      <c r="D47" t="s">
        <v>93</v>
      </c>
      <c r="E47" s="2" t="str">
        <f>HYPERLINK("https://nga.laas.intel.com/#/nga_fv_gnr/failureManagement/bucket/72ef2e5b-c130-49c8-912d-927ef890e64a","hw_err_ieh_satieh3_gerrnonsts,hw_err_ieh_satieh4_gerrnonsts,hw_err_msm_global_status_ctrl_reg_general_mca,hw_err_msm_global_status_ctrl_reg_global_viral,hw_err_msm_global_status_ctrl_reg_ierr,hw_err_msm_mbx_error_sts_mbx_overflow,hw_err_ras_uncore_punit,h")</f>
        <v>hw_err_ieh_satieh3_gerrnonsts,hw_err_ieh_satieh4_gerrnonsts,hw_err_msm_global_status_ctrl_reg_general_mca,hw_err_msm_global_status_ctrl_reg_global_viral,hw_err_msm_global_status_ctrl_reg_ierr,hw_err_msm_mbx_error_sts_mbx_overflow,hw_err_ras_uncore_punit,h</v>
      </c>
      <c r="F47" s="2" t="str">
        <f t="shared" si="2"/>
        <v>GNR-AP-X1_A0_VV</v>
      </c>
      <c r="G47" s="2" t="str">
        <f>HYPERLINK("https://axonsv.app.intel.com/apps/record-viewer?id=e070bbd3-81d0-c244-0ddf-f780f3262991","e070bbd3-81d0-c244-0ddf-f780f3262991")</f>
        <v>e070bbd3-81d0-c244-0ddf-f780f3262991</v>
      </c>
      <c r="I47" t="s">
        <v>46</v>
      </c>
      <c r="J47" t="s">
        <v>74</v>
      </c>
    </row>
    <row r="48" spans="1:10" ht="14.5" x14ac:dyDescent="0.35">
      <c r="A48" s="2" t="str">
        <f>HYPERLINK("https://nga.laas.intel.com/#/nga_fv_gnr/failureManagement/failures/84fc4615-fb4e-457f-8a40-05355bf7f39e","84fc4615")</f>
        <v>84fc4615</v>
      </c>
      <c r="B48" t="s">
        <v>29</v>
      </c>
      <c r="C48" t="s">
        <v>30</v>
      </c>
      <c r="D48" t="s">
        <v>95</v>
      </c>
      <c r="E48" s="2" t="str">
        <f>HYPERLINK("https://nga.laas.intel.com/#/nga_fv_gnr/failureManagement/bucket/de3916da-328d-4919-b18b-124a9c149287","hw_err_msm_global_status_ctrl_reg_general_mca,hw_err_msm_global_status_ctrl_reg_global_viral,hw_err_msm_global_status_ctrl_reg_ierr,hw_err_msm_mbx_error_sts_mbx_overflow,hw_err_ubox_ncevents_ncevents_cr_bankmerge6_errlog,hw_err_uncore_ubox_hard_hang,hw_mc")</f>
        <v>hw_err_msm_global_status_ctrl_reg_general_mca,hw_err_msm_global_status_ctrl_reg_global_viral,hw_err_msm_global_status_ctrl_reg_ierr,hw_err_msm_mbx_error_sts_mbx_overflow,hw_err_ubox_ncevents_ncevents_cr_bankmerge6_errlog,hw_err_uncore_ubox_hard_hang,hw_mc</v>
      </c>
      <c r="F48" s="2" t="str">
        <f t="shared" si="2"/>
        <v>GNR-AP-X1_A0_VV</v>
      </c>
      <c r="G48" s="2" t="str">
        <f>HYPERLINK("https://axonsv.app.intel.com/apps/record-viewer?id=9f596fb6-a993-83fa-41b0-88cdebd6d77d","9f596fb6-a993-83fa-41b0-88cdebd6d77d")</f>
        <v>9f596fb6-a993-83fa-41b0-88cdebd6d77d</v>
      </c>
      <c r="I48" t="s">
        <v>59</v>
      </c>
      <c r="J48" t="s">
        <v>74</v>
      </c>
    </row>
    <row r="49" spans="1:10" ht="14.5" x14ac:dyDescent="0.35">
      <c r="A49" s="2" t="str">
        <f>HYPERLINK("https://nga.laas.intel.com/#/nga_fv_gnr/failureManagement/failures/890cedaa-a96c-4810-90f2-1c313c640b21","890cedaa")</f>
        <v>890cedaa</v>
      </c>
      <c r="B49" t="s">
        <v>63</v>
      </c>
      <c r="C49" t="s">
        <v>11</v>
      </c>
      <c r="D49" t="s">
        <v>70</v>
      </c>
      <c r="E49" s="2" t="str">
        <f>HYPERLINK("https://nga.laas.intel.com/#/nga_fv_gnr/failureManagement/bucket/c84af993-959b-4451-9b32-c8c3b76f4824","hw_err_ieh_satieh3_gerrnonsts,hw_err_ieh_satieh4_gerrnonsts,hw_err_msm_corecrashlog_ctrl_haderror,hw_err_msm_global_status_ctrl_reg_crashlog_err,hw_err_msm_global_status_ctrl_reg_general_mca,hw_err_msm_global_status_ctrl_reg_global_viral,hw_err_msm_global")</f>
        <v>hw_err_ieh_satieh3_gerrnonsts,hw_err_ieh_satieh4_gerrnonsts,hw_err_msm_corecrashlog_ctrl_haderror,hw_err_msm_global_status_ctrl_reg_crashlog_err,hw_err_msm_global_status_ctrl_reg_general_mca,hw_err_msm_global_status_ctrl_reg_global_viral,hw_err_msm_global</v>
      </c>
      <c r="F49" s="2" t="str">
        <f t="shared" si="2"/>
        <v>GNR-AP-X1_A0_VV</v>
      </c>
      <c r="G49" s="2" t="str">
        <f>HYPERLINK("https://axonsv.app.intel.com/apps/record-viewer?id=4b7dc8a8-4404-2eba-7795-846a27e5bca9","4b7dc8a8-4404-2eba-7795-846a27e5bca9")</f>
        <v>4b7dc8a8-4404-2eba-7795-846a27e5bca9</v>
      </c>
      <c r="I49" t="s">
        <v>46</v>
      </c>
      <c r="J49" t="s">
        <v>47</v>
      </c>
    </row>
    <row r="50" spans="1:10" ht="14.5" x14ac:dyDescent="0.35">
      <c r="A50" s="2" t="str">
        <f>HYPERLINK("https://nga.laas.intel.com/#/nga_fv_gnr/failureManagement/failures/f80669ae-1990-48cf-9ed1-09d8a2184ae2","f80669ae")</f>
        <v>f80669ae</v>
      </c>
      <c r="B50" t="s">
        <v>76</v>
      </c>
      <c r="C50" t="s">
        <v>22</v>
      </c>
      <c r="D50" t="s">
        <v>60</v>
      </c>
      <c r="E50" s="2" t="str">
        <f>HYPERLINK("https://nga.laas.intel.com/#/nga_fv_gnr/failureManagement/bucket/5e5cc6d1-ef70-4f0d-a091-dee49a716206","junk")</f>
        <v>junk</v>
      </c>
      <c r="F50" s="2" t="str">
        <f t="shared" si="2"/>
        <v>GNR-AP-X1_A0_VV</v>
      </c>
      <c r="G50" s="2" t="str">
        <f>HYPERLINK("https://axonsv.app.intel.com/apps/record-viewer?id=1f3ed7e2-7d0d-fc5c-8f25-99665cf2ba6a","1f3ed7e2-7d0d-fc5c-8f25-99665cf2ba6a")</f>
        <v>1f3ed7e2-7d0d-fc5c-8f25-99665cf2ba6a</v>
      </c>
      <c r="I50" t="s">
        <v>46</v>
      </c>
      <c r="J50" t="s">
        <v>61</v>
      </c>
    </row>
    <row r="51" spans="1:10" ht="14.5" x14ac:dyDescent="0.35">
      <c r="A51" s="2" t="str">
        <f>HYPERLINK("https://nga.laas.intel.com/#/nga_fv_gnr/failureManagement/failures/e455849c-fd72-43d9-ad2f-00032c02f386","e455849c")</f>
        <v>e455849c</v>
      </c>
      <c r="B51" t="s">
        <v>86</v>
      </c>
      <c r="C51" t="s">
        <v>22</v>
      </c>
      <c r="D51" t="s">
        <v>99</v>
      </c>
      <c r="E51" s="2" t="str">
        <f>HYPERLINK("https://nga.laas.intel.com/#/nga_fv_gnr/failureManagement/bucket/5eaa100a-b872-40b6-ad4a-169b6ce5f3fb","hw_err_ieh_satieh2_gerrnonsts,hw_err_ieh_satieh3_gerrnonsts,hw_err_ieh_satieh4_gerrnonsts,hw_err_ieh_satieh5_gerrnonsts,hw_err_msm_global_status_ctrl_reg_general_mca,hw_err_msm_global_status_ctrl_reg_global_viral,hw_err_msm_global_status_ctrl_reg_ierr,hw_")</f>
        <v>hw_err_ieh_satieh2_gerrnonsts,hw_err_ieh_satieh3_gerrnonsts,hw_err_ieh_satieh4_gerrnonsts,hw_err_ieh_satieh5_gerrnonsts,hw_err_msm_global_status_ctrl_reg_general_mca,hw_err_msm_global_status_ctrl_reg_global_viral,hw_err_msm_global_status_ctrl_reg_ierr,hw_</v>
      </c>
      <c r="F51" s="2" t="str">
        <f t="shared" si="2"/>
        <v>GNR-AP-X1_A0_VV</v>
      </c>
      <c r="G51" s="2" t="str">
        <f>HYPERLINK("https://axonsv.app.intel.com/apps/record-viewer?id=ffabdf4d-1a3e-7bee-310e-f11be898cdfe","ffabdf4d-1a3e-7bee-310e-f11be898cdfe")</f>
        <v>ffabdf4d-1a3e-7bee-310e-f11be898cdfe</v>
      </c>
      <c r="I51" t="s">
        <v>46</v>
      </c>
      <c r="J51" t="s">
        <v>74</v>
      </c>
    </row>
    <row r="52" spans="1:10" ht="14.5" x14ac:dyDescent="0.35">
      <c r="A52" s="2" t="str">
        <f>HYPERLINK("https://nga.laas.intel.com/#/nga_fv_gnr/failureManagement/failures/b6d64592-5749-4bfd-be33-19dfadfef772","b6d64592")</f>
        <v>b6d64592</v>
      </c>
      <c r="B52" t="s">
        <v>100</v>
      </c>
      <c r="C52" t="s">
        <v>30</v>
      </c>
      <c r="D52" t="s">
        <v>66</v>
      </c>
      <c r="E52" s="2" t="str">
        <f>HYPERLINK("https://nga.laas.intel.com/#/nga_fv_gnr/failureManagement/bucket/ce1e1704-456e-4f9a-b909-b002aa943c20","hw_err_msm_global_status_ctrl_reg_global_viral,hw_err_msm_global_status_ctrl_reg_ierr,hw_err_msm_global_status_ctrl_reg_msm_pmsb_err,hw_err_msm_global_status_ctrl_reg_pcode_err,hw_err_msm_global_status_ctrl_reg_peci_err,hw_err_msm_mbx_error_sts_mbx_overfl")</f>
        <v>hw_err_msm_global_status_ctrl_reg_global_viral,hw_err_msm_global_status_ctrl_reg_ierr,hw_err_msm_global_status_ctrl_reg_msm_pmsb_err,hw_err_msm_global_status_ctrl_reg_pcode_err,hw_err_msm_global_status_ctrl_reg_peci_err,hw_err_msm_mbx_error_sts_mbx_overfl</v>
      </c>
      <c r="F52" s="2" t="str">
        <f t="shared" si="2"/>
        <v>GNR-AP-X1_A0_VV</v>
      </c>
      <c r="G52" s="2" t="str">
        <f>HYPERLINK("https://axonsv.app.intel.com/apps/record-viewer?id=b3b7e31a-b80e-0415-c061-9755cee213d3","b3b7e31a-b80e-0415-c061-9755cee213d3")</f>
        <v>b3b7e31a-b80e-0415-c061-9755cee213d3</v>
      </c>
      <c r="I52" t="s">
        <v>33</v>
      </c>
      <c r="J52" t="s">
        <v>74</v>
      </c>
    </row>
    <row r="53" spans="1:10" ht="14.5" x14ac:dyDescent="0.35">
      <c r="A53" s="2" t="str">
        <f>HYPERLINK("https://nga.laas.intel.com/#/nga_fv_gnr/failureManagement/failures/fe414141-411d-4394-8d0e-234b2ca5e110","fe414141")</f>
        <v>fe414141</v>
      </c>
      <c r="B53" t="s">
        <v>102</v>
      </c>
      <c r="C53" t="s">
        <v>30</v>
      </c>
      <c r="D53" t="s">
        <v>66</v>
      </c>
      <c r="E53" s="2" t="str">
        <f>HYPERLINK("https://nga.laas.intel.com/#/nga_fv_gnr/failureManagement/bucket/1b0a7580-7839-418f-9b21-7bd7562ab064","hw_err_ieh_satieh4_gerrnonsts,hw_err_msm_global_status_ctrl_reg_general_mca,hw_err_msm_global_status_ctrl_reg_global_viral,hw_err_msm_global_status_ctrl_reg_ierr,hw_err_msm_mbx_error_sts_mbx_overflow,hw_err_ubox_ncevents_ncevents_cr_bankmerge6_errlog,hw_e")</f>
        <v>hw_err_ieh_satieh4_gerrnonsts,hw_err_msm_global_status_ctrl_reg_general_mca,hw_err_msm_global_status_ctrl_reg_global_viral,hw_err_msm_global_status_ctrl_reg_ierr,hw_err_msm_mbx_error_sts_mbx_overflow,hw_err_ubox_ncevents_ncevents_cr_bankmerge6_errlog,hw_e</v>
      </c>
      <c r="F53" s="2" t="str">
        <f t="shared" si="2"/>
        <v>GNR-AP-X1_A0_VV</v>
      </c>
      <c r="G53" s="2" t="str">
        <f>HYPERLINK("https://axonsv.app.intel.com/apps/record-viewer?id=6fbf5713-453c-89dc-8005-af54fbdd4e59","6fbf5713-453c-89dc-8005-af54fbdd4e59")</f>
        <v>6fbf5713-453c-89dc-8005-af54fbdd4e59</v>
      </c>
      <c r="I53" t="s">
        <v>46</v>
      </c>
      <c r="J53" t="s">
        <v>74</v>
      </c>
    </row>
    <row r="54" spans="1:10" ht="14.5" x14ac:dyDescent="0.35">
      <c r="A54" s="2" t="str">
        <f>HYPERLINK("https://nga.laas.intel.com/#/nga_fv_gnr/failureManagement/failures/2ef3bc6c-505e-46ba-9488-08a1510be85f","2ef3bc6c")</f>
        <v>2ef3bc6c</v>
      </c>
      <c r="B54" t="s">
        <v>103</v>
      </c>
      <c r="C54" t="s">
        <v>30</v>
      </c>
      <c r="D54" t="s">
        <v>66</v>
      </c>
      <c r="E54" s="2" t="str">
        <f>HYPERLINK("https://nga.laas.intel.com/#/nga_fv_gnr/failureManagement/bucket/6cfe8b63-47a6-498d-9bb0-604146904eed","hw_err_msm_mbx_error_sts_mbx_overflow,hw_err_uncersts_oob_received_an_unsupported_request")</f>
        <v>hw_err_msm_mbx_error_sts_mbx_overflow,hw_err_uncersts_oob_received_an_unsupported_request</v>
      </c>
      <c r="F54" s="2" t="str">
        <f t="shared" si="2"/>
        <v>GNR-AP-X1_A0_VV</v>
      </c>
      <c r="G54" s="2" t="str">
        <f>HYPERLINK("https://axonsv.app.intel.com/apps/record-viewer?id=204bfe24-920c-3dca-2e0a-eec42710b7a5","204bfe24-920c-3dca-2e0a-eec42710b7a5")</f>
        <v>204bfe24-920c-3dca-2e0a-eec42710b7a5</v>
      </c>
      <c r="I54" t="s">
        <v>33</v>
      </c>
      <c r="J54" t="s">
        <v>74</v>
      </c>
    </row>
    <row r="55" spans="1:10" ht="14.5" x14ac:dyDescent="0.35">
      <c r="A55" s="2" t="str">
        <f>HYPERLINK("https://nga.laas.intel.com/#/nga_fv_gnr/failureManagement/failures/ede45e15-0ee3-4efa-9279-07d18d075b90","ede45e15")</f>
        <v>ede45e15</v>
      </c>
      <c r="B55" t="s">
        <v>21</v>
      </c>
      <c r="C55" t="s">
        <v>22</v>
      </c>
      <c r="D55" t="s">
        <v>60</v>
      </c>
      <c r="E55" s="2" t="str">
        <f>HYPERLINK("https://nga.laas.intel.com/#/nga_fv_gnr/failureManagement/bucket/5e5cc6d1-ef70-4f0d-a091-dee49a716206","junk")</f>
        <v>junk</v>
      </c>
      <c r="F55" s="2" t="str">
        <f t="shared" si="2"/>
        <v>GNR-AP-X1_A0_VV</v>
      </c>
      <c r="G55" s="2" t="str">
        <f>HYPERLINK("https://axonsv.app.intel.com/apps/record-viewer?id=b5cb0da4-73c7-0150-5a43-5a45dd90f7b6","b5cb0da4-73c7-0150-5a43-5a45dd90f7b6")</f>
        <v>b5cb0da4-73c7-0150-5a43-5a45dd90f7b6</v>
      </c>
      <c r="I55" t="s">
        <v>56</v>
      </c>
      <c r="J55" t="s">
        <v>61</v>
      </c>
    </row>
    <row r="56" spans="1:10" ht="14.5" x14ac:dyDescent="0.35">
      <c r="A56" s="2" t="str">
        <f>HYPERLINK("https://nga.laas.intel.com/#/nga_fv_gnr/failureManagement/failures/2b6977b8-aec1-4b22-84c9-04d50a4f3778","2b6977b8")</f>
        <v>2b6977b8</v>
      </c>
      <c r="B56" t="s">
        <v>104</v>
      </c>
      <c r="C56" t="s">
        <v>88</v>
      </c>
      <c r="D56" t="s">
        <v>105</v>
      </c>
      <c r="E56" s="2" t="str">
        <f>HYPERLINK("https://nga.laas.intel.com/#/nga_fv_gnr/failureManagement/bucket/5e5cc6d1-ef70-4f0d-a091-dee49a716206","junk")</f>
        <v>junk</v>
      </c>
      <c r="F56" s="2" t="str">
        <f t="shared" si="2"/>
        <v>GNR-AP-X1_A0_VV</v>
      </c>
      <c r="G56" s="2" t="str">
        <f>HYPERLINK("https://axonsv.app.intel.com/apps/record-viewer?id=e1278c61-4c2c-db56-4526-1f6defcc193a","e1278c61-4c2c-db56-4526-1f6defcc193a")</f>
        <v>e1278c61-4c2c-db56-4526-1f6defcc193a</v>
      </c>
      <c r="H56" t="s">
        <v>106</v>
      </c>
      <c r="I56" t="s">
        <v>33</v>
      </c>
      <c r="J56" t="s">
        <v>51</v>
      </c>
    </row>
    <row r="57" spans="1:10" ht="14.5" x14ac:dyDescent="0.35">
      <c r="A57" s="2" t="str">
        <f>HYPERLINK("https://nga.laas.intel.com/#/nga_fv_gnr/failureManagement/failures/bf1f70ee-79f1-4780-98e4-06cd0739ab98","bf1f70ee")</f>
        <v>bf1f70ee</v>
      </c>
      <c r="B57" t="s">
        <v>108</v>
      </c>
      <c r="C57" t="s">
        <v>30</v>
      </c>
      <c r="D57" t="s">
        <v>66</v>
      </c>
      <c r="E57" s="2" t="str">
        <f>HYPERLINK("https://nga.laas.intel.com/#/nga_fv_gnr/failureManagement/bucket/6cfe8b63-47a6-498d-9bb0-604146904eed","hw_err_msm_mbx_error_sts_mbx_overflow,hw_err_uncersts_oob_received_an_unsupported_request")</f>
        <v>hw_err_msm_mbx_error_sts_mbx_overflow,hw_err_uncersts_oob_received_an_unsupported_request</v>
      </c>
      <c r="F57" s="2" t="str">
        <f t="shared" si="2"/>
        <v>GNR-AP-X1_A0_VV</v>
      </c>
      <c r="G57" s="2" t="str">
        <f>HYPERLINK("https://axonsv.app.intel.com/apps/record-viewer?id=c5fd9056-7496-6281-c0d4-8efc67d3ef7b","c5fd9056-7496-6281-c0d4-8efc67d3ef7b")</f>
        <v>c5fd9056-7496-6281-c0d4-8efc67d3ef7b</v>
      </c>
      <c r="I57" t="s">
        <v>33</v>
      </c>
      <c r="J57" t="s">
        <v>74</v>
      </c>
    </row>
    <row r="58" spans="1:10" ht="14.5" x14ac:dyDescent="0.35">
      <c r="A58" s="2" t="str">
        <f>HYPERLINK("https://nga.laas.intel.com/#/nga_fv_gnr/failureManagement/failures/4efbc607-2c32-4c63-8864-1687cd1f4b41","4efbc607")</f>
        <v>4efbc607</v>
      </c>
      <c r="B58" t="s">
        <v>111</v>
      </c>
      <c r="C58" t="s">
        <v>30</v>
      </c>
      <c r="D58" t="s">
        <v>66</v>
      </c>
      <c r="E58" s="2" t="str">
        <f>HYPERLINK("https://nga.laas.intel.com/#/nga_fv_gnr/failureManagement/bucket/daf7f0a5-ee31-4522-b490-7ef6731ebec3","hw_err_msm_corecrashlog_ctrl_haderror_hw_err_msm_global_status_ctrl_reg_crashlog_err_hw_err_msm_global_status_ctrl_reg_global_viral_hw_err_msm_global_status_ctrl_reg_ierr_hw_err_msm_mbx_error_sts_mbx_overflow_hw_err_msm_torcrashlog_ctrl_haderror_hw_err...")</f>
        <v>hw_err_msm_corecrashlog_ctrl_haderror_hw_err_msm_global_status_ctrl_reg_crashlog_err_hw_err_msm_global_status_ctrl_reg_global_viral_hw_err_msm_global_status_ctrl_reg_ierr_hw_err_msm_mbx_error_sts_mbx_overflow_hw_err_msm_torcrashlog_ctrl_haderror_hw_err...</v>
      </c>
      <c r="F58" s="2" t="str">
        <f t="shared" ref="F58:F76" si="3">HYPERLINK("https://nga.laas.intel.com/#/nga_fv_gnr/planning/suites/4602b7c0-cc4c-4841-bc78-d3764cf13fe2","GNR-AP-X1_A0_VV")</f>
        <v>GNR-AP-X1_A0_VV</v>
      </c>
      <c r="G58" s="2" t="str">
        <f>HYPERLINK("https://axonsv.app.intel.com/apps/record-viewer?id=19403c2d-7361-3858-a49b-2f2de371f293","19403c2d-7361-3858-a49b-2f2de371f293")</f>
        <v>19403c2d-7361-3858-a49b-2f2de371f293</v>
      </c>
      <c r="I58" t="s">
        <v>33</v>
      </c>
      <c r="J58" t="s">
        <v>112</v>
      </c>
    </row>
    <row r="59" spans="1:10" ht="14.5" x14ac:dyDescent="0.35">
      <c r="A59" s="2" t="str">
        <f>HYPERLINK("https://nga.laas.intel.com/#/nga_fv_gnr/failureManagement/failures/69f15007-070d-4762-bf92-00ed53ae95fe","69f15007")</f>
        <v>69f15007</v>
      </c>
      <c r="B59" t="s">
        <v>109</v>
      </c>
      <c r="C59" t="s">
        <v>22</v>
      </c>
      <c r="D59" t="s">
        <v>113</v>
      </c>
      <c r="E59" s="2" t="str">
        <f>HYPERLINK("https://nga.laas.intel.com/#/nga_fv_gnr/failureManagement/bucket/33342e58-758b-4281-b47f-4b85fb175a47","hw_err_ieh_satieh4_gerrnonsts,hw_err_msm_corecrashlog_ctrl_haderror,hw_err_msm_global_status_ctrl_reg_crashlog_err,hw_err_msm_global_status_ctrl_reg_general_mca,hw_err_msm_global_status_ctrl_reg_global_viral,hw_err_msm_global_status_ctrl_reg_ierr,hw_err_m")</f>
        <v>hw_err_ieh_satieh4_gerrnonsts,hw_err_msm_corecrashlog_ctrl_haderror,hw_err_msm_global_status_ctrl_reg_crashlog_err,hw_err_msm_global_status_ctrl_reg_general_mca,hw_err_msm_global_status_ctrl_reg_global_viral,hw_err_msm_global_status_ctrl_reg_ierr,hw_err_m</v>
      </c>
      <c r="F59" s="2" t="str">
        <f t="shared" si="3"/>
        <v>GNR-AP-X1_A0_VV</v>
      </c>
      <c r="G59" s="2" t="str">
        <f>HYPERLINK("https://axonsv.app.intel.com/apps/record-viewer?id=f7d9fd89-0247-ddae-1f4e-80907618a0b6","f7d9fd89-0247-ddae-1f4e-80907618a0b6")</f>
        <v>f7d9fd89-0247-ddae-1f4e-80907618a0b6</v>
      </c>
      <c r="I59" t="s">
        <v>46</v>
      </c>
      <c r="J59" t="s">
        <v>47</v>
      </c>
    </row>
    <row r="60" spans="1:10" ht="14.5" x14ac:dyDescent="0.35">
      <c r="A60" s="2" t="str">
        <f>HYPERLINK("https://nga.laas.intel.com/#/nga_fv_gnr/failureManagement/failures/461edcbd-3dfe-4c31-9e2f-188b21d34b76","461edcbd")</f>
        <v>461edcbd</v>
      </c>
      <c r="B60" t="s">
        <v>91</v>
      </c>
      <c r="C60" t="s">
        <v>22</v>
      </c>
      <c r="D60" t="s">
        <v>114</v>
      </c>
      <c r="E60" s="2" t="str">
        <f>HYPERLINK("https://nga.laas.intel.com/#/nga_fv_gnr/failureManagement/bucket/62034680-5be9-42c5-a8ca-dc6de95d66ad","hw_err_msm_global_status_ctrl_reg_global_viral,hw_err_msm_global_status_ctrl_reg_ierr,hw_err_msm_mbx_error_sts_mbx_overflow,hw_err_ubox_ncevents_ncevents_cr_bankmerge6_errlog,hw_err_uncersts_msm_received_an_unsupported_request,hw_err_uncersts_oob_received")</f>
        <v>hw_err_msm_global_status_ctrl_reg_global_viral,hw_err_msm_global_status_ctrl_reg_ierr,hw_err_msm_mbx_error_sts_mbx_overflow,hw_err_ubox_ncevents_ncevents_cr_bankmerge6_errlog,hw_err_uncersts_msm_received_an_unsupported_request,hw_err_uncersts_oob_received</v>
      </c>
      <c r="F60" s="2" t="str">
        <f t="shared" si="3"/>
        <v>GNR-AP-X1_A0_VV</v>
      </c>
      <c r="G60" s="2" t="str">
        <f>HYPERLINK("https://axonsv.app.intel.com/apps/record-viewer?id=d24d593c-fa94-50fb-6f9a-d34e6a3e7b5d","d24d593c-fa94-50fb-6f9a-d34e6a3e7b5d")</f>
        <v>d24d593c-fa94-50fb-6f9a-d34e6a3e7b5d</v>
      </c>
      <c r="H60" t="s">
        <v>115</v>
      </c>
      <c r="I60" t="s">
        <v>59</v>
      </c>
      <c r="J60" t="s">
        <v>51</v>
      </c>
    </row>
    <row r="61" spans="1:10" ht="14.5" x14ac:dyDescent="0.35">
      <c r="A61" s="2" t="str">
        <f>HYPERLINK("https://nga.laas.intel.com/#/nga_fv_gnr/failureManagement/failures/9a1ba3de-ca19-4b3e-b6f5-233b039823db","9a1ba3de")</f>
        <v>9a1ba3de</v>
      </c>
      <c r="B61" t="s">
        <v>86</v>
      </c>
      <c r="C61" t="s">
        <v>22</v>
      </c>
      <c r="D61" t="s">
        <v>116</v>
      </c>
      <c r="E61" s="2" t="str">
        <f>HYPERLINK("https://nga.laas.intel.com/#/nga_fv_gnr/failureManagement/bucket/5e5cc6d1-ef70-4f0d-a091-dee49a716206","junk")</f>
        <v>junk</v>
      </c>
      <c r="F61" s="2" t="str">
        <f t="shared" si="3"/>
        <v>GNR-AP-X1_A0_VV</v>
      </c>
      <c r="G61" s="2" t="str">
        <f>HYPERLINK("https://axonsv.app.intel.com/apps/record-viewer?id=d616b334-6404-1428-6d67-99b2e6917f55","d616b334-6404-1428-6d67-99b2e6917f55")</f>
        <v>d616b334-6404-1428-6d67-99b2e6917f55</v>
      </c>
      <c r="I61" t="s">
        <v>46</v>
      </c>
      <c r="J61" t="s">
        <v>34</v>
      </c>
    </row>
    <row r="62" spans="1:10" ht="14.5" x14ac:dyDescent="0.35">
      <c r="A62" s="2" t="str">
        <f>HYPERLINK("https://nga.laas.intel.com/#/nga_fv_gnr/failureManagement/failures/f6efd22a-02e3-4681-a726-0959660b39ec","f6efd22a")</f>
        <v>f6efd22a</v>
      </c>
      <c r="B62" t="s">
        <v>87</v>
      </c>
      <c r="C62" t="s">
        <v>30</v>
      </c>
      <c r="D62" t="s">
        <v>66</v>
      </c>
      <c r="E62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62" s="2" t="str">
        <f t="shared" si="3"/>
        <v>GNR-AP-X1_A0_VV</v>
      </c>
      <c r="G62" s="2" t="str">
        <f>HYPERLINK("https://axonsv.app.intel.com/apps/record-viewer?id=f2c6b95d-7639-8813-e854-b05ebffe03de","f2c6b95d-7639-8813-e854-b05ebffe03de")</f>
        <v>f2c6b95d-7639-8813-e854-b05ebffe03de</v>
      </c>
      <c r="I62" t="s">
        <v>33</v>
      </c>
      <c r="J62" t="s">
        <v>38</v>
      </c>
    </row>
    <row r="63" spans="1:10" ht="14.5" x14ac:dyDescent="0.35">
      <c r="A63" s="2" t="str">
        <f>HYPERLINK("https://nga.laas.intel.com/#/nga_fv_gnr/failureManagement/failures/c622c2c6-ef55-4333-886d-0739285fd3db","c622c2c6")</f>
        <v>c622c2c6</v>
      </c>
      <c r="B63" t="s">
        <v>109</v>
      </c>
      <c r="C63" t="s">
        <v>22</v>
      </c>
      <c r="D63" t="s">
        <v>117</v>
      </c>
      <c r="E63" s="2" t="str">
        <f>HYPERLINK("https://nga.laas.intel.com/#/nga_fv_gnr/failureManagement/bucket/157fcb98-a448-49ed-955d-8cd58b56dd66","hw_err_cha_cha0_slow_progress,hw_err_cha_cha1_slow_progress,hw_err_cha_cha10_slow_progress,hw_err_cha_cha13_slow_progress,hw_err_cha_cha14_slow_progress,hw_err_cha_cha15_slow_progress,hw_err_cha_cha16_slow_progress,hw_err_cha_cha2_slow_progress,hw_err_cha")</f>
        <v>hw_err_cha_cha0_slow_progress,hw_err_cha_cha1_slow_progress,hw_err_cha_cha10_slow_progress,hw_err_cha_cha13_slow_progress,hw_err_cha_cha14_slow_progress,hw_err_cha_cha15_slow_progress,hw_err_cha_cha16_slow_progress,hw_err_cha_cha2_slow_progress,hw_err_cha</v>
      </c>
      <c r="F63" s="2" t="str">
        <f t="shared" si="3"/>
        <v>GNR-AP-X1_A0_VV</v>
      </c>
      <c r="G63" s="2" t="str">
        <f>HYPERLINK("https://axonsv.app.intel.com/apps/record-viewer?id=5f076f7e-3a39-1f43-06f5-089fb02b9f40","5f076f7e-3a39-1f43-06f5-089fb02b9f40")</f>
        <v>5f076f7e-3a39-1f43-06f5-089fb02b9f40</v>
      </c>
      <c r="I63" t="s">
        <v>118</v>
      </c>
      <c r="J63" t="s">
        <v>47</v>
      </c>
    </row>
    <row r="64" spans="1:10" ht="14.5" x14ac:dyDescent="0.35">
      <c r="A64" s="2" t="str">
        <f>HYPERLINK("https://nga.laas.intel.com/#/nga_fv_gnr/failureManagement/failures/b5aed88f-b23c-4501-864c-1a8fcac836fe","b5aed88f")</f>
        <v>b5aed88f</v>
      </c>
      <c r="B64" t="s">
        <v>81</v>
      </c>
      <c r="C64" t="s">
        <v>22</v>
      </c>
      <c r="D64" t="s">
        <v>60</v>
      </c>
      <c r="E64" s="2" t="str">
        <f>HYPERLINK("https://nga.laas.intel.com/#/nga_fv_gnr/failureManagement/bucket/917728ae-7416-44ad-904c-5803b401a23d","hw_err_ieh_satieh5_gerrnonsts,hw_err_msm_global_status_ctrl_reg_general_mca,hw_err_msm_global_status_ctrl_reg_global_viral,hw_err_msm_global_status_ctrl_reg_ierr,hw_err_msm_mbx_error_sts_mbx_overflow,hw_err_ubox_ncevents_ncevents_cr_bankmerge6_errlog,hw_e")</f>
        <v>hw_err_ieh_satieh5_gerrnonsts,hw_err_msm_global_status_ctrl_reg_general_mca,hw_err_msm_global_status_ctrl_reg_global_viral,hw_err_msm_global_status_ctrl_reg_ierr,hw_err_msm_mbx_error_sts_mbx_overflow,hw_err_ubox_ncevents_ncevents_cr_bankmerge6_errlog,hw_e</v>
      </c>
      <c r="F64" s="2" t="str">
        <f t="shared" si="3"/>
        <v>GNR-AP-X1_A0_VV</v>
      </c>
      <c r="G64" s="2" t="str">
        <f>HYPERLINK("https://axonsv.app.intel.com/apps/record-viewer?id=f16255ea-468c-666a-c1bb-84ea13f03a1b","f16255ea-468c-666a-c1bb-84ea13f03a1b")</f>
        <v>f16255ea-468c-666a-c1bb-84ea13f03a1b</v>
      </c>
      <c r="I64" t="s">
        <v>46</v>
      </c>
      <c r="J64" t="s">
        <v>61</v>
      </c>
    </row>
    <row r="65" spans="1:10" ht="14.5" x14ac:dyDescent="0.35">
      <c r="A65" s="2" t="str">
        <f>HYPERLINK("https://nga.laas.intel.com/#/nga_fv_gnr/failureManagement/failures/0daf92ac-fc9f-4e41-99f0-04f9472af359","0daf92ac")</f>
        <v>0daf92ac</v>
      </c>
      <c r="B65" t="s">
        <v>87</v>
      </c>
      <c r="C65" t="s">
        <v>30</v>
      </c>
      <c r="D65" t="s">
        <v>66</v>
      </c>
      <c r="E65" s="2" t="str">
        <f>HYPERLINK("https://nga.laas.intel.com/#/nga_fv_gnr/failureManagement/bucket/c3033c0f-002a-46d2-bead-9e7f85afc4dd","hw_err_msm_global_status_ctrl_reg_general_mca,hw_err_msm_global_status_ctrl_reg_global_viral,hw_err_msm_global_status_ctrl_reg_ierr,hw_err_msm_mbx_error_sts_mbx_overflow,hw_err_ubox_ncevents_ncevents_cr_bankmerge6_errlog,hw_err_uncersts_oob_received_an_un")</f>
        <v>hw_err_msm_global_status_ctrl_reg_general_mca,hw_err_msm_global_status_ctrl_reg_global_viral,hw_err_msm_global_status_ctrl_reg_ierr,hw_err_msm_mbx_error_sts_mbx_overflow,hw_err_ubox_ncevents_ncevents_cr_bankmerge6_errlog,hw_err_uncersts_oob_received_an_un</v>
      </c>
      <c r="F65" s="2" t="str">
        <f t="shared" si="3"/>
        <v>GNR-AP-X1_A0_VV</v>
      </c>
      <c r="G65" s="2" t="str">
        <f>HYPERLINK("https://axonsv.app.intel.com/apps/record-viewer?id=64c74623-8488-ab88-3b35-b39ef8e79aa3","64c74623-8488-ab88-3b35-b39ef8e79aa3")</f>
        <v>64c74623-8488-ab88-3b35-b39ef8e79aa3</v>
      </c>
      <c r="I65" t="s">
        <v>46</v>
      </c>
      <c r="J65" t="s">
        <v>20</v>
      </c>
    </row>
    <row r="66" spans="1:10" ht="14.5" x14ac:dyDescent="0.35">
      <c r="A66" s="2" t="str">
        <f>HYPERLINK("https://nga.laas.intel.com/#/nga_fv_gnr/failureManagement/failures/a584aa6c-d82c-4360-91bb-1f3b4cc6ac67","a584aa6c")</f>
        <v>a584aa6c</v>
      </c>
      <c r="B66" t="s">
        <v>108</v>
      </c>
      <c r="C66" t="s">
        <v>30</v>
      </c>
      <c r="D66" t="s">
        <v>66</v>
      </c>
      <c r="E66" s="2" t="str">
        <f>HYPERLINK("https://nga.laas.intel.com/#/nga_fv_gnr/failureManagement/bucket/6cfe8b63-47a6-498d-9bb0-604146904eed","hw_err_msm_mbx_error_sts_mbx_overflow,hw_err_uncersts_oob_received_an_unsupported_request")</f>
        <v>hw_err_msm_mbx_error_sts_mbx_overflow,hw_err_uncersts_oob_received_an_unsupported_request</v>
      </c>
      <c r="F66" s="2" t="str">
        <f t="shared" si="3"/>
        <v>GNR-AP-X1_A0_VV</v>
      </c>
      <c r="G66" s="2" t="str">
        <f>HYPERLINK("https://axonsv.app.intel.com/apps/record-viewer?id=6154a275-4cb9-ecff-b5f4-7046bf5f0000","6154a275-4cb9-ecff-b5f4-7046bf5f0000")</f>
        <v>6154a275-4cb9-ecff-b5f4-7046bf5f0000</v>
      </c>
      <c r="I66" t="s">
        <v>33</v>
      </c>
      <c r="J66" t="s">
        <v>74</v>
      </c>
    </row>
    <row r="67" spans="1:10" ht="14.5" x14ac:dyDescent="0.35">
      <c r="A67" s="2" t="str">
        <f>HYPERLINK("https://nga.laas.intel.com/#/nga_fv_gnr/failureManagement/failures/09cc1899-6932-47f4-bc5a-10a5927f8dee","09cc1899")</f>
        <v>09cc1899</v>
      </c>
      <c r="B67" t="s">
        <v>121</v>
      </c>
      <c r="C67" t="s">
        <v>22</v>
      </c>
      <c r="D67" t="s">
        <v>122</v>
      </c>
      <c r="E67" s="2" t="str">
        <f>HYPERLINK("https://nga.laas.intel.com/#/nga_fv_gnr/failureManagement/bucket/a4c0d4cf-ee6a-4d76-bdc0-e2a1433c23be","hw_err_ieh_satieh2_gerrnonsts,hw_err_ieh_satieh4_gerrcorsts,hw_err_msm_global_status_ctrl_reg_general_mca,hw_err_msm_global_status_ctrl_reg_global_viral,hw_err_msm_global_status_ctrl_reg_ierr,hw_err_msm_mbx_error_sts_mbx_overflow,hw_err_ubox_ncevents_ncev")</f>
        <v>hw_err_ieh_satieh2_gerrnonsts,hw_err_ieh_satieh4_gerrcorsts,hw_err_msm_global_status_ctrl_reg_general_mca,hw_err_msm_global_status_ctrl_reg_global_viral,hw_err_msm_global_status_ctrl_reg_ierr,hw_err_msm_mbx_error_sts_mbx_overflow,hw_err_ubox_ncevents_ncev</v>
      </c>
      <c r="F67" s="2" t="str">
        <f t="shared" si="3"/>
        <v>GNR-AP-X1_A0_VV</v>
      </c>
      <c r="G67" s="2" t="str">
        <f>HYPERLINK("https://axonsv.app.intel.com/apps/record-viewer?id=8bbf833e-4329-3608-23b9-613679b77e06","8bbf833e-4329-3608-23b9-613679b77e06")</f>
        <v>8bbf833e-4329-3608-23b9-613679b77e06</v>
      </c>
      <c r="I67" t="s">
        <v>46</v>
      </c>
      <c r="J67" t="s">
        <v>14</v>
      </c>
    </row>
    <row r="68" spans="1:10" ht="14.5" x14ac:dyDescent="0.35">
      <c r="A68" s="2" t="str">
        <f>HYPERLINK("https://nga.laas.intel.com/#/nga_fv_gnr/failureManagement/failures/73900363-f0ed-4411-8bfe-0b402cb5ed7c","73900363")</f>
        <v>73900363</v>
      </c>
      <c r="B68" t="s">
        <v>123</v>
      </c>
      <c r="C68" t="s">
        <v>22</v>
      </c>
      <c r="D68" t="s">
        <v>114</v>
      </c>
      <c r="F68" s="2" t="str">
        <f t="shared" si="3"/>
        <v>GNR-AP-X1_A0_VV</v>
      </c>
      <c r="G68" s="2" t="str">
        <f>HYPERLINK("https://axonsv.app.intel.com/apps/record-viewer?id=c19054ac-21fb-4bbc-1268-f35cd2830476","c19054ac-21fb-4bbc-1268-f35cd2830476")</f>
        <v>c19054ac-21fb-4bbc-1268-f35cd2830476</v>
      </c>
      <c r="H68" t="s">
        <v>124</v>
      </c>
      <c r="I68" t="s">
        <v>59</v>
      </c>
      <c r="J68" t="s">
        <v>51</v>
      </c>
    </row>
    <row r="69" spans="1:10" ht="14.5" x14ac:dyDescent="0.35">
      <c r="A69" s="2" t="str">
        <f>HYPERLINK("https://nga.laas.intel.com/#/nga_fv_gnr/failureManagement/failures/a769d0bb-1fcd-4290-8fb2-1e82fa3ce3ae","a769d0bb")</f>
        <v>a769d0bb</v>
      </c>
      <c r="B69" t="s">
        <v>125</v>
      </c>
      <c r="C69" t="s">
        <v>22</v>
      </c>
      <c r="D69" t="s">
        <v>23</v>
      </c>
      <c r="E69" s="2" t="str">
        <f>HYPERLINK("https://nga.laas.intel.com/#/nga_fv_gnr/failureManagement/bucket/5e5cc6d1-ef70-4f0d-a091-dee49a716206","junk")</f>
        <v>junk</v>
      </c>
      <c r="F69" s="2" t="str">
        <f t="shared" si="3"/>
        <v>GNR-AP-X1_A0_VV</v>
      </c>
      <c r="G69" s="2" t="str">
        <f>HYPERLINK("https://axonsv.app.intel.com/apps/record-viewer?id=392109b6-d59d-5c2c-b789-789438576fbb","392109b6-d59d-5c2c-b789-789438576fbb")</f>
        <v>392109b6-d59d-5c2c-b789-789438576fbb</v>
      </c>
      <c r="I69" t="s">
        <v>56</v>
      </c>
      <c r="J69" t="s">
        <v>20</v>
      </c>
    </row>
    <row r="70" spans="1:10" ht="14.5" x14ac:dyDescent="0.35">
      <c r="A70" s="2" t="str">
        <f>HYPERLINK("https://nga.laas.intel.com/#/nga_fv_gnr/failureManagement/failures/037f8996-7fd8-43af-b7c4-114196b8add9","037f8996")</f>
        <v>037f8996</v>
      </c>
      <c r="B70" t="s">
        <v>123</v>
      </c>
      <c r="C70" t="s">
        <v>30</v>
      </c>
      <c r="D70" t="s">
        <v>66</v>
      </c>
      <c r="E70" s="2" t="str">
        <f>HYPERLINK("https://nga.laas.intel.com/#/nga_fv_gnr/failureManagement/bucket/ce1e1704-456e-4f9a-b909-b002aa943c20","hw_err_msm_global_status_ctrl_reg_global_viral,hw_err_msm_global_status_ctrl_reg_ierr,hw_err_msm_global_status_ctrl_reg_msm_pmsb_err,hw_err_msm_global_status_ctrl_reg_pcode_err,hw_err_msm_global_status_ctrl_reg_peci_err,hw_err_msm_mbx_error_sts_mbx_overfl")</f>
        <v>hw_err_msm_global_status_ctrl_reg_global_viral,hw_err_msm_global_status_ctrl_reg_ierr,hw_err_msm_global_status_ctrl_reg_msm_pmsb_err,hw_err_msm_global_status_ctrl_reg_pcode_err,hw_err_msm_global_status_ctrl_reg_peci_err,hw_err_msm_mbx_error_sts_mbx_overfl</v>
      </c>
      <c r="F70" s="2" t="str">
        <f t="shared" si="3"/>
        <v>GNR-AP-X1_A0_VV</v>
      </c>
      <c r="G70" s="2" t="str">
        <f>HYPERLINK("https://axonsv.app.intel.com/apps/record-viewer?id=01573c00-bff0-1b69-086a-1a273206e7d8","01573c00-bff0-1b69-086a-1a273206e7d8")</f>
        <v>01573c00-bff0-1b69-086a-1a273206e7d8</v>
      </c>
      <c r="I70" t="s">
        <v>33</v>
      </c>
      <c r="J70" t="s">
        <v>74</v>
      </c>
    </row>
    <row r="71" spans="1:10" ht="14.5" x14ac:dyDescent="0.35">
      <c r="A71" s="2" t="str">
        <f>HYPERLINK("https://nga.laas.intel.com/#/nga_fv_gnr/failureManagement/failures/c5a12d03-48fd-46ba-aa61-0d8d11160891","c5a12d03")</f>
        <v>c5a12d03</v>
      </c>
      <c r="B71" t="s">
        <v>127</v>
      </c>
      <c r="C71" t="s">
        <v>22</v>
      </c>
      <c r="D71" t="s">
        <v>128</v>
      </c>
      <c r="E71" s="2" t="str">
        <f>HYPERLINK("https://nga.laas.intel.com/#/nga_fv_gnr/failureManagement/bucket/5e5cc6d1-ef70-4f0d-a091-dee49a716206","junk")</f>
        <v>junk</v>
      </c>
      <c r="F71" s="2" t="str">
        <f t="shared" si="3"/>
        <v>GNR-AP-X1_A0_VV</v>
      </c>
      <c r="G71" s="2" t="str">
        <f>HYPERLINK("https://axonsv.app.intel.com/apps/record-viewer?id=cdcccc08-9bfb-e45b-46d2-e162759f23ee","cdcccc08-9bfb-e45b-46d2-e162759f23ee")</f>
        <v>cdcccc08-9bfb-e45b-46d2-e162759f23ee</v>
      </c>
      <c r="I71" t="s">
        <v>46</v>
      </c>
      <c r="J71" t="s">
        <v>38</v>
      </c>
    </row>
    <row r="72" spans="1:10" ht="14.5" x14ac:dyDescent="0.35">
      <c r="A72" s="2" t="str">
        <f>HYPERLINK("https://nga.laas.intel.com/#/nga_fv_gnr/failureManagement/failures/12c39d54-c480-4e4c-bfc0-1eb5485b69ce","12c39d54")</f>
        <v>12c39d54</v>
      </c>
      <c r="B72" t="s">
        <v>129</v>
      </c>
      <c r="C72" t="s">
        <v>22</v>
      </c>
      <c r="D72" t="s">
        <v>130</v>
      </c>
      <c r="E72" s="2" t="str">
        <f>HYPERLINK("https://nga.laas.intel.com/#/nga_fv_gnr/failureManagement/bucket/5e5cc6d1-ef70-4f0d-a091-dee49a716206","junk")</f>
        <v>junk</v>
      </c>
      <c r="F72" s="2" t="str">
        <f t="shared" si="3"/>
        <v>GNR-AP-X1_A0_VV</v>
      </c>
      <c r="G72" s="2" t="str">
        <f>HYPERLINK("https://axonsv.app.intel.com/apps/record-viewer?id=f86183a5-5926-d356-2891-5382656d299c","f86183a5-5926-d356-2891-5382656d299c")</f>
        <v>f86183a5-5926-d356-2891-5382656d299c</v>
      </c>
      <c r="I72" t="s">
        <v>46</v>
      </c>
      <c r="J72" t="s">
        <v>74</v>
      </c>
    </row>
    <row r="73" spans="1:10" ht="14.5" x14ac:dyDescent="0.35">
      <c r="A73" s="2" t="str">
        <f>HYPERLINK("https://nga.laas.intel.com/#/nga_fv_gnr/failureManagement/failures/221cc84d-0dbf-44a2-97ab-0f675456d25e","221cc84d")</f>
        <v>221cc84d</v>
      </c>
      <c r="B73" t="s">
        <v>48</v>
      </c>
      <c r="C73" t="s">
        <v>22</v>
      </c>
      <c r="D73" t="s">
        <v>131</v>
      </c>
      <c r="E73" s="2" t="str">
        <f>HYPERLINK("https://nga.laas.intel.com/#/nga_fv_gnr/failureManagement/bucket/bacbbc5f-c15b-4b64-9f1f-f2bd6cba3641","hw_err_msm_global_status_ctrl_reg_general_mca,hw_err_msm_global_status_ctrl_reg_global_viral,hw_err_msm_global_status_ctrl_reg_ierr,hw_err_msm_mbx_error_sts_mbx_overflow,hw_err_ubox_ncevents_ncevents_cr_bankmerge5_errlog,hw_err_ubox_ncevents_ncevents_cr_b")</f>
        <v>hw_err_msm_global_status_ctrl_reg_general_mca,hw_err_msm_global_status_ctrl_reg_global_viral,hw_err_msm_global_status_ctrl_reg_ierr,hw_err_msm_mbx_error_sts_mbx_overflow,hw_err_ubox_ncevents_ncevents_cr_bankmerge5_errlog,hw_err_ubox_ncevents_ncevents_cr_b</v>
      </c>
      <c r="F73" s="2" t="str">
        <f t="shared" si="3"/>
        <v>GNR-AP-X1_A0_VV</v>
      </c>
      <c r="G73" s="2" t="str">
        <f>HYPERLINK("https://axonsv.app.intel.com/apps/record-viewer?id=bb84e5e4-b1ff-a541-3927-8301d6b9cd5d","bb84e5e4-b1ff-a541-3927-8301d6b9cd5d")</f>
        <v>bb84e5e4-b1ff-a541-3927-8301d6b9cd5d</v>
      </c>
      <c r="H73" t="s">
        <v>132</v>
      </c>
      <c r="I73" t="s">
        <v>46</v>
      </c>
      <c r="J73" t="s">
        <v>51</v>
      </c>
    </row>
    <row r="74" spans="1:10" ht="14.5" x14ac:dyDescent="0.35">
      <c r="A74" s="2" t="str">
        <f>HYPERLINK("https://nga.laas.intel.com/#/nga_fv_gnr/failureManagement/failures/1f631f97-c777-437c-b51f-21c72cbda5e3","1f631f97")</f>
        <v>1f631f97</v>
      </c>
      <c r="B74" t="s">
        <v>133</v>
      </c>
      <c r="C74" t="s">
        <v>30</v>
      </c>
      <c r="D74" t="s">
        <v>66</v>
      </c>
      <c r="E74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74" s="2" t="str">
        <f t="shared" si="3"/>
        <v>GNR-AP-X1_A0_VV</v>
      </c>
      <c r="G74" s="2" t="str">
        <f>HYPERLINK("https://axonsv.app.intel.com/apps/record-viewer?id=b6fd0b1b-8970-3604-3fac-d365545f3199","b6fd0b1b-8970-3604-3fac-d365545f3199")</f>
        <v>b6fd0b1b-8970-3604-3fac-d365545f3199</v>
      </c>
      <c r="I74" t="s">
        <v>33</v>
      </c>
      <c r="J74" t="s">
        <v>38</v>
      </c>
    </row>
    <row r="75" spans="1:10" ht="14.5" x14ac:dyDescent="0.35">
      <c r="A75" s="2" t="str">
        <f>HYPERLINK("https://nga.laas.intel.com/#/nga_fv_gnr/failureManagement/failures/97cbd085-0fee-4be5-a887-0c8a6990ea86","97cbd085")</f>
        <v>97cbd085</v>
      </c>
      <c r="B75" t="s">
        <v>57</v>
      </c>
      <c r="C75" t="s">
        <v>22</v>
      </c>
      <c r="D75" t="s">
        <v>77</v>
      </c>
      <c r="E75" s="2" t="str">
        <f>HYPERLINK("https://nga.laas.intel.com/#/nga_fv_gnr/failureManagement/bucket/6c6f583f-96ad-4971-b980-eea615969ed0","hw_err_msm_global_status_ctrl_reg_general_mca,hw_err_msm_global_status_ctrl_reg_global_viral,hw_err_msm_global_status_ctrl_reg_ierr,hw_err_msm_mbx_error_sts_mbx_overflow,hw_err_ubox_ncevents_ncevents_cr_bankmerge6_errlog,hw_err_uncersts_msm_received_an_un")</f>
        <v>hw_err_msm_global_status_ctrl_reg_general_mca,hw_err_msm_global_status_ctrl_reg_global_viral,hw_err_msm_global_status_ctrl_reg_ierr,hw_err_msm_mbx_error_sts_mbx_overflow,hw_err_ubox_ncevents_ncevents_cr_bankmerge6_errlog,hw_err_uncersts_msm_received_an_un</v>
      </c>
      <c r="F75" s="2" t="str">
        <f t="shared" si="3"/>
        <v>GNR-AP-X1_A0_VV</v>
      </c>
      <c r="G75" s="2" t="str">
        <f>HYPERLINK("https://axonsv.app.intel.com/apps/record-viewer?id=0c73ce7c-a8d7-f482-49b4-87fe7eccc6dd","0c73ce7c-a8d7-f482-49b4-87fe7eccc6dd")</f>
        <v>0c73ce7c-a8d7-f482-49b4-87fe7eccc6dd</v>
      </c>
      <c r="H75" t="s">
        <v>132</v>
      </c>
      <c r="I75" t="s">
        <v>46</v>
      </c>
      <c r="J75" t="s">
        <v>51</v>
      </c>
    </row>
    <row r="76" spans="1:10" ht="14.5" x14ac:dyDescent="0.35">
      <c r="A76" s="2" t="str">
        <f>HYPERLINK("https://nga.laas.intel.com/#/nga_fv_gnr/failureManagement/failures/3c8f90c0-0a52-463e-8e65-1d208ed90d8e","3c8f90c0")</f>
        <v>3c8f90c0</v>
      </c>
      <c r="B76" t="s">
        <v>104</v>
      </c>
      <c r="C76" t="s">
        <v>22</v>
      </c>
      <c r="D76" t="s">
        <v>135</v>
      </c>
      <c r="E76" s="2" t="str">
        <f>HYPERLINK("https://nga.laas.intel.com/#/nga_fv_gnr/failureManagement/bucket/6c6f583f-96ad-4971-b980-eea615969ed0","hw_err_msm_global_status_ctrl_reg_general_mca,hw_err_msm_global_status_ctrl_reg_global_viral,hw_err_msm_global_status_ctrl_reg_ierr,hw_err_msm_mbx_error_sts_mbx_overflow,hw_err_ubox_ncevents_ncevents_cr_bankmerge6_errlog,hw_err_uncersts_msm_received_an_un")</f>
        <v>hw_err_msm_global_status_ctrl_reg_general_mca,hw_err_msm_global_status_ctrl_reg_global_viral,hw_err_msm_global_status_ctrl_reg_ierr,hw_err_msm_mbx_error_sts_mbx_overflow,hw_err_ubox_ncevents_ncevents_cr_bankmerge6_errlog,hw_err_uncersts_msm_received_an_un</v>
      </c>
      <c r="F76" s="2" t="str">
        <f t="shared" si="3"/>
        <v>GNR-AP-X1_A0_VV</v>
      </c>
      <c r="G76" s="2" t="str">
        <f>HYPERLINK("https://axonsv.app.intel.com/apps/record-viewer?id=48a36858-ad93-7dcb-0169-e23a0dc96139","48a36858-ad93-7dcb-0169-e23a0dc96139")</f>
        <v>48a36858-ad93-7dcb-0169-e23a0dc96139</v>
      </c>
      <c r="H76" t="s">
        <v>132</v>
      </c>
      <c r="I76" t="s">
        <v>46</v>
      </c>
      <c r="J76" t="s">
        <v>51</v>
      </c>
    </row>
    <row r="77" spans="1:10" ht="14.5" x14ac:dyDescent="0.35">
      <c r="A77" s="2" t="str">
        <f>HYPERLINK("https://nga.laas.intel.com/#/nga_fv_gnr/failureManagement/failures/c84e3cbd-bae1-4df7-99c5-1c04ef8aae6e","c84e3cbd")</f>
        <v>c84e3cbd</v>
      </c>
      <c r="B77" t="s">
        <v>101</v>
      </c>
      <c r="C77" t="s">
        <v>11</v>
      </c>
      <c r="D77" t="s">
        <v>70</v>
      </c>
      <c r="E77" s="2" t="str">
        <f>HYPERLINK("https://nga.laas.intel.com/#/nga_fv_gnr/failureManagement/bucket/91621659-a593-4788-8fee-336e4697ecf4","hw_err_msm_mbx_error_sts_mbx_overflow_hw_err_uncersts_msm_received_an_unsupported_request")</f>
        <v>hw_err_msm_mbx_error_sts_mbx_overflow_hw_err_uncersts_msm_received_an_unsupported_request</v>
      </c>
      <c r="F77" s="2" t="str">
        <f t="shared" ref="F77:F88" si="4">HYPERLINK("https://nga.laas.intel.com/#/nga_fv_gnr/planning/suites/4602b7c0-cc4c-4841-bc78-d3764cf13fe2","GNR-AP-X1_A0_VV")</f>
        <v>GNR-AP-X1_A0_VV</v>
      </c>
      <c r="G77" s="2" t="str">
        <f>HYPERLINK("https://axonsv.app.intel.com/apps/record-viewer?id=faba7d45-888e-66e1-cb96-8cb87292b076","faba7d45-888e-66e1-cb96-8cb87292b076")</f>
        <v>faba7d45-888e-66e1-cb96-8cb87292b076</v>
      </c>
      <c r="I77" t="s">
        <v>33</v>
      </c>
      <c r="J77" t="s">
        <v>82</v>
      </c>
    </row>
    <row r="78" spans="1:10" ht="14.5" x14ac:dyDescent="0.35">
      <c r="A78" s="2" t="str">
        <f>HYPERLINK("https://nga.laas.intel.com/#/nga_fv_gnr/failureManagement/failures/5ff26cb5-b096-48a5-a07d-18f840cdccef","5ff26cb5")</f>
        <v>5ff26cb5</v>
      </c>
      <c r="B78" t="s">
        <v>35</v>
      </c>
      <c r="C78" t="s">
        <v>88</v>
      </c>
      <c r="D78" t="s">
        <v>105</v>
      </c>
      <c r="E78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78" s="2" t="str">
        <f t="shared" si="4"/>
        <v>GNR-AP-X1_A0_VV</v>
      </c>
      <c r="G78" s="2" t="str">
        <f>HYPERLINK("https://axonsv.app.intel.com/apps/record-viewer?id=9a364861-7993-497a-9e38-83060fb28232","9a364861-7993-497a-9e38-83060fb28232")</f>
        <v>9a364861-7993-497a-9e38-83060fb28232</v>
      </c>
      <c r="H78" t="s">
        <v>137</v>
      </c>
      <c r="I78" t="s">
        <v>33</v>
      </c>
      <c r="J78" t="s">
        <v>51</v>
      </c>
    </row>
    <row r="79" spans="1:10" ht="14.5" x14ac:dyDescent="0.35">
      <c r="A79" s="2" t="str">
        <f>HYPERLINK("https://nga.laas.intel.com/#/nga_fv_gnr/failureManagement/failures/a4c6f2de-02ae-416a-8f13-0476d737322b","a4c6f2de")</f>
        <v>a4c6f2de</v>
      </c>
      <c r="B79" t="s">
        <v>138</v>
      </c>
      <c r="C79" t="s">
        <v>30</v>
      </c>
      <c r="D79" t="s">
        <v>66</v>
      </c>
      <c r="E79" s="2" t="str">
        <f>HYPERLINK("https://nga.laas.intel.com/#/nga_fv_gnr/failureManagement/bucket/c532439a-0a5b-4f6d-9a7d-2f99556751a9","hw_err_msm_global_status_ctrl_reg_global_viral,hw_err_msm_global_status_ctrl_reg_ierr,hw_err_ras_uncore_punit,hw_err_ras_upi_upi1,hw_err_ubox_ncevents_ncevents_cr_bankmerge5_errlog,hw_err_uncore_ubox_hard_hang,hw_mce_pcu_mcacod_0402h_mscod_agg,hw_mce_upi_")</f>
        <v>hw_err_msm_global_status_ctrl_reg_global_viral,hw_err_msm_global_status_ctrl_reg_ierr,hw_err_ras_uncore_punit,hw_err_ras_upi_upi1,hw_err_ubox_ncevents_ncevents_cr_bankmerge5_errlog,hw_err_uncore_ubox_hard_hang,hw_mce_pcu_mcacod_0402h_mscod_agg,hw_mce_upi_</v>
      </c>
      <c r="F79" s="2" t="str">
        <f t="shared" si="4"/>
        <v>GNR-AP-X1_A0_VV</v>
      </c>
      <c r="G79" s="2" t="str">
        <f>HYPERLINK("https://axonsv.app.intel.com/apps/record-viewer?id=348057ab-ab36-24e1-ec0d-38775f9091ad","348057ab-ab36-24e1-ec0d-38775f9091ad")</f>
        <v>348057ab-ab36-24e1-ec0d-38775f9091ad</v>
      </c>
      <c r="I79" t="s">
        <v>120</v>
      </c>
      <c r="J79" t="s">
        <v>38</v>
      </c>
    </row>
    <row r="80" spans="1:10" ht="14.5" x14ac:dyDescent="0.35">
      <c r="A80" s="2" t="str">
        <f>HYPERLINK("https://nga.laas.intel.com/#/nga_fv_gnr/failureManagement/failures/0ec64929-185a-4db8-b71d-086dbe54f74b","0ec64929")</f>
        <v>0ec64929</v>
      </c>
      <c r="B80" t="s">
        <v>91</v>
      </c>
      <c r="C80" t="s">
        <v>22</v>
      </c>
      <c r="D80" t="s">
        <v>139</v>
      </c>
      <c r="E80" s="2" t="str">
        <f>HYPERLINK("https://nga.laas.intel.com/#/nga_fv_gnr/failureManagement/bucket/5e5cc6d1-ef70-4f0d-a091-dee49a716206","junk")</f>
        <v>junk</v>
      </c>
      <c r="F80" s="2" t="str">
        <f t="shared" si="4"/>
        <v>GNR-AP-X1_A0_VV</v>
      </c>
      <c r="G80" s="2" t="str">
        <f>HYPERLINK("https://axonsv.app.intel.com/apps/record-viewer?id=abcbd13f-b9a0-45fe-bd31-7508b2f357be","abcbd13f-b9a0-45fe-bd31-7508b2f357be")</f>
        <v>abcbd13f-b9a0-45fe-bd31-7508b2f357be</v>
      </c>
      <c r="I80" t="s">
        <v>33</v>
      </c>
      <c r="J80" t="s">
        <v>74</v>
      </c>
    </row>
    <row r="81" spans="1:10" ht="14.5" x14ac:dyDescent="0.35">
      <c r="A81" s="2" t="str">
        <f>HYPERLINK("https://nga.laas.intel.com/#/nga_fv_gnr/failureManagement/failures/aa063b25-9336-4355-acab-14c3918ec710","aa063b25")</f>
        <v>aa063b25</v>
      </c>
      <c r="B81" t="s">
        <v>48</v>
      </c>
      <c r="C81" t="s">
        <v>22</v>
      </c>
      <c r="D81" t="s">
        <v>140</v>
      </c>
      <c r="E81" s="2" t="str">
        <f>HYPERLINK("https://nga.laas.intel.com/#/nga_fv_gnr/failureManagement/bucket/5e5cc6d1-ef70-4f0d-a091-dee49a716206","junk")</f>
        <v>junk</v>
      </c>
      <c r="F81" s="2" t="str">
        <f t="shared" si="4"/>
        <v>GNR-AP-X1_A0_VV</v>
      </c>
      <c r="G81" s="2" t="str">
        <f>HYPERLINK("https://axonsv.app.intel.com/apps/record-viewer?id=6f55d46a-5a34-4a57-89ed-693d64848422","6f55d46a-5a34-4a57-89ed-693d64848422")</f>
        <v>6f55d46a-5a34-4a57-89ed-693d64848422</v>
      </c>
      <c r="I81" t="s">
        <v>33</v>
      </c>
      <c r="J81" t="s">
        <v>61</v>
      </c>
    </row>
    <row r="82" spans="1:10" ht="14.5" x14ac:dyDescent="0.35">
      <c r="A82" s="2" t="str">
        <f>HYPERLINK("https://nga.laas.intel.com/#/nga_fv_gnr/failureManagement/failures/fd4ff594-8ae9-47f6-9b2d-1c545971542c","fd4ff594")</f>
        <v>fd4ff594</v>
      </c>
      <c r="B82" t="s">
        <v>48</v>
      </c>
      <c r="C82" t="s">
        <v>22</v>
      </c>
      <c r="D82" t="s">
        <v>141</v>
      </c>
      <c r="E8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82" s="2" t="str">
        <f t="shared" si="4"/>
        <v>GNR-AP-X1_A0_VV</v>
      </c>
      <c r="G82" s="2" t="str">
        <f>HYPERLINK("https://axonsv.app.intel.com/apps/record-viewer?id=b9002f4a-c084-43a3-8740-6eb165053ad5","b9002f4a-c084-43a3-8740-6eb165053ad5")</f>
        <v>b9002f4a-c084-43a3-8740-6eb165053ad5</v>
      </c>
      <c r="I82" t="s">
        <v>33</v>
      </c>
      <c r="J82" t="s">
        <v>61</v>
      </c>
    </row>
    <row r="83" spans="1:10" ht="14.5" x14ac:dyDescent="0.35">
      <c r="A83" s="2" t="str">
        <f>HYPERLINK("https://nga.laas.intel.com/#/nga_fv_gnr/failureManagement/failures/c4bac8b7-4b10-4198-9f71-02266df4487d","c4bac8b7")</f>
        <v>c4bac8b7</v>
      </c>
      <c r="B83" t="s">
        <v>109</v>
      </c>
      <c r="C83" t="s">
        <v>22</v>
      </c>
      <c r="D83" t="s">
        <v>23</v>
      </c>
      <c r="E83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83" s="2" t="str">
        <f t="shared" si="4"/>
        <v>GNR-AP-X1_A0_VV</v>
      </c>
      <c r="G83" s="2" t="str">
        <f>HYPERLINK("https://axonsv.app.intel.com/apps/record-viewer?id=91ff0fa7-6e86-4600-bd3f-2e3cd2838f75","91ff0fa7-6e86-4600-bd3f-2e3cd2838f75")</f>
        <v>91ff0fa7-6e86-4600-bd3f-2e3cd2838f75</v>
      </c>
      <c r="I83" t="s">
        <v>33</v>
      </c>
      <c r="J83" t="s">
        <v>20</v>
      </c>
    </row>
    <row r="84" spans="1:10" ht="14.5" x14ac:dyDescent="0.35">
      <c r="A84" s="2" t="str">
        <f>HYPERLINK("https://nga.laas.intel.com/#/nga_fv_gnr/failureManagement/failures/97c499e2-6112-4567-8d7d-11cf7cd6be74","97c499e2")</f>
        <v>97c499e2</v>
      </c>
      <c r="B84" t="s">
        <v>91</v>
      </c>
      <c r="C84" t="s">
        <v>22</v>
      </c>
      <c r="D84" t="s">
        <v>142</v>
      </c>
      <c r="E84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84" s="2" t="str">
        <f t="shared" si="4"/>
        <v>GNR-AP-X1_A0_VV</v>
      </c>
      <c r="G84" s="2" t="str">
        <f>HYPERLINK("https://axonsv.app.intel.com/apps/record-viewer?id=ece05b24-561f-4f74-b790-dd8ae25e73a4","ece05b24-561f-4f74-b790-dd8ae25e73a4")</f>
        <v>ece05b24-561f-4f74-b790-dd8ae25e73a4</v>
      </c>
      <c r="H84" t="s">
        <v>143</v>
      </c>
      <c r="I84" t="s">
        <v>33</v>
      </c>
      <c r="J84" t="s">
        <v>51</v>
      </c>
    </row>
    <row r="85" spans="1:10" ht="14.5" x14ac:dyDescent="0.35">
      <c r="A85" s="2" t="str">
        <f>HYPERLINK("https://nga.laas.intel.com/#/nga_fv_gnr/failureManagement/failures/6037090b-4205-4f94-b39c-1ba702878f66","6037090b")</f>
        <v>6037090b</v>
      </c>
      <c r="B85" t="s">
        <v>96</v>
      </c>
      <c r="C85" t="s">
        <v>30</v>
      </c>
      <c r="D85" t="s">
        <v>66</v>
      </c>
      <c r="E85" s="2" t="str">
        <f>HYPERLINK("https://nga.laas.intel.com/#/nga_fv_gnr/failureManagement/bucket/aeafa370-2ba2-402c-b23c-c3e94b7dbed4","hw_err_msm_mbx_error_sts_mbx_overflow_hw_err_upi_upi0_flit_mismatch_hw_err_upi_upi1_flit_mismatch")</f>
        <v>hw_err_msm_mbx_error_sts_mbx_overflow_hw_err_upi_upi0_flit_mismatch_hw_err_upi_upi1_flit_mismatch</v>
      </c>
      <c r="F85" s="2" t="str">
        <f t="shared" si="4"/>
        <v>GNR-AP-X1_A0_VV</v>
      </c>
      <c r="G85" s="2" t="str">
        <f>HYPERLINK("https://axonsv.app.intel.com/apps/record-viewer?id=16d50723-49fb-f469-12a6-af2284f2d3c4","16d50723-49fb-f469-12a6-af2284f2d3c4")</f>
        <v>16d50723-49fb-f469-12a6-af2284f2d3c4</v>
      </c>
      <c r="I85" t="s">
        <v>33</v>
      </c>
      <c r="J85" t="s">
        <v>20</v>
      </c>
    </row>
    <row r="86" spans="1:10" ht="14.5" x14ac:dyDescent="0.35">
      <c r="A86" s="2" t="str">
        <f>HYPERLINK("https://nga.laas.intel.com/#/nga_fv_gnr/failureManagement/failures/dc5ce86c-4a88-4555-9290-072755b93a99","dc5ce86c")</f>
        <v>dc5ce86c</v>
      </c>
      <c r="B86" t="s">
        <v>91</v>
      </c>
      <c r="C86" t="s">
        <v>22</v>
      </c>
      <c r="D86" t="s">
        <v>23</v>
      </c>
      <c r="E86" s="2" t="str">
        <f>HYPERLINK("https://nga.laas.intel.com/#/nga_fv_gnr/failureManagement/bucket/6d7c37b7-3873-47a1-88b2-488fb457385c","hw_err_ieh_satieh3_gerrcorsts_hw_err_ieh_satieh3_gerrnonsts_hw_err_msm_global_status_ctrl_reg_general_mca_hw_err_msm_global_status_ctrl_reg_global_viral_hw_err_msm_global_status_ctrl_reg_ierr_hw_err_msm_mbx_error_sts_mbx_overflow_hw_err_ras_cha_cha14_hw_e")</f>
        <v>hw_err_ieh_satieh3_gerrcorsts_hw_err_ieh_satieh3_gerrnonsts_hw_err_msm_global_status_ctrl_reg_general_mca_hw_err_msm_global_status_ctrl_reg_global_viral_hw_err_msm_global_status_ctrl_reg_ierr_hw_err_msm_mbx_error_sts_mbx_overflow_hw_err_ras_cha_cha14_hw_e</v>
      </c>
      <c r="F86" s="2" t="str">
        <f t="shared" si="4"/>
        <v>GNR-AP-X1_A0_VV</v>
      </c>
      <c r="G86" s="2" t="str">
        <f>HYPERLINK("https://axonsv.app.intel.com/apps/record-viewer?id=fe768d92-05a6-162f-05fc-fc722d3fec8b","fe768d92-05a6-162f-05fc-fc722d3fec8b")</f>
        <v>fe768d92-05a6-162f-05fc-fc722d3fec8b</v>
      </c>
      <c r="I86" t="s">
        <v>144</v>
      </c>
      <c r="J86" t="s">
        <v>20</v>
      </c>
    </row>
    <row r="87" spans="1:10" ht="14.5" x14ac:dyDescent="0.35">
      <c r="A87" s="2" t="str">
        <f>HYPERLINK("https://nga.laas.intel.com/#/nga_fv_gnr/failureManagement/failures/bdbffbbe-8bb0-48c2-9fe5-0ca6032dcf6c","bdbffbbe")</f>
        <v>bdbffbbe</v>
      </c>
      <c r="B87" t="s">
        <v>136</v>
      </c>
      <c r="C87" t="s">
        <v>22</v>
      </c>
      <c r="D87" t="s">
        <v>145</v>
      </c>
      <c r="E87" s="2" t="str">
        <f>HYPERLINK("https://nga.laas.intel.com/#/nga_fv_gnr/failureManagement/bucket/5e5cc6d1-ef70-4f0d-a091-dee49a716206","junk")</f>
        <v>junk</v>
      </c>
      <c r="F87" s="2" t="str">
        <f t="shared" si="4"/>
        <v>GNR-AP-X1_A0_VV</v>
      </c>
      <c r="G87" s="2" t="str">
        <f>HYPERLINK("https://axonsv.app.intel.com/apps/record-viewer?id=d42b68ef-5c57-4f3e-9f0a-d254d99b5755","d42b68ef-5c57-4f3e-9f0a-d254d99b5755")</f>
        <v>d42b68ef-5c57-4f3e-9f0a-d254d99b5755</v>
      </c>
      <c r="H87" t="s">
        <v>146</v>
      </c>
      <c r="I87" t="s">
        <v>33</v>
      </c>
      <c r="J87" t="s">
        <v>112</v>
      </c>
    </row>
    <row r="88" spans="1:10" ht="14.5" x14ac:dyDescent="0.35">
      <c r="A88" s="2" t="str">
        <f>HYPERLINK("https://nga.laas.intel.com/#/nga_fv_gnr/failureManagement/failures/56a2028c-bc97-43db-86ae-1f23c047718a","56a2028c")</f>
        <v>56a2028c</v>
      </c>
      <c r="B88" t="s">
        <v>109</v>
      </c>
      <c r="C88" t="s">
        <v>22</v>
      </c>
      <c r="D88" t="s">
        <v>147</v>
      </c>
      <c r="E88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88" s="2" t="str">
        <f t="shared" si="4"/>
        <v>GNR-AP-X1_A0_VV</v>
      </c>
      <c r="G88" s="2" t="str">
        <f>HYPERLINK("https://axonsv.app.intel.com/apps/record-viewer?id=db70275c-5a94-a5fc-0dba-40245a88074a","db70275c-5a94-a5fc-0dba-40245a88074a")</f>
        <v>db70275c-5a94-a5fc-0dba-40245a88074a</v>
      </c>
      <c r="I88" t="s">
        <v>33</v>
      </c>
      <c r="J88" t="s">
        <v>82</v>
      </c>
    </row>
    <row r="89" spans="1:10" ht="14.5" x14ac:dyDescent="0.35">
      <c r="A89" s="2" t="str">
        <f>HYPERLINK("https://nga.laas.intel.com/#/nga_fv_gnr/failureManagement/failures/7132b762-0b17-4d19-a697-140b17052b58","7132b762")</f>
        <v>7132b762</v>
      </c>
      <c r="B89" t="s">
        <v>148</v>
      </c>
      <c r="C89" t="s">
        <v>22</v>
      </c>
      <c r="D89" t="s">
        <v>64</v>
      </c>
      <c r="E89" s="2" t="str">
        <f>HYPERLINK("https://nga.laas.intel.com/#/nga_fv_gnr/failureManagement/bucket/6cd33231-fcfc-4c0b-ad65-a1574ff92e65","hw_err_ieh_satieh4_gerrcorsts_hw_err_ieh_satieh4_gerrnonsts_hw_err_msm_mbx_error_sts_mbx_overflow_hw_err_uncersts_oob_received_an_unsupported_request")</f>
        <v>hw_err_ieh_satieh4_gerrcorsts_hw_err_ieh_satieh4_gerrnonsts_hw_err_msm_mbx_error_sts_mbx_overflow_hw_err_uncersts_oob_received_an_unsupported_request</v>
      </c>
      <c r="F89" s="2" t="str">
        <f>HYPERLINK("https://nga.laas.intel.com/#/nga_fv_gnr/planning/suites/e16eec50-449c-4687-8d5b-dc485b2109a8","GNR-AP-X1_A0_Reset")</f>
        <v>GNR-AP-X1_A0_Reset</v>
      </c>
      <c r="G89" s="2" t="str">
        <f>HYPERLINK("https://axonsv.app.intel.com/apps/record-viewer?id=d1b278ec-92d5-587b-e6c4-0876a5affa65","d1b278ec-92d5-587b-e6c4-0876a5affa65")</f>
        <v>d1b278ec-92d5-587b-e6c4-0876a5affa65</v>
      </c>
      <c r="I89" t="s">
        <v>33</v>
      </c>
      <c r="J89" t="s">
        <v>34</v>
      </c>
    </row>
    <row r="90" spans="1:10" ht="14.5" x14ac:dyDescent="0.35">
      <c r="A90" s="2" t="str">
        <f>HYPERLINK("https://nga.laas.intel.com/#/nga_fv_gnr/failureManagement/failures/80fb51b6-7bdc-4665-900d-1dd6fb9c901a","80fb51b6")</f>
        <v>80fb51b6</v>
      </c>
      <c r="B90" t="s">
        <v>149</v>
      </c>
      <c r="C90" t="s">
        <v>22</v>
      </c>
      <c r="D90" t="s">
        <v>150</v>
      </c>
      <c r="E90" s="2" t="str">
        <f>HYPERLINK("https://nga.laas.intel.com/#/nga_fv_gnr/failureManagement/bucket/5e5cc6d1-ef70-4f0d-a091-dee49a716206","junk")</f>
        <v>junk</v>
      </c>
      <c r="F90" s="2" t="str">
        <f t="shared" ref="F90:F102" si="5">HYPERLINK("https://nga.laas.intel.com/#/nga_fv_gnr/planning/suites/4602b7c0-cc4c-4841-bc78-d3764cf13fe2","GNR-AP-X1_A0_VV")</f>
        <v>GNR-AP-X1_A0_VV</v>
      </c>
      <c r="G90" s="2" t="str">
        <f>HYPERLINK("https://axonsv.app.intel.com/apps/record-viewer?id=d1047e9a-9c42-4af9-90c4-a5573ea3e30b","d1047e9a-9c42-4af9-90c4-a5573ea3e30b")</f>
        <v>d1047e9a-9c42-4af9-90c4-a5573ea3e30b</v>
      </c>
      <c r="H90" t="s">
        <v>151</v>
      </c>
      <c r="I90" t="s">
        <v>33</v>
      </c>
      <c r="J90" t="s">
        <v>112</v>
      </c>
    </row>
    <row r="91" spans="1:10" ht="14.5" x14ac:dyDescent="0.35">
      <c r="A91" s="2" t="str">
        <f>HYPERLINK("https://nga.laas.intel.com/#/nga_fv_gnr/failureManagement/failures/abbb6e1f-35a6-4107-bb58-1627878f59c4","abbb6e1f")</f>
        <v>abbb6e1f</v>
      </c>
      <c r="B91" t="s">
        <v>35</v>
      </c>
      <c r="C91" t="s">
        <v>22</v>
      </c>
      <c r="D91" t="s">
        <v>152</v>
      </c>
      <c r="E91" s="2" t="str">
        <f>HYPERLINK("https://nga.laas.intel.com/#/nga_fv_gnr/failureManagement/bucket/5e5cc6d1-ef70-4f0d-a091-dee49a716206","junk")</f>
        <v>junk</v>
      </c>
      <c r="F91" s="2" t="str">
        <f t="shared" si="5"/>
        <v>GNR-AP-X1_A0_VV</v>
      </c>
      <c r="G91" s="2" t="str">
        <f>HYPERLINK("https://axonsv.app.intel.com/apps/record-viewer?id=4a7cb4ce-059d-4798-8592-5d5f7386d43f","4a7cb4ce-059d-4798-8592-5d5f7386d43f")</f>
        <v>4a7cb4ce-059d-4798-8592-5d5f7386d43f</v>
      </c>
      <c r="H91" t="s">
        <v>153</v>
      </c>
      <c r="I91" t="s">
        <v>33</v>
      </c>
      <c r="J91" t="s">
        <v>82</v>
      </c>
    </row>
    <row r="92" spans="1:10" ht="14.5" x14ac:dyDescent="0.35">
      <c r="A92" s="2" t="str">
        <f>HYPERLINK("https://nga.laas.intel.com/#/nga_fv_gnr/failureManagement/failures/3115a1e3-9ea7-4693-9eb6-122ad5c5847f","3115a1e3")</f>
        <v>3115a1e3</v>
      </c>
      <c r="B92" t="s">
        <v>96</v>
      </c>
      <c r="C92" t="s">
        <v>22</v>
      </c>
      <c r="D92" t="s">
        <v>154</v>
      </c>
      <c r="F92" s="2" t="str">
        <f t="shared" si="5"/>
        <v>GNR-AP-X1_A0_VV</v>
      </c>
      <c r="G92" s="2" t="str">
        <f>HYPERLINK("https://axonsv.app.intel.com/apps/record-viewer?id=b0975933-0b11-473a-a4d5-3e8b63efd5e2","b0975933-0b11-473a-a4d5-3e8b63efd5e2")</f>
        <v>b0975933-0b11-473a-a4d5-3e8b63efd5e2</v>
      </c>
      <c r="H92" t="s">
        <v>155</v>
      </c>
      <c r="I92" t="s">
        <v>33</v>
      </c>
      <c r="J92" t="s">
        <v>82</v>
      </c>
    </row>
    <row r="93" spans="1:10" ht="14.5" x14ac:dyDescent="0.35">
      <c r="A93" s="2" t="str">
        <f>HYPERLINK("https://nga.laas.intel.com/#/nga_fv_gnr/failureManagement/failures/2b268d1f-9843-40a8-bbcb-1833755a15cb","2b268d1f")</f>
        <v>2b268d1f</v>
      </c>
      <c r="B93" t="s">
        <v>96</v>
      </c>
      <c r="C93" t="s">
        <v>22</v>
      </c>
      <c r="D93" t="s">
        <v>156</v>
      </c>
      <c r="F93" s="2" t="str">
        <f t="shared" si="5"/>
        <v>GNR-AP-X1_A0_VV</v>
      </c>
      <c r="G93" s="2" t="str">
        <f>HYPERLINK("https://axonsv.app.intel.com/apps/record-viewer?id=72f02153-df9b-4157-9e07-0f37a01ba6e2","72f02153-df9b-4157-9e07-0f37a01ba6e2")</f>
        <v>72f02153-df9b-4157-9e07-0f37a01ba6e2</v>
      </c>
      <c r="H93" t="s">
        <v>157</v>
      </c>
      <c r="I93" t="s">
        <v>33</v>
      </c>
      <c r="J93" t="s">
        <v>82</v>
      </c>
    </row>
    <row r="94" spans="1:10" ht="14.5" x14ac:dyDescent="0.35">
      <c r="A94" s="2" t="str">
        <f>HYPERLINK("https://nga.laas.intel.com/#/nga_fv_gnr/failureManagement/failures/652ddb97-22de-43b3-9a0f-147d43041c2b","652ddb97")</f>
        <v>652ddb97</v>
      </c>
      <c r="B94" t="s">
        <v>138</v>
      </c>
      <c r="C94" t="s">
        <v>30</v>
      </c>
      <c r="D94" t="s">
        <v>66</v>
      </c>
      <c r="E94" s="2" t="str">
        <f>HYPERLINK("https://nga.laas.intel.com/#/nga_fv_gnr/failureManagement/bucket/c3d05b8d-d544-4987-910f-981e879789be","hw_err_ras_cha_cha2_hw_err_ras_cha_cha24_hw_err_ras_cha_cha35_hw_err_ras_cha_cha48_hw_err_ras_upi_upi1_hw_err_ubox_ncevents_ncevents_cr_bankmerge5_errlog_hw_err_ubox_ncevents_ncevents_cr_bankmerge7_errlog_hw_err_upi_upi0_flit_mismatch_hw_err_upi_upi1_f...")</f>
        <v>hw_err_ras_cha_cha2_hw_err_ras_cha_cha24_hw_err_ras_cha_cha35_hw_err_ras_cha_cha48_hw_err_ras_upi_upi1_hw_err_ubox_ncevents_ncevents_cr_bankmerge5_errlog_hw_err_ubox_ncevents_ncevents_cr_bankmerge7_errlog_hw_err_upi_upi0_flit_mismatch_hw_err_upi_upi1_f...</v>
      </c>
      <c r="F94" s="2" t="str">
        <f t="shared" si="5"/>
        <v>GNR-AP-X1_A0_VV</v>
      </c>
      <c r="G94" s="2" t="str">
        <f>HYPERLINK("https://axonsv.app.intel.com/apps/record-viewer?id=8d1da1dc-aca2-4efd-b48b-ce079ac679ef","8d1da1dc-aca2-4efd-b48b-ce079ac679ef")</f>
        <v>8d1da1dc-aca2-4efd-b48b-ce079ac679ef</v>
      </c>
      <c r="I94" t="s">
        <v>158</v>
      </c>
      <c r="J94" t="s">
        <v>20</v>
      </c>
    </row>
    <row r="95" spans="1:10" ht="14.5" x14ac:dyDescent="0.35">
      <c r="A95" s="2" t="str">
        <f>HYPERLINK("https://nga.laas.intel.com/#/nga_fv_gnr/failureManagement/failures/1e945e80-893d-489e-85d7-0479cf6dd3cd","1e945e80")</f>
        <v>1e945e80</v>
      </c>
      <c r="B95" t="s">
        <v>149</v>
      </c>
      <c r="C95" t="s">
        <v>22</v>
      </c>
      <c r="D95" t="s">
        <v>159</v>
      </c>
      <c r="E95" s="2" t="str">
        <f>HYPERLINK("https://nga.laas.intel.com/#/nga_fv_gnr/failureManagement/bucket/ac40fa6b-0a9a-4f86-a5db-911da02f9de1","hw_err_msm_mbx_error_sts_mbx_overflow,hw_err_uncersts_msm_received_an_unsupported_request")</f>
        <v>hw_err_msm_mbx_error_sts_mbx_overflow,hw_err_uncersts_msm_received_an_unsupported_request</v>
      </c>
      <c r="F95" s="2" t="str">
        <f t="shared" si="5"/>
        <v>GNR-AP-X1_A0_VV</v>
      </c>
      <c r="G95" s="2" t="str">
        <f>HYPERLINK("https://axonsv.app.intel.com/apps/record-viewer?id=569cc803-484c-4667-9a5f-c8ab4dd86268","569cc803-484c-4667-9a5f-c8ab4dd86268")</f>
        <v>569cc803-484c-4667-9a5f-c8ab4dd86268</v>
      </c>
      <c r="I95" t="s">
        <v>33</v>
      </c>
      <c r="J95" t="s">
        <v>112</v>
      </c>
    </row>
    <row r="96" spans="1:10" ht="14.5" x14ac:dyDescent="0.35">
      <c r="A96" s="2" t="str">
        <f>HYPERLINK("https://nga.laas.intel.com/#/nga_fv_gnr/failureManagement/failures/90949955-80b4-4d06-9fa6-23554c873032","90949955")</f>
        <v>90949955</v>
      </c>
      <c r="B96" t="s">
        <v>119</v>
      </c>
      <c r="C96" t="s">
        <v>22</v>
      </c>
      <c r="D96" t="s">
        <v>160</v>
      </c>
      <c r="E96" s="2" t="str">
        <f>HYPERLINK("https://nga.laas.intel.com/#/nga_fv_gnr/failureManagement/bucket/5e5cc6d1-ef70-4f0d-a091-dee49a716206","junk")</f>
        <v>junk</v>
      </c>
      <c r="F96" s="2" t="str">
        <f t="shared" si="5"/>
        <v>GNR-AP-X1_A0_VV</v>
      </c>
      <c r="G96" s="2" t="str">
        <f>HYPERLINK("https://axonsv.app.intel.com/apps/record-viewer?id=99d0e2c9-0092-425d-a290-acf061666766","99d0e2c9-0092-425d-a290-acf061666766")</f>
        <v>99d0e2c9-0092-425d-a290-acf061666766</v>
      </c>
      <c r="I96" t="s">
        <v>33</v>
      </c>
      <c r="J96" t="s">
        <v>20</v>
      </c>
    </row>
    <row r="97" spans="1:10" ht="14.5" x14ac:dyDescent="0.35">
      <c r="A97" s="2" t="str">
        <f>HYPERLINK("https://nga.laas.intel.com/#/nga_fv_gnr/failureManagement/failures/a44d6b9a-8108-492d-b178-10b30671f0cb","a44d6b9a")</f>
        <v>a44d6b9a</v>
      </c>
      <c r="B97" t="s">
        <v>161</v>
      </c>
      <c r="C97" t="s">
        <v>22</v>
      </c>
      <c r="D97" t="s">
        <v>162</v>
      </c>
      <c r="E97" s="2" t="str">
        <f>HYPERLINK("https://nga.laas.intel.com/#/nga_fv_gnr/failureManagement/bucket/9a046dba-2a6d-451c-957b-d7ee3eab37a0","hw_err_ieh_satieh3_gerrnonsts_hw_err_ieh_satieh4_gerrnonsts_hw_err_ieh_satieh5_gerrnonsts_hw_err_msm_mbx_error_sts_mbx_overflow_hw_err_uncersts_msm_received_an_unsupported_request_hw_err_uncersts_oob_received_an_unsupported_request")</f>
        <v>hw_err_ieh_satieh3_gerrnonsts_hw_err_ieh_satieh4_gerrnonsts_hw_err_ieh_satieh5_gerrnonsts_hw_err_msm_mbx_error_sts_mbx_overflow_hw_err_uncersts_msm_received_an_unsupported_request_hw_err_uncersts_oob_received_an_unsupported_request</v>
      </c>
      <c r="F97" s="2" t="str">
        <f t="shared" si="5"/>
        <v>GNR-AP-X1_A0_VV</v>
      </c>
      <c r="G97" s="2" t="str">
        <f>HYPERLINK("https://axonsv.app.intel.com/apps/record-viewer?id=3a7bedf1-7c5c-22ca-542c-e17d519583ab","3a7bedf1-7c5c-22ca-542c-e17d519583ab")</f>
        <v>3a7bedf1-7c5c-22ca-542c-e17d519583ab</v>
      </c>
      <c r="I97" t="s">
        <v>33</v>
      </c>
      <c r="J97" t="s">
        <v>20</v>
      </c>
    </row>
    <row r="98" spans="1:10" ht="14.5" x14ac:dyDescent="0.35">
      <c r="A98" s="2" t="str">
        <f>HYPERLINK("https://nga.laas.intel.com/#/nga_fv_gnr/failureManagement/failures/0e87b843-4924-409f-b69e-102a2965d608","0e87b843")</f>
        <v>0e87b843</v>
      </c>
      <c r="B98" t="s">
        <v>163</v>
      </c>
      <c r="C98" t="s">
        <v>22</v>
      </c>
      <c r="D98" t="s">
        <v>164</v>
      </c>
      <c r="E98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98" s="2" t="str">
        <f t="shared" si="5"/>
        <v>GNR-AP-X1_A0_VV</v>
      </c>
      <c r="G98" s="2" t="str">
        <f>HYPERLINK("https://axonsv.app.intel.com/apps/record-viewer?id=79f7d8cf-771e-4aac-8ce8-ce9a052d7832","79f7d8cf-771e-4aac-8ce8-ce9a052d7832")</f>
        <v>79f7d8cf-771e-4aac-8ce8-ce9a052d7832</v>
      </c>
      <c r="I98" t="s">
        <v>33</v>
      </c>
      <c r="J98" t="s">
        <v>20</v>
      </c>
    </row>
    <row r="99" spans="1:10" ht="14.5" x14ac:dyDescent="0.35">
      <c r="A99" s="2" t="str">
        <f>HYPERLINK("https://nga.laas.intel.com/#/nga_fv_gnr/failureManagement/failures/41daa210-f3c4-48a2-8907-03f1a5f244f7","41daa210")</f>
        <v>41daa210</v>
      </c>
      <c r="B99" t="s">
        <v>107</v>
      </c>
      <c r="C99" t="s">
        <v>22</v>
      </c>
      <c r="D99" t="s">
        <v>135</v>
      </c>
      <c r="E99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99" s="2" t="str">
        <f t="shared" si="5"/>
        <v>GNR-AP-X1_A0_VV</v>
      </c>
      <c r="G99" s="2" t="str">
        <f>HYPERLINK("https://axonsv.app.intel.com/apps/record-viewer?id=df9bd7b5-0cb0-41e8-88f4-66b2d1a3fa99","df9bd7b5-0cb0-41e8-88f4-66b2d1a3fa99")</f>
        <v>df9bd7b5-0cb0-41e8-88f4-66b2d1a3fa99</v>
      </c>
      <c r="H99" t="s">
        <v>165</v>
      </c>
      <c r="I99" t="s">
        <v>33</v>
      </c>
      <c r="J99" t="s">
        <v>51</v>
      </c>
    </row>
    <row r="100" spans="1:10" ht="14.5" x14ac:dyDescent="0.35">
      <c r="A100" s="2" t="str">
        <f>HYPERLINK("https://nga.laas.intel.com/#/nga_fv_gnr/failureManagement/failures/5bd64cc6-7fcf-4f7e-aebf-0bbe6a4d1f9c","5bd64cc6")</f>
        <v>5bd64cc6</v>
      </c>
      <c r="B100" t="s">
        <v>166</v>
      </c>
      <c r="C100" t="s">
        <v>22</v>
      </c>
      <c r="D100" t="s">
        <v>167</v>
      </c>
      <c r="E100" s="2" t="str">
        <f>HYPERLINK("https://nga.laas.intel.com/#/nga_fv_gnr/failureManagement/bucket/a10f21ee-32a7-47b0-8683-eb352f61847e","hw_err_ieh_satieh3_gerrnonsts_hw_err_ieh_satieh4_gerrnonsts_hw_err_msm_global_status_ctrl_reg_general_mca_hw_err_msm_global_status_ctrl_reg_global_viral_hw_err_msm_global_status_ctrl_reg_ierr_hw_err_msm_mbx_error_sts_mbx_overflow_hw_err_ras_uncore_punit_h")</f>
        <v>hw_err_ieh_satieh3_gerrnonsts_hw_err_ieh_satieh4_gerrnonsts_hw_err_msm_global_status_ctrl_reg_general_mca_hw_err_msm_global_status_ctrl_reg_global_viral_hw_err_msm_global_status_ctrl_reg_ierr_hw_err_msm_mbx_error_sts_mbx_overflow_hw_err_ras_uncore_punit_h</v>
      </c>
      <c r="F100" s="2" t="str">
        <f t="shared" si="5"/>
        <v>GNR-AP-X1_A0_VV</v>
      </c>
      <c r="G100" s="2" t="str">
        <f>HYPERLINK("https://axonsv.app.intel.com/apps/record-viewer?id=6d60a49e-316d-434e-48b3-6fd4d6dbd99e","6d60a49e-316d-434e-48b3-6fd4d6dbd99e")</f>
        <v>6d60a49e-316d-434e-48b3-6fd4d6dbd99e</v>
      </c>
      <c r="I100" t="s">
        <v>46</v>
      </c>
      <c r="J100" t="s">
        <v>20</v>
      </c>
    </row>
    <row r="101" spans="1:10" ht="14.5" x14ac:dyDescent="0.35">
      <c r="A101" s="2" t="str">
        <f>HYPERLINK("https://nga.laas.intel.com/#/nga_fv_gnr/failureManagement/failures/528c8fb1-f64b-411a-ae11-00a42726913e","528c8fb1")</f>
        <v>528c8fb1</v>
      </c>
      <c r="B101" t="s">
        <v>133</v>
      </c>
      <c r="C101" t="s">
        <v>30</v>
      </c>
      <c r="D101" t="s">
        <v>66</v>
      </c>
      <c r="E101" s="2" t="str">
        <f>HYPERLINK("https://nga.laas.intel.com/#/nga_fv_gnr/failureManagement/bucket/161bcffd-d385-4410-b4e7-1bb0cf5c6d64","hw_err_msm_mbx_error_sts_mbx_overflow_hw_err_uncersts_oob_received_an_unsupported_request")</f>
        <v>hw_err_msm_mbx_error_sts_mbx_overflow_hw_err_uncersts_oob_received_an_unsupported_request</v>
      </c>
      <c r="F101" s="2" t="str">
        <f t="shared" si="5"/>
        <v>GNR-AP-X1_A0_VV</v>
      </c>
      <c r="G101" s="2" t="str">
        <f>HYPERLINK("https://axonsv.app.intel.com/apps/record-viewer?id=2f086727-b295-4509-9ca2-0b4998a5469b","2f086727-b295-4509-9ca2-0b4998a5469b")</f>
        <v>2f086727-b295-4509-9ca2-0b4998a5469b</v>
      </c>
      <c r="I101" t="s">
        <v>33</v>
      </c>
      <c r="J101" t="s">
        <v>82</v>
      </c>
    </row>
    <row r="102" spans="1:10" ht="14.5" x14ac:dyDescent="0.35">
      <c r="A102" s="2" t="str">
        <f>HYPERLINK("https://nga.laas.intel.com/#/nga_fv_gnr/failureManagement/failures/3c3fe947-4333-4720-b214-06bb36f5f2a1","3c3fe947")</f>
        <v>3c3fe947</v>
      </c>
      <c r="B102" t="s">
        <v>90</v>
      </c>
      <c r="C102" t="s">
        <v>22</v>
      </c>
      <c r="D102" t="s">
        <v>168</v>
      </c>
      <c r="E102" s="2" t="str">
        <f>HYPERLINK("https://nga.laas.intel.com/#/nga_fv_gnr/failureManagement/bucket/5e5cc6d1-ef70-4f0d-a091-dee49a716206","junk")</f>
        <v>junk</v>
      </c>
      <c r="F102" s="2" t="str">
        <f t="shared" si="5"/>
        <v>GNR-AP-X1_A0_VV</v>
      </c>
      <c r="G102" s="2" t="str">
        <f>HYPERLINK("https://axonsv.app.intel.com/apps/record-viewer?id=b75557c6-c5a2-4e6d-beaa-98e0d54e12a1","b75557c6-c5a2-4e6d-beaa-98e0d54e12a1")</f>
        <v>b75557c6-c5a2-4e6d-beaa-98e0d54e12a1</v>
      </c>
      <c r="H102" t="s">
        <v>169</v>
      </c>
      <c r="I102" t="s">
        <v>33</v>
      </c>
      <c r="J102" t="s">
        <v>82</v>
      </c>
    </row>
    <row r="103" spans="1:10" ht="14.5" x14ac:dyDescent="0.35">
      <c r="A103" s="2" t="str">
        <f>HYPERLINK("https://nga.laas.intel.com/#/nga_fv_gnr/failureManagement/failures/2d23a60c-ce7a-43c1-803d-0834b757c11f","2d23a60c")</f>
        <v>2d23a60c</v>
      </c>
      <c r="B103" t="s">
        <v>27</v>
      </c>
      <c r="C103" t="s">
        <v>22</v>
      </c>
      <c r="D103" t="s">
        <v>170</v>
      </c>
      <c r="E103" s="2" t="str">
        <f>HYPERLINK("https://nga.laas.intel.com/#/nga_fv_gnr/failureManagement/bucket/283aae60-3bfa-4014-88df-de158322a3db","hw_err_ieh_satieh2_gerrnonsts_hw_err_msm_global_status_ctrl_reg_general_mca_hw_err_msm_global_status_ctrl_reg_global_viral_hw_err_msm_global_status_ctrl_reg_ierr_hw_err_msm_mbx_error_sts_mbx_overflow_hw_err_ras_uncore_punit_hw_err_ras_uncore_ubox_hw_err_u")</f>
        <v>hw_err_ieh_satieh2_gerrnonsts_hw_err_msm_global_status_ctrl_reg_general_mca_hw_err_msm_global_status_ctrl_reg_global_viral_hw_err_msm_global_status_ctrl_reg_ierr_hw_err_msm_mbx_error_sts_mbx_overflow_hw_err_ras_uncore_punit_hw_err_ras_uncore_ubox_hw_err_u</v>
      </c>
      <c r="F103" s="2" t="str">
        <f>HYPERLINK("https://nga.laas.intel.com/#/nga_fv_gnr/planning/suites/2c7ec13c-df59-42c4-8a05-0f54498b2f70","SQ_PM_GNR_AP_SANITY")</f>
        <v>SQ_PM_GNR_AP_SANITY</v>
      </c>
      <c r="G103" s="2" t="str">
        <f>HYPERLINK("https://axonsv.app.intel.com/apps/record-viewer?id=acde1afc-3053-43dc-beff-0cd129e9eb33","acde1afc-3053-43dc-beff-0cd129e9eb33")</f>
        <v>acde1afc-3053-43dc-beff-0cd129e9eb33</v>
      </c>
      <c r="I103" t="s">
        <v>46</v>
      </c>
      <c r="J103" t="s">
        <v>14</v>
      </c>
    </row>
    <row r="104" spans="1:10" ht="14.5" x14ac:dyDescent="0.35">
      <c r="A104" s="2" t="str">
        <f>HYPERLINK("https://nga.laas.intel.com/#/nga_fv_gnr/failureManagement/failures/9a666074-c710-4582-b4ae-03703c5e1417","9a666074")</f>
        <v>9a666074</v>
      </c>
      <c r="B104" t="s">
        <v>133</v>
      </c>
      <c r="C104" t="s">
        <v>30</v>
      </c>
      <c r="D104" t="s">
        <v>66</v>
      </c>
      <c r="E104" s="2" t="str">
        <f>HYPERLINK("https://nga.laas.intel.com/#/nga_fv_gnr/failureManagement/bucket/161bcffd-d385-4410-b4e7-1bb0cf5c6d64","hw_err_msm_mbx_error_sts_mbx_overflow_hw_err_uncersts_oob_received_an_unsupported_request")</f>
        <v>hw_err_msm_mbx_error_sts_mbx_overflow_hw_err_uncersts_oob_received_an_unsupported_request</v>
      </c>
      <c r="F104" s="2" t="str">
        <f>HYPERLINK("https://nga.laas.intel.com/#/nga_fv_gnr/planning/suites/4602b7c0-cc4c-4841-bc78-d3764cf13fe2","GNR-AP-X1_A0_VV")</f>
        <v>GNR-AP-X1_A0_VV</v>
      </c>
      <c r="G104" s="2" t="str">
        <f>HYPERLINK("https://axonsv.app.intel.com/apps/record-viewer?id=58d2875a-bd29-458b-afe2-caed8d831099","58d2875a-bd29-458b-afe2-caed8d831099")</f>
        <v>58d2875a-bd29-458b-afe2-caed8d831099</v>
      </c>
      <c r="I104" t="s">
        <v>33</v>
      </c>
      <c r="J104" t="s">
        <v>82</v>
      </c>
    </row>
    <row r="105" spans="1:10" ht="14.5" x14ac:dyDescent="0.35">
      <c r="A105" s="2" t="str">
        <f>HYPERLINK("https://nga.laas.intel.com/#/nga_fv_gnr/failureManagement/failures/4ebe32be-eeee-45d8-a8e9-0584d8969b25","4ebe32be")</f>
        <v>4ebe32be</v>
      </c>
      <c r="B105" t="s">
        <v>123</v>
      </c>
      <c r="C105" t="s">
        <v>22</v>
      </c>
      <c r="D105" t="s">
        <v>171</v>
      </c>
      <c r="E105" s="2" t="str">
        <f>HYPERLINK("https://nga.laas.intel.com/#/nga_fv_gnr/failureManagement/bucket/5e5cc6d1-ef70-4f0d-a091-dee49a716206","junk")</f>
        <v>junk</v>
      </c>
      <c r="F105" s="2" t="str">
        <f>HYPERLINK("https://nga.laas.intel.com/#/nga_fv_gnr/planning/suites/4602b7c0-cc4c-4841-bc78-d3764cf13fe2","GNR-AP-X1_A0_VV")</f>
        <v>GNR-AP-X1_A0_VV</v>
      </c>
      <c r="G105" s="2" t="str">
        <f>HYPERLINK("https://axonsv.app.intel.com/apps/record-viewer?id=b183f73c-8a0b-4fa9-8c63-e497d981dbad","b183f73c-8a0b-4fa9-8c63-e497d981dbad")</f>
        <v>b183f73c-8a0b-4fa9-8c63-e497d981dbad</v>
      </c>
      <c r="I105" t="s">
        <v>33</v>
      </c>
      <c r="J105" t="s">
        <v>14</v>
      </c>
    </row>
    <row r="106" spans="1:10" ht="14.5" x14ac:dyDescent="0.35">
      <c r="A106" s="2" t="str">
        <f>HYPERLINK("https://nga.laas.intel.com/#/nga_fv_gnr/failureManagement/failures/5586f265-b8fe-46f7-8168-17165df8d73e","5586f265")</f>
        <v>5586f265</v>
      </c>
      <c r="B106" t="s">
        <v>76</v>
      </c>
      <c r="C106" t="s">
        <v>30</v>
      </c>
      <c r="D106" t="s">
        <v>66</v>
      </c>
      <c r="E106" s="2" t="str">
        <f>HYPERLINK("https://nga.laas.intel.com/#/nga_fv_gnr/failureManagement/bucket/73eb3daa-f563-414b-8787-8b13f29751b3","hw_err_msm_mbx_error_sts_mbx_overflow_hw_mce_mlc_mcacod_a_code_error_mscod_a_code_error")</f>
        <v>hw_err_msm_mbx_error_sts_mbx_overflow_hw_mce_mlc_mcacod_a_code_error_mscod_a_code_error</v>
      </c>
      <c r="F106" s="2" t="str">
        <f>HYPERLINK("https://nga.laas.intel.com/#/nga_fv_gnr/planning/suites/2c7ec13c-df59-42c4-8a05-0f54498b2f70","SQ_PM_GNR_AP_SANITY")</f>
        <v>SQ_PM_GNR_AP_SANITY</v>
      </c>
      <c r="G106" s="2" t="str">
        <f>HYPERLINK("https://axonsv.app.intel.com/apps/record-viewer?id=982558a3-9206-4afe-937e-eb988b4d61a9","982558a3-9206-4afe-937e-eb988b4d61a9")</f>
        <v>982558a3-9206-4afe-937e-eb988b4d61a9</v>
      </c>
      <c r="I106" t="s">
        <v>172</v>
      </c>
      <c r="J106" t="s">
        <v>20</v>
      </c>
    </row>
    <row r="107" spans="1:10" ht="14.5" x14ac:dyDescent="0.35">
      <c r="A107" s="2" t="str">
        <f>HYPERLINK("https://nga.laas.intel.com/#/nga_fv_gnr/failureManagement/failures/08e6080c-a514-4a74-9cb4-0a77a5da8aca","08e6080c")</f>
        <v>08e6080c</v>
      </c>
      <c r="B107" t="s">
        <v>48</v>
      </c>
      <c r="C107" t="s">
        <v>22</v>
      </c>
      <c r="D107" t="s">
        <v>173</v>
      </c>
      <c r="E107" s="2" t="str">
        <f>HYPERLINK("https://nga.laas.intel.com/#/nga_fv_gnr/failureManagement/bucket/5e5cc6d1-ef70-4f0d-a091-dee49a716206","junk")</f>
        <v>junk</v>
      </c>
      <c r="F107" s="2" t="str">
        <f>HYPERLINK("https://nga.laas.intel.com/#/nga_fv_gnr/planning/suites/4602b7c0-cc4c-4841-bc78-d3764cf13fe2","GNR-AP-X1_A0_VV")</f>
        <v>GNR-AP-X1_A0_VV</v>
      </c>
      <c r="G107" s="2" t="str">
        <f>HYPERLINK("https://axonsv.app.intel.com/apps/record-viewer?id=b0d65bfc-ae10-418d-9ae4-f5d41834d202","b0d65bfc-ae10-418d-9ae4-f5d41834d202")</f>
        <v>b0d65bfc-ae10-418d-9ae4-f5d41834d202</v>
      </c>
      <c r="H107" t="s">
        <v>174</v>
      </c>
      <c r="I107" t="s">
        <v>33</v>
      </c>
      <c r="J107" t="s">
        <v>82</v>
      </c>
    </row>
    <row r="108" spans="1:10" ht="14.5" x14ac:dyDescent="0.35">
      <c r="A108" s="2" t="str">
        <f>HYPERLINK("https://nga.laas.intel.com/#/nga_fv_gnr/failureManagement/failures/69e359a7-b8a8-4f6c-8e1f-0aab6f641e74","69e359a7")</f>
        <v>69e359a7</v>
      </c>
      <c r="B108" t="s">
        <v>175</v>
      </c>
      <c r="C108" t="s">
        <v>22</v>
      </c>
      <c r="D108" t="s">
        <v>176</v>
      </c>
      <c r="E108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08" s="2" t="str">
        <f>HYPERLINK("https://nga.laas.intel.com/#/nga_fv_gnr/planning/suites/4602b7c0-cc4c-4841-bc78-d3764cf13fe2","GNR-AP-X1_A0_VV")</f>
        <v>GNR-AP-X1_A0_VV</v>
      </c>
      <c r="G108" s="2" t="str">
        <f>HYPERLINK("https://axonsv.app.intel.com/apps/record-viewer?id=50fd40a5-3047-4e0c-a1f5-d65da35b6a19","50fd40a5-3047-4e0c-a1f5-d65da35b6a19")</f>
        <v>50fd40a5-3047-4e0c-a1f5-d65da35b6a19</v>
      </c>
      <c r="I108" t="s">
        <v>33</v>
      </c>
      <c r="J108" t="s">
        <v>14</v>
      </c>
    </row>
    <row r="109" spans="1:10" ht="14.5" x14ac:dyDescent="0.35">
      <c r="A109" s="2" t="str">
        <f>HYPERLINK("https://nga.laas.intel.com/#/nga_fv_gnr/failureManagement/failures/c1647fda-e930-4162-bdc4-206cd11cce3e","c1647fda")</f>
        <v>c1647fda</v>
      </c>
      <c r="B109" t="s">
        <v>177</v>
      </c>
      <c r="C109" t="s">
        <v>22</v>
      </c>
      <c r="D109" t="s">
        <v>178</v>
      </c>
      <c r="E109" s="2" t="str">
        <f>HYPERLINK("https://nga.laas.intel.com/#/nga_fv_gnr/failureManagement/bucket/5e5cc6d1-ef70-4f0d-a091-dee49a716206","junk")</f>
        <v>junk</v>
      </c>
      <c r="F109" s="2" t="str">
        <f>HYPERLINK("https://nga.laas.intel.com/#/nga_fv_gnr/planning/suites/4602b7c0-cc4c-4841-bc78-d3764cf13fe2","GNR-AP-X1_A0_VV")</f>
        <v>GNR-AP-X1_A0_VV</v>
      </c>
      <c r="G109" s="2" t="str">
        <f>HYPERLINK("https://axonsv.app.intel.com/apps/record-viewer?id=4ddd0bb8-9cb7-4cf9-a38b-3c0ff8014c31","4ddd0bb8-9cb7-4cf9-a38b-3c0ff8014c31")</f>
        <v>4ddd0bb8-9cb7-4cf9-a38b-3c0ff8014c31</v>
      </c>
      <c r="I109" t="s">
        <v>33</v>
      </c>
      <c r="J109" t="s">
        <v>14</v>
      </c>
    </row>
    <row r="110" spans="1:10" ht="14.5" x14ac:dyDescent="0.35">
      <c r="A110" s="2" t="str">
        <f>HYPERLINK("https://nga.laas.intel.com/#/nga_fv_gnr/failureManagement/failures/b142681f-fc1a-4ac5-8df9-21e2f14eb4a0","b142681f")</f>
        <v>b142681f</v>
      </c>
      <c r="B110" t="s">
        <v>179</v>
      </c>
      <c r="C110" t="s">
        <v>22</v>
      </c>
      <c r="D110" t="s">
        <v>180</v>
      </c>
      <c r="E110" s="2" t="str">
        <f>HYPERLINK("https://nga.laas.intel.com/#/nga_fv_gnr/failureManagement/bucket/5e5cc6d1-ef70-4f0d-a091-dee49a716206","junk")</f>
        <v>junk</v>
      </c>
      <c r="F110" s="2" t="str">
        <f>HYPERLINK("https://nga.laas.intel.com/#/nga_fv_gnr/planning/suites/4602b7c0-cc4c-4841-bc78-d3764cf13fe2","GNR-AP-X1_A0_VV")</f>
        <v>GNR-AP-X1_A0_VV</v>
      </c>
      <c r="G110" s="2" t="str">
        <f>HYPERLINK("https://axonsv.app.intel.com/apps/record-viewer?id=d9787eca-8c8c-4ced-b983-007b0593b45f","d9787eca-8c8c-4ced-b983-007b0593b45f")</f>
        <v>d9787eca-8c8c-4ced-b983-007b0593b45f</v>
      </c>
      <c r="H110" t="s">
        <v>181</v>
      </c>
      <c r="I110" t="s">
        <v>33</v>
      </c>
      <c r="J110" t="s">
        <v>82</v>
      </c>
    </row>
    <row r="111" spans="1:10" ht="14.5" x14ac:dyDescent="0.35">
      <c r="A111" s="2" t="str">
        <f>HYPERLINK("https://nga.laas.intel.com/#/nga_fv_gnr/failureManagement/failures/6add07d8-eac2-4dd6-bb38-0191befe1eee","6add07d8")</f>
        <v>6add07d8</v>
      </c>
      <c r="B111" t="s">
        <v>109</v>
      </c>
      <c r="C111" t="s">
        <v>22</v>
      </c>
      <c r="D111" t="s">
        <v>182</v>
      </c>
      <c r="E111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11" s="2" t="str">
        <f>HYPERLINK("https://nga.laas.intel.com/#/nga_fv_gnr/planning/suites/4602b7c0-cc4c-4841-bc78-d3764cf13fe2","GNR-AP-X1_A0_VV")</f>
        <v>GNR-AP-X1_A0_VV</v>
      </c>
      <c r="G111" s="2" t="str">
        <f>HYPERLINK("https://axonsv.app.intel.com/apps/record-viewer?id=fcd4ab9e-7b46-eb56-09b7-19f84ab5a424","fcd4ab9e-7b46-eb56-09b7-19f84ab5a424")</f>
        <v>fcd4ab9e-7b46-eb56-09b7-19f84ab5a424</v>
      </c>
      <c r="I111" t="s">
        <v>33</v>
      </c>
      <c r="J111" t="s">
        <v>82</v>
      </c>
    </row>
    <row r="112" spans="1:10" ht="14.5" x14ac:dyDescent="0.35">
      <c r="A112" s="2" t="str">
        <f>HYPERLINK("https://nga.laas.intel.com/#/nga_fv_gnr/failureManagement/failures/ddd23062-08b7-4e97-8903-0fb846e54654","ddd23062")</f>
        <v>ddd23062</v>
      </c>
      <c r="B112" t="s">
        <v>183</v>
      </c>
      <c r="C112" t="s">
        <v>25</v>
      </c>
      <c r="D112" t="s">
        <v>184</v>
      </c>
      <c r="E112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12" s="2" t="str">
        <f>HYPERLINK("https://nga.laas.intel.com/#/nga_fv_gnr/planning/suites/2c7ec13c-df59-42c4-8a05-0f54498b2f70","SQ_PM_GNR_AP_SANITY")</f>
        <v>SQ_PM_GNR_AP_SANITY</v>
      </c>
      <c r="G112" s="2" t="str">
        <f>HYPERLINK("https://axonsv.app.intel.com/apps/record-viewer?id=90383060-748c-40fc-bf2d-57d8b549ba3a","90383060-748c-40fc-bf2d-57d8b549ba3a")</f>
        <v>90383060-748c-40fc-bf2d-57d8b549ba3a</v>
      </c>
      <c r="I112" t="s">
        <v>33</v>
      </c>
      <c r="J112" t="s">
        <v>14</v>
      </c>
    </row>
    <row r="113" spans="1:10" ht="14.5" x14ac:dyDescent="0.35">
      <c r="A113" s="2" t="str">
        <f>HYPERLINK("https://nga.laas.intel.com/#/nga_fv_gnr/failureManagement/failures/d923fc87-616d-4dcf-9b21-049625aa314c","d923fc87")</f>
        <v>d923fc87</v>
      </c>
      <c r="B113" t="s">
        <v>185</v>
      </c>
      <c r="C113" t="s">
        <v>22</v>
      </c>
      <c r="D113" t="s">
        <v>173</v>
      </c>
      <c r="E113" s="2" t="str">
        <f t="shared" ref="E113:E120" si="6">HYPERLINK("https://nga.laas.intel.com/#/nga_fv_gnr/failureManagement/bucket/5e5cc6d1-ef70-4f0d-a091-dee49a716206","junk")</f>
        <v>junk</v>
      </c>
      <c r="F113" s="2" t="str">
        <f t="shared" ref="F113:F122" si="7">HYPERLINK("https://nga.laas.intel.com/#/nga_fv_gnr/planning/suites/4602b7c0-cc4c-4841-bc78-d3764cf13fe2","GNR-AP-X1_A0_VV")</f>
        <v>GNR-AP-X1_A0_VV</v>
      </c>
      <c r="G113" s="2" t="str">
        <f>HYPERLINK("https://axonsv.app.intel.com/apps/record-viewer?id=9d167358-e442-430c-b9fe-12ae0c1e4ea0","9d167358-e442-430c-b9fe-12ae0c1e4ea0")</f>
        <v>9d167358-e442-430c-b9fe-12ae0c1e4ea0</v>
      </c>
      <c r="H113" t="s">
        <v>186</v>
      </c>
      <c r="I113" t="s">
        <v>33</v>
      </c>
      <c r="J113" t="s">
        <v>82</v>
      </c>
    </row>
    <row r="114" spans="1:10" ht="14.5" x14ac:dyDescent="0.35">
      <c r="A114" s="2" t="str">
        <f>HYPERLINK("https://nga.laas.intel.com/#/nga_fv_gnr/failureManagement/failures/40d586f7-0fd5-4207-826e-21a6965e4b2d","40d586f7")</f>
        <v>40d586f7</v>
      </c>
      <c r="B114" t="s">
        <v>187</v>
      </c>
      <c r="C114" t="s">
        <v>22</v>
      </c>
      <c r="D114" t="s">
        <v>188</v>
      </c>
      <c r="E114" s="2" t="str">
        <f t="shared" si="6"/>
        <v>junk</v>
      </c>
      <c r="F114" s="2" t="str">
        <f t="shared" si="7"/>
        <v>GNR-AP-X1_A0_VV</v>
      </c>
      <c r="G114" s="2" t="str">
        <f>HYPERLINK("https://axonsv.app.intel.com/apps/record-viewer?id=25e51e72-317e-4e54-b95e-6994bbb0bdd3","25e51e72-317e-4e54-b95e-6994bbb0bdd3")</f>
        <v>25e51e72-317e-4e54-b95e-6994bbb0bdd3</v>
      </c>
      <c r="H114" t="s">
        <v>189</v>
      </c>
      <c r="I114" t="s">
        <v>33</v>
      </c>
      <c r="J114" t="s">
        <v>82</v>
      </c>
    </row>
    <row r="115" spans="1:10" ht="14.5" x14ac:dyDescent="0.35">
      <c r="A115" s="2" t="str">
        <f>HYPERLINK("https://nga.laas.intel.com/#/nga_fv_gnr/failureManagement/failures/95742ad1-5dbd-416b-a87e-0cabe95179ee","95742ad1")</f>
        <v>95742ad1</v>
      </c>
      <c r="B115" t="s">
        <v>81</v>
      </c>
      <c r="C115" t="s">
        <v>22</v>
      </c>
      <c r="D115" t="s">
        <v>190</v>
      </c>
      <c r="E115" s="2" t="str">
        <f t="shared" si="6"/>
        <v>junk</v>
      </c>
      <c r="F115" s="2" t="str">
        <f t="shared" si="7"/>
        <v>GNR-AP-X1_A0_VV</v>
      </c>
      <c r="G115" s="2" t="str">
        <f>HYPERLINK("https://axonsv.app.intel.com/apps/record-viewer?id=f2f3b709-b971-4cfe-b670-da9bef021be8","f2f3b709-b971-4cfe-b670-da9bef021be8")</f>
        <v>f2f3b709-b971-4cfe-b670-da9bef021be8</v>
      </c>
      <c r="H115" t="s">
        <v>191</v>
      </c>
      <c r="I115" t="s">
        <v>33</v>
      </c>
      <c r="J115" t="s">
        <v>82</v>
      </c>
    </row>
    <row r="116" spans="1:10" ht="14.5" x14ac:dyDescent="0.35">
      <c r="A116" s="2" t="str">
        <f>HYPERLINK("https://nga.laas.intel.com/#/nga_fv_gnr/failureManagement/failures/6878e319-0654-41b6-9a2d-22c574caa688","6878e319")</f>
        <v>6878e319</v>
      </c>
      <c r="B116" t="s">
        <v>187</v>
      </c>
      <c r="C116" t="s">
        <v>22</v>
      </c>
      <c r="D116" t="s">
        <v>192</v>
      </c>
      <c r="E116" s="2" t="str">
        <f t="shared" si="6"/>
        <v>junk</v>
      </c>
      <c r="F116" s="2" t="str">
        <f t="shared" si="7"/>
        <v>GNR-AP-X1_A0_VV</v>
      </c>
      <c r="G116" s="2" t="str">
        <f>HYPERLINK("https://axonsv.app.intel.com/apps/record-viewer?id=5d48c9a7-1cb1-467b-84d8-a2feaf14cffc","5d48c9a7-1cb1-467b-84d8-a2feaf14cffc")</f>
        <v>5d48c9a7-1cb1-467b-84d8-a2feaf14cffc</v>
      </c>
      <c r="H116" t="s">
        <v>193</v>
      </c>
      <c r="I116" t="s">
        <v>33</v>
      </c>
      <c r="J116" t="s">
        <v>82</v>
      </c>
    </row>
    <row r="117" spans="1:10" ht="14.5" x14ac:dyDescent="0.35">
      <c r="A117" s="2" t="str">
        <f>HYPERLINK("https://nga.laas.intel.com/#/nga_fv_gnr/failureManagement/failures/a26672cd-f1de-4c0d-9695-1ffea6a78cde","a26672cd")</f>
        <v>a26672cd</v>
      </c>
      <c r="B117" t="s">
        <v>123</v>
      </c>
      <c r="C117" t="s">
        <v>22</v>
      </c>
      <c r="D117" t="s">
        <v>194</v>
      </c>
      <c r="E117" s="2" t="str">
        <f t="shared" si="6"/>
        <v>junk</v>
      </c>
      <c r="F117" s="2" t="str">
        <f t="shared" si="7"/>
        <v>GNR-AP-X1_A0_VV</v>
      </c>
      <c r="G117" s="2" t="str">
        <f>HYPERLINK("https://axonsv.app.intel.com/apps/record-viewer?id=396fc287-f520-43fb-8e54-03c703e03e19","396fc287-f520-43fb-8e54-03c703e03e19")</f>
        <v>396fc287-f520-43fb-8e54-03c703e03e19</v>
      </c>
      <c r="I117" t="s">
        <v>33</v>
      </c>
      <c r="J117" t="s">
        <v>20</v>
      </c>
    </row>
    <row r="118" spans="1:10" ht="14.5" x14ac:dyDescent="0.35">
      <c r="A118" s="2" t="str">
        <f>HYPERLINK("https://nga.laas.intel.com/#/nga_fv_gnr/failureManagement/failures/5b0805f3-bac4-4e81-8ed8-01fe782db6bd","5b0805f3")</f>
        <v>5b0805f3</v>
      </c>
      <c r="B118" t="s">
        <v>48</v>
      </c>
      <c r="C118" t="s">
        <v>22</v>
      </c>
      <c r="D118" t="s">
        <v>195</v>
      </c>
      <c r="E118" s="2" t="str">
        <f t="shared" si="6"/>
        <v>junk</v>
      </c>
      <c r="F118" s="2" t="str">
        <f t="shared" si="7"/>
        <v>GNR-AP-X1_A0_VV</v>
      </c>
      <c r="G118" s="2" t="str">
        <f>HYPERLINK("https://axonsv.app.intel.com/apps/record-viewer?id=e87f2c9b-4b88-488c-909b-3fce07eacf7e","e87f2c9b-4b88-488c-909b-3fce07eacf7e")</f>
        <v>e87f2c9b-4b88-488c-909b-3fce07eacf7e</v>
      </c>
      <c r="H118" t="s">
        <v>196</v>
      </c>
      <c r="I118" t="s">
        <v>33</v>
      </c>
      <c r="J118" t="s">
        <v>82</v>
      </c>
    </row>
    <row r="119" spans="1:10" ht="14.5" x14ac:dyDescent="0.35">
      <c r="A119" s="2" t="str">
        <f>HYPERLINK("https://nga.laas.intel.com/#/nga_fv_gnr/failureManagement/failures/cafc046f-4a94-4a5d-a349-15499376e8b6","cafc046f")</f>
        <v>cafc046f</v>
      </c>
      <c r="B119" t="s">
        <v>107</v>
      </c>
      <c r="C119" t="s">
        <v>22</v>
      </c>
      <c r="D119" t="s">
        <v>128</v>
      </c>
      <c r="E119" s="2" t="str">
        <f t="shared" si="6"/>
        <v>junk</v>
      </c>
      <c r="F119" s="2" t="str">
        <f t="shared" si="7"/>
        <v>GNR-AP-X1_A0_VV</v>
      </c>
      <c r="G119" s="2" t="str">
        <f>HYPERLINK("https://axonsv.app.intel.com/apps/record-viewer?id=0f24ccdf-c4f5-412d-9fd4-3fcf4aa86140","0f24ccdf-c4f5-412d-9fd4-3fcf4aa86140")</f>
        <v>0f24ccdf-c4f5-412d-9fd4-3fcf4aa86140</v>
      </c>
      <c r="H119" t="s">
        <v>197</v>
      </c>
      <c r="I119" t="s">
        <v>33</v>
      </c>
      <c r="J119" t="s">
        <v>38</v>
      </c>
    </row>
    <row r="120" spans="1:10" ht="14.5" x14ac:dyDescent="0.35">
      <c r="A120" s="2" t="str">
        <f>HYPERLINK("https://nga.laas.intel.com/#/nga_fv_gnr/failureManagement/failures/8082fa0b-a161-45ab-9d1b-1f2f1c6a0823","8082fa0b")</f>
        <v>8082fa0b</v>
      </c>
      <c r="B120" t="s">
        <v>175</v>
      </c>
      <c r="C120" t="s">
        <v>22</v>
      </c>
      <c r="D120" t="s">
        <v>198</v>
      </c>
      <c r="E120" s="2" t="str">
        <f t="shared" si="6"/>
        <v>junk</v>
      </c>
      <c r="F120" s="2" t="str">
        <f t="shared" si="7"/>
        <v>GNR-AP-X1_A0_VV</v>
      </c>
      <c r="G120" s="2" t="str">
        <f>HYPERLINK("https://axonsv.app.intel.com/apps/record-viewer?id=c64a2618-559c-4f0b-b436-d345a0c2d4bf","c64a2618-559c-4f0b-b436-d345a0c2d4bf")</f>
        <v>c64a2618-559c-4f0b-b436-d345a0c2d4bf</v>
      </c>
      <c r="I120" t="s">
        <v>33</v>
      </c>
      <c r="J120" t="s">
        <v>20</v>
      </c>
    </row>
    <row r="121" spans="1:10" ht="14.5" x14ac:dyDescent="0.35">
      <c r="A121" s="2" t="str">
        <f>HYPERLINK("https://nga.laas.intel.com/#/nga_fv_gnr/failureManagement/failures/c7b19ae7-64e2-4f30-bc94-0f9196975a60","c7b19ae7")</f>
        <v>c7b19ae7</v>
      </c>
      <c r="B121" t="s">
        <v>63</v>
      </c>
      <c r="C121" t="s">
        <v>22</v>
      </c>
      <c r="D121" t="s">
        <v>199</v>
      </c>
      <c r="E121" s="2" t="str">
        <f>HYPERLINK("https://nga.laas.intel.com/#/nga_fv_gnr/failureManagement/bucket/160c4f8e-adb7-4950-b411-8a182ba84db0","hw_err_msm_mbx_error_sts_mbx_overflow_hw_err_uncersts_msm_received_an_unsupported_request_hw_err_uncersts_oob_received_an_unsupported_request_hw_err_upi_upi0_flit_mismatch_hw_err_upi_upi1_flit_mismatch_hw_mce_upi")</f>
        <v>hw_err_msm_mbx_error_sts_mbx_overflow_hw_err_uncersts_msm_received_an_unsupported_request_hw_err_uncersts_oob_received_an_unsupported_request_hw_err_upi_upi0_flit_mismatch_hw_err_upi_upi1_flit_mismatch_hw_mce_upi</v>
      </c>
      <c r="F121" s="2" t="str">
        <f t="shared" si="7"/>
        <v>GNR-AP-X1_A0_VV</v>
      </c>
      <c r="G121" s="2" t="str">
        <f>HYPERLINK("https://axonsv.app.intel.com/apps/record-viewer?id=8dfdd9df-d10d-4a4e-a007-e85f550349c9","8dfdd9df-d10d-4a4e-a007-e85f550349c9")</f>
        <v>8dfdd9df-d10d-4a4e-a007-e85f550349c9</v>
      </c>
      <c r="I121" t="s">
        <v>200</v>
      </c>
      <c r="J121" t="s">
        <v>20</v>
      </c>
    </row>
    <row r="122" spans="1:10" ht="14.5" x14ac:dyDescent="0.35">
      <c r="A122" s="2" t="str">
        <f>HYPERLINK("https://nga.laas.intel.com/#/nga_fv_gnr/failureManagement/failures/9d893f3d-fea2-4e2f-9b50-11405418629a","9d893f3d")</f>
        <v>9d893f3d</v>
      </c>
      <c r="B122" t="s">
        <v>101</v>
      </c>
      <c r="C122" t="s">
        <v>22</v>
      </c>
      <c r="D122" t="s">
        <v>201</v>
      </c>
      <c r="E122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22" s="2" t="str">
        <f t="shared" si="7"/>
        <v>GNR-AP-X1_A0_VV</v>
      </c>
      <c r="G122" s="2" t="str">
        <f>HYPERLINK("https://axonsv.app.intel.com/apps/record-viewer?id=78b3a2ba-8d1d-46a4-8e2a-ccaee6b18ba2","78b3a2ba-8d1d-46a4-8e2a-ccaee6b18ba2")</f>
        <v>78b3a2ba-8d1d-46a4-8e2a-ccaee6b18ba2</v>
      </c>
      <c r="H122" t="s">
        <v>202</v>
      </c>
      <c r="I122" t="s">
        <v>33</v>
      </c>
      <c r="J122" t="s">
        <v>82</v>
      </c>
    </row>
    <row r="123" spans="1:10" ht="14.5" x14ac:dyDescent="0.35">
      <c r="A123" s="2" t="str">
        <f>HYPERLINK("https://nga.laas.intel.com/#/nga_fv_gnr/failureManagement/failures/9a96cdf7-eb4c-4c8e-902b-182062361181","9a96cdf7")</f>
        <v>9a96cdf7</v>
      </c>
      <c r="B123" t="s">
        <v>73</v>
      </c>
      <c r="C123" t="s">
        <v>22</v>
      </c>
      <c r="D123" t="s">
        <v>203</v>
      </c>
      <c r="E123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23" s="2" t="str">
        <f>HYPERLINK("https://nga.laas.intel.com/#/nga_fv_gnr/planning/suites/2c7ec13c-df59-42c4-8a05-0f54498b2f70","SQ_PM_GNR_AP_SANITY")</f>
        <v>SQ_PM_GNR_AP_SANITY</v>
      </c>
      <c r="G123" s="2" t="str">
        <f>HYPERLINK("https://axonsv.app.intel.com/apps/record-viewer?id=307dcd34-74e7-481d-bbde-8990bb9446b3","307dcd34-74e7-481d-bbde-8990bb9446b3")</f>
        <v>307dcd34-74e7-481d-bbde-8990bb9446b3</v>
      </c>
      <c r="I123" t="s">
        <v>33</v>
      </c>
      <c r="J123" t="s">
        <v>61</v>
      </c>
    </row>
    <row r="124" spans="1:10" ht="14.5" x14ac:dyDescent="0.35">
      <c r="A124" s="2" t="str">
        <f>HYPERLINK("https://nga.laas.intel.com/#/nga_fv_gnr/failureManagement/failures/09cd8ff5-2810-4d91-a3cf-0ae23782b4fa","09cd8ff5")</f>
        <v>09cd8ff5</v>
      </c>
      <c r="B124" t="s">
        <v>101</v>
      </c>
      <c r="C124" t="s">
        <v>22</v>
      </c>
      <c r="D124" t="s">
        <v>204</v>
      </c>
      <c r="E124" s="2" t="str">
        <f>HYPERLINK("https://nga.laas.intel.com/#/nga_fv_gnr/failureManagement/bucket/5e5cc6d1-ef70-4f0d-a091-dee49a716206","junk")</f>
        <v>junk</v>
      </c>
      <c r="F124" s="2" t="str">
        <f>HYPERLINK("https://nga.laas.intel.com/#/nga_fv_gnr/planning/suites/4602b7c0-cc4c-4841-bc78-d3764cf13fe2","GNR-AP-X1_A0_VV")</f>
        <v>GNR-AP-X1_A0_VV</v>
      </c>
      <c r="G124" s="2" t="str">
        <f>HYPERLINK("https://axonsv.app.intel.com/apps/record-viewer?id=814fe27d-682a-4212-b09d-3997a31f73de","814fe27d-682a-4212-b09d-3997a31f73de")</f>
        <v>814fe27d-682a-4212-b09d-3997a31f73de</v>
      </c>
      <c r="H124" t="s">
        <v>205</v>
      </c>
      <c r="I124" t="s">
        <v>33</v>
      </c>
      <c r="J124" t="s">
        <v>82</v>
      </c>
    </row>
    <row r="125" spans="1:10" ht="14.5" x14ac:dyDescent="0.35">
      <c r="A125" s="2" t="str">
        <f>HYPERLINK("https://nga.laas.intel.com/#/nga_fv_gnr/failureManagement/failures/9f71f890-2a3a-41ac-b232-0bdd12fbfa9d","9f71f890")</f>
        <v>9f71f890</v>
      </c>
      <c r="B125" t="s">
        <v>41</v>
      </c>
      <c r="C125" t="s">
        <v>22</v>
      </c>
      <c r="D125" t="s">
        <v>206</v>
      </c>
      <c r="E125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25" s="2" t="str">
        <f>HYPERLINK("https://nga.laas.intel.com/#/nga_fv_gnr/planning/suites/4602b7c0-cc4c-4841-bc78-d3764cf13fe2","GNR-AP-X1_A0_VV")</f>
        <v>GNR-AP-X1_A0_VV</v>
      </c>
      <c r="G125" s="2" t="str">
        <f>HYPERLINK("https://axonsv.app.intel.com/apps/record-viewer?id=212dc0ef-8c36-4296-88a4-5f60f622d4d7","212dc0ef-8c36-4296-88a4-5f60f622d4d7")</f>
        <v>212dc0ef-8c36-4296-88a4-5f60f622d4d7</v>
      </c>
      <c r="I125" t="s">
        <v>33</v>
      </c>
      <c r="J125" t="s">
        <v>20</v>
      </c>
    </row>
    <row r="126" spans="1:10" ht="14.5" x14ac:dyDescent="0.35">
      <c r="A126" s="2" t="str">
        <f>HYPERLINK("https://nga.laas.intel.com/#/nga_fv_gnr/failureManagement/failures/ff503aba-9931-44c6-befb-06b0497a6fda","ff503aba")</f>
        <v>ff503aba</v>
      </c>
      <c r="B126" t="s">
        <v>73</v>
      </c>
      <c r="C126" t="s">
        <v>22</v>
      </c>
      <c r="D126" t="s">
        <v>207</v>
      </c>
      <c r="E126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26" s="2" t="str">
        <f>HYPERLINK("https://nga.laas.intel.com/#/nga_fv_gnr/planning/suites/2c7ec13c-df59-42c4-8a05-0f54498b2f70","SQ_PM_GNR_AP_SANITY")</f>
        <v>SQ_PM_GNR_AP_SANITY</v>
      </c>
      <c r="G126" s="2" t="str">
        <f>HYPERLINK("https://axonsv.app.intel.com/apps/record-viewer?id=83ab4c41-58a8-4b8c-8220-b51589c0066a","83ab4c41-58a8-4b8c-8220-b51589c0066a")</f>
        <v>83ab4c41-58a8-4b8c-8220-b51589c0066a</v>
      </c>
      <c r="I126" t="s">
        <v>33</v>
      </c>
      <c r="J126" t="s">
        <v>20</v>
      </c>
    </row>
    <row r="127" spans="1:10" ht="14.5" x14ac:dyDescent="0.35">
      <c r="A127" s="2" t="str">
        <f>HYPERLINK("https://nga.laas.intel.com/#/nga_fv_gnr/failureManagement/failures/b4ce5bc6-52a9-486c-989a-1433e5bc9574","b4ce5bc6")</f>
        <v>b4ce5bc6</v>
      </c>
      <c r="B127" t="s">
        <v>63</v>
      </c>
      <c r="C127" t="s">
        <v>22</v>
      </c>
      <c r="D127" t="s">
        <v>208</v>
      </c>
      <c r="E127" s="2" t="str">
        <f>HYPERLINK("https://nga.laas.intel.com/#/nga_fv_gnr/failureManagement/bucket/5e5cc6d1-ef70-4f0d-a091-dee49a716206","junk")</f>
        <v>junk</v>
      </c>
      <c r="F127" s="2" t="str">
        <f>HYPERLINK("https://nga.laas.intel.com/#/nga_fv_gnr/planning/suites/4602b7c0-cc4c-4841-bc78-d3764cf13fe2","GNR-AP-X1_A0_VV")</f>
        <v>GNR-AP-X1_A0_VV</v>
      </c>
      <c r="G127" s="2" t="str">
        <f>HYPERLINK("https://axonsv.app.intel.com/apps/record-viewer?id=317974d8-68fc-4d75-8e95-5d471cccade9","317974d8-68fc-4d75-8e95-5d471cccade9")</f>
        <v>317974d8-68fc-4d75-8e95-5d471cccade9</v>
      </c>
      <c r="H127" t="s">
        <v>209</v>
      </c>
      <c r="I127" t="s">
        <v>33</v>
      </c>
      <c r="J127" t="s">
        <v>82</v>
      </c>
    </row>
    <row r="128" spans="1:10" ht="14.5" x14ac:dyDescent="0.35">
      <c r="A128" s="2" t="str">
        <f>HYPERLINK("https://nga.laas.intel.com/#/nga_fv_gnr/failureManagement/failures/5ba06b61-5190-4c94-afe7-105141040600","5ba06b61")</f>
        <v>5ba06b61</v>
      </c>
      <c r="B128" t="s">
        <v>210</v>
      </c>
      <c r="C128" t="s">
        <v>22</v>
      </c>
      <c r="D128" t="s">
        <v>211</v>
      </c>
      <c r="E128" s="2" t="str">
        <f>HYPERLINK("https://nga.laas.intel.com/#/nga_fv_gnr/failureManagement/bucket/5e5cc6d1-ef70-4f0d-a091-dee49a716206","junk")</f>
        <v>junk</v>
      </c>
      <c r="F128" s="2" t="str">
        <f>HYPERLINK("https://nga.laas.intel.com/#/nga_fv_gnr/planning/suites/4602b7c0-cc4c-4841-bc78-d3764cf13fe2","GNR-AP-X1_A0_VV")</f>
        <v>GNR-AP-X1_A0_VV</v>
      </c>
      <c r="G128" s="2" t="str">
        <f>HYPERLINK("https://axonsv.app.intel.com/apps/record-viewer?id=8e79e462-e411-4a66-86ab-155989c0f729","8e79e462-e411-4a66-86ab-155989c0f729")</f>
        <v>8e79e462-e411-4a66-86ab-155989c0f729</v>
      </c>
      <c r="H128" t="s">
        <v>212</v>
      </c>
      <c r="I128" t="s">
        <v>33</v>
      </c>
      <c r="J128" t="s">
        <v>82</v>
      </c>
    </row>
    <row r="129" spans="1:10" ht="14.5" x14ac:dyDescent="0.35">
      <c r="A129" s="2" t="str">
        <f>HYPERLINK("https://nga.laas.intel.com/#/nga_fv_gnr/failureManagement/failures/685e2f85-a1b9-4498-8c94-050ab85e6229","685e2f85")</f>
        <v>685e2f85</v>
      </c>
      <c r="B129" t="s">
        <v>213</v>
      </c>
      <c r="C129" t="s">
        <v>30</v>
      </c>
      <c r="D129" t="s">
        <v>66</v>
      </c>
      <c r="E129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129" s="2" t="str">
        <f>HYPERLINK("https://nga.laas.intel.com/#/nga_fv_gnr/planning/suites/2c7ec13c-df59-42c4-8a05-0f54498b2f70","SQ_PM_GNR_AP_SANITY")</f>
        <v>SQ_PM_GNR_AP_SANITY</v>
      </c>
      <c r="G129" s="2" t="str">
        <f>HYPERLINK("https://axonsv.app.intel.com/apps/record-viewer?id=8849a26d-ed60-4c19-804a-229388189996","8849a26d-ed60-4c19-804a-229388189996")</f>
        <v>8849a26d-ed60-4c19-804a-229388189996</v>
      </c>
      <c r="I129" t="s">
        <v>59</v>
      </c>
      <c r="J129" t="s">
        <v>51</v>
      </c>
    </row>
    <row r="130" spans="1:10" ht="14.5" x14ac:dyDescent="0.35">
      <c r="A130" s="2" t="str">
        <f>HYPERLINK("https://nga.laas.intel.com/#/nga_fv_gnr/failureManagement/failures/dab2e003-aefa-415c-beb4-21815e908241","dab2e003")</f>
        <v>dab2e003</v>
      </c>
      <c r="B130" t="s">
        <v>100</v>
      </c>
      <c r="C130" t="s">
        <v>22</v>
      </c>
      <c r="D130" t="s">
        <v>214</v>
      </c>
      <c r="E130" s="2" t="str">
        <f>HYPERLINK("https://nga.laas.intel.com/#/nga_fv_gnr/failureManagement/bucket/5e5cc6d1-ef70-4f0d-a091-dee49a716206","junk")</f>
        <v>junk</v>
      </c>
      <c r="F130" s="2" t="str">
        <f>HYPERLINK("https://nga.laas.intel.com/#/nga_fv_gnr/planning/suites/4602b7c0-cc4c-4841-bc78-d3764cf13fe2","GNR-AP-X1_A0_VV")</f>
        <v>GNR-AP-X1_A0_VV</v>
      </c>
      <c r="G130" s="2" t="str">
        <f>HYPERLINK("https://axonsv.app.intel.com/apps/record-viewer?id=1a2dac10-27c9-48ea-bd0c-ad9447966032","1a2dac10-27c9-48ea-bd0c-ad9447966032")</f>
        <v>1a2dac10-27c9-48ea-bd0c-ad9447966032</v>
      </c>
      <c r="I130" t="s">
        <v>33</v>
      </c>
      <c r="J130" t="s">
        <v>20</v>
      </c>
    </row>
    <row r="131" spans="1:10" ht="14.5" x14ac:dyDescent="0.35">
      <c r="A131" s="2" t="str">
        <f>HYPERLINK("https://nga.laas.intel.com/#/nga_fv_gnr/failureManagement/failures/be59f82d-13ed-41f5-a34d-1a69573901e7","be59f82d")</f>
        <v>be59f82d</v>
      </c>
      <c r="B131" t="s">
        <v>71</v>
      </c>
      <c r="C131" t="s">
        <v>22</v>
      </c>
      <c r="D131" t="s">
        <v>215</v>
      </c>
      <c r="E131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31" s="2" t="str">
        <f>HYPERLINK("https://nga.laas.intel.com/#/nga_fv_gnr/planning/suites/2c7ec13c-df59-42c4-8a05-0f54498b2f70","SQ_PM_GNR_AP_SANITY")</f>
        <v>SQ_PM_GNR_AP_SANITY</v>
      </c>
      <c r="G131" s="2" t="str">
        <f>HYPERLINK("https://axonsv.app.intel.com/apps/record-viewer?id=65246d14-89b1-4d10-8f61-ffb92c554bf6","65246d14-89b1-4d10-8f61-ffb92c554bf6")</f>
        <v>65246d14-89b1-4d10-8f61-ffb92c554bf6</v>
      </c>
      <c r="I131" t="s">
        <v>33</v>
      </c>
      <c r="J131" t="s">
        <v>20</v>
      </c>
    </row>
    <row r="132" spans="1:10" ht="14.5" x14ac:dyDescent="0.35">
      <c r="A132" s="2" t="str">
        <f>HYPERLINK("https://nga.laas.intel.com/#/nga_fv_gnr/failureManagement/failures/2a21d318-0caa-4ff2-ba95-0715407fb896","2a21d318")</f>
        <v>2a21d318</v>
      </c>
      <c r="B132" t="s">
        <v>185</v>
      </c>
      <c r="C132" t="s">
        <v>22</v>
      </c>
      <c r="D132" t="s">
        <v>214</v>
      </c>
      <c r="E132" s="2" t="str">
        <f>HYPERLINK("https://nga.laas.intel.com/#/nga_fv_gnr/failureManagement/bucket/5e5cc6d1-ef70-4f0d-a091-dee49a716206","junk")</f>
        <v>junk</v>
      </c>
      <c r="F132" s="2" t="str">
        <f t="shared" ref="F132:F146" si="8">HYPERLINK("https://nga.laas.intel.com/#/nga_fv_gnr/planning/suites/4602b7c0-cc4c-4841-bc78-d3764cf13fe2","GNR-AP-X1_A0_VV")</f>
        <v>GNR-AP-X1_A0_VV</v>
      </c>
      <c r="G132" s="2" t="str">
        <f>HYPERLINK("https://axonsv.app.intel.com/apps/record-viewer?id=0c839aab-3480-4e3e-b56c-fa5c82c779a3","0c839aab-3480-4e3e-b56c-fa5c82c779a3")</f>
        <v>0c839aab-3480-4e3e-b56c-fa5c82c779a3</v>
      </c>
      <c r="I132" t="s">
        <v>33</v>
      </c>
      <c r="J132" t="s">
        <v>20</v>
      </c>
    </row>
    <row r="133" spans="1:10" ht="14.5" x14ac:dyDescent="0.35">
      <c r="A133" s="2" t="str">
        <f>HYPERLINK("https://nga.laas.intel.com/#/nga_fv_gnr/failureManagement/failures/24690dde-4d4b-4fc2-95f8-201d65acf366","24690dde")</f>
        <v>24690dde</v>
      </c>
      <c r="B133" t="s">
        <v>102</v>
      </c>
      <c r="C133" t="s">
        <v>22</v>
      </c>
      <c r="D133" t="s">
        <v>216</v>
      </c>
      <c r="E133" s="2" t="str">
        <f>HYPERLINK("https://nga.laas.intel.com/#/nga_fv_gnr/failureManagement/bucket/5e5cc6d1-ef70-4f0d-a091-dee49a716206","junk")</f>
        <v>junk</v>
      </c>
      <c r="F133" s="2" t="str">
        <f t="shared" si="8"/>
        <v>GNR-AP-X1_A0_VV</v>
      </c>
      <c r="G133" s="2" t="str">
        <f>HYPERLINK("https://axonsv.app.intel.com/apps/record-viewer?id=8e969f98-c87f-42f5-bfc7-8f2f43b66fb3","8e969f98-c87f-42f5-bfc7-8f2f43b66fb3")</f>
        <v>8e969f98-c87f-42f5-bfc7-8f2f43b66fb3</v>
      </c>
      <c r="I133" t="s">
        <v>33</v>
      </c>
      <c r="J133" t="s">
        <v>14</v>
      </c>
    </row>
    <row r="134" spans="1:10" ht="14.5" x14ac:dyDescent="0.35">
      <c r="A134" s="2" t="str">
        <f>HYPERLINK("https://nga.laas.intel.com/#/nga_fv_gnr/failureManagement/failures/e13e7054-3c0e-45ff-944e-09a3ed6e6251","e13e7054")</f>
        <v>e13e7054</v>
      </c>
      <c r="B134" t="s">
        <v>217</v>
      </c>
      <c r="C134" t="s">
        <v>22</v>
      </c>
      <c r="D134" t="s">
        <v>218</v>
      </c>
      <c r="E134" s="2" t="str">
        <f>HYPERLINK("https://nga.laas.intel.com/#/nga_fv_gnr/failureManagement/bucket/5e5cc6d1-ef70-4f0d-a091-dee49a716206","junk")</f>
        <v>junk</v>
      </c>
      <c r="F134" s="2" t="str">
        <f t="shared" si="8"/>
        <v>GNR-AP-X1_A0_VV</v>
      </c>
      <c r="G134" s="2" t="str">
        <f>HYPERLINK("https://axonsv.app.intel.com/apps/record-viewer?id=7a3e5482-beea-4444-92f9-78618947b5ff","7a3e5482-beea-4444-92f9-78618947b5ff")</f>
        <v>7a3e5482-beea-4444-92f9-78618947b5ff</v>
      </c>
      <c r="I134" t="s">
        <v>33</v>
      </c>
      <c r="J134" t="s">
        <v>82</v>
      </c>
    </row>
    <row r="135" spans="1:10" ht="14.5" x14ac:dyDescent="0.35">
      <c r="A135" s="2" t="str">
        <f>HYPERLINK("https://nga.laas.intel.com/#/nga_fv_gnr/failureManagement/failures/17289158-e70c-460a-86aa-07afc7cea34d","17289158")</f>
        <v>17289158</v>
      </c>
      <c r="B135" t="s">
        <v>10</v>
      </c>
      <c r="C135" t="s">
        <v>22</v>
      </c>
      <c r="D135" t="s">
        <v>219</v>
      </c>
      <c r="E135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35" s="2" t="str">
        <f t="shared" si="8"/>
        <v>GNR-AP-X1_A0_VV</v>
      </c>
      <c r="G135" s="2" t="str">
        <f>HYPERLINK("https://axonsv.app.intel.com/apps/record-viewer?id=de99af65-3279-4137-ac13-9dd2a47802b0","de99af65-3279-4137-ac13-9dd2a47802b0")</f>
        <v>de99af65-3279-4137-ac13-9dd2a47802b0</v>
      </c>
      <c r="I135" t="s">
        <v>33</v>
      </c>
      <c r="J135" t="s">
        <v>20</v>
      </c>
    </row>
    <row r="136" spans="1:10" ht="14.5" x14ac:dyDescent="0.35">
      <c r="A136" s="2" t="str">
        <f>HYPERLINK("https://nga.laas.intel.com/#/nga_fv_gnr/failureManagement/failures/11bdf23c-9de7-4fdc-878f-08cf48123964","11bdf23c")</f>
        <v>11bdf23c</v>
      </c>
      <c r="B136" t="s">
        <v>187</v>
      </c>
      <c r="C136" t="s">
        <v>22</v>
      </c>
      <c r="D136" t="s">
        <v>220</v>
      </c>
      <c r="E136" s="2" t="str">
        <f t="shared" ref="E136:E141" si="9">HYPERLINK("https://nga.laas.intel.com/#/nga_fv_gnr/failureManagement/bucket/5e5cc6d1-ef70-4f0d-a091-dee49a716206","junk")</f>
        <v>junk</v>
      </c>
      <c r="F136" s="2" t="str">
        <f t="shared" si="8"/>
        <v>GNR-AP-X1_A0_VV</v>
      </c>
      <c r="G136" s="2" t="str">
        <f>HYPERLINK("https://axonsv.app.intel.com/apps/record-viewer?id=27774fb8-bd11-4ce4-8a92-00d0ecbeba29","27774fb8-bd11-4ce4-8a92-00d0ecbeba29")</f>
        <v>27774fb8-bd11-4ce4-8a92-00d0ecbeba29</v>
      </c>
      <c r="H136" t="s">
        <v>221</v>
      </c>
      <c r="I136" t="s">
        <v>33</v>
      </c>
      <c r="J136" t="s">
        <v>82</v>
      </c>
    </row>
    <row r="137" spans="1:10" ht="14.5" x14ac:dyDescent="0.35">
      <c r="A137" s="2" t="str">
        <f>HYPERLINK("https://nga.laas.intel.com/#/nga_fv_gnr/failureManagement/failures/55dd4e2f-834f-4c36-b1ed-2177d7de3499","55dd4e2f")</f>
        <v>55dd4e2f</v>
      </c>
      <c r="B137" t="s">
        <v>161</v>
      </c>
      <c r="C137" t="s">
        <v>22</v>
      </c>
      <c r="D137" t="s">
        <v>195</v>
      </c>
      <c r="E137" s="2" t="str">
        <f t="shared" si="9"/>
        <v>junk</v>
      </c>
      <c r="F137" s="2" t="str">
        <f t="shared" si="8"/>
        <v>GNR-AP-X1_A0_VV</v>
      </c>
      <c r="G137" s="2" t="str">
        <f>HYPERLINK("https://axonsv.app.intel.com/apps/record-viewer?id=aa2cabdb-dcdd-41df-b40e-55a346e408a7","aa2cabdb-dcdd-41df-b40e-55a346e408a7")</f>
        <v>aa2cabdb-dcdd-41df-b40e-55a346e408a7</v>
      </c>
      <c r="H137" t="s">
        <v>222</v>
      </c>
      <c r="I137" t="s">
        <v>33</v>
      </c>
      <c r="J137" t="s">
        <v>82</v>
      </c>
    </row>
    <row r="138" spans="1:10" ht="14.5" x14ac:dyDescent="0.35">
      <c r="A138" s="2" t="str">
        <f>HYPERLINK("https://nga.laas.intel.com/#/nga_fv_gnr/failureManagement/failures/d13601be-3f1a-48f3-a4ad-196acec20832","d13601be")</f>
        <v>d13601be</v>
      </c>
      <c r="B138" t="s">
        <v>223</v>
      </c>
      <c r="C138" t="s">
        <v>22</v>
      </c>
      <c r="D138" t="s">
        <v>60</v>
      </c>
      <c r="E138" s="2" t="str">
        <f t="shared" si="9"/>
        <v>junk</v>
      </c>
      <c r="F138" s="2" t="str">
        <f t="shared" si="8"/>
        <v>GNR-AP-X1_A0_VV</v>
      </c>
      <c r="G138" s="2" t="str">
        <f>HYPERLINK("https://axonsv.app.intel.com/apps/record-viewer?id=75b9d863-c742-47ac-9311-a7dcbb1c355a","75b9d863-c742-47ac-9311-a7dcbb1c355a")</f>
        <v>75b9d863-c742-47ac-9311-a7dcbb1c355a</v>
      </c>
      <c r="I138" t="s">
        <v>33</v>
      </c>
      <c r="J138" t="s">
        <v>61</v>
      </c>
    </row>
    <row r="139" spans="1:10" ht="14.5" x14ac:dyDescent="0.35">
      <c r="A139" s="2" t="str">
        <f>HYPERLINK("https://nga.laas.intel.com/#/nga_fv_gnr/failureManagement/failures/22292365-a64e-4238-bf76-02c23c6f5438","22292365")</f>
        <v>22292365</v>
      </c>
      <c r="B139" t="s">
        <v>83</v>
      </c>
      <c r="C139" t="s">
        <v>22</v>
      </c>
      <c r="D139" t="s">
        <v>225</v>
      </c>
      <c r="E139" s="2" t="str">
        <f t="shared" si="9"/>
        <v>junk</v>
      </c>
      <c r="F139" s="2" t="str">
        <f t="shared" si="8"/>
        <v>GNR-AP-X1_A0_VV</v>
      </c>
      <c r="G139" s="2" t="str">
        <f>HYPERLINK("https://axonsv.app.intel.com/apps/record-viewer?id=1317b20a-7be2-4371-92dc-a4ea8844d232","1317b20a-7be2-4371-92dc-a4ea8844d232")</f>
        <v>1317b20a-7be2-4371-92dc-a4ea8844d232</v>
      </c>
      <c r="H139" t="s">
        <v>226</v>
      </c>
      <c r="I139" t="s">
        <v>33</v>
      </c>
      <c r="J139" t="s">
        <v>82</v>
      </c>
    </row>
    <row r="140" spans="1:10" ht="14.5" x14ac:dyDescent="0.35">
      <c r="A140" s="2" t="str">
        <f>HYPERLINK("https://nga.laas.intel.com/#/nga_fv_gnr/failureManagement/failures/890369e7-5154-4ceb-b73b-0f146ecf24bf","890369e7")</f>
        <v>890369e7</v>
      </c>
      <c r="B140" t="s">
        <v>227</v>
      </c>
      <c r="C140" t="s">
        <v>22</v>
      </c>
      <c r="D140" t="s">
        <v>228</v>
      </c>
      <c r="E140" s="2" t="str">
        <f t="shared" si="9"/>
        <v>junk</v>
      </c>
      <c r="F140" s="2" t="str">
        <f t="shared" si="8"/>
        <v>GNR-AP-X1_A0_VV</v>
      </c>
      <c r="G140" s="2" t="str">
        <f>HYPERLINK("https://axonsv.app.intel.com/apps/record-viewer?id=539ef5d1-a5fe-4b6f-bd74-d1aa89ef4d51","539ef5d1-a5fe-4b6f-bd74-d1aa89ef4d51")</f>
        <v>539ef5d1-a5fe-4b6f-bd74-d1aa89ef4d51</v>
      </c>
      <c r="H140" t="s">
        <v>229</v>
      </c>
      <c r="I140" t="s">
        <v>33</v>
      </c>
      <c r="J140" t="s">
        <v>82</v>
      </c>
    </row>
    <row r="141" spans="1:10" ht="14.5" x14ac:dyDescent="0.35">
      <c r="A141" s="2" t="str">
        <f>HYPERLINK("https://nga.laas.intel.com/#/nga_fv_gnr/failureManagement/failures/87f0fb8d-e6e1-4575-a1b8-03fef7c6ec60","87f0fb8d")</f>
        <v>87f0fb8d</v>
      </c>
      <c r="B141" t="s">
        <v>230</v>
      </c>
      <c r="C141" t="s">
        <v>22</v>
      </c>
      <c r="D141" t="s">
        <v>154</v>
      </c>
      <c r="E141" s="2" t="str">
        <f t="shared" si="9"/>
        <v>junk</v>
      </c>
      <c r="F141" s="2" t="str">
        <f t="shared" si="8"/>
        <v>GNR-AP-X1_A0_VV</v>
      </c>
      <c r="G141" s="2" t="str">
        <f>HYPERLINK("https://axonsv.app.intel.com/apps/record-viewer?id=d6e6da67-eef0-4a1a-bf06-0875978a972d","d6e6da67-eef0-4a1a-bf06-0875978a972d")</f>
        <v>d6e6da67-eef0-4a1a-bf06-0875978a972d</v>
      </c>
      <c r="H141" t="s">
        <v>231</v>
      </c>
      <c r="I141" t="s">
        <v>33</v>
      </c>
      <c r="J141" t="s">
        <v>82</v>
      </c>
    </row>
    <row r="142" spans="1:10" ht="14.5" x14ac:dyDescent="0.35">
      <c r="A142" s="2" t="str">
        <f>HYPERLINK("https://nga.laas.intel.com/#/nga_fv_gnr/failureManagement/failures/56cf2c68-2f05-4c31-9858-1014e459bb97","56cf2c68")</f>
        <v>56cf2c68</v>
      </c>
      <c r="B142" t="s">
        <v>210</v>
      </c>
      <c r="C142" t="s">
        <v>22</v>
      </c>
      <c r="D142" t="s">
        <v>162</v>
      </c>
      <c r="E14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42" s="2" t="str">
        <f t="shared" si="8"/>
        <v>GNR-AP-X1_A0_VV</v>
      </c>
      <c r="G142" s="2" t="str">
        <f>HYPERLINK("https://axonsv.app.intel.com/apps/record-viewer?id=2ce6679c-fd8c-4da5-b29d-ce64fb992071","2ce6679c-fd8c-4da5-b29d-ce64fb992071")</f>
        <v>2ce6679c-fd8c-4da5-b29d-ce64fb992071</v>
      </c>
      <c r="I142" t="s">
        <v>33</v>
      </c>
      <c r="J142" t="s">
        <v>20</v>
      </c>
    </row>
    <row r="143" spans="1:10" ht="14.5" x14ac:dyDescent="0.35">
      <c r="A143" s="2" t="str">
        <f>HYPERLINK("https://nga.laas.intel.com/#/nga_fv_gnr/failureManagement/failures/9c56e3ec-4e1b-4a3a-8150-1661b1467571","9c56e3ec")</f>
        <v>9c56e3ec</v>
      </c>
      <c r="B143" t="s">
        <v>232</v>
      </c>
      <c r="C143" t="s">
        <v>22</v>
      </c>
      <c r="D143" t="s">
        <v>233</v>
      </c>
      <c r="E143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43" s="2" t="str">
        <f t="shared" si="8"/>
        <v>GNR-AP-X1_A0_VV</v>
      </c>
      <c r="G143" s="2" t="str">
        <f>HYPERLINK("https://axonsv.app.intel.com/apps/record-viewer?id=2a6c4d0d-b2ee-4a3a-ad2c-556b7d69459d","2a6c4d0d-b2ee-4a3a-ad2c-556b7d69459d")</f>
        <v>2a6c4d0d-b2ee-4a3a-ad2c-556b7d69459d</v>
      </c>
      <c r="I143" t="s">
        <v>33</v>
      </c>
      <c r="J143" t="s">
        <v>112</v>
      </c>
    </row>
    <row r="144" spans="1:10" ht="14.5" x14ac:dyDescent="0.35">
      <c r="A144" s="2" t="str">
        <f>HYPERLINK("https://nga.laas.intel.com/#/nga_fv_gnr/failureManagement/failures/3e6a04ef-c55d-4300-898f-0c90b2516f54","3e6a04ef")</f>
        <v>3e6a04ef</v>
      </c>
      <c r="B144" t="s">
        <v>126</v>
      </c>
      <c r="C144" t="s">
        <v>22</v>
      </c>
      <c r="D144" t="s">
        <v>60</v>
      </c>
      <c r="E144" s="2" t="str">
        <f>HYPERLINK("https://nga.laas.intel.com/#/nga_fv_gnr/failureManagement/bucket/e18c39ef-f9af-4782-924f-9b6a71d596c2","hw_err_ieh_satieh2_gerrcorsts,hw_err_ieh_satieh3_gerrcorsts,hw_err_ieh_satieh3_gerrnonsts,hw_err_msm_global_status_ctrl_reg_general_mca,hw_err_msm_global_status_ctrl_reg_global_viral,hw_err_msm_global_status_ctrl_reg_ierr,hw_err_msm_mbx_error_sts_mbx_over")</f>
        <v>hw_err_ieh_satieh2_gerrcorsts,hw_err_ieh_satieh3_gerrcorsts,hw_err_ieh_satieh3_gerrnonsts,hw_err_msm_global_status_ctrl_reg_general_mca,hw_err_msm_global_status_ctrl_reg_global_viral,hw_err_msm_global_status_ctrl_reg_ierr,hw_err_msm_mbx_error_sts_mbx_over</v>
      </c>
      <c r="F144" s="2" t="str">
        <f t="shared" si="8"/>
        <v>GNR-AP-X1_A0_VV</v>
      </c>
      <c r="G144" s="2" t="str">
        <f>HYPERLINK("https://axonsv.app.intel.com/apps/record-viewer?id=d8d3cfd6-661f-449d-ac04-d25d674b8a25","d8d3cfd6-661f-449d-ac04-d25d674b8a25")</f>
        <v>d8d3cfd6-661f-449d-ac04-d25d674b8a25</v>
      </c>
      <c r="I144" t="s">
        <v>234</v>
      </c>
      <c r="J144" t="s">
        <v>61</v>
      </c>
    </row>
    <row r="145" spans="1:10" ht="14.5" x14ac:dyDescent="0.35">
      <c r="A145" s="2" t="str">
        <f>HYPERLINK("https://nga.laas.intel.com/#/nga_fv_gnr/failureManagement/failures/565e2246-fd5b-46a3-a912-20e227b00e9c","565e2246")</f>
        <v>565e2246</v>
      </c>
      <c r="B145" t="s">
        <v>87</v>
      </c>
      <c r="C145" t="s">
        <v>30</v>
      </c>
      <c r="D145" t="s">
        <v>66</v>
      </c>
      <c r="E145" s="2" t="str">
        <f>HYPERLINK("https://nga.laas.intel.com/#/nga_fv_gnr/failureManagement/bucket/58cbc271-1653-4153-bb39-85f830dba2ba","hw_err_msm_mbx_error_sts_mbx_overflow,hw_mce_mlc_mcacod_a_code_error_mscod_a_code_error")</f>
        <v>hw_err_msm_mbx_error_sts_mbx_overflow,hw_mce_mlc_mcacod_a_code_error_mscod_a_code_error</v>
      </c>
      <c r="F145" s="2" t="str">
        <f t="shared" si="8"/>
        <v>GNR-AP-X1_A0_VV</v>
      </c>
      <c r="G145" s="2" t="str">
        <f>HYPERLINK("https://axonsv.app.intel.com/apps/record-viewer?id=e28646f6-cccf-4de8-a690-98c797525a9e","e28646f6-cccf-4de8-a690-98c797525a9e")</f>
        <v>e28646f6-cccf-4de8-a690-98c797525a9e</v>
      </c>
      <c r="I145" t="s">
        <v>172</v>
      </c>
      <c r="J145" t="s">
        <v>51</v>
      </c>
    </row>
    <row r="146" spans="1:10" ht="14.5" x14ac:dyDescent="0.35">
      <c r="A146" s="2" t="str">
        <f>HYPERLINK("https://nga.laas.intel.com/#/nga_fv_gnr/failureManagement/failures/fccc0836-7816-461a-bf31-0133328fc587","fccc0836")</f>
        <v>fccc0836</v>
      </c>
      <c r="B146" t="s">
        <v>235</v>
      </c>
      <c r="C146" t="s">
        <v>22</v>
      </c>
      <c r="D146" t="s">
        <v>219</v>
      </c>
      <c r="E146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46" s="2" t="str">
        <f t="shared" si="8"/>
        <v>GNR-AP-X1_A0_VV</v>
      </c>
      <c r="G146" s="2" t="str">
        <f>HYPERLINK("https://axonsv.app.intel.com/apps/record-viewer?id=d9c2b543-a04e-0966-eebe-50e97f2707ac","d9c2b543-a04e-0966-eebe-50e97f2707ac")</f>
        <v>d9c2b543-a04e-0966-eebe-50e97f2707ac</v>
      </c>
      <c r="I146" t="s">
        <v>33</v>
      </c>
      <c r="J146" t="s">
        <v>20</v>
      </c>
    </row>
    <row r="147" spans="1:10" ht="14.5" x14ac:dyDescent="0.35">
      <c r="A147" s="2" t="str">
        <f>HYPERLINK("https://nga.laas.intel.com/#/nga_fv_gnr/failureManagement/failures/ae804b86-3291-4578-8bbb-14054d75ae8e","ae804b86")</f>
        <v>ae804b86</v>
      </c>
      <c r="B147" t="s">
        <v>236</v>
      </c>
      <c r="C147" t="s">
        <v>30</v>
      </c>
      <c r="D147" t="s">
        <v>66</v>
      </c>
      <c r="E147" s="2" t="str">
        <f>HYPERLINK("https://nga.laas.intel.com/#/nga_fv_gnr/failureManagement/bucket/f3ebedde-9942-43b3-b63a-53e981388823","hw_err_ieh_satieh3_gerrnonsts,hw_err_ieh_satieh4_gerrnonsts,hw_err_ieh_satieh5_gerrnonsts,hw_err_msm_global_status_ctrl_reg_general_mca,hw_err_msm_global_status_ctrl_reg_global_viral,hw_err_msm_global_status_ctrl_reg_ierr,hw_err_msm_mbx_error_sts_mbx_over")</f>
        <v>hw_err_ieh_satieh3_gerrnonsts,hw_err_ieh_satieh4_gerrnonsts,hw_err_ieh_satieh5_gerrnonsts,hw_err_msm_global_status_ctrl_reg_general_mca,hw_err_msm_global_status_ctrl_reg_global_viral,hw_err_msm_global_status_ctrl_reg_ierr,hw_err_msm_mbx_error_sts_mbx_over</v>
      </c>
      <c r="F147" s="2" t="str">
        <f>HYPERLINK("https://nga.laas.intel.com/#/nga_fv_gnr/planning/suites/2c7ec13c-df59-42c4-8a05-0f54498b2f70","SQ_PM_GNR_AP_SANITY")</f>
        <v>SQ_PM_GNR_AP_SANITY</v>
      </c>
      <c r="G147" s="2" t="str">
        <f>HYPERLINK("https://axonsv.app.intel.com/apps/record-viewer?id=7620f944-8299-451e-914d-8b0ee0b1fbcb","7620f944-8299-451e-914d-8b0ee0b1fbcb")</f>
        <v>7620f944-8299-451e-914d-8b0ee0b1fbcb</v>
      </c>
      <c r="I147" t="s">
        <v>46</v>
      </c>
      <c r="J147" t="s">
        <v>20</v>
      </c>
    </row>
    <row r="148" spans="1:10" ht="14.5" x14ac:dyDescent="0.35">
      <c r="A148" s="2" t="str">
        <f>HYPERLINK("https://nga.laas.intel.com/#/nga_fv_gnr/failureManagement/failures/13beefae-9032-49b5-b73a-0a92b81a4555","13beefae")</f>
        <v>13beefae</v>
      </c>
      <c r="B148" t="s">
        <v>213</v>
      </c>
      <c r="C148" t="s">
        <v>30</v>
      </c>
      <c r="D148" t="s">
        <v>66</v>
      </c>
      <c r="E148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148" s="2" t="str">
        <f>HYPERLINK("https://nga.laas.intel.com/#/nga_fv_gnr/planning/suites/2c7ec13c-df59-42c4-8a05-0f54498b2f70","SQ_PM_GNR_AP_SANITY")</f>
        <v>SQ_PM_GNR_AP_SANITY</v>
      </c>
      <c r="G148" s="2" t="str">
        <f>HYPERLINK("https://axonsv.app.intel.com/apps/record-viewer?id=29ae354c-5008-4147-8c89-cf39a2c5ed32","29ae354c-5008-4147-8c89-cf39a2c5ed32")</f>
        <v>29ae354c-5008-4147-8c89-cf39a2c5ed32</v>
      </c>
      <c r="I148" t="s">
        <v>59</v>
      </c>
      <c r="J148" t="s">
        <v>51</v>
      </c>
    </row>
    <row r="149" spans="1:10" ht="14.5" x14ac:dyDescent="0.35">
      <c r="A149" s="2" t="str">
        <f>HYPERLINK("https://nga.laas.intel.com/#/nga_fv_gnr/failureManagement/failures/15508b22-49e1-427f-be61-1d68e5739233","15508b22")</f>
        <v>15508b22</v>
      </c>
      <c r="B149" t="s">
        <v>232</v>
      </c>
      <c r="C149" t="s">
        <v>22</v>
      </c>
      <c r="D149" t="s">
        <v>233</v>
      </c>
      <c r="E149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49" s="2" t="str">
        <f t="shared" ref="F149:F162" si="10">HYPERLINK("https://nga.laas.intel.com/#/nga_fv_gnr/planning/suites/4602b7c0-cc4c-4841-bc78-d3764cf13fe2","GNR-AP-X1_A0_VV")</f>
        <v>GNR-AP-X1_A0_VV</v>
      </c>
      <c r="G149" s="2" t="str">
        <f>HYPERLINK("https://axonsv.app.intel.com/apps/record-viewer?id=14de716d-a2f9-4533-ac68-6639daf6329a","14de716d-a2f9-4533-ac68-6639daf6329a")</f>
        <v>14de716d-a2f9-4533-ac68-6639daf6329a</v>
      </c>
      <c r="I149" t="s">
        <v>33</v>
      </c>
      <c r="J149" t="s">
        <v>112</v>
      </c>
    </row>
    <row r="150" spans="1:10" ht="14.5" x14ac:dyDescent="0.35">
      <c r="A150" s="2" t="str">
        <f>HYPERLINK("https://nga.laas.intel.com/#/nga_fv_gnr/failureManagement/failures/8e12bce4-074c-4cd5-88b0-161b21504b06","8e12bce4")</f>
        <v>8e12bce4</v>
      </c>
      <c r="B150" t="s">
        <v>187</v>
      </c>
      <c r="C150" t="s">
        <v>22</v>
      </c>
      <c r="D150" t="s">
        <v>194</v>
      </c>
      <c r="E150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50" s="2" t="str">
        <f t="shared" si="10"/>
        <v>GNR-AP-X1_A0_VV</v>
      </c>
      <c r="G150" s="2" t="str">
        <f>HYPERLINK("https://axonsv.app.intel.com/apps/record-viewer?id=748b730e-e638-4dde-84ed-bd1f0a7a999c","748b730e-e638-4dde-84ed-bd1f0a7a999c")</f>
        <v>748b730e-e638-4dde-84ed-bd1f0a7a999c</v>
      </c>
      <c r="I150" t="s">
        <v>33</v>
      </c>
      <c r="J150" t="s">
        <v>20</v>
      </c>
    </row>
    <row r="151" spans="1:10" ht="14.5" x14ac:dyDescent="0.35">
      <c r="A151" s="2" t="str">
        <f>HYPERLINK("https://nga.laas.intel.com/#/nga_fv_gnr/failureManagement/failures/6f3f320f-226d-418c-8345-0a5430199845","6f3f320f")</f>
        <v>6f3f320f</v>
      </c>
      <c r="B151" t="s">
        <v>81</v>
      </c>
      <c r="C151" t="s">
        <v>22</v>
      </c>
      <c r="D151" t="s">
        <v>237</v>
      </c>
      <c r="E151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51" s="2" t="str">
        <f t="shared" si="10"/>
        <v>GNR-AP-X1_A0_VV</v>
      </c>
      <c r="G151" s="2" t="str">
        <f>HYPERLINK("https://axonsv.app.intel.com/apps/record-viewer?id=cd156d2d-1d16-466d-9456-4b10f5c77f08","cd156d2d-1d16-466d-9456-4b10f5c77f08")</f>
        <v>cd156d2d-1d16-466d-9456-4b10f5c77f08</v>
      </c>
      <c r="I151" t="s">
        <v>33</v>
      </c>
      <c r="J151" t="s">
        <v>20</v>
      </c>
    </row>
    <row r="152" spans="1:10" ht="14.5" x14ac:dyDescent="0.35">
      <c r="A152" s="2" t="str">
        <f>HYPERLINK("https://nga.laas.intel.com/#/nga_fv_gnr/failureManagement/failures/40ee8e4e-5f75-46d7-bafe-239564738a12","40ee8e4e")</f>
        <v>40ee8e4e</v>
      </c>
      <c r="B152" t="s">
        <v>96</v>
      </c>
      <c r="C152" t="s">
        <v>22</v>
      </c>
      <c r="D152" t="s">
        <v>219</v>
      </c>
      <c r="E15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52" s="2" t="str">
        <f t="shared" si="10"/>
        <v>GNR-AP-X1_A0_VV</v>
      </c>
      <c r="G152" s="2" t="str">
        <f>HYPERLINK("https://axonsv.app.intel.com/apps/record-viewer?id=19399dcb-3894-4a11-a336-39ca827bd27d","19399dcb-3894-4a11-a336-39ca827bd27d")</f>
        <v>19399dcb-3894-4a11-a336-39ca827bd27d</v>
      </c>
      <c r="I152" t="s">
        <v>33</v>
      </c>
      <c r="J152" t="s">
        <v>20</v>
      </c>
    </row>
    <row r="153" spans="1:10" ht="14.5" x14ac:dyDescent="0.35">
      <c r="A153" s="2" t="str">
        <f>HYPERLINK("https://nga.laas.intel.com/#/nga_fv_gnr/failureManagement/failures/a32455fd-7541-4cce-b1fb-096c8a0852c6","a32455fd")</f>
        <v>a32455fd</v>
      </c>
      <c r="B153" t="s">
        <v>96</v>
      </c>
      <c r="C153" t="s">
        <v>22</v>
      </c>
      <c r="D153" t="s">
        <v>219</v>
      </c>
      <c r="F153" s="2" t="str">
        <f t="shared" si="10"/>
        <v>GNR-AP-X1_A0_VV</v>
      </c>
      <c r="G153" s="2" t="str">
        <f>HYPERLINK("https://axonsv.app.intel.com/apps/record-viewer?id=d8053fa8-41d8-43f7-bd1b-4dc0218d2a4f","d8053fa8-41d8-43f7-bd1b-4dc0218d2a4f")</f>
        <v>d8053fa8-41d8-43f7-bd1b-4dc0218d2a4f</v>
      </c>
      <c r="I153" t="s">
        <v>33</v>
      </c>
      <c r="J153" t="s">
        <v>20</v>
      </c>
    </row>
    <row r="154" spans="1:10" ht="14.5" x14ac:dyDescent="0.35">
      <c r="A154" s="2" t="str">
        <f>HYPERLINK("https://nga.laas.intel.com/#/nga_fv_gnr/failureManagement/failures/d4ff7d8c-0892-49e4-9a21-0d1f34d98f72","d4ff7d8c")</f>
        <v>d4ff7d8c</v>
      </c>
      <c r="B154" t="s">
        <v>230</v>
      </c>
      <c r="C154" t="s">
        <v>22</v>
      </c>
      <c r="D154" t="s">
        <v>225</v>
      </c>
      <c r="E154" s="2" t="str">
        <f>HYPERLINK("https://nga.laas.intel.com/#/nga_fv_gnr/failureManagement/bucket/5e5cc6d1-ef70-4f0d-a091-dee49a716206","junk")</f>
        <v>junk</v>
      </c>
      <c r="F154" s="2" t="str">
        <f t="shared" si="10"/>
        <v>GNR-AP-X1_A0_VV</v>
      </c>
      <c r="G154" s="2" t="str">
        <f>HYPERLINK("https://axonsv.app.intel.com/apps/record-viewer?id=80ec3e2e-3f44-49b2-9ea0-59564faa76f6","80ec3e2e-3f44-49b2-9ea0-59564faa76f6")</f>
        <v>80ec3e2e-3f44-49b2-9ea0-59564faa76f6</v>
      </c>
      <c r="I154" t="s">
        <v>33</v>
      </c>
      <c r="J154" t="s">
        <v>82</v>
      </c>
    </row>
    <row r="155" spans="1:10" ht="14.5" x14ac:dyDescent="0.35">
      <c r="A155" s="2" t="str">
        <f>HYPERLINK("https://nga.laas.intel.com/#/nga_fv_gnr/failureManagement/failures/42163206-97b4-4b75-98a7-03b916003eea","42163206")</f>
        <v>42163206</v>
      </c>
      <c r="B155" t="s">
        <v>85</v>
      </c>
      <c r="C155" t="s">
        <v>22</v>
      </c>
      <c r="D155" t="s">
        <v>219</v>
      </c>
      <c r="E155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55" s="2" t="str">
        <f t="shared" si="10"/>
        <v>GNR-AP-X1_A0_VV</v>
      </c>
      <c r="G155" s="2" t="str">
        <f>HYPERLINK("https://axonsv.app.intel.com/apps/record-viewer?id=d6797836-2a31-4e17-bba0-152a944f2bf2","d6797836-2a31-4e17-bba0-152a944f2bf2")</f>
        <v>d6797836-2a31-4e17-bba0-152a944f2bf2</v>
      </c>
      <c r="I155" t="s">
        <v>33</v>
      </c>
      <c r="J155" t="s">
        <v>20</v>
      </c>
    </row>
    <row r="156" spans="1:10" ht="14.5" x14ac:dyDescent="0.35">
      <c r="A156" s="2" t="str">
        <f>HYPERLINK("https://nga.laas.intel.com/#/nga_fv_gnr/failureManagement/failures/05646d09-b573-47dd-9258-1c3a2fa5c329","05646d09")</f>
        <v>05646d09</v>
      </c>
      <c r="B156" t="s">
        <v>10</v>
      </c>
      <c r="C156" t="s">
        <v>22</v>
      </c>
      <c r="D156" t="s">
        <v>219</v>
      </c>
      <c r="E156" s="2" t="str">
        <f>HYPERLINK("https://nga.laas.intel.com/#/nga_fv_gnr/failureManagement/bucket/5e5cc6d1-ef70-4f0d-a091-dee49a716206","junk")</f>
        <v>junk</v>
      </c>
      <c r="F156" s="2" t="str">
        <f t="shared" si="10"/>
        <v>GNR-AP-X1_A0_VV</v>
      </c>
      <c r="G156" s="2" t="str">
        <f>HYPERLINK("https://axonsv.app.intel.com/apps/record-viewer?id=9e0f577c-f843-464d-bbca-e51c99c32dc5","9e0f577c-f843-464d-bbca-e51c99c32dc5")</f>
        <v>9e0f577c-f843-464d-bbca-e51c99c32dc5</v>
      </c>
      <c r="I156" t="s">
        <v>33</v>
      </c>
      <c r="J156" t="s">
        <v>20</v>
      </c>
    </row>
    <row r="157" spans="1:10" ht="14.5" x14ac:dyDescent="0.35">
      <c r="A157" s="2" t="str">
        <f>HYPERLINK("https://nga.laas.intel.com/#/nga_fv_gnr/failureManagement/failures/de28c82f-4234-4d34-9ce8-0bf5124e0c53","de28c82f")</f>
        <v>de28c82f</v>
      </c>
      <c r="B157" t="s">
        <v>75</v>
      </c>
      <c r="C157" t="s">
        <v>22</v>
      </c>
      <c r="D157" t="s">
        <v>60</v>
      </c>
      <c r="E157" s="2" t="str">
        <f>HYPERLINK("https://nga.laas.intel.com/#/nga_fv_gnr/failureManagement/bucket/5e5cc6d1-ef70-4f0d-a091-dee49a716206","junk")</f>
        <v>junk</v>
      </c>
      <c r="F157" s="2" t="str">
        <f t="shared" si="10"/>
        <v>GNR-AP-X1_A0_VV</v>
      </c>
      <c r="G157" s="2" t="str">
        <f>HYPERLINK("https://axonsv.app.intel.com/apps/record-viewer?id=96ead429-71df-406f-8c9a-5f7158c814f5","96ead429-71df-406f-8c9a-5f7158c814f5")</f>
        <v>96ead429-71df-406f-8c9a-5f7158c814f5</v>
      </c>
      <c r="I157" t="s">
        <v>33</v>
      </c>
      <c r="J157" t="s">
        <v>61</v>
      </c>
    </row>
    <row r="158" spans="1:10" ht="14.5" x14ac:dyDescent="0.35">
      <c r="A158" s="2" t="str">
        <f>HYPERLINK("https://nga.laas.intel.com/#/nga_fv_gnr/failureManagement/failures/8a145855-746d-4d0f-9521-2056b0c4acae","8a145855")</f>
        <v>8a145855</v>
      </c>
      <c r="B158" t="s">
        <v>98</v>
      </c>
      <c r="C158" t="s">
        <v>22</v>
      </c>
      <c r="D158" t="s">
        <v>238</v>
      </c>
      <c r="E158" s="2" t="str">
        <f>HYPERLINK("https://nga.laas.intel.com/#/nga_fv_gnr/failureManagement/bucket/5e5cc6d1-ef70-4f0d-a091-dee49a716206","junk")</f>
        <v>junk</v>
      </c>
      <c r="F158" s="2" t="str">
        <f t="shared" si="10"/>
        <v>GNR-AP-X1_A0_VV</v>
      </c>
      <c r="G158" s="2" t="str">
        <f>HYPERLINK("https://axonsv.app.intel.com/apps/record-viewer?id=1cd95d75-e0c3-4fd6-b4dc-2027127c0f2c","1cd95d75-e0c3-4fd6-b4dc-2027127c0f2c")</f>
        <v>1cd95d75-e0c3-4fd6-b4dc-2027127c0f2c</v>
      </c>
      <c r="I158" t="s">
        <v>33</v>
      </c>
      <c r="J158" t="s">
        <v>82</v>
      </c>
    </row>
    <row r="159" spans="1:10" ht="14.5" x14ac:dyDescent="0.35">
      <c r="A159" s="2" t="str">
        <f>HYPERLINK("https://nga.laas.intel.com/#/nga_fv_gnr/failureManagement/failures/3766a6b8-c64e-498b-9cd8-028a108ece68","3766a6b8")</f>
        <v>3766a6b8</v>
      </c>
      <c r="B159" t="s">
        <v>123</v>
      </c>
      <c r="C159" t="s">
        <v>22</v>
      </c>
      <c r="D159" t="s">
        <v>239</v>
      </c>
      <c r="E159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59" s="2" t="str">
        <f t="shared" si="10"/>
        <v>GNR-AP-X1_A0_VV</v>
      </c>
      <c r="G159" s="2" t="str">
        <f>HYPERLINK("https://axonsv.app.intel.com/apps/record-viewer?id=b7b60961-671b-4316-b82f-d93db6ae9b85","b7b60961-671b-4316-b82f-d93db6ae9b85")</f>
        <v>b7b60961-671b-4316-b82f-d93db6ae9b85</v>
      </c>
      <c r="I159" t="s">
        <v>33</v>
      </c>
      <c r="J159" t="s">
        <v>20</v>
      </c>
    </row>
    <row r="160" spans="1:10" ht="14.5" x14ac:dyDescent="0.35">
      <c r="A160" s="2" t="str">
        <f>HYPERLINK("https://nga.laas.intel.com/#/nga_fv_gnr/failureManagement/failures/8ca412ec-a014-44c9-a507-0b3749139205","8ca412ec")</f>
        <v>8ca412ec</v>
      </c>
      <c r="B160" t="s">
        <v>175</v>
      </c>
      <c r="C160" t="s">
        <v>22</v>
      </c>
      <c r="D160" t="s">
        <v>240</v>
      </c>
      <c r="E160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60" s="2" t="str">
        <f t="shared" si="10"/>
        <v>GNR-AP-X1_A0_VV</v>
      </c>
      <c r="G160" s="2" t="str">
        <f>HYPERLINK("https://axonsv.app.intel.com/apps/record-viewer?id=74dd8270-70ac-4f59-9659-85bb81e81764","74dd8270-70ac-4f59-9659-85bb81e81764")</f>
        <v>74dd8270-70ac-4f59-9659-85bb81e81764</v>
      </c>
      <c r="I160" t="s">
        <v>33</v>
      </c>
      <c r="J160" t="s">
        <v>14</v>
      </c>
    </row>
    <row r="161" spans="1:10" ht="14.5" x14ac:dyDescent="0.35">
      <c r="A161" s="2" t="str">
        <f>HYPERLINK("https://nga.laas.intel.com/#/nga_fv_gnr/failureManagement/failures/347d82c4-5d76-4d4e-b8eb-0a85f858394e","347d82c4")</f>
        <v>347d82c4</v>
      </c>
      <c r="B161" t="s">
        <v>187</v>
      </c>
      <c r="C161" t="s">
        <v>22</v>
      </c>
      <c r="D161" t="s">
        <v>241</v>
      </c>
      <c r="E161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61" s="2" t="str">
        <f t="shared" si="10"/>
        <v>GNR-AP-X1_A0_VV</v>
      </c>
      <c r="G161" s="2" t="str">
        <f>HYPERLINK("https://axonsv.app.intel.com/apps/record-viewer?id=63d8468c-be23-42ae-9ebf-b2a3f85c63e3","63d8468c-be23-42ae-9ebf-b2a3f85c63e3")</f>
        <v>63d8468c-be23-42ae-9ebf-b2a3f85c63e3</v>
      </c>
      <c r="I161" t="s">
        <v>33</v>
      </c>
      <c r="J161" t="s">
        <v>14</v>
      </c>
    </row>
    <row r="162" spans="1:10" ht="14.5" x14ac:dyDescent="0.35">
      <c r="A162" s="2" t="str">
        <f>HYPERLINK("https://nga.laas.intel.com/#/nga_fv_gnr/failureManagement/failures/3397c360-c954-4b34-896b-1bfb1a0cb0ee","3397c360")</f>
        <v>3397c360</v>
      </c>
      <c r="B162" t="s">
        <v>217</v>
      </c>
      <c r="C162" t="s">
        <v>22</v>
      </c>
      <c r="D162" t="s">
        <v>214</v>
      </c>
      <c r="E162" s="2" t="str">
        <f>HYPERLINK("https://nga.laas.intel.com/#/nga_fv_gnr/failureManagement/bucket/5e5cc6d1-ef70-4f0d-a091-dee49a716206","junk")</f>
        <v>junk</v>
      </c>
      <c r="F162" s="2" t="str">
        <f t="shared" si="10"/>
        <v>GNR-AP-X1_A0_VV</v>
      </c>
      <c r="G162" s="2" t="str">
        <f>HYPERLINK("https://axonsv.app.intel.com/apps/record-viewer?id=982501f9-7ecd-45e8-b1dc-36a2c4be4c17","982501f9-7ecd-45e8-b1dc-36a2c4be4c17")</f>
        <v>982501f9-7ecd-45e8-b1dc-36a2c4be4c17</v>
      </c>
      <c r="I162" t="s">
        <v>33</v>
      </c>
      <c r="J162" t="s">
        <v>20</v>
      </c>
    </row>
    <row r="163" spans="1:10" ht="14.5" x14ac:dyDescent="0.35">
      <c r="A163" s="2" t="str">
        <f>HYPERLINK("https://nga.laas.intel.com/#/nga_fv_gnr/failureManagement/failures/1c7a6492-4e31-478b-a8e1-1b9f94f14545","1c7a6492")</f>
        <v>1c7a6492</v>
      </c>
      <c r="B163" t="s">
        <v>27</v>
      </c>
      <c r="C163" t="s">
        <v>22</v>
      </c>
      <c r="D163" t="s">
        <v>242</v>
      </c>
      <c r="E163" s="2" t="str">
        <f>HYPERLINK("https://nga.laas.intel.com/#/nga_fv_gnr/failureManagement/bucket/e62d910f-ea06-4193-954d-7f194fe90ddd","hw_err_ieh_satieh2_gerrnonsts,hw_err_msm_global_status_ctrl_reg_general_mca,hw_err_msm_global_status_ctrl_reg_global_viral,hw_err_msm_global_status_ctrl_reg_ierr,hw_err_msm_mbx_error_sts_mbx_overflow,hw_err_ras_uncore_punit,hw_err_ras_uncore_ubox,hw_err_u")</f>
        <v>hw_err_ieh_satieh2_gerrnonsts,hw_err_msm_global_status_ctrl_reg_general_mca,hw_err_msm_global_status_ctrl_reg_global_viral,hw_err_msm_global_status_ctrl_reg_ierr,hw_err_msm_mbx_error_sts_mbx_overflow,hw_err_ras_uncore_punit,hw_err_ras_uncore_ubox,hw_err_u</v>
      </c>
      <c r="F163" s="2" t="str">
        <f>HYPERLINK("https://nga.laas.intel.com/#/nga_fv_gnr/planning/suites/2c7ec13c-df59-42c4-8a05-0f54498b2f70","SQ_PM_GNR_AP_SANITY")</f>
        <v>SQ_PM_GNR_AP_SANITY</v>
      </c>
      <c r="G163" s="2" t="str">
        <f>HYPERLINK("https://axonsv.app.intel.com/apps/record-viewer?id=d61d4786-95e8-47a1-a0d3-96b3c5ae93db","d61d4786-95e8-47a1-a0d3-96b3c5ae93db")</f>
        <v>d61d4786-95e8-47a1-a0d3-96b3c5ae93db</v>
      </c>
      <c r="I163" t="s">
        <v>46</v>
      </c>
      <c r="J163" t="s">
        <v>14</v>
      </c>
    </row>
    <row r="164" spans="1:10" ht="14.5" x14ac:dyDescent="0.35">
      <c r="A164" s="2" t="str">
        <f>HYPERLINK("https://nga.laas.intel.com/#/nga_fv_gnr/failureManagement/failures/8410c792-7044-4807-8247-02099d84e2d0","8410c792")</f>
        <v>8410c792</v>
      </c>
      <c r="B164" t="s">
        <v>98</v>
      </c>
      <c r="C164" t="s">
        <v>22</v>
      </c>
      <c r="D164" t="s">
        <v>243</v>
      </c>
      <c r="E164" s="2" t="str">
        <f>HYPERLINK("https://nga.laas.intel.com/#/nga_fv_gnr/failureManagement/bucket/5e5cc6d1-ef70-4f0d-a091-dee49a716206","junk")</f>
        <v>junk</v>
      </c>
      <c r="F164" s="2" t="str">
        <f>HYPERLINK("https://nga.laas.intel.com/#/nga_fv_gnr/planning/suites/4602b7c0-cc4c-4841-bc78-d3764cf13fe2","GNR-AP-X1_A0_VV")</f>
        <v>GNR-AP-X1_A0_VV</v>
      </c>
      <c r="G164" s="2" t="str">
        <f>HYPERLINK("https://axonsv.app.intel.com/apps/record-viewer?id=8c38fac9-afda-45d0-9383-5a5801fcb8bf","8c38fac9-afda-45d0-9383-5a5801fcb8bf")</f>
        <v>8c38fac9-afda-45d0-9383-5a5801fcb8bf</v>
      </c>
      <c r="I164" t="s">
        <v>33</v>
      </c>
      <c r="J164" t="s">
        <v>82</v>
      </c>
    </row>
    <row r="165" spans="1:10" ht="14.5" x14ac:dyDescent="0.35">
      <c r="A165" s="2" t="str">
        <f>HYPERLINK("https://nga.laas.intel.com/#/nga_fv_gnr/failureManagement/failures/82fb458a-63e3-4fb7-a053-0b1dad364773","82fb458a")</f>
        <v>82fb458a</v>
      </c>
      <c r="B165" t="s">
        <v>48</v>
      </c>
      <c r="C165" t="s">
        <v>25</v>
      </c>
      <c r="D165" t="s">
        <v>45</v>
      </c>
      <c r="E165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65" s="2" t="str">
        <f>HYPERLINK("https://nga.laas.intel.com/#/nga_fv_gnr/planning/suites/4602b7c0-cc4c-4841-bc78-d3764cf13fe2","GNR-AP-X1_A0_VV")</f>
        <v>GNR-AP-X1_A0_VV</v>
      </c>
      <c r="G165" s="2" t="str">
        <f>HYPERLINK("https://axonsv.app.intel.com/apps/record-viewer?id=4b106a6b-6565-4955-adad-a5a4c06a7956","4b106a6b-6565-4955-adad-a5a4c06a7956")</f>
        <v>4b106a6b-6565-4955-adad-a5a4c06a7956</v>
      </c>
      <c r="H165" t="s">
        <v>244</v>
      </c>
      <c r="I165" t="s">
        <v>33</v>
      </c>
      <c r="J165" t="s">
        <v>14</v>
      </c>
    </row>
    <row r="166" spans="1:10" ht="14.5" x14ac:dyDescent="0.35">
      <c r="A166" s="2" t="str">
        <f>HYPERLINK("https://nga.laas.intel.com/#/nga_fv_gnr/failureManagement/failures/bd468dab-a800-4499-93fe-1801a9f4177b","bd468dab")</f>
        <v>bd468dab</v>
      </c>
      <c r="B166" t="s">
        <v>245</v>
      </c>
      <c r="C166" t="s">
        <v>30</v>
      </c>
      <c r="D166" t="s">
        <v>66</v>
      </c>
      <c r="E166" s="2" t="str">
        <f>HYPERLINK("https://nga.laas.intel.com/#/nga_fv_gnr/failureManagement/bucket/6cfe8b63-47a6-498d-9bb0-604146904eed","hw_err_msm_mbx_error_sts_mbx_overflow,hw_err_uncersts_oob_received_an_unsupported_request")</f>
        <v>hw_err_msm_mbx_error_sts_mbx_overflow,hw_err_uncersts_oob_received_an_unsupported_request</v>
      </c>
      <c r="F166" s="2" t="str">
        <f>HYPERLINK("https://nga.laas.intel.com/#/nga_fv_gnr/planning/suites/4602b7c0-cc4c-4841-bc78-d3764cf13fe2","GNR-AP-X1_A0_VV")</f>
        <v>GNR-AP-X1_A0_VV</v>
      </c>
      <c r="G166" s="2" t="str">
        <f>HYPERLINK("https://axonsv.app.intel.com/apps/record-viewer?id=2f84fc45-7813-48eb-aad3-983b34a77135","2f84fc45-7813-48eb-aad3-983b34a77135")</f>
        <v>2f84fc45-7813-48eb-aad3-983b34a77135</v>
      </c>
      <c r="I166" t="s">
        <v>33</v>
      </c>
      <c r="J166" t="s">
        <v>20</v>
      </c>
    </row>
    <row r="167" spans="1:10" ht="14.5" x14ac:dyDescent="0.35">
      <c r="A167" s="2" t="str">
        <f>HYPERLINK("https://nga.laas.intel.com/#/nga_fv_gnr/failureManagement/failures/3e50da07-b63c-426f-acd6-0f3b9952789f","3e50da07")</f>
        <v>3e50da07</v>
      </c>
      <c r="B167" t="s">
        <v>44</v>
      </c>
      <c r="C167" t="s">
        <v>22</v>
      </c>
      <c r="D167" t="s">
        <v>246</v>
      </c>
      <c r="E167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167" s="2" t="str">
        <f>HYPERLINK("https://nga.laas.intel.com/#/nga_fv_gnr/planning/suites/2c7ec13c-df59-42c4-8a05-0f54498b2f70","SQ_PM_GNR_AP_SANITY")</f>
        <v>SQ_PM_GNR_AP_SANITY</v>
      </c>
      <c r="G167" s="2" t="str">
        <f>HYPERLINK("https://axonsv.app.intel.com/apps/record-viewer?id=020e2d7a-1fac-4129-8ae9-9fa39db52fe2","020e2d7a-1fac-4129-8ae9-9fa39db52fe2")</f>
        <v>020e2d7a-1fac-4129-8ae9-9fa39db52fe2</v>
      </c>
      <c r="H167" t="s">
        <v>247</v>
      </c>
      <c r="I167" t="s">
        <v>248</v>
      </c>
      <c r="J167" t="s">
        <v>51</v>
      </c>
    </row>
    <row r="168" spans="1:10" ht="14.5" x14ac:dyDescent="0.35">
      <c r="A168" s="2" t="str">
        <f>HYPERLINK("https://nga.laas.intel.com/#/nga_fv_gnr/failureManagement/failures/ac329bec-543a-4a07-a764-1814dba4c5cc","ac329bec")</f>
        <v>ac329bec</v>
      </c>
      <c r="B168" t="s">
        <v>183</v>
      </c>
      <c r="C168" t="s">
        <v>22</v>
      </c>
      <c r="D168" t="s">
        <v>249</v>
      </c>
      <c r="E168" s="2" t="str">
        <f>HYPERLINK("https://nga.laas.intel.com/#/nga_fv_gnr/failureManagement/bucket/5e5cc6d1-ef70-4f0d-a091-dee49a716206","junk")</f>
        <v>junk</v>
      </c>
      <c r="F168" s="2" t="str">
        <f>HYPERLINK("https://nga.laas.intel.com/#/nga_fv_gnr/planning/suites/4602b7c0-cc4c-4841-bc78-d3764cf13fe2","GNR-AP-X1_A0_VV")</f>
        <v>GNR-AP-X1_A0_VV</v>
      </c>
      <c r="G168" s="2" t="str">
        <f>HYPERLINK("https://axonsv.app.intel.com/apps/record-viewer?id=1e0f0ae6-3d9a-4f97-b7fc-5642ea44b758","1e0f0ae6-3d9a-4f97-b7fc-5642ea44b758")</f>
        <v>1e0f0ae6-3d9a-4f97-b7fc-5642ea44b758</v>
      </c>
      <c r="I168" t="s">
        <v>33</v>
      </c>
      <c r="J168" t="s">
        <v>82</v>
      </c>
    </row>
    <row r="169" spans="1:10" ht="14.5" x14ac:dyDescent="0.35">
      <c r="A169" s="2" t="str">
        <f>HYPERLINK("https://nga.laas.intel.com/#/nga_fv_gnr/failureManagement/failures/564bd848-44b5-42fd-8647-17b4511bad64","564bd848")</f>
        <v>564bd848</v>
      </c>
      <c r="B169" t="s">
        <v>236</v>
      </c>
      <c r="C169" t="s">
        <v>22</v>
      </c>
      <c r="D169" t="s">
        <v>250</v>
      </c>
      <c r="E169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69" s="2" t="str">
        <f>HYPERLINK("https://nga.laas.intel.com/#/nga_fv_gnr/planning/suites/2c7ec13c-df59-42c4-8a05-0f54498b2f70","SQ_PM_GNR_AP_SANITY")</f>
        <v>SQ_PM_GNR_AP_SANITY</v>
      </c>
      <c r="G169" s="2" t="str">
        <f>HYPERLINK("https://axonsv.app.intel.com/apps/record-viewer?id=f178930d-168d-421f-adec-68bff7352e92","f178930d-168d-421f-adec-68bff7352e92")</f>
        <v>f178930d-168d-421f-adec-68bff7352e92</v>
      </c>
      <c r="H169" t="s">
        <v>251</v>
      </c>
      <c r="I169" t="s">
        <v>33</v>
      </c>
      <c r="J169" t="s">
        <v>51</v>
      </c>
    </row>
    <row r="170" spans="1:10" ht="14.5" x14ac:dyDescent="0.35">
      <c r="A170" s="2" t="str">
        <f>HYPERLINK("https://nga.laas.intel.com/#/nga_fv_gnr/failureManagement/failures/2e26a89c-30f2-4dae-9838-19e922e6646b","2e26a89c")</f>
        <v>2e26a89c</v>
      </c>
      <c r="B170" t="s">
        <v>90</v>
      </c>
      <c r="C170" t="s">
        <v>22</v>
      </c>
      <c r="D170" t="s">
        <v>60</v>
      </c>
      <c r="E170" s="2" t="str">
        <f>HYPERLINK("https://nga.laas.intel.com/#/nga_fv_gnr/failureManagement/bucket/1a571cec-d933-4810-a434-62bd381fa8f3","hw_err_msm_global_status_ctrl_reg_general_mca_hw_err_msm_global_status_ctrl_reg_global_viral_hw_err_msm_global_status_ctrl_reg_ierr_hw_err_msm_mbx_error_sts_mbx_overflow_hw_err_ras_cha_cha52_hw_err_ras_uncore_punit_hw_err_ubox_ncevents_ncevents_cr_bankmer")</f>
        <v>hw_err_msm_global_status_ctrl_reg_general_mca_hw_err_msm_global_status_ctrl_reg_global_viral_hw_err_msm_global_status_ctrl_reg_ierr_hw_err_msm_mbx_error_sts_mbx_overflow_hw_err_ras_cha_cha52_hw_err_ras_uncore_punit_hw_err_ubox_ncevents_ncevents_cr_bankmer</v>
      </c>
      <c r="F170" s="2" t="str">
        <f t="shared" ref="F170:F173" si="11">HYPERLINK("https://nga.laas.intel.com/#/nga_fv_gnr/planning/suites/4602b7c0-cc4c-4841-bc78-d3764cf13fe2","GNR-AP-X1_A0_VV")</f>
        <v>GNR-AP-X1_A0_VV</v>
      </c>
      <c r="G170" s="2" t="str">
        <f>HYPERLINK("https://axonsv.app.intel.com/apps/record-viewer?id=9b3ce184-bf3c-4a3e-9b1f-9fc916df434e","9b3ce184-bf3c-4a3e-9b1f-9fc916df434e")</f>
        <v>9b3ce184-bf3c-4a3e-9b1f-9fc916df434e</v>
      </c>
      <c r="I170" t="s">
        <v>234</v>
      </c>
      <c r="J170" t="s">
        <v>61</v>
      </c>
    </row>
    <row r="171" spans="1:10" ht="14.5" x14ac:dyDescent="0.35">
      <c r="A171" s="2" t="str">
        <f>HYPERLINK("https://nga.laas.intel.com/#/nga_fv_gnr/failureManagement/failures/44a4268e-afcd-460c-a418-1c0e5caf0f87","44a4268e")</f>
        <v>44a4268e</v>
      </c>
      <c r="B171" t="s">
        <v>91</v>
      </c>
      <c r="C171" t="s">
        <v>22</v>
      </c>
      <c r="D171" t="s">
        <v>23</v>
      </c>
      <c r="E171" s="2" t="str">
        <f>HYPERLINK("https://nga.laas.intel.com/#/nga_fv_gnr/failureManagement/bucket/ba83c505-2cdf-48f1-9ad6-99521c0bc536","hw_err_ieh_satieh3_gerrcorsts_hw_err_ieh_satieh3_gerrnonsts_hw_err_msm_global_status_ctrl_reg_general_mca_hw_err_msm_global_status_ctrl_reg_global_viral_hw_err_msm_global_status_ctrl_reg_ierr_hw_err_msm_mbx_error_sts_mbx_overflow_hw_err_ras_cha_cha10_hw_e")</f>
        <v>hw_err_ieh_satieh3_gerrcorsts_hw_err_ieh_satieh3_gerrnonsts_hw_err_msm_global_status_ctrl_reg_general_mca_hw_err_msm_global_status_ctrl_reg_global_viral_hw_err_msm_global_status_ctrl_reg_ierr_hw_err_msm_mbx_error_sts_mbx_overflow_hw_err_ras_cha_cha10_hw_e</v>
      </c>
      <c r="F171" s="2" t="str">
        <f t="shared" si="11"/>
        <v>GNR-AP-X1_A0_VV</v>
      </c>
      <c r="G171" s="2" t="str">
        <f>HYPERLINK("https://axonsv.app.intel.com/apps/record-viewer?id=3fc135a7-15d1-42ff-bd72-d73898e7769d","3fc135a7-15d1-42ff-bd72-d73898e7769d")</f>
        <v>3fc135a7-15d1-42ff-bd72-d73898e7769d</v>
      </c>
      <c r="I171" t="s">
        <v>234</v>
      </c>
      <c r="J171" t="s">
        <v>20</v>
      </c>
    </row>
    <row r="172" spans="1:10" ht="14.5" x14ac:dyDescent="0.35">
      <c r="A172" s="2" t="str">
        <f>HYPERLINK("https://nga.laas.intel.com/#/nga_fv_gnr/failureManagement/failures/c892ce6a-5c97-424b-b753-03a530dc8770","c892ce6a")</f>
        <v>c892ce6a</v>
      </c>
      <c r="B172" t="s">
        <v>81</v>
      </c>
      <c r="C172" t="s">
        <v>22</v>
      </c>
      <c r="D172" t="s">
        <v>60</v>
      </c>
      <c r="E172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72" s="2" t="str">
        <f t="shared" si="11"/>
        <v>GNR-AP-X1_A0_VV</v>
      </c>
      <c r="G172" s="2" t="str">
        <f>HYPERLINK("https://axonsv.app.intel.com/apps/record-viewer?id=87cb09c2-7f2a-47d4-9da7-d87aeb243620","87cb09c2-7f2a-47d4-9da7-d87aeb243620")</f>
        <v>87cb09c2-7f2a-47d4-9da7-d87aeb243620</v>
      </c>
      <c r="I172" t="s">
        <v>33</v>
      </c>
      <c r="J172" t="s">
        <v>61</v>
      </c>
    </row>
    <row r="173" spans="1:10" ht="14.5" x14ac:dyDescent="0.35">
      <c r="A173" s="2" t="str">
        <f>HYPERLINK("https://nga.laas.intel.com/#/nga_fv_gnr/failureManagement/failures/f457811d-bdfb-4eb7-b550-08fd3b242920","f457811d")</f>
        <v>f457811d</v>
      </c>
      <c r="B173" t="s">
        <v>255</v>
      </c>
      <c r="C173" t="s">
        <v>22</v>
      </c>
      <c r="D173" t="s">
        <v>256</v>
      </c>
      <c r="E173" s="2" t="str">
        <f>HYPERLINK("https://nga.laas.intel.com/#/nga_fv_gnr/failureManagement/bucket/5e5cc6d1-ef70-4f0d-a091-dee49a716206","junk")</f>
        <v>junk</v>
      </c>
      <c r="F173" s="2" t="str">
        <f t="shared" si="11"/>
        <v>GNR-AP-X1_A0_VV</v>
      </c>
      <c r="G173" s="2" t="str">
        <f>HYPERLINK("https://axonsv.app.intel.com/apps/record-viewer?id=2edc374a-e8d5-44b5-8691-60ce110476ae","2edc374a-e8d5-44b5-8691-60ce110476ae")</f>
        <v>2edc374a-e8d5-44b5-8691-60ce110476ae</v>
      </c>
      <c r="I173" t="s">
        <v>33</v>
      </c>
      <c r="J173" t="s">
        <v>74</v>
      </c>
    </row>
    <row r="174" spans="1:10" ht="14.5" x14ac:dyDescent="0.35">
      <c r="A174" s="2" t="str">
        <f>HYPERLINK("https://nga.laas.intel.com/#/nga_fv_gnr/failureManagement/failures/582c77eb-eef1-4ffa-85c4-201ac62f2491","582c77eb")</f>
        <v>582c77eb</v>
      </c>
      <c r="B174" t="s">
        <v>44</v>
      </c>
      <c r="C174" t="s">
        <v>25</v>
      </c>
      <c r="D174" t="s">
        <v>184</v>
      </c>
      <c r="E174" s="2" t="str">
        <f>HYPERLINK("https://nga.laas.intel.com/#/nga_fv_gnr/failureManagement/bucket/5e5cc6d1-ef70-4f0d-a091-dee49a716206","junk")</f>
        <v>junk</v>
      </c>
      <c r="F174" s="2" t="str">
        <f>HYPERLINK("https://nga.laas.intel.com/#/nga_fv_gnr/planning/suites/2c7ec13c-df59-42c4-8a05-0f54498b2f70","SQ_PM_GNR_AP_SANITY")</f>
        <v>SQ_PM_GNR_AP_SANITY</v>
      </c>
      <c r="G174" s="2" t="str">
        <f>HYPERLINK("https://axonsv.app.intel.com/apps/record-viewer?id=9058139b-736e-4602-b521-c16bff69c8d2","9058139b-736e-4602-b521-c16bff69c8d2")</f>
        <v>9058139b-736e-4602-b521-c16bff69c8d2</v>
      </c>
      <c r="I174" t="s">
        <v>33</v>
      </c>
      <c r="J174" t="s">
        <v>61</v>
      </c>
    </row>
    <row r="175" spans="1:10" ht="14.5" x14ac:dyDescent="0.35">
      <c r="A175" s="2" t="str">
        <f>HYPERLINK("https://nga.laas.intel.com/#/nga_fv_gnr/failureManagement/failures/925d4bc1-6889-49a3-9a76-1deaa821e129","925d4bc1")</f>
        <v>925d4bc1</v>
      </c>
      <c r="B175" t="s">
        <v>217</v>
      </c>
      <c r="C175" t="s">
        <v>22</v>
      </c>
      <c r="D175" t="s">
        <v>258</v>
      </c>
      <c r="E175" s="2" t="str">
        <f t="shared" ref="E175:E180" si="12">HYPERLINK("https://nga.laas.intel.com/#/nga_fv_gnr/failureManagement/bucket/5e5cc6d1-ef70-4f0d-a091-dee49a716206","junk")</f>
        <v>junk</v>
      </c>
      <c r="F175" s="2" t="str">
        <f t="shared" ref="F175:F181" si="13">HYPERLINK("https://nga.laas.intel.com/#/nga_fv_gnr/planning/suites/4602b7c0-cc4c-4841-bc78-d3764cf13fe2","GNR-AP-X1_A0_VV")</f>
        <v>GNR-AP-X1_A0_VV</v>
      </c>
      <c r="G175" s="2" t="str">
        <f>HYPERLINK("https://axonsv.app.intel.com/apps/record-viewer?id=82add4a5-0677-40a2-a704-bf506b7f8cdf","82add4a5-0677-40a2-a704-bf506b7f8cdf")</f>
        <v>82add4a5-0677-40a2-a704-bf506b7f8cdf</v>
      </c>
      <c r="H175" t="s">
        <v>259</v>
      </c>
      <c r="I175" t="s">
        <v>33</v>
      </c>
      <c r="J175" t="s">
        <v>82</v>
      </c>
    </row>
    <row r="176" spans="1:10" ht="14.5" x14ac:dyDescent="0.35">
      <c r="A176" s="2" t="str">
        <f>HYPERLINK("https://nga.laas.intel.com/#/nga_fv_gnr/failureManagement/failures/78888733-e8b7-4210-8a38-20cac59025e0","78888733")</f>
        <v>78888733</v>
      </c>
      <c r="B176" t="s">
        <v>41</v>
      </c>
      <c r="C176" t="s">
        <v>22</v>
      </c>
      <c r="D176" t="s">
        <v>243</v>
      </c>
      <c r="E176" s="2" t="str">
        <f t="shared" si="12"/>
        <v>junk</v>
      </c>
      <c r="F176" s="2" t="str">
        <f t="shared" si="13"/>
        <v>GNR-AP-X1_A0_VV</v>
      </c>
      <c r="G176" s="2" t="str">
        <f>HYPERLINK("https://axonsv.app.intel.com/apps/record-viewer?id=8b573633-7bc8-4c3d-bd4b-160b3faaf30a","8b573633-7bc8-4c3d-bd4b-160b3faaf30a")</f>
        <v>8b573633-7bc8-4c3d-bd4b-160b3faaf30a</v>
      </c>
      <c r="H176" t="s">
        <v>260</v>
      </c>
      <c r="I176" t="s">
        <v>33</v>
      </c>
      <c r="J176" t="s">
        <v>82</v>
      </c>
    </row>
    <row r="177" spans="1:10" ht="14.5" x14ac:dyDescent="0.35">
      <c r="A177" s="2" t="str">
        <f>HYPERLINK("https://nga.laas.intel.com/#/nga_fv_gnr/failureManagement/failures/86e3eabb-3cb8-4530-8890-182157b3f4c9","86e3eabb")</f>
        <v>86e3eabb</v>
      </c>
      <c r="B177" t="s">
        <v>254</v>
      </c>
      <c r="C177" t="s">
        <v>22</v>
      </c>
      <c r="D177" t="s">
        <v>261</v>
      </c>
      <c r="E177" s="2" t="str">
        <f t="shared" si="12"/>
        <v>junk</v>
      </c>
      <c r="F177" s="2" t="str">
        <f t="shared" si="13"/>
        <v>GNR-AP-X1_A0_VV</v>
      </c>
      <c r="G177" s="2" t="str">
        <f>HYPERLINK("https://axonsv.app.intel.com/apps/record-viewer?id=2e040637-fac6-4247-86f4-e30c90d34ea8","2e040637-fac6-4247-86f4-e30c90d34ea8")</f>
        <v>2e040637-fac6-4247-86f4-e30c90d34ea8</v>
      </c>
      <c r="H177" t="s">
        <v>262</v>
      </c>
      <c r="I177" t="s">
        <v>33</v>
      </c>
      <c r="J177" t="s">
        <v>82</v>
      </c>
    </row>
    <row r="178" spans="1:10" ht="14.5" x14ac:dyDescent="0.35">
      <c r="A178" s="2" t="str">
        <f>HYPERLINK("https://nga.laas.intel.com/#/nga_fv_gnr/failureManagement/failures/440cf811-712a-454e-83ed-09aa299c487d","440cf811")</f>
        <v>440cf811</v>
      </c>
      <c r="B178" t="s">
        <v>230</v>
      </c>
      <c r="C178" t="s">
        <v>22</v>
      </c>
      <c r="D178" t="s">
        <v>263</v>
      </c>
      <c r="E178" s="2" t="str">
        <f t="shared" si="12"/>
        <v>junk</v>
      </c>
      <c r="F178" s="2" t="str">
        <f t="shared" si="13"/>
        <v>GNR-AP-X1_A0_VV</v>
      </c>
      <c r="G178" s="2" t="str">
        <f>HYPERLINK("https://axonsv.app.intel.com/apps/record-viewer?id=60802344-dc49-4f06-995b-0e54c241b3cd","60802344-dc49-4f06-995b-0e54c241b3cd")</f>
        <v>60802344-dc49-4f06-995b-0e54c241b3cd</v>
      </c>
      <c r="H178" t="s">
        <v>264</v>
      </c>
      <c r="I178" t="s">
        <v>33</v>
      </c>
      <c r="J178" t="s">
        <v>82</v>
      </c>
    </row>
    <row r="179" spans="1:10" ht="14.5" x14ac:dyDescent="0.35">
      <c r="A179" s="2" t="str">
        <f>HYPERLINK("https://nga.laas.intel.com/#/nga_fv_gnr/failureManagement/failures/75874a43-0d50-42f9-9708-1c5b2b1e62d7","75874a43")</f>
        <v>75874a43</v>
      </c>
      <c r="B179" t="s">
        <v>183</v>
      </c>
      <c r="C179" t="s">
        <v>22</v>
      </c>
      <c r="D179" t="s">
        <v>225</v>
      </c>
      <c r="E179" s="2" t="str">
        <f t="shared" si="12"/>
        <v>junk</v>
      </c>
      <c r="F179" s="2" t="str">
        <f t="shared" si="13"/>
        <v>GNR-AP-X1_A0_VV</v>
      </c>
      <c r="G179" s="2" t="str">
        <f>HYPERLINK("https://axonsv.app.intel.com/apps/record-viewer?id=bf3be8c9-aa14-40f9-a88b-2efc93030678","bf3be8c9-aa14-40f9-a88b-2efc93030678")</f>
        <v>bf3be8c9-aa14-40f9-a88b-2efc93030678</v>
      </c>
      <c r="H179" t="s">
        <v>265</v>
      </c>
      <c r="I179" t="s">
        <v>33</v>
      </c>
      <c r="J179" t="s">
        <v>82</v>
      </c>
    </row>
    <row r="180" spans="1:10" ht="14.5" x14ac:dyDescent="0.35">
      <c r="A180" s="2" t="str">
        <f>HYPERLINK("https://nga.laas.intel.com/#/nga_fv_gnr/failureManagement/failures/f649fda0-96ff-4fc6-ad71-20b4c4b0d231","f649fda0")</f>
        <v>f649fda0</v>
      </c>
      <c r="B180" t="s">
        <v>266</v>
      </c>
      <c r="C180" t="s">
        <v>22</v>
      </c>
      <c r="D180" t="s">
        <v>267</v>
      </c>
      <c r="E180" s="2" t="str">
        <f t="shared" si="12"/>
        <v>junk</v>
      </c>
      <c r="F180" s="2" t="str">
        <f t="shared" si="13"/>
        <v>GNR-AP-X1_A0_VV</v>
      </c>
      <c r="G180" s="2" t="str">
        <f>HYPERLINK("https://axonsv.app.intel.com/apps/record-viewer?id=ad93d29f-898d-4ec4-bf78-4360f7e508bc","ad93d29f-898d-4ec4-bf78-4360f7e508bc")</f>
        <v>ad93d29f-898d-4ec4-bf78-4360f7e508bc</v>
      </c>
      <c r="H180" t="s">
        <v>268</v>
      </c>
      <c r="I180" t="s">
        <v>33</v>
      </c>
      <c r="J180" t="s">
        <v>82</v>
      </c>
    </row>
    <row r="181" spans="1:10" ht="14.5" x14ac:dyDescent="0.35">
      <c r="A181" s="2" t="str">
        <f>HYPERLINK("https://nga.laas.intel.com/#/nga_fv_gnr/failureManagement/failures/961f756b-605b-46eb-88d7-19ae9ade1272","961f756b")</f>
        <v>961f756b</v>
      </c>
      <c r="B181" t="s">
        <v>91</v>
      </c>
      <c r="C181" t="s">
        <v>22</v>
      </c>
      <c r="D181" t="s">
        <v>204</v>
      </c>
      <c r="E181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81" s="2" t="str">
        <f t="shared" si="13"/>
        <v>GNR-AP-X1_A0_VV</v>
      </c>
      <c r="G181" s="2" t="str">
        <f>HYPERLINK("https://axonsv.app.intel.com/apps/record-viewer?id=f7b01b1a-b06c-4411-b386-fca36c75004e","f7b01b1a-b06c-4411-b386-fca36c75004e")</f>
        <v>f7b01b1a-b06c-4411-b386-fca36c75004e</v>
      </c>
      <c r="H181" t="s">
        <v>269</v>
      </c>
      <c r="I181" t="s">
        <v>33</v>
      </c>
      <c r="J181" t="s">
        <v>82</v>
      </c>
    </row>
    <row r="182" spans="1:10" ht="14.5" x14ac:dyDescent="0.35">
      <c r="A182" s="2" t="str">
        <f>HYPERLINK("https://nga.laas.intel.com/#/nga_fv_gnr/failureManagement/failures/caeb355a-68d9-4e58-9fdf-21a3e133c5c9","caeb355a")</f>
        <v>caeb355a</v>
      </c>
      <c r="B182" t="s">
        <v>85</v>
      </c>
      <c r="C182" t="s">
        <v>22</v>
      </c>
      <c r="D182" t="s">
        <v>270</v>
      </c>
      <c r="E18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82" s="2" t="str">
        <f>HYPERLINK("https://nga.laas.intel.com/#/nga_fv_gnr/planning/suites/2c7ec13c-df59-42c4-8a05-0f54498b2f70","SQ_PM_GNR_AP_SANITY")</f>
        <v>SQ_PM_GNR_AP_SANITY</v>
      </c>
      <c r="G182" s="2" t="str">
        <f>HYPERLINK("https://axonsv.app.intel.com/apps/record-viewer?id=4dfc2c7a-1e37-438d-96e1-ce5dae7cd6a6","4dfc2c7a-1e37-438d-96e1-ce5dae7cd6a6")</f>
        <v>4dfc2c7a-1e37-438d-96e1-ce5dae7cd6a6</v>
      </c>
      <c r="I182" t="s">
        <v>33</v>
      </c>
      <c r="J182" t="s">
        <v>14</v>
      </c>
    </row>
    <row r="183" spans="1:10" ht="14.5" x14ac:dyDescent="0.35">
      <c r="A183" s="2" t="str">
        <f>HYPERLINK("https://nga.laas.intel.com/#/nga_fv_gnr/failureManagement/failures/2f23425b-04c6-4fd5-9305-1810721389d6","2f23425b")</f>
        <v>2f23425b</v>
      </c>
      <c r="B183" t="s">
        <v>271</v>
      </c>
      <c r="C183" t="s">
        <v>22</v>
      </c>
      <c r="D183" t="s">
        <v>272</v>
      </c>
      <c r="E183" s="2" t="str">
        <f>HYPERLINK("https://nga.laas.intel.com/#/nga_fv_gnr/failureManagement/bucket/5e5cc6d1-ef70-4f0d-a091-dee49a716206","junk")</f>
        <v>junk</v>
      </c>
      <c r="F183" s="2" t="str">
        <f>HYPERLINK("https://nga.laas.intel.com/#/nga_fv_gnr/planning/suites/4602b7c0-cc4c-4841-bc78-d3764cf13fe2","GNR-AP-X1_A0_VV")</f>
        <v>GNR-AP-X1_A0_VV</v>
      </c>
      <c r="G183" s="2" t="str">
        <f>HYPERLINK("https://axonsv.app.intel.com/apps/record-viewer?id=1d151cea-cf75-4675-9f77-493404642f8a","1d151cea-cf75-4675-9f77-493404642f8a")</f>
        <v>1d151cea-cf75-4675-9f77-493404642f8a</v>
      </c>
      <c r="I183" t="s">
        <v>33</v>
      </c>
      <c r="J183" t="s">
        <v>82</v>
      </c>
    </row>
    <row r="184" spans="1:10" ht="14.5" x14ac:dyDescent="0.35">
      <c r="A184" s="2" t="str">
        <f>HYPERLINK("https://nga.laas.intel.com/#/nga_fv_gnr/failureManagement/failures/3a946d34-a37a-45b3-aa03-0e1e3082f249","3a946d34")</f>
        <v>3a946d34</v>
      </c>
      <c r="B184" t="s">
        <v>166</v>
      </c>
      <c r="C184" t="s">
        <v>22</v>
      </c>
      <c r="D184" t="s">
        <v>274</v>
      </c>
      <c r="E184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84" s="2" t="str">
        <f>HYPERLINK("https://nga.laas.intel.com/#/nga_fv_gnr/planning/suites/4602b7c0-cc4c-4841-bc78-d3764cf13fe2","GNR-AP-X1_A0_VV")</f>
        <v>GNR-AP-X1_A0_VV</v>
      </c>
      <c r="G184" s="2" t="str">
        <f>HYPERLINK("https://axonsv.app.intel.com/apps/record-viewer?id=554b34c0-a4cd-46c8-9537-24ee6ab34052","554b34c0-a4cd-46c8-9537-24ee6ab34052")</f>
        <v>554b34c0-a4cd-46c8-9537-24ee6ab34052</v>
      </c>
      <c r="H184" t="s">
        <v>275</v>
      </c>
      <c r="I184" t="s">
        <v>33</v>
      </c>
      <c r="J184" t="s">
        <v>82</v>
      </c>
    </row>
    <row r="185" spans="1:10" ht="14.5" x14ac:dyDescent="0.35">
      <c r="A185" s="2" t="str">
        <f>HYPERLINK("https://nga.laas.intel.com/#/nga_fv_gnr/failureManagement/failures/c4d26257-d019-4970-a81f-1c0aa53250a5","c4d26257")</f>
        <v>c4d26257</v>
      </c>
      <c r="B185" t="s">
        <v>87</v>
      </c>
      <c r="C185" t="s">
        <v>30</v>
      </c>
      <c r="D185" t="s">
        <v>66</v>
      </c>
      <c r="E185" s="2" t="str">
        <f>HYPERLINK("https://nga.laas.intel.com/#/nga_fv_gnr/failureManagement/bucket/73eb3daa-f563-414b-8787-8b13f29751b3","hw_err_msm_mbx_error_sts_mbx_overflow_hw_mce_mlc_mcacod_a_code_error_mscod_a_code_error")</f>
        <v>hw_err_msm_mbx_error_sts_mbx_overflow_hw_mce_mlc_mcacod_a_code_error_mscod_a_code_error</v>
      </c>
      <c r="F185" s="2" t="str">
        <f>HYPERLINK("https://nga.laas.intel.com/#/nga_fv_gnr/planning/suites/2c7ec13c-df59-42c4-8a05-0f54498b2f70","SQ_PM_GNR_AP_SANITY")</f>
        <v>SQ_PM_GNR_AP_SANITY</v>
      </c>
      <c r="G185" s="2" t="str">
        <f>HYPERLINK("https://axonsv.app.intel.com/apps/record-viewer?id=7dbe2ed8-9492-49e2-b65e-79c5cc458012","7dbe2ed8-9492-49e2-b65e-79c5cc458012")</f>
        <v>7dbe2ed8-9492-49e2-b65e-79c5cc458012</v>
      </c>
      <c r="I185" t="s">
        <v>172</v>
      </c>
      <c r="J185" t="s">
        <v>14</v>
      </c>
    </row>
    <row r="186" spans="1:10" ht="14.5" x14ac:dyDescent="0.35">
      <c r="A186" s="2" t="str">
        <f>HYPERLINK("https://nga.laas.intel.com/#/nga_fv_gnr/failureManagement/failures/0654938e-4e95-42a5-ad2d-08f3e64f1dc6","0654938e")</f>
        <v>0654938e</v>
      </c>
      <c r="B186" t="s">
        <v>271</v>
      </c>
      <c r="C186" t="s">
        <v>30</v>
      </c>
      <c r="D186" t="s">
        <v>66</v>
      </c>
      <c r="E186" s="2" t="str">
        <f>HYPERLINK("https://nga.laas.intel.com/#/nga_fv_gnr/failureManagement/bucket/161bcffd-d385-4410-b4e7-1bb0cf5c6d64","hw_err_msm_mbx_error_sts_mbx_overflow_hw_err_uncersts_oob_received_an_unsupported_request")</f>
        <v>hw_err_msm_mbx_error_sts_mbx_overflow_hw_err_uncersts_oob_received_an_unsupported_request</v>
      </c>
      <c r="F186" s="2" t="str">
        <f>HYPERLINK("https://nga.laas.intel.com/#/nga_fv_gnr/planning/suites/4602b7c0-cc4c-4841-bc78-d3764cf13fe2","GNR-AP-X1_A0_VV")</f>
        <v>GNR-AP-X1_A0_VV</v>
      </c>
      <c r="G186" s="2" t="str">
        <f>HYPERLINK("https://axonsv.app.intel.com/apps/record-viewer?id=f9b19115-6f16-4b41-9aab-c911bdd2d210","f9b19115-6f16-4b41-9aab-c911bdd2d210")</f>
        <v>f9b19115-6f16-4b41-9aab-c911bdd2d210</v>
      </c>
      <c r="I186" t="s">
        <v>33</v>
      </c>
      <c r="J186" t="s">
        <v>20</v>
      </c>
    </row>
    <row r="187" spans="1:10" ht="14.5" x14ac:dyDescent="0.35">
      <c r="A187" s="2" t="str">
        <f>HYPERLINK("https://nga.laas.intel.com/#/nga_fv_gnr/failureManagement/failures/df05d2ef-f287-421c-9c6e-050feb929f23","df05d2ef")</f>
        <v>df05d2ef</v>
      </c>
      <c r="B187" t="s">
        <v>276</v>
      </c>
      <c r="C187" t="s">
        <v>22</v>
      </c>
      <c r="D187" t="s">
        <v>273</v>
      </c>
      <c r="E187" s="2" t="str">
        <f>HYPERLINK("https://nga.laas.intel.com/#/nga_fv_gnr/failureManagement/bucket/b14955b5-6ff7-41e9-b259-478ada41fa82","hw_err_msm_mbx_error_sts_mbx_overflow_hw_err_uncersts_msm_received_an_unsupported_request_hw_err_uncersts_oob_received_an_unsupported_request_q_unexpected_target_reboot_detected")</f>
        <v>hw_err_msm_mbx_error_sts_mbx_overflow_hw_err_uncersts_msm_received_an_unsupported_request_hw_err_uncersts_oob_received_an_unsupported_request_q_unexpected_target_reboot_detected</v>
      </c>
      <c r="F187" s="2" t="str">
        <f>HYPERLINK("https://nga.laas.intel.com/#/nga_fv_gnr/planning/suites/2c7ec13c-df59-42c4-8a05-0f54498b2f70","SQ_PM_GNR_AP_SANITY")</f>
        <v>SQ_PM_GNR_AP_SANITY</v>
      </c>
      <c r="G187" s="2" t="str">
        <f>HYPERLINK("https://axonsv.app.intel.com/apps/record-viewer?id=aeb3cd07-c2fa-4b68-9490-7205282d5a4b","aeb3cd07-c2fa-4b68-9490-7205282d5a4b")</f>
        <v>aeb3cd07-c2fa-4b68-9490-7205282d5a4b</v>
      </c>
      <c r="I187" t="s">
        <v>33</v>
      </c>
      <c r="J187" t="s">
        <v>20</v>
      </c>
    </row>
    <row r="188" spans="1:10" ht="14.5" x14ac:dyDescent="0.35">
      <c r="A188" s="2" t="str">
        <f>HYPERLINK("https://nga.laas.intel.com/#/nga_fv_gnr/failureManagement/failures/a034a35e-3ec0-4ddb-b2dc-0c03ef275fa1","a034a35e")</f>
        <v>a034a35e</v>
      </c>
      <c r="B188" t="s">
        <v>101</v>
      </c>
      <c r="C188" t="s">
        <v>22</v>
      </c>
      <c r="D188" t="s">
        <v>176</v>
      </c>
      <c r="E188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88" s="2" t="str">
        <f>HYPERLINK("https://nga.laas.intel.com/#/nga_fv_gnr/planning/suites/4602b7c0-cc4c-4841-bc78-d3764cf13fe2","GNR-AP-X1_A0_VV")</f>
        <v>GNR-AP-X1_A0_VV</v>
      </c>
      <c r="G188" s="2" t="str">
        <f>HYPERLINK("https://axonsv.app.intel.com/apps/record-viewer?id=011386db-2813-4f5d-b428-644a208a1af0","011386db-2813-4f5d-b428-644a208a1af0")</f>
        <v>011386db-2813-4f5d-b428-644a208a1af0</v>
      </c>
      <c r="I188" t="s">
        <v>33</v>
      </c>
      <c r="J188" t="s">
        <v>14</v>
      </c>
    </row>
    <row r="189" spans="1:10" ht="14.5" x14ac:dyDescent="0.35">
      <c r="A189" s="2" t="str">
        <f>HYPERLINK("https://nga.laas.intel.com/#/nga_fv_gnr/failureManagement/failures/a146b020-e8c2-4d2a-b54e-0c8fa8f21587","a146b020")</f>
        <v>a146b020</v>
      </c>
      <c r="B189" t="s">
        <v>91</v>
      </c>
      <c r="C189" t="s">
        <v>22</v>
      </c>
      <c r="D189" t="s">
        <v>277</v>
      </c>
      <c r="E189" s="2" t="str">
        <f>HYPERLINK("https://nga.laas.intel.com/#/nga_fv_gnr/failureManagement/bucket/5e5cc6d1-ef70-4f0d-a091-dee49a716206","junk")</f>
        <v>junk</v>
      </c>
      <c r="F189" s="2" t="str">
        <f>HYPERLINK("https://nga.laas.intel.com/#/nga_fv_gnr/planning/suites/4602b7c0-cc4c-4841-bc78-d3764cf13fe2","GNR-AP-X1_A0_VV")</f>
        <v>GNR-AP-X1_A0_VV</v>
      </c>
      <c r="G189" s="2" t="str">
        <f>HYPERLINK("https://axonsv.app.intel.com/apps/record-viewer?id=25588332-5ca7-4c30-9d47-8efd4f1ae6e7","25588332-5ca7-4c30-9d47-8efd4f1ae6e7")</f>
        <v>25588332-5ca7-4c30-9d47-8efd4f1ae6e7</v>
      </c>
      <c r="H189" t="s">
        <v>278</v>
      </c>
      <c r="I189" t="s">
        <v>33</v>
      </c>
      <c r="J189" t="s">
        <v>82</v>
      </c>
    </row>
    <row r="190" spans="1:10" ht="14.5" x14ac:dyDescent="0.35">
      <c r="A190" s="2" t="str">
        <f>HYPERLINK("https://nga.laas.intel.com/#/nga_fv_gnr/failureManagement/failures/7ca331da-9d39-4bc8-8169-11ec7bce088e","7ca331da")</f>
        <v>7ca331da</v>
      </c>
      <c r="B190" t="s">
        <v>103</v>
      </c>
      <c r="C190" t="s">
        <v>22</v>
      </c>
      <c r="D190" t="s">
        <v>279</v>
      </c>
      <c r="E190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90" s="2" t="str">
        <f>HYPERLINK("https://nga.laas.intel.com/#/nga_fv_gnr/planning/suites/2c7ec13c-df59-42c4-8a05-0f54498b2f70","SQ_PM_GNR_AP_SANITY")</f>
        <v>SQ_PM_GNR_AP_SANITY</v>
      </c>
      <c r="G190" s="2" t="str">
        <f>HYPERLINK("https://axonsv.app.intel.com/apps/record-viewer?id=8c9f867c-821b-4c04-872b-3d12abc770a2","8c9f867c-821b-4c04-872b-3d12abc770a2")</f>
        <v>8c9f867c-821b-4c04-872b-3d12abc770a2</v>
      </c>
      <c r="I190" t="s">
        <v>33</v>
      </c>
      <c r="J190" t="s">
        <v>14</v>
      </c>
    </row>
    <row r="191" spans="1:10" ht="14.5" x14ac:dyDescent="0.35">
      <c r="A191" s="2" t="str">
        <f>HYPERLINK("https://nga.laas.intel.com/#/nga_fv_gnr/failureManagement/failures/e5e4ee25-ea7e-4ce6-82bf-185c354f115b","e5e4ee25")</f>
        <v>e5e4ee25</v>
      </c>
      <c r="B191" t="s">
        <v>41</v>
      </c>
      <c r="C191" t="s">
        <v>22</v>
      </c>
      <c r="D191" t="s">
        <v>256</v>
      </c>
      <c r="E191" s="2" t="str">
        <f>HYPERLINK("https://nga.laas.intel.com/#/nga_fv_gnr/failureManagement/bucket/5e5cc6d1-ef70-4f0d-a091-dee49a716206","junk")</f>
        <v>junk</v>
      </c>
      <c r="F191" s="2" t="str">
        <f>HYPERLINK("https://nga.laas.intel.com/#/nga_fv_gnr/planning/suites/4602b7c0-cc4c-4841-bc78-d3764cf13fe2","GNR-AP-X1_A0_VV")</f>
        <v>GNR-AP-X1_A0_VV</v>
      </c>
      <c r="G191" s="2" t="str">
        <f>HYPERLINK("https://axonsv.app.intel.com/apps/record-viewer?id=60f8930d-4877-47f1-a16a-a0c2ed41fce9","60f8930d-4877-47f1-a16a-a0c2ed41fce9")</f>
        <v>60f8930d-4877-47f1-a16a-a0c2ed41fce9</v>
      </c>
      <c r="I191" t="s">
        <v>33</v>
      </c>
      <c r="J191" t="s">
        <v>74</v>
      </c>
    </row>
    <row r="192" spans="1:10" ht="14.5" x14ac:dyDescent="0.35">
      <c r="A192" s="2" t="str">
        <f>HYPERLINK("https://nga.laas.intel.com/#/nga_fv_gnr/failureManagement/failures/b618573a-3883-4c6f-a09f-140fb2122ed1","b618573a")</f>
        <v>b618573a</v>
      </c>
      <c r="B192" t="s">
        <v>85</v>
      </c>
      <c r="C192" t="s">
        <v>30</v>
      </c>
      <c r="D192" t="s">
        <v>66</v>
      </c>
      <c r="E192" s="2" t="str">
        <f>HYPERLINK("https://nga.laas.intel.com/#/nga_fv_gnr/failureManagement/bucket/9e74a742-b0c2-4451-bf2f-24b265e63110","hw_err_msm_mbx_error_sts_mbx_overflow")</f>
        <v>hw_err_msm_mbx_error_sts_mbx_overflow</v>
      </c>
      <c r="F192" s="2" t="str">
        <f>HYPERLINK("https://nga.laas.intel.com/#/nga_fv_gnr/planning/suites/2c7ec13c-df59-42c4-8a05-0f54498b2f70","SQ_PM_GNR_AP_SANITY")</f>
        <v>SQ_PM_GNR_AP_SANITY</v>
      </c>
      <c r="G192" s="2" t="str">
        <f>HYPERLINK("https://axonsv.app.intel.com/apps/record-viewer?id=ba960f00-8379-4c13-a25f-f4393180cee6","ba960f00-8379-4c13-a25f-f4393180cee6")</f>
        <v>ba960f00-8379-4c13-a25f-f4393180cee6</v>
      </c>
      <c r="I192" t="s">
        <v>33</v>
      </c>
      <c r="J192" t="s">
        <v>20</v>
      </c>
    </row>
    <row r="193" spans="1:10" ht="14.5" x14ac:dyDescent="0.35">
      <c r="A193" s="2" t="str">
        <f>HYPERLINK("https://nga.laas.intel.com/#/nga_fv_gnr/failureManagement/failures/41df60cd-0283-4574-82a9-063ec36c19b4","41df60cd")</f>
        <v>41df60cd</v>
      </c>
      <c r="B193" t="s">
        <v>166</v>
      </c>
      <c r="C193" t="s">
        <v>22</v>
      </c>
      <c r="D193" t="s">
        <v>195</v>
      </c>
      <c r="E193" s="2" t="str">
        <f>HYPERLINK("https://nga.laas.intel.com/#/nga_fv_gnr/failureManagement/bucket/5e5cc6d1-ef70-4f0d-a091-dee49a716206","junk")</f>
        <v>junk</v>
      </c>
      <c r="F193" s="2" t="str">
        <f t="shared" ref="F193:F196" si="14">HYPERLINK("https://nga.laas.intel.com/#/nga_fv_gnr/planning/suites/4602b7c0-cc4c-4841-bc78-d3764cf13fe2","GNR-AP-X1_A0_VV")</f>
        <v>GNR-AP-X1_A0_VV</v>
      </c>
      <c r="G193" s="2" t="str">
        <f>HYPERLINK("https://axonsv.app.intel.com/apps/record-viewer?id=40c7d991-559e-41e8-b9b2-9d15dd9bea4b","40c7d991-559e-41e8-b9b2-9d15dd9bea4b")</f>
        <v>40c7d991-559e-41e8-b9b2-9d15dd9bea4b</v>
      </c>
      <c r="H193" t="s">
        <v>280</v>
      </c>
      <c r="I193" t="s">
        <v>33</v>
      </c>
      <c r="J193" t="s">
        <v>82</v>
      </c>
    </row>
    <row r="194" spans="1:10" ht="14.5" x14ac:dyDescent="0.35">
      <c r="A194" s="2" t="str">
        <f>HYPERLINK("https://nga.laas.intel.com/#/nga_fv_gnr/failureManagement/failures/0aa7ddd2-853c-483e-afa0-06bc7233d4fc","0aa7ddd2")</f>
        <v>0aa7ddd2</v>
      </c>
      <c r="B194" t="s">
        <v>107</v>
      </c>
      <c r="C194" t="s">
        <v>22</v>
      </c>
      <c r="D194" t="s">
        <v>60</v>
      </c>
      <c r="E194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94" s="2" t="str">
        <f t="shared" si="14"/>
        <v>GNR-AP-X1_A0_VV</v>
      </c>
      <c r="G194" s="2" t="str">
        <f>HYPERLINK("https://axonsv.app.intel.com/apps/record-viewer?id=32c12499-a320-4b3f-985a-9db90e2aa27d","32c12499-a320-4b3f-985a-9db90e2aa27d")</f>
        <v>32c12499-a320-4b3f-985a-9db90e2aa27d</v>
      </c>
      <c r="I194" t="s">
        <v>33</v>
      </c>
      <c r="J194" t="s">
        <v>61</v>
      </c>
    </row>
    <row r="195" spans="1:10" ht="14.5" x14ac:dyDescent="0.35">
      <c r="A195" s="2" t="str">
        <f>HYPERLINK("https://nga.laas.intel.com/#/nga_fv_gnr/failureManagement/failures/fda27018-2d2e-4fda-a9a7-125d76159d18","fda27018")</f>
        <v>fda27018</v>
      </c>
      <c r="B195" t="s">
        <v>183</v>
      </c>
      <c r="C195" t="s">
        <v>22</v>
      </c>
      <c r="D195" t="s">
        <v>281</v>
      </c>
      <c r="E195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195" s="2" t="str">
        <f t="shared" si="14"/>
        <v>GNR-AP-X1_A0_VV</v>
      </c>
      <c r="G195" s="2" t="str">
        <f>HYPERLINK("https://axonsv.app.intel.com/apps/record-viewer?id=df666b4d-fc70-4fa1-8ca3-13017127e425","df666b4d-fc70-4fa1-8ca3-13017127e425")</f>
        <v>df666b4d-fc70-4fa1-8ca3-13017127e425</v>
      </c>
      <c r="I195" t="s">
        <v>33</v>
      </c>
      <c r="J195" t="s">
        <v>20</v>
      </c>
    </row>
    <row r="196" spans="1:10" ht="14.5" x14ac:dyDescent="0.35">
      <c r="A196" s="2" t="str">
        <f>HYPERLINK("https://nga.laas.intel.com/#/nga_fv_gnr/failureManagement/failures/2f53da8d-1a42-4b88-9759-1e8d98b8720e","2f53da8d")</f>
        <v>2f53da8d</v>
      </c>
      <c r="B196" t="s">
        <v>35</v>
      </c>
      <c r="C196" t="s">
        <v>22</v>
      </c>
      <c r="D196" t="s">
        <v>128</v>
      </c>
      <c r="E196" s="2" t="str">
        <f>HYPERLINK("https://nga.laas.intel.com/#/nga_fv_gnr/failureManagement/bucket/5e5cc6d1-ef70-4f0d-a091-dee49a716206","junk")</f>
        <v>junk</v>
      </c>
      <c r="F196" s="2" t="str">
        <f t="shared" si="14"/>
        <v>GNR-AP-X1_A0_VV</v>
      </c>
      <c r="G196" s="2" t="str">
        <f>HYPERLINK("https://axonsv.app.intel.com/apps/record-viewer?id=67e59e3d-4131-4337-82c8-73be7d9f073a","67e59e3d-4131-4337-82c8-73be7d9f073a")</f>
        <v>67e59e3d-4131-4337-82c8-73be7d9f073a</v>
      </c>
      <c r="I196" t="s">
        <v>33</v>
      </c>
      <c r="J196" t="s">
        <v>38</v>
      </c>
    </row>
    <row r="197" spans="1:10" ht="14.5" x14ac:dyDescent="0.35">
      <c r="A197" s="2" t="str">
        <f>HYPERLINK("https://nga.laas.intel.com/#/nga_fv_gnr/failureManagement/failures/b8e64ad6-9159-4cfc-8863-197076830ad7","b8e64ad6")</f>
        <v>b8e64ad6</v>
      </c>
      <c r="B197" t="s">
        <v>75</v>
      </c>
      <c r="C197" t="s">
        <v>22</v>
      </c>
      <c r="D197" t="s">
        <v>282</v>
      </c>
      <c r="E197" s="2" t="str">
        <f>HYPERLINK("https://nga.laas.intel.com/#/nga_fv_gnr/failureManagement/bucket/5e5cc6d1-ef70-4f0d-a091-dee49a716206","junk")</f>
        <v>junk</v>
      </c>
      <c r="F197" s="2" t="str">
        <f t="shared" ref="F197:F204" si="15">HYPERLINK("https://nga.laas.intel.com/#/nga_fv_gnr/planning/suites/4602b7c0-cc4c-4841-bc78-d3764cf13fe2","GNR-AP-X1_A0_VV")</f>
        <v>GNR-AP-X1_A0_VV</v>
      </c>
      <c r="G197" s="2" t="str">
        <f>HYPERLINK("https://axonsv.app.intel.com/apps/record-viewer?id=7e80397d-3fcc-41b8-830e-f67acbdae9db","7e80397d-3fcc-41b8-830e-f67acbdae9db")</f>
        <v>7e80397d-3fcc-41b8-830e-f67acbdae9db</v>
      </c>
      <c r="I197" t="s">
        <v>33</v>
      </c>
      <c r="J197" t="s">
        <v>74</v>
      </c>
    </row>
    <row r="198" spans="1:10" ht="14.5" x14ac:dyDescent="0.35">
      <c r="A198" s="2" t="str">
        <f>HYPERLINK("https://nga.laas.intel.com/#/nga_fv_gnr/failureManagement/failures/360f80bf-1842-4551-b157-16e68e613f98","360f80bf")</f>
        <v>360f80bf</v>
      </c>
      <c r="B198" t="s">
        <v>210</v>
      </c>
      <c r="C198" t="s">
        <v>22</v>
      </c>
      <c r="D198" t="s">
        <v>283</v>
      </c>
      <c r="E198" s="2" t="str">
        <f>HYPERLINK("https://nga.laas.intel.com/#/nga_fv_gnr/failureManagement/bucket/5e5cc6d1-ef70-4f0d-a091-dee49a716206","junk")</f>
        <v>junk</v>
      </c>
      <c r="F198" s="2" t="str">
        <f t="shared" si="15"/>
        <v>GNR-AP-X1_A0_VV</v>
      </c>
      <c r="G198" s="2" t="str">
        <f>HYPERLINK("https://axonsv.app.intel.com/apps/record-viewer?id=9a251e56-5199-47df-90a3-95b47761a50f","9a251e56-5199-47df-90a3-95b47761a50f")</f>
        <v>9a251e56-5199-47df-90a3-95b47761a50f</v>
      </c>
      <c r="H198" t="s">
        <v>284</v>
      </c>
      <c r="I198" t="s">
        <v>33</v>
      </c>
      <c r="J198" t="s">
        <v>82</v>
      </c>
    </row>
    <row r="199" spans="1:10" ht="14.5" x14ac:dyDescent="0.35">
      <c r="A199" s="2" t="str">
        <f>HYPERLINK("https://nga.laas.intel.com/#/nga_fv_gnr/failureManagement/failures/9cb52446-27d7-4023-930a-08e67f981214","9cb52446")</f>
        <v>9cb52446</v>
      </c>
      <c r="B199" t="s">
        <v>63</v>
      </c>
      <c r="C199" t="s">
        <v>22</v>
      </c>
      <c r="D199" t="s">
        <v>156</v>
      </c>
      <c r="E199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199" s="2" t="str">
        <f t="shared" si="15"/>
        <v>GNR-AP-X1_A0_VV</v>
      </c>
      <c r="G199" s="2" t="str">
        <f>HYPERLINK("https://axonsv.app.intel.com/apps/record-viewer?id=dddd4fdf-f879-4471-bcf5-9a81804a4627","dddd4fdf-f879-4471-bcf5-9a81804a4627")</f>
        <v>dddd4fdf-f879-4471-bcf5-9a81804a4627</v>
      </c>
      <c r="H199" t="s">
        <v>285</v>
      </c>
      <c r="I199" t="s">
        <v>33</v>
      </c>
      <c r="J199" t="s">
        <v>82</v>
      </c>
    </row>
    <row r="200" spans="1:10" ht="14.5" x14ac:dyDescent="0.35">
      <c r="A200" s="2" t="str">
        <f>HYPERLINK("https://nga.laas.intel.com/#/nga_fv_gnr/failureManagement/failures/5b6f14da-a257-49f5-9a02-159fc1b9b3fb","5b6f14da")</f>
        <v>5b6f14da</v>
      </c>
      <c r="B200" t="s">
        <v>75</v>
      </c>
      <c r="C200" t="s">
        <v>22</v>
      </c>
      <c r="D200" t="s">
        <v>286</v>
      </c>
      <c r="E200" s="2" t="str">
        <f>HYPERLINK("https://nga.laas.intel.com/#/nga_fv_gnr/failureManagement/bucket/5e5cc6d1-ef70-4f0d-a091-dee49a716206","junk")</f>
        <v>junk</v>
      </c>
      <c r="F200" s="2" t="str">
        <f t="shared" si="15"/>
        <v>GNR-AP-X1_A0_VV</v>
      </c>
      <c r="G200" s="2" t="str">
        <f>HYPERLINK("https://axonsv.app.intel.com/apps/record-viewer?id=87d826d3-5b78-4909-8109-1e81c701fdff","87d826d3-5b78-4909-8109-1e81c701fdff")</f>
        <v>87d826d3-5b78-4909-8109-1e81c701fdff</v>
      </c>
      <c r="H200" t="s">
        <v>287</v>
      </c>
      <c r="I200" t="s">
        <v>33</v>
      </c>
      <c r="J200" t="s">
        <v>82</v>
      </c>
    </row>
    <row r="201" spans="1:10" ht="14.5" x14ac:dyDescent="0.35">
      <c r="A201" s="2" t="str">
        <f>HYPERLINK("https://nga.laas.intel.com/#/nga_fv_gnr/failureManagement/failures/f834b780-078d-46ba-a4e6-197c3abc8835","f834b780")</f>
        <v>f834b780</v>
      </c>
      <c r="B201" t="s">
        <v>232</v>
      </c>
      <c r="C201" t="s">
        <v>25</v>
      </c>
      <c r="D201" t="s">
        <v>45</v>
      </c>
      <c r="E201" s="2" t="str">
        <f>HYPERLINK("https://nga.laas.intel.com/#/nga_fv_gnr/failureManagement/bucket/a307cdc1-d1e9-4929-b288-79e55343cd6b","hw_err_msm_mbx_error_sts_mbx_overflow,hw_err_uncersts_msm_received_an_unsupported_request,hw_err_uncersts_oob_received_an_unsupported_request,hw_mce_pcu_mcacod_0402h_mscod_mca_thermal_sensor_invalid")</f>
        <v>hw_err_msm_mbx_error_sts_mbx_overflow,hw_err_uncersts_msm_received_an_unsupported_request,hw_err_uncersts_oob_received_an_unsupported_request,hw_mce_pcu_mcacod_0402h_mscod_mca_thermal_sensor_invalid</v>
      </c>
      <c r="F201" s="2" t="str">
        <f t="shared" si="15"/>
        <v>GNR-AP-X1_A0_VV</v>
      </c>
      <c r="G201" s="2" t="str">
        <f>HYPERLINK("https://axonsv.app.intel.com/apps/record-viewer?id=a096a320-595b-4062-8da8-7c52458f7760","a096a320-595b-4062-8da8-7c52458f7760")</f>
        <v>a096a320-595b-4062-8da8-7c52458f7760</v>
      </c>
      <c r="I201" t="s">
        <v>59</v>
      </c>
      <c r="J201" t="s">
        <v>112</v>
      </c>
    </row>
    <row r="202" spans="1:10" ht="14.5" x14ac:dyDescent="0.35">
      <c r="A202" s="2" t="str">
        <f>HYPERLINK("https://nga.laas.intel.com/#/nga_fv_gnr/failureManagement/failures/4eca158e-5269-417b-b2cd-164b660a2019","4eca158e")</f>
        <v>4eca158e</v>
      </c>
      <c r="B202" t="s">
        <v>109</v>
      </c>
      <c r="C202" t="s">
        <v>22</v>
      </c>
      <c r="D202" t="s">
        <v>288</v>
      </c>
      <c r="E20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02" s="2" t="str">
        <f t="shared" si="15"/>
        <v>GNR-AP-X1_A0_VV</v>
      </c>
      <c r="G202" s="2" t="str">
        <f>HYPERLINK("https://axonsv.app.intel.com/apps/record-viewer?id=c360f54c-b89a-413f-8e3b-9facd80a02c5","c360f54c-b89a-413f-8e3b-9facd80a02c5")</f>
        <v>c360f54c-b89a-413f-8e3b-9facd80a02c5</v>
      </c>
      <c r="H202" t="s">
        <v>289</v>
      </c>
      <c r="I202" t="s">
        <v>33</v>
      </c>
      <c r="J202" t="s">
        <v>14</v>
      </c>
    </row>
    <row r="203" spans="1:10" ht="14.5" x14ac:dyDescent="0.35">
      <c r="A203" s="2" t="str">
        <f>HYPERLINK("https://nga.laas.intel.com/#/nga_fv_gnr/failureManagement/failures/2cbc0d5c-fe83-4749-9e64-2060100f65ae","2cbc0d5c")</f>
        <v>2cbc0d5c</v>
      </c>
      <c r="B203" t="s">
        <v>255</v>
      </c>
      <c r="C203" t="s">
        <v>22</v>
      </c>
      <c r="D203" t="s">
        <v>241</v>
      </c>
      <c r="E203" s="2" t="str">
        <f>HYPERLINK("https://nga.laas.intel.com/#/nga_fv_gnr/failureManagement/bucket/5e5cc6d1-ef70-4f0d-a091-dee49a716206","junk")</f>
        <v>junk</v>
      </c>
      <c r="F203" s="2" t="str">
        <f t="shared" si="15"/>
        <v>GNR-AP-X1_A0_VV</v>
      </c>
      <c r="G203" s="2" t="str">
        <f>HYPERLINK("https://axonsv.app.intel.com/apps/record-viewer?id=b97f4171-355c-42f3-a1b6-4934d34dcef0","b97f4171-355c-42f3-a1b6-4934d34dcef0")</f>
        <v>b97f4171-355c-42f3-a1b6-4934d34dcef0</v>
      </c>
      <c r="I203" t="s">
        <v>33</v>
      </c>
      <c r="J203" t="s">
        <v>14</v>
      </c>
    </row>
    <row r="204" spans="1:10" ht="14.5" x14ac:dyDescent="0.35">
      <c r="A204" s="2" t="str">
        <f>HYPERLINK("https://nga.laas.intel.com/#/nga_fv_gnr/failureManagement/failures/a0a15b39-10a0-4186-9742-1f2a8fa96b4c","a0a15b39")</f>
        <v>a0a15b39</v>
      </c>
      <c r="B204" t="s">
        <v>119</v>
      </c>
      <c r="C204" t="s">
        <v>11</v>
      </c>
      <c r="D204" t="s">
        <v>290</v>
      </c>
      <c r="E204" s="2" t="str">
        <f>HYPERLINK("https://nga.laas.intel.com/#/nga_fv_gnr/failureManagement/bucket/d97d176c-162b-4e52-aff4-309ce4c3463b","hw_err_msm_global_status_ctrl_reg_global_viral,hw_err_msm_global_status_ctrl_reg_ierr,hw_err_ras_uncore_punit,hw_err_uncore_ubox_hard_hang,hw_known_issue_hsdes_22016556307,hw_mce_mlc_mcacod_a_code_error_mscod_a_code_error,hw_mce_mlc_mcacod_internal_timer_")</f>
        <v>hw_err_msm_global_status_ctrl_reg_global_viral,hw_err_msm_global_status_ctrl_reg_ierr,hw_err_ras_uncore_punit,hw_err_uncore_ubox_hard_hang,hw_known_issue_hsdes_22016556307,hw_mce_mlc_mcacod_a_code_error_mscod_a_code_error,hw_mce_mlc_mcacod_internal_timer_</v>
      </c>
      <c r="F204" s="2" t="str">
        <f t="shared" si="15"/>
        <v>GNR-AP-X1_A0_VV</v>
      </c>
      <c r="G204" s="2" t="str">
        <f>HYPERLINK("https://axonsv.app.intel.com/apps/record-viewer?id=96c3b614-6dfa-4c4b-9111-8922ca67282c","96c3b614-6dfa-4c4b-9111-8922ca67282c")</f>
        <v>96c3b614-6dfa-4c4b-9111-8922ca67282c</v>
      </c>
      <c r="I204" t="s">
        <v>291</v>
      </c>
      <c r="J204" t="s">
        <v>51</v>
      </c>
    </row>
    <row r="205" spans="1:10" ht="14.5" x14ac:dyDescent="0.35">
      <c r="A205" s="2" t="str">
        <f>HYPERLINK("https://nga.laas.intel.com/#/nga_fv_gnr/failureManagement/failures/fb386d4c-130c-43e8-9e96-09544061ea43","fb386d4c")</f>
        <v>fb386d4c</v>
      </c>
      <c r="B205" t="s">
        <v>292</v>
      </c>
      <c r="C205" t="s">
        <v>22</v>
      </c>
      <c r="D205" t="s">
        <v>273</v>
      </c>
      <c r="E205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05" s="2" t="str">
        <f>HYPERLINK("https://nga.laas.intel.com/#/nga_fv_gnr/planning/suites/2c7ec13c-df59-42c4-8a05-0f54498b2f70","SQ_PM_GNR_AP_SANITY")</f>
        <v>SQ_PM_GNR_AP_SANITY</v>
      </c>
      <c r="G205" s="2" t="str">
        <f>HYPERLINK("https://axonsv.app.intel.com/apps/record-viewer?id=90bd0653-a694-4545-ab50-8d484ec76fcd","90bd0653-a694-4545-ab50-8d484ec76fcd")</f>
        <v>90bd0653-a694-4545-ab50-8d484ec76fcd</v>
      </c>
      <c r="I205" t="s">
        <v>33</v>
      </c>
      <c r="J205" t="s">
        <v>20</v>
      </c>
    </row>
    <row r="206" spans="1:10" ht="14.5" x14ac:dyDescent="0.35">
      <c r="A206" s="2" t="str">
        <f>HYPERLINK("https://nga.laas.intel.com/#/nga_fv_gnr/failureManagement/failures/82bf9b79-c75b-41e5-86d7-04fb066775a5","82bf9b79")</f>
        <v>82bf9b79</v>
      </c>
      <c r="B206" t="s">
        <v>75</v>
      </c>
      <c r="C206" t="s">
        <v>22</v>
      </c>
      <c r="D206" t="s">
        <v>43</v>
      </c>
      <c r="E206" s="2" t="str">
        <f>HYPERLINK("https://nga.laas.intel.com/#/nga_fv_gnr/failureManagement/bucket/9e74a742-b0c2-4451-bf2f-24b265e63110","hw_err_msm_mbx_error_sts_mbx_overflow")</f>
        <v>hw_err_msm_mbx_error_sts_mbx_overflow</v>
      </c>
      <c r="F206" s="2" t="str">
        <f t="shared" ref="F206:F211" si="16">HYPERLINK("https://nga.laas.intel.com/#/nga_fv_gnr/planning/suites/4602b7c0-cc4c-4841-bc78-d3764cf13fe2","GNR-AP-X1_A0_VV")</f>
        <v>GNR-AP-X1_A0_VV</v>
      </c>
      <c r="G206" s="2" t="str">
        <f>HYPERLINK("https://axonsv.app.intel.com/apps/record-viewer?id=4be60930-a04b-4780-8dbc-93667c8a8831","4be60930-a04b-4780-8dbc-93667c8a8831")</f>
        <v>4be60930-a04b-4780-8dbc-93667c8a8831</v>
      </c>
      <c r="I206" t="s">
        <v>33</v>
      </c>
      <c r="J206" t="s">
        <v>38</v>
      </c>
    </row>
    <row r="207" spans="1:10" ht="14.5" x14ac:dyDescent="0.35">
      <c r="A207" s="2" t="str">
        <f>HYPERLINK("https://nga.laas.intel.com/#/nga_fv_gnr/failureManagement/failures/6af78668-320a-4f32-82b7-1f191645b0ab","6af78668")</f>
        <v>6af78668</v>
      </c>
      <c r="B207" t="s">
        <v>109</v>
      </c>
      <c r="C207" t="s">
        <v>22</v>
      </c>
      <c r="D207" t="s">
        <v>293</v>
      </c>
      <c r="E207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07" s="2" t="str">
        <f t="shared" si="16"/>
        <v>GNR-AP-X1_A0_VV</v>
      </c>
      <c r="G207" s="2" t="str">
        <f>HYPERLINK("https://axonsv.app.intel.com/apps/record-viewer?id=1fdd15a8-3e05-4d42-87e9-d1a82b8ec3be","1fdd15a8-3e05-4d42-87e9-d1a82b8ec3be")</f>
        <v>1fdd15a8-3e05-4d42-87e9-d1a82b8ec3be</v>
      </c>
      <c r="I207" t="s">
        <v>33</v>
      </c>
      <c r="J207" t="s">
        <v>14</v>
      </c>
    </row>
    <row r="208" spans="1:10" ht="14.5" x14ac:dyDescent="0.35">
      <c r="A208" s="2" t="str">
        <f>HYPERLINK("https://nga.laas.intel.com/#/nga_fv_gnr/failureManagement/failures/73fce78e-9a86-455f-b8b2-0d49f7255fc4","73fce78e")</f>
        <v>73fce78e</v>
      </c>
      <c r="B208" t="s">
        <v>111</v>
      </c>
      <c r="C208" t="s">
        <v>22</v>
      </c>
      <c r="D208" t="s">
        <v>294</v>
      </c>
      <c r="E208" s="2" t="str">
        <f>HYPERLINK("https://nga.laas.intel.com/#/nga_fv_gnr/failureManagement/bucket/9e74a742-b0c2-4451-bf2f-24b265e63110","hw_err_msm_mbx_error_sts_mbx_overflow")</f>
        <v>hw_err_msm_mbx_error_sts_mbx_overflow</v>
      </c>
      <c r="F208" s="2" t="str">
        <f t="shared" si="16"/>
        <v>GNR-AP-X1_A0_VV</v>
      </c>
      <c r="G208" s="2" t="str">
        <f>HYPERLINK("https://axonsv.app.intel.com/apps/record-viewer?id=52dfd96a-ffcc-4478-bda2-a6ef4402b507","52dfd96a-ffcc-4478-bda2-a6ef4402b507")</f>
        <v>52dfd96a-ffcc-4478-bda2-a6ef4402b507</v>
      </c>
      <c r="I208" t="s">
        <v>33</v>
      </c>
      <c r="J208" t="s">
        <v>112</v>
      </c>
    </row>
    <row r="209" spans="1:10" ht="14.5" x14ac:dyDescent="0.35">
      <c r="A209" s="2" t="str">
        <f>HYPERLINK("https://nga.laas.intel.com/#/nga_fv_gnr/failureManagement/failures/69c92d65-0061-432f-ade0-0d2e1e8b121f","69c92d65")</f>
        <v>69c92d65</v>
      </c>
      <c r="B209" t="s">
        <v>235</v>
      </c>
      <c r="C209" t="s">
        <v>22</v>
      </c>
      <c r="D209" t="s">
        <v>295</v>
      </c>
      <c r="E209" s="2" t="str">
        <f>HYPERLINK("https://nga.laas.intel.com/#/nga_fv_gnr/failureManagement/bucket/5e5cc6d1-ef70-4f0d-a091-dee49a716206","junk")</f>
        <v>junk</v>
      </c>
      <c r="F209" s="2" t="str">
        <f t="shared" si="16"/>
        <v>GNR-AP-X1_A0_VV</v>
      </c>
      <c r="G209" s="2" t="str">
        <f>HYPERLINK("https://axonsv.app.intel.com/apps/record-viewer?id=9a5e0865-40ce-45fa-8f0f-9f8d5a0255df","9a5e0865-40ce-45fa-8f0f-9f8d5a0255df")</f>
        <v>9a5e0865-40ce-45fa-8f0f-9f8d5a0255df</v>
      </c>
      <c r="I209" t="s">
        <v>200</v>
      </c>
      <c r="J209" t="s">
        <v>14</v>
      </c>
    </row>
    <row r="210" spans="1:10" ht="14.5" x14ac:dyDescent="0.35">
      <c r="A210" s="2" t="str">
        <f>HYPERLINK("https://nga.laas.intel.com/#/nga_fv_gnr/failureManagement/failures/b7b0b044-3834-4f53-86b1-20c0428f54d2","b7b0b044")</f>
        <v>b7b0b044</v>
      </c>
      <c r="B210" t="s">
        <v>98</v>
      </c>
      <c r="C210" t="s">
        <v>22</v>
      </c>
      <c r="D210" t="s">
        <v>296</v>
      </c>
      <c r="E210" s="2" t="str">
        <f>HYPERLINK("https://nga.laas.intel.com/#/nga_fv_gnr/failureManagement/bucket/5e5cc6d1-ef70-4f0d-a091-dee49a716206","junk")</f>
        <v>junk</v>
      </c>
      <c r="F210" s="2" t="str">
        <f t="shared" si="16"/>
        <v>GNR-AP-X1_A0_VV</v>
      </c>
      <c r="G210" s="2" t="str">
        <f>HYPERLINK("https://axonsv.app.intel.com/apps/record-viewer?id=fb181155-da98-4b31-b1ab-12ecc906a74b","fb181155-da98-4b31-b1ab-12ecc906a74b")</f>
        <v>fb181155-da98-4b31-b1ab-12ecc906a74b</v>
      </c>
      <c r="I210" t="s">
        <v>33</v>
      </c>
      <c r="J210" t="s">
        <v>38</v>
      </c>
    </row>
    <row r="211" spans="1:10" ht="14.5" x14ac:dyDescent="0.35">
      <c r="A211" s="2" t="str">
        <f>HYPERLINK("https://nga.laas.intel.com/#/nga_fv_gnr/failureManagement/failures/606b9ba0-b5b3-4f7e-8ef5-03ebdb5a31c9","606b9ba0")</f>
        <v>606b9ba0</v>
      </c>
      <c r="B211" t="s">
        <v>185</v>
      </c>
      <c r="C211" t="s">
        <v>22</v>
      </c>
      <c r="D211" t="s">
        <v>257</v>
      </c>
      <c r="E211" s="2" t="str">
        <f>HYPERLINK("https://nga.laas.intel.com/#/nga_fv_gnr/failureManagement/bucket/5e5cc6d1-ef70-4f0d-a091-dee49a716206","junk")</f>
        <v>junk</v>
      </c>
      <c r="F211" s="2" t="str">
        <f t="shared" si="16"/>
        <v>GNR-AP-X1_A0_VV</v>
      </c>
      <c r="G211" s="2" t="str">
        <f>HYPERLINK("https://axonsv.app.intel.com/apps/record-viewer?id=27d48a8c-caa6-4046-a42c-64f1e3011ac5","27d48a8c-caa6-4046-a42c-64f1e3011ac5")</f>
        <v>27d48a8c-caa6-4046-a42c-64f1e3011ac5</v>
      </c>
      <c r="I211" t="s">
        <v>33</v>
      </c>
      <c r="J211" t="s">
        <v>20</v>
      </c>
    </row>
    <row r="212" spans="1:10" ht="14.5" x14ac:dyDescent="0.35">
      <c r="A212" s="2" t="str">
        <f>HYPERLINK("https://nga.laas.intel.com/#/nga_fv_gnr/failureManagement/failures/d155c1fb-0a48-48e4-af32-172c7ed1f5c0","d155c1fb")</f>
        <v>d155c1fb</v>
      </c>
      <c r="B212" t="s">
        <v>213</v>
      </c>
      <c r="C212" t="s">
        <v>30</v>
      </c>
      <c r="D212" t="s">
        <v>66</v>
      </c>
      <c r="E212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12" s="2" t="str">
        <f>HYPERLINK("https://nga.laas.intel.com/#/nga_fv_gnr/planning/suites/2c7ec13c-df59-42c4-8a05-0f54498b2f70","SQ_PM_GNR_AP_SANITY")</f>
        <v>SQ_PM_GNR_AP_SANITY</v>
      </c>
      <c r="G212" s="2" t="str">
        <f>HYPERLINK("https://axonsv.app.intel.com/apps/record-viewer?id=a7e4b05e-c669-4d6f-96ce-788bd38f5fb5","a7e4b05e-c669-4d6f-96ce-788bd38f5fb5")</f>
        <v>a7e4b05e-c669-4d6f-96ce-788bd38f5fb5</v>
      </c>
      <c r="I212" t="s">
        <v>59</v>
      </c>
      <c r="J212" t="s">
        <v>61</v>
      </c>
    </row>
    <row r="213" spans="1:10" ht="14.5" x14ac:dyDescent="0.35">
      <c r="A213" s="2" t="str">
        <f>HYPERLINK("https://nga.laas.intel.com/#/nga_fv_gnr/failureManagement/failures/5e5d4e2d-ad26-46c3-910f-0f6727eb93b4","5e5d4e2d")</f>
        <v>5e5d4e2d</v>
      </c>
      <c r="B213" t="s">
        <v>109</v>
      </c>
      <c r="C213" t="s">
        <v>22</v>
      </c>
      <c r="D213" t="s">
        <v>297</v>
      </c>
      <c r="E213" s="2" t="str">
        <f>HYPERLINK("https://nga.laas.intel.com/#/nga_fv_gnr/failureManagement/bucket/5e5cc6d1-ef70-4f0d-a091-dee49a716206","junk")</f>
        <v>junk</v>
      </c>
      <c r="F213" s="2" t="str">
        <f t="shared" ref="F213:F215" si="17">HYPERLINK("https://nga.laas.intel.com/#/nga_fv_gnr/planning/suites/4602b7c0-cc4c-4841-bc78-d3764cf13fe2","GNR-AP-X1_A0_VV")</f>
        <v>GNR-AP-X1_A0_VV</v>
      </c>
      <c r="G213" s="2" t="str">
        <f>HYPERLINK("https://axonsv.app.intel.com/apps/record-viewer?id=7700d416-9d37-44ef-85e6-1ee788d7feb0","7700d416-9d37-44ef-85e6-1ee788d7feb0")</f>
        <v>7700d416-9d37-44ef-85e6-1ee788d7feb0</v>
      </c>
      <c r="H213" t="s">
        <v>298</v>
      </c>
      <c r="I213" t="s">
        <v>33</v>
      </c>
      <c r="J213" t="s">
        <v>82</v>
      </c>
    </row>
    <row r="214" spans="1:10" ht="14.5" x14ac:dyDescent="0.35">
      <c r="A214" s="2" t="str">
        <f>HYPERLINK("https://nga.laas.intel.com/#/nga_fv_gnr/failureManagement/failures/07573ebf-d52d-4382-bd21-0c33c918aae8","07573ebf")</f>
        <v>07573ebf</v>
      </c>
      <c r="B214" t="s">
        <v>75</v>
      </c>
      <c r="C214" t="s">
        <v>22</v>
      </c>
      <c r="D214" t="s">
        <v>60</v>
      </c>
      <c r="E214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14" s="2" t="str">
        <f t="shared" si="17"/>
        <v>GNR-AP-X1_A0_VV</v>
      </c>
      <c r="G214" s="2" t="str">
        <f>HYPERLINK("https://axonsv.app.intel.com/apps/record-viewer?id=5274393f-8e14-4af4-b2c1-1a40e6524f7e","5274393f-8e14-4af4-b2c1-1a40e6524f7e")</f>
        <v>5274393f-8e14-4af4-b2c1-1a40e6524f7e</v>
      </c>
      <c r="I214" t="s">
        <v>33</v>
      </c>
      <c r="J214" t="s">
        <v>61</v>
      </c>
    </row>
    <row r="215" spans="1:10" ht="14.5" x14ac:dyDescent="0.35">
      <c r="A215" s="2" t="str">
        <f>HYPERLINK("https://nga.laas.intel.com/#/nga_fv_gnr/failureManagement/failures/a55366da-8c38-4844-91d2-1690fa522f11","a55366da")</f>
        <v>a55366da</v>
      </c>
      <c r="B215" t="s">
        <v>185</v>
      </c>
      <c r="C215" t="s">
        <v>22</v>
      </c>
      <c r="D215" t="s">
        <v>214</v>
      </c>
      <c r="E215" s="2" t="str">
        <f>HYPERLINK("https://nga.laas.intel.com/#/nga_fv_gnr/failureManagement/bucket/91621659-a593-4788-8fee-336e4697ecf4","hw_err_msm_mbx_error_sts_mbx_overflow_hw_err_uncersts_msm_received_an_unsupported_request")</f>
        <v>hw_err_msm_mbx_error_sts_mbx_overflow_hw_err_uncersts_msm_received_an_unsupported_request</v>
      </c>
      <c r="F215" s="2" t="str">
        <f t="shared" si="17"/>
        <v>GNR-AP-X1_A0_VV</v>
      </c>
      <c r="G215" s="2" t="str">
        <f>HYPERLINK("https://axonsv.app.intel.com/apps/record-viewer?id=ff5132da-16d5-40df-b735-b004002392aa","ff5132da-16d5-40df-b735-b004002392aa")</f>
        <v>ff5132da-16d5-40df-b735-b004002392aa</v>
      </c>
      <c r="I215" t="s">
        <v>33</v>
      </c>
      <c r="J215" t="s">
        <v>20</v>
      </c>
    </row>
    <row r="216" spans="1:10" ht="14.5" x14ac:dyDescent="0.35">
      <c r="A216" s="2" t="str">
        <f>HYPERLINK("https://nga.laas.intel.com/#/nga_fv_gnr/failureManagement/failures/f71d06ff-6fc2-4428-ae0d-1e04a3fa3fdd","f71d06ff")</f>
        <v>f71d06ff</v>
      </c>
      <c r="B216" t="s">
        <v>252</v>
      </c>
      <c r="C216" t="s">
        <v>22</v>
      </c>
      <c r="D216" t="s">
        <v>299</v>
      </c>
      <c r="E216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16" s="2" t="str">
        <f>HYPERLINK("https://nga.laas.intel.com/#/nga_fv_gnr/planning/suites/2c7ec13c-df59-42c4-8a05-0f54498b2f70","SQ_PM_GNR_AP_SANITY")</f>
        <v>SQ_PM_GNR_AP_SANITY</v>
      </c>
      <c r="G216" s="2" t="str">
        <f>HYPERLINK("https://axonsv.app.intel.com/apps/record-viewer?id=f62df3b3-02f7-4da3-b773-c7da4b401da2","f62df3b3-02f7-4da3-b773-c7da4b401da2")</f>
        <v>f62df3b3-02f7-4da3-b773-c7da4b401da2</v>
      </c>
      <c r="I216" t="s">
        <v>33</v>
      </c>
      <c r="J216" t="s">
        <v>61</v>
      </c>
    </row>
    <row r="217" spans="1:10" ht="14.5" x14ac:dyDescent="0.35">
      <c r="A217" s="2" t="str">
        <f>HYPERLINK("https://nga.laas.intel.com/#/nga_fv_gnr/failureManagement/failures/c11deb3d-8cec-4b36-9fba-0b0ab31a4093","c11deb3d")</f>
        <v>c11deb3d</v>
      </c>
      <c r="B217" t="s">
        <v>183</v>
      </c>
      <c r="C217" t="s">
        <v>22</v>
      </c>
      <c r="D217" t="s">
        <v>114</v>
      </c>
      <c r="E217" s="2" t="str">
        <f>HYPERLINK("https://nga.laas.intel.com/#/nga_fv_gnr/failureManagement/bucket/5e5cc6d1-ef70-4f0d-a091-dee49a716206","junk")</f>
        <v>junk</v>
      </c>
      <c r="F217" s="2" t="str">
        <f>HYPERLINK("https://nga.laas.intel.com/#/nga_fv_gnr/planning/suites/4602b7c0-cc4c-4841-bc78-d3764cf13fe2","GNR-AP-X1_A0_VV")</f>
        <v>GNR-AP-X1_A0_VV</v>
      </c>
      <c r="G217" s="2" t="str">
        <f>HYPERLINK("https://axonsv.app.intel.com/apps/record-viewer?id=76e4c455-0459-4bb8-8575-f19835e07d2e","76e4c455-0459-4bb8-8575-f19835e07d2e")</f>
        <v>76e4c455-0459-4bb8-8575-f19835e07d2e</v>
      </c>
      <c r="I217" t="s">
        <v>248</v>
      </c>
      <c r="J217" t="s">
        <v>51</v>
      </c>
    </row>
    <row r="218" spans="1:10" ht="14.5" x14ac:dyDescent="0.35">
      <c r="A218" s="2" t="str">
        <f>HYPERLINK("https://nga.laas.intel.com/#/nga_fv_gnr/failureManagement/failures/4300670a-924a-475a-bd82-032d5aa5f5ef","4300670a")</f>
        <v>4300670a</v>
      </c>
      <c r="B218" t="s">
        <v>57</v>
      </c>
      <c r="C218" t="s">
        <v>22</v>
      </c>
      <c r="D218" t="s">
        <v>204</v>
      </c>
      <c r="E218" s="2" t="str">
        <f>HYPERLINK("https://nga.laas.intel.com/#/nga_fv_gnr/failureManagement/bucket/5e5cc6d1-ef70-4f0d-a091-dee49a716206","junk")</f>
        <v>junk</v>
      </c>
      <c r="F218" s="2" t="str">
        <f>HYPERLINK("https://nga.laas.intel.com/#/nga_fv_gnr/planning/suites/4602b7c0-cc4c-4841-bc78-d3764cf13fe2","GNR-AP-X1_A0_VV")</f>
        <v>GNR-AP-X1_A0_VV</v>
      </c>
      <c r="G218" s="2" t="str">
        <f>HYPERLINK("https://axonsv.app.intel.com/apps/record-viewer?id=7bc91c79-58be-4a53-a0cf-bfd084eadcad","7bc91c79-58be-4a53-a0cf-bfd084eadcad")</f>
        <v>7bc91c79-58be-4a53-a0cf-bfd084eadcad</v>
      </c>
      <c r="H218" t="s">
        <v>300</v>
      </c>
      <c r="I218" t="s">
        <v>33</v>
      </c>
      <c r="J218" t="s">
        <v>82</v>
      </c>
    </row>
    <row r="219" spans="1:10" ht="14.5" x14ac:dyDescent="0.35">
      <c r="A219" s="2" t="str">
        <f>HYPERLINK("https://nga.laas.intel.com/#/nga_fv_gnr/failureManagement/failures/5e4dfd6e-2c92-4bdb-b39f-1d01ce9524ae","5e4dfd6e")</f>
        <v>5e4dfd6e</v>
      </c>
      <c r="B219" t="s">
        <v>210</v>
      </c>
      <c r="C219" t="s">
        <v>30</v>
      </c>
      <c r="D219" t="s">
        <v>66</v>
      </c>
      <c r="E219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19" s="2" t="str">
        <f>HYPERLINK("https://nga.laas.intel.com/#/nga_fv_gnr/planning/suites/2c7ec13c-df59-42c4-8a05-0f54498b2f70","SQ_PM_GNR_AP_SANITY")</f>
        <v>SQ_PM_GNR_AP_SANITY</v>
      </c>
      <c r="G219" s="2" t="str">
        <f>HYPERLINK("https://axonsv.app.intel.com/apps/record-viewer?id=7b76f74d-0db3-4b4e-8226-5c79c61b8216","7b76f74d-0db3-4b4e-8226-5c79c61b8216")</f>
        <v>7b76f74d-0db3-4b4e-8226-5c79c61b8216</v>
      </c>
      <c r="I219" t="s">
        <v>59</v>
      </c>
      <c r="J219" t="s">
        <v>20</v>
      </c>
    </row>
    <row r="220" spans="1:10" ht="14.5" x14ac:dyDescent="0.35">
      <c r="A220" s="2" t="str">
        <f>HYPERLINK("https://nga.laas.intel.com/#/nga_fv_gnr/failureManagement/failures/ad48bd7b-bb24-4dfb-b3ad-15a96c055e5b","ad48bd7b")</f>
        <v>ad48bd7b</v>
      </c>
      <c r="B220" t="s">
        <v>121</v>
      </c>
      <c r="C220" t="s">
        <v>22</v>
      </c>
      <c r="D220" t="s">
        <v>301</v>
      </c>
      <c r="E220" s="2" t="str">
        <f>HYPERLINK("https://nga.laas.intel.com/#/nga_fv_gnr/failureManagement/bucket/5e5cc6d1-ef70-4f0d-a091-dee49a716206","junk")</f>
        <v>junk</v>
      </c>
      <c r="F220" s="2" t="str">
        <f>HYPERLINK("https://nga.laas.intel.com/#/nga_fv_gnr/planning/suites/4602b7c0-cc4c-4841-bc78-d3764cf13fe2","GNR-AP-X1_A0_VV")</f>
        <v>GNR-AP-X1_A0_VV</v>
      </c>
      <c r="G220" s="2" t="str">
        <f>HYPERLINK("https://axonsv.app.intel.com/apps/record-viewer?id=8243394d-bf36-40f9-8b89-dd7d76ea9609","8243394d-bf36-40f9-8b89-dd7d76ea9609")</f>
        <v>8243394d-bf36-40f9-8b89-dd7d76ea9609</v>
      </c>
      <c r="I220" t="s">
        <v>33</v>
      </c>
      <c r="J220" t="s">
        <v>14</v>
      </c>
    </row>
    <row r="221" spans="1:10" ht="14.5" x14ac:dyDescent="0.35">
      <c r="A221" s="2" t="str">
        <f>HYPERLINK("https://nga.laas.intel.com/#/nga_fv_gnr/failureManagement/failures/7727f1b7-1888-40f7-b018-04ee8882d9c6","7727f1b7")</f>
        <v>7727f1b7</v>
      </c>
      <c r="B221" t="s">
        <v>87</v>
      </c>
      <c r="C221" t="s">
        <v>22</v>
      </c>
      <c r="D221" t="s">
        <v>279</v>
      </c>
      <c r="E221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21" s="2" t="str">
        <f>HYPERLINK("https://nga.laas.intel.com/#/nga_fv_gnr/planning/suites/2c7ec13c-df59-42c4-8a05-0f54498b2f70","SQ_PM_GNR_AP_SANITY")</f>
        <v>SQ_PM_GNR_AP_SANITY</v>
      </c>
      <c r="G221" s="2" t="str">
        <f>HYPERLINK("https://axonsv.app.intel.com/apps/record-viewer?id=94589863-b2e4-4ace-a87b-c76aa923e50a","94589863-b2e4-4ace-a87b-c76aa923e50a")</f>
        <v>94589863-b2e4-4ace-a87b-c76aa923e50a</v>
      </c>
      <c r="I221" t="s">
        <v>33</v>
      </c>
      <c r="J221" t="s">
        <v>14</v>
      </c>
    </row>
    <row r="222" spans="1:10" ht="14.5" x14ac:dyDescent="0.35">
      <c r="A222" s="2" t="str">
        <f>HYPERLINK("https://nga.laas.intel.com/#/nga_fv_gnr/failureManagement/failures/b9d1c4f9-f23e-4146-ba78-0ce84bd7daf7","b9d1c4f9")</f>
        <v>b9d1c4f9</v>
      </c>
      <c r="B222" t="s">
        <v>69</v>
      </c>
      <c r="C222" t="s">
        <v>22</v>
      </c>
      <c r="D222" t="s">
        <v>302</v>
      </c>
      <c r="E222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22" s="2" t="str">
        <f>HYPERLINK("https://nga.laas.intel.com/#/nga_fv_gnr/planning/suites/4602b7c0-cc4c-4841-bc78-d3764cf13fe2","GNR-AP-X1_A0_VV")</f>
        <v>GNR-AP-X1_A0_VV</v>
      </c>
      <c r="G222" s="2" t="str">
        <f>HYPERLINK("https://axonsv.app.intel.com/apps/record-viewer?id=90756208-547c-467e-99fd-2a44b6140ef5","90756208-547c-467e-99fd-2a44b6140ef5")</f>
        <v>90756208-547c-467e-99fd-2a44b6140ef5</v>
      </c>
      <c r="I222" t="s">
        <v>33</v>
      </c>
      <c r="J222" t="s">
        <v>14</v>
      </c>
    </row>
    <row r="223" spans="1:10" ht="14.5" x14ac:dyDescent="0.35">
      <c r="A223" s="2" t="str">
        <f>HYPERLINK("https://nga.laas.intel.com/#/nga_fv_gnr/failureManagement/failures/47280e87-56d0-406a-9b59-10dd8ce8cfd5","47280e87")</f>
        <v>47280e87</v>
      </c>
      <c r="B223" t="s">
        <v>166</v>
      </c>
      <c r="C223" t="s">
        <v>22</v>
      </c>
      <c r="D223" t="s">
        <v>303</v>
      </c>
      <c r="E223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23" s="2" t="str">
        <f>HYPERLINK("https://nga.laas.intel.com/#/nga_fv_gnr/planning/suites/4602b7c0-cc4c-4841-bc78-d3764cf13fe2","GNR-AP-X1_A0_VV")</f>
        <v>GNR-AP-X1_A0_VV</v>
      </c>
      <c r="G223" s="2" t="str">
        <f>HYPERLINK("https://axonsv.app.intel.com/apps/record-viewer?id=2c390e08-3e81-4359-a639-db57dc1db116","2c390e08-3e81-4359-a639-db57dc1db116")</f>
        <v>2c390e08-3e81-4359-a639-db57dc1db116</v>
      </c>
      <c r="H223" t="s">
        <v>304</v>
      </c>
      <c r="I223" t="s">
        <v>33</v>
      </c>
      <c r="J223" t="s">
        <v>82</v>
      </c>
    </row>
    <row r="224" spans="1:10" ht="14.5" x14ac:dyDescent="0.35">
      <c r="A224" s="2" t="str">
        <f>HYPERLINK("https://nga.laas.intel.com/#/nga_fv_gnr/failureManagement/failures/f2fce3b1-25f3-4b34-868e-221a2224c8b8","f2fce3b1")</f>
        <v>f2fce3b1</v>
      </c>
      <c r="B224" t="s">
        <v>69</v>
      </c>
      <c r="C224" t="s">
        <v>22</v>
      </c>
      <c r="D224" t="s">
        <v>303</v>
      </c>
      <c r="E224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24" s="2" t="str">
        <f>HYPERLINK("https://nga.laas.intel.com/#/nga_fv_gnr/planning/suites/4602b7c0-cc4c-4841-bc78-d3764cf13fe2","GNR-AP-X1_A0_VV")</f>
        <v>GNR-AP-X1_A0_VV</v>
      </c>
      <c r="G224" s="2" t="str">
        <f>HYPERLINK("https://axonsv.app.intel.com/apps/record-viewer?id=594bf1e1-d323-4e93-95a9-083c117c2f31","594bf1e1-d323-4e93-95a9-083c117c2f31")</f>
        <v>594bf1e1-d323-4e93-95a9-083c117c2f31</v>
      </c>
      <c r="H224" t="s">
        <v>305</v>
      </c>
      <c r="I224" t="s">
        <v>33</v>
      </c>
      <c r="J224" t="s">
        <v>82</v>
      </c>
    </row>
    <row r="225" spans="1:10" ht="14.5" x14ac:dyDescent="0.35">
      <c r="A225" s="2" t="str">
        <f>HYPERLINK("https://nga.laas.intel.com/#/nga_fv_gnr/failureManagement/failures/175da9de-6a8c-4c15-b202-1c97b8f4ee84","175da9de")</f>
        <v>175da9de</v>
      </c>
      <c r="B225" t="s">
        <v>161</v>
      </c>
      <c r="C225" t="s">
        <v>30</v>
      </c>
      <c r="D225" t="s">
        <v>66</v>
      </c>
      <c r="E225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25" s="2" t="str">
        <f>HYPERLINK("https://nga.laas.intel.com/#/nga_fv_gnr/planning/suites/2c7ec13c-df59-42c4-8a05-0f54498b2f70","SQ_PM_GNR_AP_SANITY")</f>
        <v>SQ_PM_GNR_AP_SANITY</v>
      </c>
      <c r="G225" s="2" t="str">
        <f>HYPERLINK("https://axonsv.app.intel.com/apps/record-viewer?id=6b1ba8df-3938-489f-b9da-960c55f26a2d","6b1ba8df-3938-489f-b9da-960c55f26a2d")</f>
        <v>6b1ba8df-3938-489f-b9da-960c55f26a2d</v>
      </c>
      <c r="I225" t="s">
        <v>59</v>
      </c>
      <c r="J225" t="s">
        <v>20</v>
      </c>
    </row>
    <row r="226" spans="1:10" ht="14.5" x14ac:dyDescent="0.35">
      <c r="A226" s="2" t="str">
        <f>HYPERLINK("https://nga.laas.intel.com/#/nga_fv_gnr/failureManagement/failures/418d15e3-3490-46df-8684-231368d9cc3f","418d15e3")</f>
        <v>418d15e3</v>
      </c>
      <c r="B226" t="s">
        <v>255</v>
      </c>
      <c r="C226" t="s">
        <v>11</v>
      </c>
      <c r="D226" t="s">
        <v>306</v>
      </c>
      <c r="E226" s="2" t="str">
        <f>HYPERLINK("https://nga.laas.intel.com/#/nga_fv_gnr/failureManagement/bucket/5a2a21db-0f98-4294-a4d5-c6b96810b429","hw_err_msm_global_status_ctrl_reg_global_viral_hw_err_msm_global_status_ctrl_reg_ierr_hw_err_msm_mbx_error_sts_mbx_overflow_hw_err_ras_uncore_punit_hw_err_ubox_ncevents_ncevents_cr_bankmerge6_errlog_hw_err_uncersts_msm_received_an_unsupported_request_hw_e")</f>
        <v>hw_err_msm_global_status_ctrl_reg_global_viral_hw_err_msm_global_status_ctrl_reg_ierr_hw_err_msm_mbx_error_sts_mbx_overflow_hw_err_ras_uncore_punit_hw_err_ubox_ncevents_ncevents_cr_bankmerge6_errlog_hw_err_uncersts_msm_received_an_unsupported_request_hw_e</v>
      </c>
      <c r="F226" s="2" t="str">
        <f>HYPERLINK("https://nga.laas.intel.com/#/nga_fv_gnr/planning/suites/4602b7c0-cc4c-4841-bc78-d3764cf13fe2","GNR-AP-X1_A0_VV")</f>
        <v>GNR-AP-X1_A0_VV</v>
      </c>
      <c r="G226" s="2" t="str">
        <f>HYPERLINK("https://axonsv.app.intel.com/apps/record-viewer?id=f95dd667-8139-4ae9-8832-006ad2659650","f95dd667-8139-4ae9-8832-006ad2659650")</f>
        <v>f95dd667-8139-4ae9-8832-006ad2659650</v>
      </c>
      <c r="I226" t="s">
        <v>59</v>
      </c>
      <c r="J226" t="s">
        <v>61</v>
      </c>
    </row>
    <row r="227" spans="1:10" ht="14.5" x14ac:dyDescent="0.35">
      <c r="A227" s="2" t="str">
        <f>HYPERLINK("https://nga.laas.intel.com/#/nga_fv_gnr/failureManagement/failures/2b9a6171-dc0c-4808-a49d-12b6d3950219","2b9a6171")</f>
        <v>2b9a6171</v>
      </c>
      <c r="B227" t="s">
        <v>107</v>
      </c>
      <c r="C227" t="s">
        <v>11</v>
      </c>
      <c r="D227" t="s">
        <v>306</v>
      </c>
      <c r="E227" s="2" t="str">
        <f>HYPERLINK("https://nga.laas.intel.com/#/nga_fv_gnr/failureManagement/bucket/5a2a21db-0f98-4294-a4d5-c6b96810b429","hw_err_msm_global_status_ctrl_reg_global_viral_hw_err_msm_global_status_ctrl_reg_ierr_hw_err_msm_mbx_error_sts_mbx_overflow_hw_err_ras_uncore_punit_hw_err_ubox_ncevents_ncevents_cr_bankmerge6_errlog_hw_err_uncersts_msm_received_an_unsupported_request_hw_e")</f>
        <v>hw_err_msm_global_status_ctrl_reg_global_viral_hw_err_msm_global_status_ctrl_reg_ierr_hw_err_msm_mbx_error_sts_mbx_overflow_hw_err_ras_uncore_punit_hw_err_ubox_ncevents_ncevents_cr_bankmerge6_errlog_hw_err_uncersts_msm_received_an_unsupported_request_hw_e</v>
      </c>
      <c r="F227" s="2" t="str">
        <f>HYPERLINK("https://nga.laas.intel.com/#/nga_fv_gnr/planning/suites/4602b7c0-cc4c-4841-bc78-d3764cf13fe2","GNR-AP-X1_A0_VV")</f>
        <v>GNR-AP-X1_A0_VV</v>
      </c>
      <c r="G227" s="2" t="str">
        <f>HYPERLINK("https://axonsv.app.intel.com/apps/record-viewer?id=95eaae70-57c6-4f37-acbf-f761848281f8","95eaae70-57c6-4f37-acbf-f761848281f8")</f>
        <v>95eaae70-57c6-4f37-acbf-f761848281f8</v>
      </c>
      <c r="I227" t="s">
        <v>59</v>
      </c>
      <c r="J227" t="s">
        <v>20</v>
      </c>
    </row>
    <row r="228" spans="1:10" ht="14.5" x14ac:dyDescent="0.35">
      <c r="A228" s="2" t="str">
        <f>HYPERLINK("https://nga.laas.intel.com/#/nga_fv_gnr/failureManagement/failures/c31f44e7-6bb3-435d-9c2b-20bbb96abcc2","c31f44e7")</f>
        <v>c31f44e7</v>
      </c>
      <c r="B228" t="s">
        <v>126</v>
      </c>
      <c r="C228" t="s">
        <v>11</v>
      </c>
      <c r="D228" t="s">
        <v>306</v>
      </c>
      <c r="E228" s="2" t="str">
        <f>HYPERLINK("https://nga.laas.intel.com/#/nga_fv_gnr/failureManagement/bucket/5a2a21db-0f98-4294-a4d5-c6b96810b429","hw_err_msm_global_status_ctrl_reg_global_viral_hw_err_msm_global_status_ctrl_reg_ierr_hw_err_msm_mbx_error_sts_mbx_overflow_hw_err_ras_uncore_punit_hw_err_ubox_ncevents_ncevents_cr_bankmerge6_errlog_hw_err_uncersts_msm_received_an_unsupported_request_hw_e")</f>
        <v>hw_err_msm_global_status_ctrl_reg_global_viral_hw_err_msm_global_status_ctrl_reg_ierr_hw_err_msm_mbx_error_sts_mbx_overflow_hw_err_ras_uncore_punit_hw_err_ubox_ncevents_ncevents_cr_bankmerge6_errlog_hw_err_uncersts_msm_received_an_unsupported_request_hw_e</v>
      </c>
      <c r="F228" s="2" t="str">
        <f>HYPERLINK("https://nga.laas.intel.com/#/nga_fv_gnr/planning/suites/4602b7c0-cc4c-4841-bc78-d3764cf13fe2","GNR-AP-X1_A0_VV")</f>
        <v>GNR-AP-X1_A0_VV</v>
      </c>
      <c r="G228" s="2" t="str">
        <f>HYPERLINK("https://axonsv.app.intel.com/apps/record-viewer?id=ae6e1666-93b2-4aa6-a68e-f9969f45d4fb","ae6e1666-93b2-4aa6-a68e-f9969f45d4fb")</f>
        <v>ae6e1666-93b2-4aa6-a68e-f9969f45d4fb</v>
      </c>
      <c r="I228" t="s">
        <v>59</v>
      </c>
      <c r="J228" t="s">
        <v>74</v>
      </c>
    </row>
    <row r="229" spans="1:10" ht="14.5" x14ac:dyDescent="0.35">
      <c r="A229" s="2" t="str">
        <f>HYPERLINK("https://nga.laas.intel.com/#/nga_fv_gnr/failureManagement/failures/f8bc1599-a321-4f43-bd02-08be7e38cfd3","f8bc1599")</f>
        <v>f8bc1599</v>
      </c>
      <c r="B229" t="s">
        <v>163</v>
      </c>
      <c r="C229" t="s">
        <v>22</v>
      </c>
      <c r="D229" t="s">
        <v>307</v>
      </c>
      <c r="E229" s="2" t="str">
        <f>HYPERLINK("https://nga.laas.intel.com/#/nga_fv_gnr/failureManagement/bucket/5e5cc6d1-ef70-4f0d-a091-dee49a716206","junk")</f>
        <v>junk</v>
      </c>
      <c r="F229" s="2" t="str">
        <f>HYPERLINK("https://nga.laas.intel.com/#/nga_fv_gnr/planning/suites/4602b7c0-cc4c-4841-bc78-d3764cf13fe2","GNR-AP-X1_A0_VV")</f>
        <v>GNR-AP-X1_A0_VV</v>
      </c>
      <c r="G229" s="2" t="str">
        <f>HYPERLINK("https://axonsv.app.intel.com/apps/record-viewer?id=a1d414e2-8cb2-46a1-bca3-8712f00f6747","a1d414e2-8cb2-46a1-bca3-8712f00f6747")</f>
        <v>a1d414e2-8cb2-46a1-bca3-8712f00f6747</v>
      </c>
      <c r="I229" t="s">
        <v>33</v>
      </c>
      <c r="J229" t="s">
        <v>34</v>
      </c>
    </row>
    <row r="230" spans="1:10" ht="14.5" x14ac:dyDescent="0.35">
      <c r="A230" s="2" t="str">
        <f>HYPERLINK("https://nga.laas.intel.com/#/nga_fv_gnr/failureManagement/failures/b0e0bbc6-5015-42b5-b18a-17dd9b55fa48","b0e0bbc6")</f>
        <v>b0e0bbc6</v>
      </c>
      <c r="B230" t="s">
        <v>87</v>
      </c>
      <c r="C230" t="s">
        <v>11</v>
      </c>
      <c r="D230" t="s">
        <v>306</v>
      </c>
      <c r="E230" s="2" t="str">
        <f>HYPERLINK("https://nga.laas.intel.com/#/nga_fv_gnr/failureManagement/bucket/01ac03c0-d8d5-42bf-8eea-8545f953ff23","hw_err_msm_corecrashlog_ctrl_haderror_hw_err_msm_global_status_ctrl_reg_crashlog_err_hw_err_msm_global_status_ctrl_reg_global_viral_hw_err_msm_global_status_ctrl_reg_ierr_hw_err_msm_mbx_error_sts_mbx_overflow_hw_err_msm_torcrashlog_ctrl_haderror_hw_err_ra")</f>
        <v>hw_err_msm_corecrashlog_ctrl_haderror_hw_err_msm_global_status_ctrl_reg_crashlog_err_hw_err_msm_global_status_ctrl_reg_global_viral_hw_err_msm_global_status_ctrl_reg_ierr_hw_err_msm_mbx_error_sts_mbx_overflow_hw_err_msm_torcrashlog_ctrl_haderror_hw_err_ra</v>
      </c>
      <c r="F230" s="2" t="str">
        <f>HYPERLINK("https://nga.laas.intel.com/#/nga_fv_gnr/planning/suites/2c7ec13c-df59-42c4-8a05-0f54498b2f70","SQ_PM_GNR_AP_SANITY")</f>
        <v>SQ_PM_GNR_AP_SANITY</v>
      </c>
      <c r="G230" s="2" t="str">
        <f>HYPERLINK("https://axonsv.app.intel.com/apps/record-viewer?id=4604b5a7-0374-45ac-ba8f-c248dfe9cf8f","4604b5a7-0374-45ac-ba8f-c248dfe9cf8f")</f>
        <v>4604b5a7-0374-45ac-ba8f-c248dfe9cf8f</v>
      </c>
      <c r="I230" t="s">
        <v>59</v>
      </c>
      <c r="J230" t="s">
        <v>20</v>
      </c>
    </row>
    <row r="231" spans="1:10" ht="14.5" x14ac:dyDescent="0.35">
      <c r="A231" s="2" t="str">
        <f>HYPERLINK("https://nga.laas.intel.com/#/nga_fv_gnr/failureManagement/failures/e11a7a49-b025-49be-a7c4-165d1a3cceec","e11a7a49")</f>
        <v>e11a7a49</v>
      </c>
      <c r="B231" t="s">
        <v>166</v>
      </c>
      <c r="C231" t="s">
        <v>22</v>
      </c>
      <c r="D231" t="s">
        <v>176</v>
      </c>
      <c r="F231" s="2" t="str">
        <f>HYPERLINK("https://nga.laas.intel.com/#/nga_fv_gnr/planning/suites/4602b7c0-cc4c-4841-bc78-d3764cf13fe2","GNR-AP-X1_A0_VV")</f>
        <v>GNR-AP-X1_A0_VV</v>
      </c>
      <c r="G231" s="2" t="str">
        <f>HYPERLINK("https://axonsv.app.intel.com/apps/record-viewer?id=bc60e8b2-6fa3-49c9-8abd-614280bc3d75","bc60e8b2-6fa3-49c9-8abd-614280bc3d75")</f>
        <v>bc60e8b2-6fa3-49c9-8abd-614280bc3d75</v>
      </c>
      <c r="H231" t="s">
        <v>308</v>
      </c>
      <c r="I231" t="s">
        <v>33</v>
      </c>
      <c r="J231" t="s">
        <v>14</v>
      </c>
    </row>
    <row r="232" spans="1:10" ht="14.5" x14ac:dyDescent="0.35">
      <c r="A232" s="2" t="str">
        <f>HYPERLINK("https://nga.laas.intel.com/#/nga_fv_gnr/failureManagement/failures/e769d536-4e4a-4e31-b75e-0b5f87e07738","e769d536")</f>
        <v>e769d536</v>
      </c>
      <c r="B232" t="s">
        <v>236</v>
      </c>
      <c r="C232" t="s">
        <v>22</v>
      </c>
      <c r="D232" t="s">
        <v>310</v>
      </c>
      <c r="E232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32" s="2" t="str">
        <f>HYPERLINK("https://nga.laas.intel.com/#/nga_fv_gnr/planning/suites/2c7ec13c-df59-42c4-8a05-0f54498b2f70","SQ_PM_GNR_AP_SANITY")</f>
        <v>SQ_PM_GNR_AP_SANITY</v>
      </c>
      <c r="G232" s="2" t="str">
        <f>HYPERLINK("https://axonsv.app.intel.com/apps/record-viewer?id=3dbf4946-1a48-4634-b9a0-953ea9d24c01","3dbf4946-1a48-4634-b9a0-953ea9d24c01")</f>
        <v>3dbf4946-1a48-4634-b9a0-953ea9d24c01</v>
      </c>
      <c r="I232" t="s">
        <v>33</v>
      </c>
      <c r="J232" t="s">
        <v>14</v>
      </c>
    </row>
    <row r="233" spans="1:10" ht="14.5" x14ac:dyDescent="0.35">
      <c r="A233" s="2" t="str">
        <f>HYPERLINK("https://nga.laas.intel.com/#/nga_fv_gnr/failureManagement/failures/a7eeb707-a254-4751-873a-055952531be9","a7eeb707")</f>
        <v>a7eeb707</v>
      </c>
      <c r="B233" t="s">
        <v>311</v>
      </c>
      <c r="C233" t="s">
        <v>22</v>
      </c>
      <c r="D233" t="s">
        <v>312</v>
      </c>
      <c r="E233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33" s="2" t="str">
        <f>HYPERLINK("https://nga.laas.intel.com/#/nga_fv_gnr/planning/suites/4602b7c0-cc4c-4841-bc78-d3764cf13fe2","GNR-AP-X1_A0_VV")</f>
        <v>GNR-AP-X1_A0_VV</v>
      </c>
      <c r="G233" s="2" t="str">
        <f>HYPERLINK("https://axonsv.app.intel.com/apps/record-viewer?id=221fa670-de3f-482e-aef2-11e6143851ab","221fa670-de3f-482e-aef2-11e6143851ab")</f>
        <v>221fa670-de3f-482e-aef2-11e6143851ab</v>
      </c>
      <c r="H233" t="s">
        <v>313</v>
      </c>
      <c r="I233" t="s">
        <v>33</v>
      </c>
      <c r="J233" t="s">
        <v>14</v>
      </c>
    </row>
    <row r="234" spans="1:10" ht="14.5" x14ac:dyDescent="0.35">
      <c r="A234" s="2" t="str">
        <f>HYPERLINK("https://nga.laas.intel.com/#/nga_fv_gnr/failureManagement/failures/a44a35bc-1a75-4c05-9bf8-0a5f626c772c","a44a35bc")</f>
        <v>a44a35bc</v>
      </c>
      <c r="B234" t="s">
        <v>87</v>
      </c>
      <c r="C234" t="s">
        <v>30</v>
      </c>
      <c r="D234" t="s">
        <v>66</v>
      </c>
      <c r="E234" s="2" t="str">
        <f>HYPERLINK("https://nga.laas.intel.com/#/nga_fv_gnr/failureManagement/bucket/58cbc271-1653-4153-bb39-85f830dba2ba","hw_err_msm_mbx_error_sts_mbx_overflow,hw_mce_mlc_mcacod_a_code_error_mscod_a_code_error")</f>
        <v>hw_err_msm_mbx_error_sts_mbx_overflow,hw_mce_mlc_mcacod_a_code_error_mscod_a_code_error</v>
      </c>
      <c r="F234" s="2" t="str">
        <f>HYPERLINK("https://nga.laas.intel.com/#/nga_fv_gnr/planning/suites/2c7ec13c-df59-42c4-8a05-0f54498b2f70","SQ_PM_GNR_AP_SANITY")</f>
        <v>SQ_PM_GNR_AP_SANITY</v>
      </c>
      <c r="G234" s="2" t="str">
        <f>HYPERLINK("https://axonsv.app.intel.com/apps/record-viewer?id=3fef4693-49c5-4ff8-abb9-f255d75c80aa","3fef4693-49c5-4ff8-abb9-f255d75c80aa")</f>
        <v>3fef4693-49c5-4ff8-abb9-f255d75c80aa</v>
      </c>
      <c r="I234" t="s">
        <v>172</v>
      </c>
      <c r="J234" t="s">
        <v>20</v>
      </c>
    </row>
    <row r="235" spans="1:10" ht="14.5" x14ac:dyDescent="0.35">
      <c r="A235" s="2" t="str">
        <f>HYPERLINK("https://nga.laas.intel.com/#/nga_fv_gnr/failureManagement/failures/b1aeee13-82c9-4784-a76e-05bc702bfa35","b1aeee13")</f>
        <v>b1aeee13</v>
      </c>
      <c r="B235" t="s">
        <v>236</v>
      </c>
      <c r="C235" t="s">
        <v>30</v>
      </c>
      <c r="D235" t="s">
        <v>66</v>
      </c>
      <c r="E235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35" s="2" t="str">
        <f>HYPERLINK("https://nga.laas.intel.com/#/nga_fv_gnr/planning/suites/2c7ec13c-df59-42c4-8a05-0f54498b2f70","SQ_PM_GNR_AP_SANITY")</f>
        <v>SQ_PM_GNR_AP_SANITY</v>
      </c>
      <c r="G235" s="2" t="str">
        <f>HYPERLINK("https://axonsv.app.intel.com/apps/record-viewer?id=3dd4a424-f0b7-4377-b70a-f11518d3f371","3dd4a424-f0b7-4377-b70a-f11518d3f371")</f>
        <v>3dd4a424-f0b7-4377-b70a-f11518d3f371</v>
      </c>
      <c r="I235" t="s">
        <v>59</v>
      </c>
      <c r="J235" t="s">
        <v>20</v>
      </c>
    </row>
    <row r="236" spans="1:10" ht="14.5" x14ac:dyDescent="0.35">
      <c r="A236" s="2" t="str">
        <f>HYPERLINK("https://nga.laas.intel.com/#/nga_fv_gnr/failureManagement/failures/1963d1ca-19d3-4d74-bb79-20a3eade70b1","1963d1ca")</f>
        <v>1963d1ca</v>
      </c>
      <c r="B236" t="s">
        <v>76</v>
      </c>
      <c r="C236" t="s">
        <v>30</v>
      </c>
      <c r="D236" t="s">
        <v>66</v>
      </c>
      <c r="E236" s="2" t="str">
        <f>HYPERLINK("https://nga.laas.intel.com/#/nga_fv_gnr/failureManagement/bucket/73eb3daa-f563-414b-8787-8b13f29751b3","hw_err_msm_mbx_error_sts_mbx_overflow_hw_mce_mlc_mcacod_a_code_error_mscod_a_code_error")</f>
        <v>hw_err_msm_mbx_error_sts_mbx_overflow_hw_mce_mlc_mcacod_a_code_error_mscod_a_code_error</v>
      </c>
      <c r="F236" s="2" t="str">
        <f>HYPERLINK("https://nga.laas.intel.com/#/nga_fv_gnr/planning/suites/2c7ec13c-df59-42c4-8a05-0f54498b2f70","SQ_PM_GNR_AP_SANITY")</f>
        <v>SQ_PM_GNR_AP_SANITY</v>
      </c>
      <c r="G236" s="2" t="str">
        <f>HYPERLINK("https://axonsv.app.intel.com/apps/record-viewer?id=0fd19153-43e7-475d-8e7c-5c513747a723","0fd19153-43e7-475d-8e7c-5c513747a723")</f>
        <v>0fd19153-43e7-475d-8e7c-5c513747a723</v>
      </c>
      <c r="I236" t="s">
        <v>172</v>
      </c>
      <c r="J236" t="s">
        <v>20</v>
      </c>
    </row>
    <row r="237" spans="1:10" ht="14.5" x14ac:dyDescent="0.35">
      <c r="A237" s="2" t="str">
        <f>HYPERLINK("https://nga.laas.intel.com/#/nga_fv_gnr/failureManagement/failures/c4c04c8c-9e5d-468f-aaf6-094d406cd7cd","c4c04c8c")</f>
        <v>c4c04c8c</v>
      </c>
      <c r="B237" t="s">
        <v>185</v>
      </c>
      <c r="C237" t="s">
        <v>22</v>
      </c>
      <c r="D237" t="s">
        <v>314</v>
      </c>
      <c r="E237" s="2" t="str">
        <f>HYPERLINK("https://nga.laas.intel.com/#/nga_fv_gnr/failureManagement/bucket/5e5cc6d1-ef70-4f0d-a091-dee49a716206","junk")</f>
        <v>junk</v>
      </c>
      <c r="F237" s="2" t="str">
        <f>HYPERLINK("https://nga.laas.intel.com/#/nga_fv_gnr/planning/suites/4602b7c0-cc4c-4841-bc78-d3764cf13fe2","GNR-AP-X1_A0_VV")</f>
        <v>GNR-AP-X1_A0_VV</v>
      </c>
      <c r="G237" s="2" t="str">
        <f>HYPERLINK("https://axonsv.app.intel.com/apps/record-viewer?id=c2055355-5cdd-4e72-98e0-79449ce996f3","c2055355-5cdd-4e72-98e0-79449ce996f3")</f>
        <v>c2055355-5cdd-4e72-98e0-79449ce996f3</v>
      </c>
      <c r="H237" t="s">
        <v>315</v>
      </c>
      <c r="I237" t="s">
        <v>33</v>
      </c>
      <c r="J237" t="s">
        <v>82</v>
      </c>
    </row>
    <row r="238" spans="1:10" ht="14.5" x14ac:dyDescent="0.35">
      <c r="A238" s="2" t="str">
        <f>HYPERLINK("https://nga.laas.intel.com/#/nga_fv_gnr/failureManagement/failures/c13e53fc-84d5-4f9c-bec1-12d9a3e50b79","c13e53fc")</f>
        <v>c13e53fc</v>
      </c>
      <c r="B238" t="s">
        <v>316</v>
      </c>
      <c r="C238" t="s">
        <v>22</v>
      </c>
      <c r="D238" t="s">
        <v>317</v>
      </c>
      <c r="E238" s="2" t="str">
        <f>HYPERLINK("https://nga.laas.intel.com/#/nga_fv_gnr/failureManagement/bucket/ee99a088-9a2e-4063-8e80-91d446358f65","hw_err_msm_mbx_error_sts_mbx_overflow_hw_err_uncersts_msm_received_an_unsupported_request_hw_err_uncersts_oob_received_an_unsupported_request")</f>
        <v>hw_err_msm_mbx_error_sts_mbx_overflow_hw_err_uncersts_msm_received_an_unsupported_request_hw_err_uncersts_oob_received_an_unsupported_request</v>
      </c>
      <c r="F238" s="2" t="str">
        <f>HYPERLINK("https://nga.laas.intel.com/#/nga_fv_gnr/planning/suites/2c7ec13c-df59-42c4-8a05-0f54498b2f70","SQ_PM_GNR_AP_SANITY")</f>
        <v>SQ_PM_GNR_AP_SANITY</v>
      </c>
      <c r="G238" s="2" t="str">
        <f>HYPERLINK("https://axonsv.app.intel.com/apps/record-viewer?id=5bae8979-4177-4a5d-92a3-166588143c33","5bae8979-4177-4a5d-92a3-166588143c33")</f>
        <v>5bae8979-4177-4a5d-92a3-166588143c33</v>
      </c>
      <c r="I238" t="s">
        <v>33</v>
      </c>
      <c r="J238" t="s">
        <v>14</v>
      </c>
    </row>
    <row r="239" spans="1:10" ht="14.5" x14ac:dyDescent="0.35">
      <c r="A239" s="2" t="str">
        <f>HYPERLINK("https://nga.laas.intel.com/#/nga_fv_gnr/failureManagement/failures/77ddfd3b-c0da-4470-9260-1c8795329be9","77ddfd3b")</f>
        <v>77ddfd3b</v>
      </c>
      <c r="B239" t="s">
        <v>111</v>
      </c>
      <c r="C239" t="s">
        <v>22</v>
      </c>
      <c r="D239" t="s">
        <v>318</v>
      </c>
      <c r="E239" s="2" t="str">
        <f>HYPERLINK("https://nga.laas.intel.com/#/nga_fv_gnr/failureManagement/bucket/9e74a742-b0c2-4451-bf2f-24b265e63110","hw_err_msm_mbx_error_sts_mbx_overflow")</f>
        <v>hw_err_msm_mbx_error_sts_mbx_overflow</v>
      </c>
      <c r="F239" s="2" t="str">
        <f>HYPERLINK("https://nga.laas.intel.com/#/nga_fv_gnr/planning/suites/4602b7c0-cc4c-4841-bc78-d3764cf13fe2","GNR-AP-X1_A0_VV")</f>
        <v>GNR-AP-X1_A0_VV</v>
      </c>
      <c r="G239" s="2" t="str">
        <f>HYPERLINK("https://axonsv.app.intel.com/apps/record-viewer?id=0f2578bd-c349-4e97-a64a-4b75b6416724","0f2578bd-c349-4e97-a64a-4b75b6416724")</f>
        <v>0f2578bd-c349-4e97-a64a-4b75b6416724</v>
      </c>
      <c r="I239" t="s">
        <v>33</v>
      </c>
      <c r="J239" t="s">
        <v>112</v>
      </c>
    </row>
    <row r="240" spans="1:10" ht="14.5" x14ac:dyDescent="0.35">
      <c r="A240" s="2" t="str">
        <f>HYPERLINK("https://nga.laas.intel.com/#/nga_fv_gnr/failureManagement/failures/2d8d86f5-b31b-4a0c-9663-177857bcf945","2d8d86f5")</f>
        <v>2d8d86f5</v>
      </c>
      <c r="B240" t="s">
        <v>76</v>
      </c>
      <c r="C240" t="s">
        <v>30</v>
      </c>
      <c r="D240" t="s">
        <v>66</v>
      </c>
      <c r="E240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40" s="2" t="str">
        <f>HYPERLINK("https://nga.laas.intel.com/#/nga_fv_gnr/planning/suites/2c7ec13c-df59-42c4-8a05-0f54498b2f70","SQ_PM_GNR_AP_SANITY")</f>
        <v>SQ_PM_GNR_AP_SANITY</v>
      </c>
      <c r="G240" s="2" t="str">
        <f>HYPERLINK("https://axonsv.app.intel.com/apps/record-viewer?id=6e33d8e3-2582-426a-84d7-b7db4f60f169","6e33d8e3-2582-426a-84d7-b7db4f60f169")</f>
        <v>6e33d8e3-2582-426a-84d7-b7db4f60f169</v>
      </c>
      <c r="I240" t="s">
        <v>59</v>
      </c>
      <c r="J240" t="s">
        <v>20</v>
      </c>
    </row>
    <row r="241" spans="1:10" ht="14.5" x14ac:dyDescent="0.35">
      <c r="A241" s="2" t="str">
        <f>HYPERLINK("https://nga.laas.intel.com/#/nga_fv_gnr/failureManagement/failures/db944e55-cf8d-407a-adcb-125451566a5d","db944e55")</f>
        <v>db944e55</v>
      </c>
      <c r="B241" t="s">
        <v>319</v>
      </c>
      <c r="C241" t="s">
        <v>30</v>
      </c>
      <c r="D241" t="s">
        <v>66</v>
      </c>
      <c r="E241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41" s="2" t="str">
        <f>HYPERLINK("https://nga.laas.intel.com/#/nga_fv_gnr/planning/suites/2c7ec13c-df59-42c4-8a05-0f54498b2f70","SQ_PM_GNR_AP_SANITY")</f>
        <v>SQ_PM_GNR_AP_SANITY</v>
      </c>
      <c r="G241" s="2" t="str">
        <f>HYPERLINK("https://axonsv.app.intel.com/apps/record-viewer?id=4da6ff25-9785-4b1d-974e-be16f82f21db","4da6ff25-9785-4b1d-974e-be16f82f21db")</f>
        <v>4da6ff25-9785-4b1d-974e-be16f82f21db</v>
      </c>
      <c r="I241" t="s">
        <v>59</v>
      </c>
      <c r="J241" t="s">
        <v>20</v>
      </c>
    </row>
    <row r="242" spans="1:10" ht="14.5" x14ac:dyDescent="0.35">
      <c r="A242" s="2" t="str">
        <f>HYPERLINK("https://nga.laas.intel.com/#/nga_fv_gnr/failureManagement/failures/d7ec8084-aba6-4f10-ab36-14dea3ed4e92","d7ec8084")</f>
        <v>d7ec8084</v>
      </c>
      <c r="B242" t="s">
        <v>57</v>
      </c>
      <c r="C242" t="s">
        <v>22</v>
      </c>
      <c r="D242" t="s">
        <v>204</v>
      </c>
      <c r="E242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42" s="2" t="str">
        <f t="shared" ref="F242:F250" si="18">HYPERLINK("https://nga.laas.intel.com/#/nga_fv_gnr/planning/suites/4602b7c0-cc4c-4841-bc78-d3764cf13fe2","GNR-AP-X1_A0_VV")</f>
        <v>GNR-AP-X1_A0_VV</v>
      </c>
      <c r="G242" s="2" t="str">
        <f>HYPERLINK("https://axonsv.app.intel.com/apps/record-viewer?id=7eae68fa-2f25-43aa-902f-d10c284474a2","7eae68fa-2f25-43aa-902f-d10c284474a2")</f>
        <v>7eae68fa-2f25-43aa-902f-d10c284474a2</v>
      </c>
      <c r="H242" t="s">
        <v>320</v>
      </c>
      <c r="I242" t="s">
        <v>33</v>
      </c>
      <c r="J242" t="s">
        <v>82</v>
      </c>
    </row>
    <row r="243" spans="1:10" ht="14.5" x14ac:dyDescent="0.35">
      <c r="A243" s="2" t="str">
        <f>HYPERLINK("https://nga.laas.intel.com/#/nga_fv_gnr/failureManagement/failures/b15b2e30-303b-4440-a50a-238aed7db8aa","b15b2e30")</f>
        <v>b15b2e30</v>
      </c>
      <c r="B243" t="s">
        <v>177</v>
      </c>
      <c r="C243" t="s">
        <v>22</v>
      </c>
      <c r="D243" t="s">
        <v>267</v>
      </c>
      <c r="E243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43" s="2" t="str">
        <f t="shared" si="18"/>
        <v>GNR-AP-X1_A0_VV</v>
      </c>
      <c r="G243" s="2" t="str">
        <f>HYPERLINK("https://axonsv.app.intel.com/apps/record-viewer?id=d5b94640-5da8-4396-8b38-81c29f8dd6e8","d5b94640-5da8-4396-8b38-81c29f8dd6e8")</f>
        <v>d5b94640-5da8-4396-8b38-81c29f8dd6e8</v>
      </c>
      <c r="H243" t="s">
        <v>321</v>
      </c>
      <c r="I243" t="s">
        <v>33</v>
      </c>
      <c r="J243" t="s">
        <v>82</v>
      </c>
    </row>
    <row r="244" spans="1:10" ht="14.5" x14ac:dyDescent="0.35">
      <c r="A244" s="2" t="str">
        <f>HYPERLINK("https://nga.laas.intel.com/#/nga_fv_gnr/failureManagement/failures/111da4cf-a34f-4122-90da-123b4e4f64e6","111da4cf")</f>
        <v>111da4cf</v>
      </c>
      <c r="B244" t="s">
        <v>48</v>
      </c>
      <c r="C244" t="s">
        <v>22</v>
      </c>
      <c r="D244" t="s">
        <v>195</v>
      </c>
      <c r="E244" s="2" t="str">
        <f>HYPERLINK("https://nga.laas.intel.com/#/nga_fv_gnr/failureManagement/bucket/5e5cc6d1-ef70-4f0d-a091-dee49a716206","junk")</f>
        <v>junk</v>
      </c>
      <c r="F244" s="2" t="str">
        <f t="shared" si="18"/>
        <v>GNR-AP-X1_A0_VV</v>
      </c>
      <c r="G244" s="2" t="str">
        <f>HYPERLINK("https://axonsv.app.intel.com/apps/record-viewer?id=d63ca7c2-d8aa-4855-bb9f-9f5b2f7b6994","d63ca7c2-d8aa-4855-bb9f-9f5b2f7b6994")</f>
        <v>d63ca7c2-d8aa-4855-bb9f-9f5b2f7b6994</v>
      </c>
      <c r="H244" t="s">
        <v>322</v>
      </c>
      <c r="I244" t="s">
        <v>33</v>
      </c>
      <c r="J244" t="s">
        <v>82</v>
      </c>
    </row>
    <row r="245" spans="1:10" ht="14.5" x14ac:dyDescent="0.35">
      <c r="A245" s="2" t="str">
        <f>HYPERLINK("https://nga.laas.intel.com/#/nga_fv_gnr/failureManagement/failures/26914007-530c-4c50-a890-21e332ef09bd","26914007")</f>
        <v>26914007</v>
      </c>
      <c r="B245" t="s">
        <v>91</v>
      </c>
      <c r="C245" t="s">
        <v>30</v>
      </c>
      <c r="D245" t="s">
        <v>66</v>
      </c>
      <c r="E245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45" s="2" t="str">
        <f t="shared" si="18"/>
        <v>GNR-AP-X1_A0_VV</v>
      </c>
      <c r="G245" s="2" t="str">
        <f>HYPERLINK("https://axonsv.app.intel.com/apps/record-viewer?id=87db67c3-b5d8-4ec9-9e5c-9b217f430a6a","87db67c3-b5d8-4ec9-9e5c-9b217f430a6a")</f>
        <v>87db67c3-b5d8-4ec9-9e5c-9b217f430a6a</v>
      </c>
      <c r="I245" t="s">
        <v>323</v>
      </c>
      <c r="J245" t="s">
        <v>20</v>
      </c>
    </row>
    <row r="246" spans="1:10" ht="14.5" x14ac:dyDescent="0.35">
      <c r="A246" s="2" t="str">
        <f>HYPERLINK("https://nga.laas.intel.com/#/nga_fv_gnr/failureManagement/failures/7813ac0b-84f1-4e0c-80d8-0fbaa305439c","7813ac0b")</f>
        <v>7813ac0b</v>
      </c>
      <c r="B246" t="s">
        <v>324</v>
      </c>
      <c r="C246" t="s">
        <v>22</v>
      </c>
      <c r="D246" t="s">
        <v>131</v>
      </c>
      <c r="E246" s="2" t="str">
        <f>HYPERLINK("https://nga.laas.intel.com/#/nga_fv_gnr/failureManagement/bucket/5e5cc6d1-ef70-4f0d-a091-dee49a716206","junk")</f>
        <v>junk</v>
      </c>
      <c r="F246" s="2" t="str">
        <f t="shared" si="18"/>
        <v>GNR-AP-X1_A0_VV</v>
      </c>
      <c r="G246" s="2" t="str">
        <f>HYPERLINK("https://axonsv.app.intel.com/apps/record-viewer?id=d7a0292a-2c41-408e-9197-ff3d104f963b","d7a0292a-2c41-408e-9197-ff3d104f963b")</f>
        <v>d7a0292a-2c41-408e-9197-ff3d104f963b</v>
      </c>
      <c r="I246" t="s">
        <v>33</v>
      </c>
      <c r="J246" t="s">
        <v>51</v>
      </c>
    </row>
    <row r="247" spans="1:10" ht="14.5" x14ac:dyDescent="0.35">
      <c r="A247" s="2" t="str">
        <f>HYPERLINK("https://nga.laas.intel.com/#/nga_fv_gnr/failureManagement/failures/d0c2b154-f56d-416d-9ba5-048bfa42eb90","d0c2b154")</f>
        <v>d0c2b154</v>
      </c>
      <c r="B247" t="s">
        <v>57</v>
      </c>
      <c r="C247" t="s">
        <v>22</v>
      </c>
      <c r="D247" t="s">
        <v>288</v>
      </c>
      <c r="E247" s="2" t="str">
        <f>HYPERLINK("https://nga.laas.intel.com/#/nga_fv_gnr/failureManagement/bucket/5e5cc6d1-ef70-4f0d-a091-dee49a716206","junk")</f>
        <v>junk</v>
      </c>
      <c r="F247" s="2" t="str">
        <f t="shared" si="18"/>
        <v>GNR-AP-X1_A0_VV</v>
      </c>
      <c r="G247" s="2" t="str">
        <f>HYPERLINK("https://axonsv.app.intel.com/apps/record-viewer?id=2b3e918e-ccba-401b-847f-4337c82b897f","2b3e918e-ccba-401b-847f-4337c82b897f")</f>
        <v>2b3e918e-ccba-401b-847f-4337c82b897f</v>
      </c>
      <c r="I247" t="s">
        <v>33</v>
      </c>
      <c r="J247" t="s">
        <v>14</v>
      </c>
    </row>
    <row r="248" spans="1:10" ht="14.5" x14ac:dyDescent="0.35">
      <c r="A248" s="2" t="str">
        <f>HYPERLINK("https://nga.laas.intel.com/#/nga_fv_gnr/failureManagement/failures/fc974a26-5979-40b2-9de3-0864e6d31c22","fc974a26")</f>
        <v>fc974a26</v>
      </c>
      <c r="B248" t="s">
        <v>57</v>
      </c>
      <c r="C248" t="s">
        <v>22</v>
      </c>
      <c r="D248" t="s">
        <v>263</v>
      </c>
      <c r="F248" s="2" t="str">
        <f t="shared" si="18"/>
        <v>GNR-AP-X1_A0_VV</v>
      </c>
      <c r="G248" s="2" t="str">
        <f>HYPERLINK("https://axonsv.app.intel.com/apps/record-viewer?id=09728d0f-5002-4b57-ac51-bdd1bfffe561","09728d0f-5002-4b57-ac51-bdd1bfffe561")</f>
        <v>09728d0f-5002-4b57-ac51-bdd1bfffe561</v>
      </c>
      <c r="H248" t="s">
        <v>325</v>
      </c>
      <c r="I248" t="s">
        <v>33</v>
      </c>
      <c r="J248" t="s">
        <v>82</v>
      </c>
    </row>
    <row r="249" spans="1:10" ht="14.5" x14ac:dyDescent="0.35">
      <c r="A249" s="2" t="str">
        <f>HYPERLINK("https://nga.laas.intel.com/#/nga_fv_gnr/failureManagement/failures/f5842aad-cd55-4ee1-a217-015e05d1260a","f5842aad")</f>
        <v>f5842aad</v>
      </c>
      <c r="B249" t="s">
        <v>217</v>
      </c>
      <c r="C249" t="s">
        <v>30</v>
      </c>
      <c r="D249" t="s">
        <v>66</v>
      </c>
      <c r="E249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49" s="2" t="str">
        <f t="shared" si="18"/>
        <v>GNR-AP-X1_A0_VV</v>
      </c>
      <c r="G249" s="2" t="str">
        <f>HYPERLINK("https://axonsv.app.intel.com/apps/record-viewer?id=c825d589-0147-473e-8094-3206f97f8e05","c825d589-0147-473e-8094-3206f97f8e05")</f>
        <v>c825d589-0147-473e-8094-3206f97f8e05</v>
      </c>
      <c r="I249" t="s">
        <v>323</v>
      </c>
      <c r="J249" t="s">
        <v>20</v>
      </c>
    </row>
    <row r="250" spans="1:10" ht="14.5" x14ac:dyDescent="0.35">
      <c r="A250" s="2" t="str">
        <f>HYPERLINK("https://nga.laas.intel.com/#/nga_fv_gnr/failureManagement/failures/4060eab3-9129-4b89-8f50-105ae5fca103","4060eab3")</f>
        <v>4060eab3</v>
      </c>
      <c r="B250" t="s">
        <v>175</v>
      </c>
      <c r="C250" t="s">
        <v>22</v>
      </c>
      <c r="D250" t="s">
        <v>277</v>
      </c>
      <c r="E250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50" s="2" t="str">
        <f t="shared" si="18"/>
        <v>GNR-AP-X1_A0_VV</v>
      </c>
      <c r="G250" s="2" t="str">
        <f>HYPERLINK("https://axonsv.app.intel.com/apps/record-viewer?id=73339db0-07fe-497f-b814-d5738a09f452","73339db0-07fe-497f-b814-d5738a09f452")</f>
        <v>73339db0-07fe-497f-b814-d5738a09f452</v>
      </c>
      <c r="H250" t="s">
        <v>327</v>
      </c>
      <c r="I250" t="s">
        <v>33</v>
      </c>
      <c r="J250" t="s">
        <v>82</v>
      </c>
    </row>
    <row r="251" spans="1:10" ht="14.5" x14ac:dyDescent="0.35">
      <c r="A251" s="2" t="str">
        <f>HYPERLINK("https://nga.laas.intel.com/#/nga_fv_gnr/failureManagement/failures/862bb712-f95d-47b0-b18b-1b69654a467e","862bb712")</f>
        <v>862bb712</v>
      </c>
      <c r="B251" t="s">
        <v>161</v>
      </c>
      <c r="C251" t="s">
        <v>30</v>
      </c>
      <c r="D251" t="s">
        <v>66</v>
      </c>
      <c r="E251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51" s="2" t="str">
        <f>HYPERLINK("https://nga.laas.intel.com/#/nga_fv_gnr/planning/suites/2c7ec13c-df59-42c4-8a05-0f54498b2f70","SQ_PM_GNR_AP_SANITY")</f>
        <v>SQ_PM_GNR_AP_SANITY</v>
      </c>
      <c r="G251" s="2" t="str">
        <f>HYPERLINK("https://axonsv.app.intel.com/apps/record-viewer?id=d0f10eeb-10fa-4f83-a1f9-68309ecc442d","d0f10eeb-10fa-4f83-a1f9-68309ecc442d")</f>
        <v>d0f10eeb-10fa-4f83-a1f9-68309ecc442d</v>
      </c>
      <c r="I251" t="s">
        <v>59</v>
      </c>
      <c r="J251" t="s">
        <v>20</v>
      </c>
    </row>
    <row r="252" spans="1:10" ht="14.5" x14ac:dyDescent="0.35">
      <c r="A252" s="2" t="str">
        <f>HYPERLINK("https://nga.laas.intel.com/#/nga_fv_gnr/failureManagement/failures/d9fd25fb-a1d6-4522-bb7a-104babb80648","d9fd25fb")</f>
        <v>d9fd25fb</v>
      </c>
      <c r="B252" t="s">
        <v>87</v>
      </c>
      <c r="C252" t="s">
        <v>30</v>
      </c>
      <c r="D252" t="s">
        <v>66</v>
      </c>
      <c r="E252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52" s="2" t="str">
        <f>HYPERLINK("https://nga.laas.intel.com/#/nga_fv_gnr/planning/suites/2c7ec13c-df59-42c4-8a05-0f54498b2f70","SQ_PM_GNR_AP_SANITY")</f>
        <v>SQ_PM_GNR_AP_SANITY</v>
      </c>
      <c r="G252" s="2" t="str">
        <f>HYPERLINK("https://axonsv.app.intel.com/apps/record-viewer?id=dca3f380-977e-4f47-ad46-fdfa0bc0fc75","dca3f380-977e-4f47-ad46-fdfa0bc0fc75")</f>
        <v>dca3f380-977e-4f47-ad46-fdfa0bc0fc75</v>
      </c>
      <c r="I252" t="s">
        <v>59</v>
      </c>
      <c r="J252" t="s">
        <v>20</v>
      </c>
    </row>
    <row r="253" spans="1:10" ht="14.5" x14ac:dyDescent="0.35">
      <c r="A253" s="2" t="str">
        <f>HYPERLINK("https://nga.laas.intel.com/#/nga_fv_gnr/failureManagement/failures/367f6983-6158-491d-a2a4-188306acad4f","367f6983")</f>
        <v>367f6983</v>
      </c>
      <c r="B253" t="s">
        <v>271</v>
      </c>
      <c r="C253" t="s">
        <v>30</v>
      </c>
      <c r="D253" t="s">
        <v>66</v>
      </c>
      <c r="E253" s="2" t="str">
        <f>HYPERLINK("https://nga.laas.intel.com/#/nga_fv_gnr/failureManagement/bucket/2f27efda-976f-4053-9b0a-08f369c18c2e","hw_err_msm_corecrashlog_ctrl_haderror,hw_err_msm_global_status_ctrl_reg_crashlog_err,hw_err_msm_global_status_ctrl_reg_global_viral,hw_err_msm_global_status_ctrl_reg_ierr,hw_err_msm_mbx_error_sts_mbx_overflow,hw_err_ras_uncore_punit,hw_err_ubox_ncevents_n")</f>
        <v>hw_err_msm_corecrashlog_ctrl_haderror,hw_err_msm_global_status_ctrl_reg_crashlog_err,hw_err_msm_global_status_ctrl_reg_global_viral,hw_err_msm_global_status_ctrl_reg_ierr,hw_err_msm_mbx_error_sts_mbx_overflow,hw_err_ras_uncore_punit,hw_err_ubox_ncevents_n</v>
      </c>
      <c r="F253" s="2" t="str">
        <f>HYPERLINK("https://nga.laas.intel.com/#/nga_fv_gnr/planning/suites/4602b7c0-cc4c-4841-bc78-d3764cf13fe2","GNR-AP-X1_A0_VV")</f>
        <v>GNR-AP-X1_A0_VV</v>
      </c>
      <c r="G253" s="2" t="str">
        <f>HYPERLINK("https://axonsv.app.intel.com/apps/record-viewer?id=eec0ab95-fc77-4113-8f04-9095d87da609","eec0ab95-fc77-4113-8f04-9095d87da609")</f>
        <v>eec0ab95-fc77-4113-8f04-9095d87da609</v>
      </c>
      <c r="I253" t="s">
        <v>323</v>
      </c>
      <c r="J253" t="s">
        <v>20</v>
      </c>
    </row>
    <row r="254" spans="1:10" ht="14.5" x14ac:dyDescent="0.35">
      <c r="A254" s="2" t="str">
        <f>HYPERLINK("https://nga.laas.intel.com/#/nga_fv_gnr/failureManagement/failures/ffa569ba-ef7b-4b34-9faa-13b36641a0e1","ffa569ba")</f>
        <v>ffa569ba</v>
      </c>
      <c r="B254" t="s">
        <v>161</v>
      </c>
      <c r="C254" t="s">
        <v>30</v>
      </c>
      <c r="D254" t="s">
        <v>66</v>
      </c>
      <c r="E254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54" s="2" t="str">
        <f>HYPERLINK("https://nga.laas.intel.com/#/nga_fv_gnr/planning/suites/2c7ec13c-df59-42c4-8a05-0f54498b2f70","SQ_PM_GNR_AP_SANITY")</f>
        <v>SQ_PM_GNR_AP_SANITY</v>
      </c>
      <c r="G254" s="2" t="str">
        <f>HYPERLINK("https://axonsv.app.intel.com/apps/record-viewer?id=782de35f-7bad-44d9-909c-6d43ca393889","782de35f-7bad-44d9-909c-6d43ca393889")</f>
        <v>782de35f-7bad-44d9-909c-6d43ca393889</v>
      </c>
      <c r="I254" t="s">
        <v>59</v>
      </c>
      <c r="J254" t="s">
        <v>20</v>
      </c>
    </row>
    <row r="255" spans="1:10" ht="14.5" x14ac:dyDescent="0.35">
      <c r="A255" s="2" t="str">
        <f>HYPERLINK("https://nga.laas.intel.com/#/nga_fv_gnr/failureManagement/failures/bfb5073e-0d0a-4233-8bae-14b8153ab5a0","bfb5073e")</f>
        <v>bfb5073e</v>
      </c>
      <c r="B255" t="s">
        <v>76</v>
      </c>
      <c r="C255" t="s">
        <v>30</v>
      </c>
      <c r="D255" t="s">
        <v>66</v>
      </c>
      <c r="E255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55" s="2" t="str">
        <f>HYPERLINK("https://nga.laas.intel.com/#/nga_fv_gnr/planning/suites/2c7ec13c-df59-42c4-8a05-0f54498b2f70","SQ_PM_GNR_AP_SANITY")</f>
        <v>SQ_PM_GNR_AP_SANITY</v>
      </c>
      <c r="G255" s="2" t="str">
        <f>HYPERLINK("https://axonsv.app.intel.com/apps/record-viewer?id=fa53f341-5c6c-421a-8512-2732589f060e","fa53f341-5c6c-421a-8512-2732589f060e")</f>
        <v>fa53f341-5c6c-421a-8512-2732589f060e</v>
      </c>
      <c r="I255" t="s">
        <v>59</v>
      </c>
      <c r="J255" t="s">
        <v>20</v>
      </c>
    </row>
    <row r="256" spans="1:10" ht="14.5" x14ac:dyDescent="0.35">
      <c r="A256" s="2" t="str">
        <f>HYPERLINK("https://nga.laas.intel.com/#/nga_fv_gnr/failureManagement/failures/df2870b3-5d3f-4ed1-831a-17add0ae2b6c","df2870b3")</f>
        <v>df2870b3</v>
      </c>
      <c r="B256" t="s">
        <v>76</v>
      </c>
      <c r="C256" t="s">
        <v>30</v>
      </c>
      <c r="D256" t="s">
        <v>66</v>
      </c>
      <c r="E256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56" s="2" t="str">
        <f>HYPERLINK("https://nga.laas.intel.com/#/nga_fv_gnr/planning/suites/2c7ec13c-df59-42c4-8a05-0f54498b2f70","SQ_PM_GNR_AP_SANITY")</f>
        <v>SQ_PM_GNR_AP_SANITY</v>
      </c>
      <c r="G256" s="2" t="str">
        <f>HYPERLINK("https://axonsv.app.intel.com/apps/record-viewer?id=c43309ce-2f8a-4e33-9eb5-417438f36538","c43309ce-2f8a-4e33-9eb5-417438f36538")</f>
        <v>c43309ce-2f8a-4e33-9eb5-417438f36538</v>
      </c>
      <c r="I256" t="s">
        <v>59</v>
      </c>
      <c r="J256" t="s">
        <v>20</v>
      </c>
    </row>
    <row r="257" spans="1:10" ht="14.5" x14ac:dyDescent="0.35">
      <c r="A257" s="2" t="str">
        <f>HYPERLINK("https://nga.laas.intel.com/#/nga_fv_gnr/failureManagement/failures/8abfc563-ad07-4a28-aed8-0061bb76c34b","8abfc563")</f>
        <v>8abfc563</v>
      </c>
      <c r="B257" t="s">
        <v>161</v>
      </c>
      <c r="C257" t="s">
        <v>30</v>
      </c>
      <c r="D257" t="s">
        <v>66</v>
      </c>
      <c r="E257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57" s="2" t="str">
        <f>HYPERLINK("https://nga.laas.intel.com/#/nga_fv_gnr/planning/suites/2c7ec13c-df59-42c4-8a05-0f54498b2f70","SQ_PM_GNR_AP_SANITY")</f>
        <v>SQ_PM_GNR_AP_SANITY</v>
      </c>
      <c r="G257" s="2" t="str">
        <f>HYPERLINK("https://axonsv.app.intel.com/apps/record-viewer?id=d46a59f4-dfb0-4fa8-978c-d12f04c8fdb7","d46a59f4-dfb0-4fa8-978c-d12f04c8fdb7")</f>
        <v>d46a59f4-dfb0-4fa8-978c-d12f04c8fdb7</v>
      </c>
      <c r="I257" t="s">
        <v>59</v>
      </c>
      <c r="J257" t="s">
        <v>20</v>
      </c>
    </row>
    <row r="258" spans="1:10" ht="14.5" x14ac:dyDescent="0.35">
      <c r="A258" s="2" t="str">
        <f>HYPERLINK("https://nga.laas.intel.com/#/nga_fv_gnr/failureManagement/failures/fcb177ce-0943-41eb-acb4-12a789e3dd70","fcb177ce")</f>
        <v>fcb177ce</v>
      </c>
      <c r="B258" t="s">
        <v>266</v>
      </c>
      <c r="C258" t="s">
        <v>30</v>
      </c>
      <c r="D258" t="s">
        <v>66</v>
      </c>
      <c r="E258" s="2" t="str">
        <f>HYPERLINK("https://nga.laas.intel.com/#/nga_fv_gnr/failureManagement/bucket/9b62fead-da94-481a-880d-c6704ada43f6","hw_err_msm_global_status_ctrl_reg_general_mca_hw_err_msm_global_status_ctrl_reg_global_viral_hw_err_msm_global_status_ctrl_reg_ierr_hw_err_msm_mbx_error_sts_mbx_overflow_hw_err_ras_uncore_punit_hw_err_ubox_ncevents_ncevents_cr_bankmerge6_errlog_hw_err_unc")</f>
        <v>hw_err_msm_global_status_ctrl_reg_general_mca_hw_err_msm_global_status_ctrl_reg_global_viral_hw_err_msm_global_status_ctrl_reg_ierr_hw_err_msm_mbx_error_sts_mbx_overflow_hw_err_ras_uncore_punit_hw_err_ubox_ncevents_ncevents_cr_bankmerge6_errlog_hw_err_unc</v>
      </c>
      <c r="F258" s="2" t="str">
        <f>HYPERLINK("https://nga.laas.intel.com/#/nga_fv_gnr/planning/suites/2c7ec13c-df59-42c4-8a05-0f54498b2f70","SQ_PM_GNR_AP_SANITY")</f>
        <v>SQ_PM_GNR_AP_SANITY</v>
      </c>
      <c r="G258" s="2" t="str">
        <f>HYPERLINK("https://axonsv.app.intel.com/apps/record-viewer?id=2a4bb58c-be72-4fa3-b33e-9730458ee708","2a4bb58c-be72-4fa3-b33e-9730458ee708")</f>
        <v>2a4bb58c-be72-4fa3-b33e-9730458ee708</v>
      </c>
      <c r="I258" t="s">
        <v>59</v>
      </c>
      <c r="J258" t="s">
        <v>20</v>
      </c>
    </row>
    <row r="259" spans="1:10" ht="14.5" x14ac:dyDescent="0.35">
      <c r="A259" s="2" t="str">
        <f>HYPERLINK("https://nga.laas.intel.com/#/nga_fv_gnr/failureManagement/failures/1f11eacb-5bb6-449a-97f2-1837e2a01725","1f11eacb")</f>
        <v>1f11eacb</v>
      </c>
      <c r="B259" t="s">
        <v>324</v>
      </c>
      <c r="C259" t="s">
        <v>22</v>
      </c>
      <c r="D259" t="s">
        <v>329</v>
      </c>
      <c r="E259" s="2" t="str">
        <f>HYPERLINK("https://nga.laas.intel.com/#/nga_fv_gnr/failureManagement/bucket/5e5cc6d1-ef70-4f0d-a091-dee49a716206","junk")</f>
        <v>junk</v>
      </c>
      <c r="F259" s="2" t="str">
        <f>HYPERLINK("https://nga.laas.intel.com/#/nga_fv_gnr/planning/suites/4602b7c0-cc4c-4841-bc78-d3764cf13fe2","GNR-AP-X1_A0_VV")</f>
        <v>GNR-AP-X1_A0_VV</v>
      </c>
      <c r="G259" s="2" t="str">
        <f>HYPERLINK("https://axonsv.app.intel.com/apps/record-viewer?id=b5b7f4b1-8fe7-4d08-968d-5e06413d3d7d","b5b7f4b1-8fe7-4d08-968d-5e06413d3d7d")</f>
        <v>b5b7f4b1-8fe7-4d08-968d-5e06413d3d7d</v>
      </c>
      <c r="I259" t="s">
        <v>234</v>
      </c>
      <c r="J259" t="s">
        <v>20</v>
      </c>
    </row>
    <row r="260" spans="1:10" ht="14.5" x14ac:dyDescent="0.35">
      <c r="A260" s="2" t="str">
        <f>HYPERLINK("https://nga.laas.intel.com/#/nga_fv_gnr/failureManagement/failures/b69dc8df-0c58-4874-a9ea-0a1258848456","b69dc8df")</f>
        <v>b69dc8df</v>
      </c>
      <c r="B260" t="s">
        <v>271</v>
      </c>
      <c r="C260" t="s">
        <v>30</v>
      </c>
      <c r="D260" t="s">
        <v>66</v>
      </c>
      <c r="E260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60" s="2" t="str">
        <f>HYPERLINK("https://nga.laas.intel.com/#/nga_fv_gnr/planning/suites/4602b7c0-cc4c-4841-bc78-d3764cf13fe2","GNR-AP-X1_A0_VV")</f>
        <v>GNR-AP-X1_A0_VV</v>
      </c>
      <c r="G260" s="2" t="str">
        <f>HYPERLINK("https://axonsv.app.intel.com/apps/record-viewer?id=e5342cdc-b5f3-4984-a65d-1710c027ce06","e5342cdc-b5f3-4984-a65d-1710c027ce06")</f>
        <v>e5342cdc-b5f3-4984-a65d-1710c027ce06</v>
      </c>
      <c r="I260" t="s">
        <v>323</v>
      </c>
      <c r="J260" t="s">
        <v>20</v>
      </c>
    </row>
    <row r="261" spans="1:10" ht="14.5" x14ac:dyDescent="0.35">
      <c r="A261" s="2" t="str">
        <f>HYPERLINK("https://nga.laas.intel.com/#/nga_fv_gnr/failureManagement/failures/66461e87-c349-49b7-9121-01948ea4b378","66461e87")</f>
        <v>66461e87</v>
      </c>
      <c r="B261" t="s">
        <v>91</v>
      </c>
      <c r="C261" t="s">
        <v>22</v>
      </c>
      <c r="D261" t="s">
        <v>43</v>
      </c>
      <c r="E261" s="2" t="str">
        <f>HYPERLINK("https://nga.laas.intel.com/#/nga_fv_gnr/failureManagement/bucket/0e784dce-1717-4444-be8c-2390a4d53798","hw_err_msm_global_status_ctrl_reg_general_mca_hw_err_msm_global_status_ctrl_reg_global_viral_hw_err_msm_global_status_ctrl_reg_ierr_hw_err_msm_mbx_error_sts_mbx_overflow_hw_err_ras_cha_cha10_hw_err_ras_cha_cha14_hw_err_ras_cha_cha16_hw_err_ras_cha_cha2...")</f>
        <v>hw_err_msm_global_status_ctrl_reg_general_mca_hw_err_msm_global_status_ctrl_reg_global_viral_hw_err_msm_global_status_ctrl_reg_ierr_hw_err_msm_mbx_error_sts_mbx_overflow_hw_err_ras_cha_cha10_hw_err_ras_cha_cha14_hw_err_ras_cha_cha16_hw_err_ras_cha_cha2...</v>
      </c>
      <c r="F261" s="2" t="str">
        <f>HYPERLINK("https://nga.laas.intel.com/#/nga_fv_gnr/planning/suites/4602b7c0-cc4c-4841-bc78-d3764cf13fe2","GNR-AP-X1_A0_VV")</f>
        <v>GNR-AP-X1_A0_VV</v>
      </c>
      <c r="G261" s="2" t="str">
        <f>HYPERLINK("https://axonsv.app.intel.com/apps/record-viewer?id=46fb4944-5647-4fe4-aa8e-e7f7697837fb","46fb4944-5647-4fe4-aa8e-e7f7697837fb")</f>
        <v>46fb4944-5647-4fe4-aa8e-e7f7697837fb</v>
      </c>
      <c r="I261" t="s">
        <v>234</v>
      </c>
      <c r="J261" t="s">
        <v>38</v>
      </c>
    </row>
    <row r="262" spans="1:10" ht="14.5" x14ac:dyDescent="0.35">
      <c r="A262" s="2" t="str">
        <f>HYPERLINK("https://nga.laas.intel.com/#/nga_fv_gnr/failureManagement/failures/d8fbf99a-b635-47bb-93cb-007df7f74cca","d8fbf99a")</f>
        <v>d8fbf99a</v>
      </c>
      <c r="B262" t="s">
        <v>27</v>
      </c>
      <c r="C262" t="s">
        <v>30</v>
      </c>
      <c r="D262" t="s">
        <v>66</v>
      </c>
      <c r="E262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62" s="2" t="str">
        <f>HYPERLINK("https://nga.laas.intel.com/#/nga_fv_gnr/planning/suites/4602b7c0-cc4c-4841-bc78-d3764cf13fe2","GNR-AP-X1_A0_VV")</f>
        <v>GNR-AP-X1_A0_VV</v>
      </c>
      <c r="G262" s="2" t="str">
        <f>HYPERLINK("https://axonsv.app.intel.com/apps/record-viewer?id=ace0d7f0-398e-4d6d-8fda-bc5ee372e239","ace0d7f0-398e-4d6d-8fda-bc5ee372e239")</f>
        <v>ace0d7f0-398e-4d6d-8fda-bc5ee372e239</v>
      </c>
      <c r="I262" t="s">
        <v>323</v>
      </c>
      <c r="J262" t="s">
        <v>20</v>
      </c>
    </row>
    <row r="263" spans="1:10" ht="14.5" x14ac:dyDescent="0.35">
      <c r="A263" s="2" t="str">
        <f>HYPERLINK("https://nga.laas.intel.com/#/nga_fv_gnr/failureManagement/failures/a73603a8-de37-4b53-9b5c-14022767fda1","a73603a8")</f>
        <v>a73603a8</v>
      </c>
      <c r="B263" t="s">
        <v>97</v>
      </c>
      <c r="C263" t="s">
        <v>22</v>
      </c>
      <c r="D263" t="s">
        <v>330</v>
      </c>
      <c r="E263" s="2" t="str">
        <f>HYPERLINK("https://nga.laas.intel.com/#/nga_fv_gnr/failureManagement/bucket/24628b8a-a458-48ec-9707-52542448c207","hw_err_msm_corecrashlog_ctrl_haderror,hw_err_msm_global_status_ctrl_reg_crashlog_err,hw_err_msm_global_status_ctrl_reg_general_mca,hw_err_msm_global_status_ctrl_reg_global_viral,hw_err_msm_global_status_ctrl_reg_ierr,hw_err_msm_mbx_error_sts_mbx_overflow,")</f>
        <v>hw_err_msm_corecrashlog_ctrl_haderror,hw_err_msm_global_status_ctrl_reg_crashlog_err,hw_err_msm_global_status_ctrl_reg_general_mca,hw_err_msm_global_status_ctrl_reg_global_viral,hw_err_msm_global_status_ctrl_reg_ierr,hw_err_msm_mbx_error_sts_mbx_overflow,</v>
      </c>
      <c r="F263" s="2" t="str">
        <f>HYPERLINK("https://nga.laas.intel.com/#/nga_fv_gnr/planning/suites/4602b7c0-cc4c-4841-bc78-d3764cf13fe2","GNR-AP-X1_A0_VV")</f>
        <v>GNR-AP-X1_A0_VV</v>
      </c>
      <c r="G263" s="2" t="str">
        <f>HYPERLINK("https://axonsv.app.intel.com/apps/record-viewer?id=f009f3e7-0d87-79c5-e246-2eda697c8cad","f009f3e7-0d87-79c5-e246-2eda697c8cad")</f>
        <v>f009f3e7-0d87-79c5-e246-2eda697c8cad</v>
      </c>
      <c r="I263" t="s">
        <v>331</v>
      </c>
      <c r="J263" t="s">
        <v>20</v>
      </c>
    </row>
    <row r="264" spans="1:10" ht="14.5" x14ac:dyDescent="0.35">
      <c r="A264" s="2" t="str">
        <f>HYPERLINK("https://nga.laas.intel.com/#/nga_fv_gnr/failureManagement/failures/54d75407-5b9c-4aa8-aa03-22bc3ecfddd2","54d75407")</f>
        <v>54d75407</v>
      </c>
      <c r="B264" t="s">
        <v>179</v>
      </c>
      <c r="C264" t="s">
        <v>22</v>
      </c>
      <c r="D264" t="s">
        <v>332</v>
      </c>
      <c r="E264" s="2" t="str">
        <f>HYPERLINK("https://nga.laas.intel.com/#/nga_fv_gnr/failureManagement/bucket/cd5606bf-0afc-49b9-a939-7792a45fe38b","hw_err_msm_global_status_ctrl_reg_global_viral_hw_err_msm_global_status_ctrl_reg_ierr_hw_err_msm_mbx_error_sts_mbx_overflow_hw_err_ras_core179_thread0_hw_err_ras_uncore_punit_hw_err_ras_upi_upi0_hw_err_ras_upi_upi1_hw_err_ras_upi_upi2_hw_err_ras_upi_up...")</f>
        <v>hw_err_msm_global_status_ctrl_reg_global_viral_hw_err_msm_global_status_ctrl_reg_ierr_hw_err_msm_mbx_error_sts_mbx_overflow_hw_err_ras_core179_thread0_hw_err_ras_uncore_punit_hw_err_ras_upi_upi0_hw_err_ras_upi_upi1_hw_err_ras_upi_upi2_hw_err_ras_upi_up...</v>
      </c>
      <c r="F264" s="2" t="str">
        <f>HYPERLINK("https://nga.laas.intel.com/#/nga_fv_gnr/planning/suites/1f60130b-5ac5-47b1-9f05-cd28a120f5c9","GNR-AP-X3_A2_VV")</f>
        <v>GNR-AP-X3_A2_VV</v>
      </c>
      <c r="G264" s="2" t="str">
        <f>HYPERLINK("https://axonsv.app.intel.com/apps/record-viewer?id=cd5a6e9a-11c9-4a18-b50a-f8f2045daafe","cd5a6e9a-11c9-4a18-b50a-f8f2045daafe")</f>
        <v>cd5a6e9a-11c9-4a18-b50a-f8f2045daafe</v>
      </c>
      <c r="H264" t="s">
        <v>333</v>
      </c>
      <c r="I264" t="s">
        <v>334</v>
      </c>
      <c r="J264" t="s">
        <v>51</v>
      </c>
    </row>
    <row r="265" spans="1:10" ht="14.5" x14ac:dyDescent="0.35">
      <c r="A265" s="2" t="str">
        <f>HYPERLINK("https://nga.laas.intel.com/#/nga_fv_gnr/failureManagement/failures/aa2d7872-c875-446c-ad80-07c1fdd750dc","aa2d7872")</f>
        <v>aa2d7872</v>
      </c>
      <c r="B265" t="s">
        <v>335</v>
      </c>
      <c r="C265" t="s">
        <v>22</v>
      </c>
      <c r="D265" t="s">
        <v>336</v>
      </c>
      <c r="E265" s="2" t="str">
        <f>HYPERLINK("https://nga.laas.intel.com/#/nga_fv_gnr/failureManagement/bucket/5e5cc6d1-ef70-4f0d-a091-dee49a716206","junk")</f>
        <v>junk</v>
      </c>
      <c r="F265" s="2" t="str">
        <f>HYPERLINK("https://nga.laas.intel.com/#/nga_fv_gnr/planning/suites/4602b7c0-cc4c-4841-bc78-d3764cf13fe2","GNR-AP-X1_A0_VV")</f>
        <v>GNR-AP-X1_A0_VV</v>
      </c>
      <c r="G265" s="2" t="str">
        <f>HYPERLINK("https://axonsv.app.intel.com/apps/record-viewer?id=800bddcf-0137-4bc0-a6dc-7c35b1c395cd","800bddcf-0137-4bc0-a6dc-7c35b1c395cd")</f>
        <v>800bddcf-0137-4bc0-a6dc-7c35b1c395cd</v>
      </c>
      <c r="I265" t="s">
        <v>248</v>
      </c>
      <c r="J265" t="s">
        <v>112</v>
      </c>
    </row>
    <row r="266" spans="1:10" ht="14.5" x14ac:dyDescent="0.35">
      <c r="A266" s="2" t="str">
        <f>HYPERLINK("https://nga.laas.intel.com/#/nga_fv_gnr/failureManagement/failures/2ade8b37-597a-4a71-b240-1daee28e5de1","2ade8b37")</f>
        <v>2ade8b37</v>
      </c>
      <c r="B266" t="s">
        <v>337</v>
      </c>
      <c r="C266" t="s">
        <v>30</v>
      </c>
      <c r="D266" t="s">
        <v>66</v>
      </c>
      <c r="E266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66" s="2" t="str">
        <f>HYPERLINK("https://nga.laas.intel.com/#/nga_fv_gnr/planning/suites/4602b7c0-cc4c-4841-bc78-d3764cf13fe2","GNR-AP-X1_A0_VV")</f>
        <v>GNR-AP-X1_A0_VV</v>
      </c>
      <c r="G266" s="2" t="str">
        <f>HYPERLINK("https://axonsv.app.intel.com/apps/record-viewer?id=6305db40-f01c-4774-a127-68f65753cea3","6305db40-f01c-4774-a127-68f65753cea3")</f>
        <v>6305db40-f01c-4774-a127-68f65753cea3</v>
      </c>
      <c r="I266" t="s">
        <v>323</v>
      </c>
      <c r="J266" t="s">
        <v>20</v>
      </c>
    </row>
    <row r="267" spans="1:10" ht="14.5" x14ac:dyDescent="0.35">
      <c r="A267" s="2" t="str">
        <f>HYPERLINK("https://nga.laas.intel.com/#/nga_fv_gnr/failureManagement/failures/d3aa8198-b8c8-4ec4-971a-15364a04b2e7","d3aa8198")</f>
        <v>d3aa8198</v>
      </c>
      <c r="B267" t="s">
        <v>245</v>
      </c>
      <c r="C267" t="s">
        <v>30</v>
      </c>
      <c r="D267" t="s">
        <v>66</v>
      </c>
      <c r="E267" s="2" t="str">
        <f>HYPERLINK("https://nga.laas.intel.com/#/nga_fv_gnr/failureManagement/bucket/161bcffd-d385-4410-b4e7-1bb0cf5c6d64","hw_err_msm_mbx_error_sts_mbx_overflow_hw_err_uncersts_oob_received_an_unsupported_request")</f>
        <v>hw_err_msm_mbx_error_sts_mbx_overflow_hw_err_uncersts_oob_received_an_unsupported_request</v>
      </c>
      <c r="F267" s="2" t="str">
        <f>HYPERLINK("https://nga.laas.intel.com/#/nga_fv_gnr/planning/suites/4602b7c0-cc4c-4841-bc78-d3764cf13fe2","GNR-AP-X1_A0_VV")</f>
        <v>GNR-AP-X1_A0_VV</v>
      </c>
      <c r="G267" s="2" t="str">
        <f>HYPERLINK("https://axonsv.app.intel.com/apps/record-viewer?id=0de6e921-74d9-4478-8d93-c2b43785ec39","0de6e921-74d9-4478-8d93-c2b43785ec39")</f>
        <v>0de6e921-74d9-4478-8d93-c2b43785ec39</v>
      </c>
      <c r="I267" t="s">
        <v>33</v>
      </c>
      <c r="J267" t="s">
        <v>14</v>
      </c>
    </row>
    <row r="268" spans="1:10" ht="14.5" x14ac:dyDescent="0.35">
      <c r="A268" s="2" t="str">
        <f>HYPERLINK("https://nga.laas.intel.com/#/nga_fv_gnr/failureManagement/failures/cb4eb220-28a9-4e98-8331-18349843eec8","cb4eb220")</f>
        <v>cb4eb220</v>
      </c>
      <c r="B268" t="s">
        <v>337</v>
      </c>
      <c r="C268" t="s">
        <v>30</v>
      </c>
      <c r="D268" t="s">
        <v>66</v>
      </c>
      <c r="E268" s="2" t="str">
        <f>HYPERLINK("https://nga.laas.intel.com/#/nga_fv_gnr/failureManagement/bucket/c4905491-906b-44ae-9e32-b3626dbec94a","hw_err_msm_corecrashlog_ctrl_haderror_hw_err_msm_global_status_ctrl_reg_crashlog_err_hw_err_msm_global_status_ctrl_reg_global_viral_hw_err_msm_global_status_ctrl_reg_ierr_hw_err_msm_mbx_error_sts_mbx_overflow_hw_err_ras_uncore_punit_hw_err_ubox_ncevents_n")</f>
        <v>hw_err_msm_corecrashlog_ctrl_haderror_hw_err_msm_global_status_ctrl_reg_crashlog_err_hw_err_msm_global_status_ctrl_reg_global_viral_hw_err_msm_global_status_ctrl_reg_ierr_hw_err_msm_mbx_error_sts_mbx_overflow_hw_err_ras_uncore_punit_hw_err_ubox_ncevents_n</v>
      </c>
      <c r="F268" s="2" t="str">
        <f>HYPERLINK("https://nga.laas.intel.com/#/nga_fv_gnr/planning/suites/4602b7c0-cc4c-4841-bc78-d3764cf13fe2","GNR-AP-X1_A0_VV")</f>
        <v>GNR-AP-X1_A0_VV</v>
      </c>
      <c r="G268" s="2" t="str">
        <f>HYPERLINK("https://axonsv.app.intel.com/apps/record-viewer?id=c7d95922-c15d-4419-9ba7-4d341c7249a2","c7d95922-c15d-4419-9ba7-4d341c7249a2")</f>
        <v>c7d95922-c15d-4419-9ba7-4d341c7249a2</v>
      </c>
      <c r="I268" t="s">
        <v>323</v>
      </c>
      <c r="J268" t="s">
        <v>20</v>
      </c>
    </row>
    <row r="269" spans="1:10" ht="14.5" x14ac:dyDescent="0.35">
      <c r="A269" s="2" t="str">
        <f>HYPERLINK("https://nga.laas.intel.com/#/nga_fv_gnr/failureManagement/failures/36613837-6f2b-426c-9d00-1d1585c3ab1b","36613837")</f>
        <v>36613837</v>
      </c>
      <c r="B269" t="s">
        <v>213</v>
      </c>
      <c r="C269" t="s">
        <v>11</v>
      </c>
      <c r="D269" t="s">
        <v>70</v>
      </c>
      <c r="E269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269" s="2" t="str">
        <f>HYPERLINK("https://nga.laas.intel.com/#/nga_fv_gnr/planning/suites/2c7ec13c-df59-42c4-8a05-0f54498b2f70","SQ_PM_GNR_AP_SANITY")</f>
        <v>SQ_PM_GNR_AP_SANITY</v>
      </c>
      <c r="G269" s="2" t="str">
        <f>HYPERLINK("https://axonsv.app.intel.com/apps/record-viewer?id=045319ae-130d-40d8-89ac-13a308478b57","045319ae-130d-40d8-89ac-13a308478b57")</f>
        <v>045319ae-130d-40d8-89ac-13a308478b57</v>
      </c>
      <c r="I269" t="s">
        <v>46</v>
      </c>
      <c r="J269" t="s">
        <v>61</v>
      </c>
    </row>
    <row r="270" spans="1:10" ht="14.5" x14ac:dyDescent="0.35">
      <c r="A270" s="2" t="str">
        <f>HYPERLINK("https://nga.laas.intel.com/#/nga_fv_gnr/failureManagement/failures/531b5070-ce1f-4994-a497-06268cfe60fe","531b5070")</f>
        <v>531b5070</v>
      </c>
      <c r="B270" t="s">
        <v>245</v>
      </c>
      <c r="C270" t="s">
        <v>22</v>
      </c>
      <c r="D270" t="s">
        <v>23</v>
      </c>
      <c r="E270" s="2" t="str">
        <f>HYPERLINK("https://nga.laas.intel.com/#/nga_fv_gnr/failureManagement/bucket/367a7178-2725-4582-aa33-6e7bbbe3aff3","hw_err_ieh_satieh2_gerrcorsts_hw_err_ieh_satieh4_gerrcorsts_hw_err_msm_corecrashlog_ctrl_haderror_hw_err_msm_global_status_ctrl_reg_crashlog_err_hw_err_msm_global_status_ctrl_reg_general_mca_hw_err_msm_global_status_ctrl_reg_global_viral_hw_err_msm_global")</f>
        <v>hw_err_ieh_satieh2_gerrcorsts_hw_err_ieh_satieh4_gerrcorsts_hw_err_msm_corecrashlog_ctrl_haderror_hw_err_msm_global_status_ctrl_reg_crashlog_err_hw_err_msm_global_status_ctrl_reg_general_mca_hw_err_msm_global_status_ctrl_reg_global_viral_hw_err_msm_global</v>
      </c>
      <c r="F270" s="2" t="str">
        <f>HYPERLINK("https://nga.laas.intel.com/#/nga_fv_gnr/planning/suites/4602b7c0-cc4c-4841-bc78-d3764cf13fe2","GNR-AP-X1_A0_VV")</f>
        <v>GNR-AP-X1_A0_VV</v>
      </c>
      <c r="G270" s="2" t="str">
        <f>HYPERLINK("https://axonsv.app.intel.com/apps/record-viewer?id=4d6a0858-ec6e-402b-8ea0-a2a549e01152","4d6a0858-ec6e-402b-8ea0-a2a549e01152")</f>
        <v>4d6a0858-ec6e-402b-8ea0-a2a549e01152</v>
      </c>
      <c r="I270" t="s">
        <v>328</v>
      </c>
      <c r="J270" t="s">
        <v>20</v>
      </c>
    </row>
    <row r="271" spans="1:10" ht="14.5" x14ac:dyDescent="0.35">
      <c r="A271" s="2" t="str">
        <f>HYPERLINK("https://nga.laas.intel.com/#/nga_fv_gnr/failureManagement/failures/b5b5ef2d-2ece-4a81-9ae2-0277a7936cc1","b5b5ef2d")</f>
        <v>b5b5ef2d</v>
      </c>
      <c r="B271" t="s">
        <v>338</v>
      </c>
      <c r="C271" t="s">
        <v>30</v>
      </c>
      <c r="D271" t="s">
        <v>66</v>
      </c>
      <c r="E271" s="2" t="str">
        <f>HYPERLINK("https://nga.laas.intel.com/#/nga_fv_gnr/failureManagement/bucket/9af50228-f085-4115-8d0c-a33d2b810549","hw_err_msm_global_status_ctrl_reg_general_mca_hw_err_msm_global_status_ctrl_reg_global_viral_hw_err_msm_global_status_ctrl_reg_ierr_hw_err_msm_mbx_error_sts_mbx_overflow_hw_err_ras_memss_b2cmi2_hw_err_ras_uncore_punit_hw_err_ras_uncore_ubox_hw_err_ras_upi")</f>
        <v>hw_err_msm_global_status_ctrl_reg_general_mca_hw_err_msm_global_status_ctrl_reg_global_viral_hw_err_msm_global_status_ctrl_reg_ierr_hw_err_msm_mbx_error_sts_mbx_overflow_hw_err_ras_memss_b2cmi2_hw_err_ras_uncore_punit_hw_err_ras_uncore_ubox_hw_err_ras_upi</v>
      </c>
      <c r="F271" s="2" t="str">
        <f>HYPERLINK("https://nga.laas.intel.com/#/nga_fv_gnr/planning/suites/1f60130b-5ac5-47b1-9f05-cd28a120f5c9","GNR-AP-X3_A2_VV")</f>
        <v>GNR-AP-X3_A2_VV</v>
      </c>
      <c r="G271" s="2" t="str">
        <f>HYPERLINK("https://axonsv.app.intel.com/apps/record-viewer?id=0461125d-7fe2-403e-9ecc-6947619d14be","0461125d-7fe2-403e-9ecc-6947619d14be")</f>
        <v>0461125d-7fe2-403e-9ecc-6947619d14be</v>
      </c>
      <c r="I271" t="s">
        <v>120</v>
      </c>
      <c r="J271" t="s">
        <v>51</v>
      </c>
    </row>
    <row r="272" spans="1:10" ht="14.5" x14ac:dyDescent="0.35">
      <c r="A272" s="2" t="str">
        <f>HYPERLINK("https://nga.laas.intel.com/#/nga_fv_gnr/failureManagement/failures/df0993db-735a-4d9b-8994-1ab1324ba3ee","df0993db")</f>
        <v>df0993db</v>
      </c>
      <c r="B272" t="s">
        <v>166</v>
      </c>
      <c r="C272" t="s">
        <v>11</v>
      </c>
      <c r="D272" t="s">
        <v>70</v>
      </c>
      <c r="E272" s="2" t="str">
        <f>HYPERLINK("https://nga.laas.intel.com/#/nga_fv_gnr/failureManagement/bucket/22a21262-b875-4c85-962a-3822b523d54f","hw_err_msm_global_status_ctrl_reg_general_mca_hw_err_msm_global_status_ctrl_reg_global_viral_hw_err_msm_global_status_ctrl_reg_ierr_hw_err_msm_mbx_error_sts_mbx_overflow_hw_err_ras_uncore_punit_hw_err_ras_uncore_ubox_hw_err_ubox_ncevents_ncevents_cr_bankm")</f>
        <v>hw_err_msm_global_status_ctrl_reg_general_mca_hw_err_msm_global_status_ctrl_reg_global_viral_hw_err_msm_global_status_ctrl_reg_ierr_hw_err_msm_mbx_error_sts_mbx_overflow_hw_err_ras_uncore_punit_hw_err_ras_uncore_ubox_hw_err_ubox_ncevents_ncevents_cr_bankm</v>
      </c>
      <c r="F272" s="2" t="str">
        <f>HYPERLINK("https://nga.laas.intel.com/#/nga_fv_gnr/planning/suites/4602b7c0-cc4c-4841-bc78-d3764cf13fe2","GNR-AP-X1_A0_VV")</f>
        <v>GNR-AP-X1_A0_VV</v>
      </c>
      <c r="G272" s="2" t="str">
        <f>HYPERLINK("https://axonsv.app.intel.com/apps/record-viewer?id=438acc6e-b516-4cbc-aad4-70d172c493d5","438acc6e-b516-4cbc-aad4-70d172c493d5")</f>
        <v>438acc6e-b516-4cbc-aad4-70d172c493d5</v>
      </c>
      <c r="I272" t="s">
        <v>224</v>
      </c>
      <c r="J272" t="s">
        <v>82</v>
      </c>
    </row>
    <row r="273" spans="1:10" ht="14.5" x14ac:dyDescent="0.35">
      <c r="A273" s="2" t="str">
        <f>HYPERLINK("https://nga.laas.intel.com/#/nga_fv_gnr/failureManagement/failures/5c956c7e-ad0a-4567-81ac-0dd171d678e1","5c956c7e")</f>
        <v>5c956c7e</v>
      </c>
      <c r="B273" t="s">
        <v>227</v>
      </c>
      <c r="C273" t="s">
        <v>22</v>
      </c>
      <c r="D273" t="s">
        <v>23</v>
      </c>
      <c r="E273" s="2" t="str">
        <f>HYPERLINK("https://nga.laas.intel.com/#/nga_fv_gnr/failureManagement/bucket/8a340864-0a76-4545-9b51-3c6ecf6631ac","hw_err_msm_global_status_ctrl_reg_general_mca,hw_err_msm_global_status_ctrl_reg_global_viral,hw_err_msm_global_status_ctrl_reg_ierr,hw_err_msm_mbx_error_sts_mbx_overflow,hw_err_ras_ch0_mcchan,hw_err_ras_cha_cha0,hw_err_ras_cha_cha1,hw_err_ras_cha_cha13,hw")</f>
        <v>hw_err_msm_global_status_ctrl_reg_general_mca,hw_err_msm_global_status_ctrl_reg_global_viral,hw_err_msm_global_status_ctrl_reg_ierr,hw_err_msm_mbx_error_sts_mbx_overflow,hw_err_ras_ch0_mcchan,hw_err_ras_cha_cha0,hw_err_ras_cha_cha1,hw_err_ras_cha_cha13,hw</v>
      </c>
      <c r="F273" s="2" t="str">
        <f>HYPERLINK("https://nga.laas.intel.com/#/nga_fv_gnr/planning/suites/4602b7c0-cc4c-4841-bc78-d3764cf13fe2","GNR-AP-X1_A0_VV")</f>
        <v>GNR-AP-X1_A0_VV</v>
      </c>
      <c r="G273" s="2" t="str">
        <f>HYPERLINK("https://axonsv.app.intel.com/apps/record-viewer?id=9380afdc-ca73-47d7-b4ef-61ddf9b79adb","9380afdc-ca73-47d7-b4ef-61ddf9b79adb")</f>
        <v>9380afdc-ca73-47d7-b4ef-61ddf9b79adb</v>
      </c>
      <c r="I273" t="s">
        <v>328</v>
      </c>
      <c r="J273" t="s">
        <v>20</v>
      </c>
    </row>
    <row r="274" spans="1:10" ht="14.5" x14ac:dyDescent="0.35">
      <c r="A274" s="2" t="str">
        <f>HYPERLINK("https://nga.laas.intel.com/#/nga_fv_gnr/failureManagement/failures/1dab0e16-9fc6-47e2-ac80-18c8ebfc8562","1dab0e16")</f>
        <v>1dab0e16</v>
      </c>
      <c r="B274" t="s">
        <v>166</v>
      </c>
      <c r="C274" t="s">
        <v>11</v>
      </c>
      <c r="D274" t="s">
        <v>339</v>
      </c>
      <c r="E274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274" s="2" t="str">
        <f>HYPERLINK("https://nga.laas.intel.com/#/nga_fv_gnr/planning/suites/2c7ec13c-df59-42c4-8a05-0f54498b2f70","SQ_PM_GNR_AP_SANITY")</f>
        <v>SQ_PM_GNR_AP_SANITY</v>
      </c>
      <c r="G274" s="2" t="str">
        <f>HYPERLINK("https://axonsv.app.intel.com/apps/record-viewer?id=7297223a-345f-4a67-8d58-5af0a15ba5bd","7297223a-345f-4a67-8d58-5af0a15ba5bd")</f>
        <v>7297223a-345f-4a67-8d58-5af0a15ba5bd</v>
      </c>
      <c r="I274" t="s">
        <v>33</v>
      </c>
      <c r="J274" t="s">
        <v>14</v>
      </c>
    </row>
    <row r="275" spans="1:10" ht="14.5" x14ac:dyDescent="0.35">
      <c r="A275" s="2" t="str">
        <f>HYPERLINK("https://nga.laas.intel.com/#/nga_fv_gnr/failureManagement/failures/517aec68-ea66-4721-a447-0377ce796b8c","517aec68")</f>
        <v>517aec68</v>
      </c>
      <c r="B275" t="s">
        <v>161</v>
      </c>
      <c r="C275" t="s">
        <v>88</v>
      </c>
      <c r="D275" t="s">
        <v>340</v>
      </c>
      <c r="E275" s="2" t="str">
        <f>HYPERLINK("https://nga.laas.intel.com/#/nga_fv_gnr/failureManagement/bucket/a6f481ab-f364-4581-92b4-c0eb38b3bfd9","hw_err_msm_global_status_ctrl_reg_general_mca,hw_err_msm_global_status_ctrl_reg_global_viral,hw_err_msm_global_status_ctrl_reg_ierr,hw_err_msm_mbx_error_sts_mbx_overflow,hw_err_ras_uncore_punit,hw_err_ubox_ncevents_ncevents_cr_bankmerge6_errlog,hw_err_unc")</f>
        <v>hw_err_msm_global_status_ctrl_reg_general_mca,hw_err_msm_global_status_ctrl_reg_global_viral,hw_err_msm_global_status_ctrl_reg_ierr,hw_err_msm_mbx_error_sts_mbx_overflow,hw_err_ras_uncore_punit,hw_err_ubox_ncevents_ncevents_cr_bankmerge6_errlog,hw_err_unc</v>
      </c>
      <c r="F275" s="2" t="str">
        <f>HYPERLINK("https://nga.laas.intel.com/#/nga_fv_gnr/planning/suites/2c7ec13c-df59-42c4-8a05-0f54498b2f70","SQ_PM_GNR_AP_SANITY")</f>
        <v>SQ_PM_GNR_AP_SANITY</v>
      </c>
      <c r="G275" s="2" t="str">
        <f>HYPERLINK("https://axonsv.app.intel.com/apps/record-viewer?id=50222eb0-7fb8-981b-05b4-b7df232f7f21","50222eb0-7fb8-981b-05b4-b7df232f7f21")</f>
        <v>50222eb0-7fb8-981b-05b4-b7df232f7f21</v>
      </c>
      <c r="I275" t="s">
        <v>341</v>
      </c>
      <c r="J275" t="s">
        <v>20</v>
      </c>
    </row>
    <row r="276" spans="1:10" ht="14.5" x14ac:dyDescent="0.35">
      <c r="A276" s="2" t="str">
        <f>HYPERLINK("https://nga.laas.intel.com/#/nga_fv_gnr/failureManagement/failures/d9322e31-1959-443f-92fb-0df3bff2c127","d9322e31")</f>
        <v>d9322e31</v>
      </c>
      <c r="B276" t="s">
        <v>109</v>
      </c>
      <c r="C276" t="s">
        <v>22</v>
      </c>
      <c r="D276" t="s">
        <v>23</v>
      </c>
      <c r="E276" s="2" t="str">
        <f>HYPERLINK("https://nga.laas.intel.com/#/nga_fv_gnr/failureManagement/bucket/1507b4b1-b148-424f-920e-9f6db23a0c8f","hw_err_ieh_satieh3_gerrcorsts,hw_err_ieh_satieh3_gerrnonsts,hw_err_msm_corecrashlog_ctrl_haderror,hw_err_msm_global_status_ctrl_reg_crashlog_err,hw_err_msm_global_status_ctrl_reg_general_mca,hw_err_msm_global_status_ctrl_reg_global_viral,hw_err_msm_global")</f>
        <v>hw_err_ieh_satieh3_gerrcorsts,hw_err_ieh_satieh3_gerrnonsts,hw_err_msm_corecrashlog_ctrl_haderror,hw_err_msm_global_status_ctrl_reg_crashlog_err,hw_err_msm_global_status_ctrl_reg_general_mca,hw_err_msm_global_status_ctrl_reg_global_viral,hw_err_msm_global</v>
      </c>
      <c r="F276" s="2" t="str">
        <f>HYPERLINK("https://nga.laas.intel.com/#/nga_fv_gnr/planning/suites/4602b7c0-cc4c-4841-bc78-d3764cf13fe2","GNR-AP-X1_A0_VV")</f>
        <v>GNR-AP-X1_A0_VV</v>
      </c>
      <c r="G276" s="2" t="str">
        <f>HYPERLINK("https://axonsv.app.intel.com/apps/record-viewer?id=8bb2144c-fcdb-478b-90c3-a45ed0e72263","8bb2144c-fcdb-478b-90c3-a45ed0e72263")</f>
        <v>8bb2144c-fcdb-478b-90c3-a45ed0e72263</v>
      </c>
      <c r="I276" t="s">
        <v>234</v>
      </c>
      <c r="J276" t="s">
        <v>20</v>
      </c>
    </row>
    <row r="277" spans="1:10" ht="14.5" x14ac:dyDescent="0.35">
      <c r="A277" s="2" t="str">
        <f>HYPERLINK("https://nga.laas.intel.com/#/nga_fv_gnr/failureManagement/failures/1770708d-2dfb-4811-831a-0cf0043a1a50","1770708d")</f>
        <v>1770708d</v>
      </c>
      <c r="B277" t="s">
        <v>179</v>
      </c>
      <c r="C277" t="s">
        <v>22</v>
      </c>
      <c r="D277" t="s">
        <v>342</v>
      </c>
      <c r="E277" s="2" t="str">
        <f>HYPERLINK("https://nga.laas.intel.com/#/nga_fv_gnr/failureManagement/bucket/cb823656-ee8c-432d-bc80-c084b3f79f98","hw_err_hiop_hiop2,hw_err_hiop_hiop3,hw_err_hiop_hiop5,hw_err_msm_global_status_ctrl_reg_general_mca,hw_err_msm_global_status_ctrl_reg_global_viral,hw_err_msm_global_status_ctrl_reg_ierr,hw_err_msm_mbx_error_sts_mbx_overflow,hw_err_ras_cha_cha135,hw_err_ra")</f>
        <v>hw_err_hiop_hiop2,hw_err_hiop_hiop3,hw_err_hiop_hiop5,hw_err_msm_global_status_ctrl_reg_general_mca,hw_err_msm_global_status_ctrl_reg_global_viral,hw_err_msm_global_status_ctrl_reg_ierr,hw_err_msm_mbx_error_sts_mbx_overflow,hw_err_ras_cha_cha135,hw_err_ra</v>
      </c>
      <c r="F277" s="2" t="str">
        <f>HYPERLINK("https://nga.laas.intel.com/#/nga_fv_gnr/planning/suites/1f60130b-5ac5-47b1-9f05-cd28a120f5c9","GNR-AP-X3_A2_VV")</f>
        <v>GNR-AP-X3_A2_VV</v>
      </c>
      <c r="G277" s="2" t="str">
        <f>HYPERLINK("https://axonsv.app.intel.com/apps/record-viewer?id=1bc12c5b-41e1-4c06-97f1-7cd21b427d83","1bc12c5b-41e1-4c06-97f1-7cd21b427d83")</f>
        <v>1bc12c5b-41e1-4c06-97f1-7cd21b427d83</v>
      </c>
      <c r="H277" t="s">
        <v>343</v>
      </c>
      <c r="I277" t="s">
        <v>344</v>
      </c>
      <c r="J277" t="s">
        <v>51</v>
      </c>
    </row>
    <row r="278" spans="1:10" ht="14.5" x14ac:dyDescent="0.35">
      <c r="A278" s="2" t="str">
        <f>HYPERLINK("https://nga.laas.intel.com/#/nga_fv_gnr/failureManagement/failures/bb6889f7-8baa-4c86-8e8b-14898686eb53","bb6889f7")</f>
        <v>bb6889f7</v>
      </c>
      <c r="B278" t="s">
        <v>179</v>
      </c>
      <c r="C278" t="s">
        <v>22</v>
      </c>
      <c r="D278" t="s">
        <v>345</v>
      </c>
      <c r="E278" s="2" t="str">
        <f>HYPERLINK("https://nga.laas.intel.com/#/nga_fv_gnr/failureManagement/bucket/cdb4439f-7fd0-4fd3-961c-e3f29eeae21a","hw_err_hiop_hiop2,hw_err_hiop_hiop3,hw_err_hiop_hiop5,hw_err_ieh_satieh2_gerrcorsts,hw_err_ieh_satieh3_gerrcorsts,hw_err_ieh_satieh4_gerrcorsts,hw_err_ieh_satieh5_gerrcorsts,hw_err_msm_global_status_ctrl_reg_general_mca,hw_err_msm_global_status_ctrl_reg_g")</f>
        <v>hw_err_hiop_hiop2,hw_err_hiop_hiop3,hw_err_hiop_hiop5,hw_err_ieh_satieh2_gerrcorsts,hw_err_ieh_satieh3_gerrcorsts,hw_err_ieh_satieh4_gerrcorsts,hw_err_ieh_satieh5_gerrcorsts,hw_err_msm_global_status_ctrl_reg_general_mca,hw_err_msm_global_status_ctrl_reg_g</v>
      </c>
      <c r="F278" s="2" t="str">
        <f>HYPERLINK("https://nga.laas.intel.com/#/nga_fv_gnr/planning/suites/1f60130b-5ac5-47b1-9f05-cd28a120f5c9","GNR-AP-X3_A2_VV")</f>
        <v>GNR-AP-X3_A2_VV</v>
      </c>
      <c r="G278" s="2" t="str">
        <f>HYPERLINK("https://axonsv.app.intel.com/apps/record-viewer?id=8ee23181-afeb-43e1-8a05-d07cc2b53660","8ee23181-afeb-43e1-8a05-d07cc2b53660")</f>
        <v>8ee23181-afeb-43e1-8a05-d07cc2b53660</v>
      </c>
      <c r="H278" t="s">
        <v>346</v>
      </c>
      <c r="I278" t="s">
        <v>118</v>
      </c>
      <c r="J278" t="s">
        <v>38</v>
      </c>
    </row>
    <row r="279" spans="1:10" ht="14.5" x14ac:dyDescent="0.35">
      <c r="A279" s="2" t="str">
        <f>HYPERLINK("https://nga.laas.intel.com/#/nga_fv_gnr/failureManagement/failures/d96dd434-a160-461d-90ea-1f53c8e23009","d96dd434")</f>
        <v>d96dd434</v>
      </c>
      <c r="B279" t="s">
        <v>48</v>
      </c>
      <c r="C279" t="s">
        <v>11</v>
      </c>
      <c r="D279" t="s">
        <v>70</v>
      </c>
      <c r="E279" s="2" t="str">
        <f>HYPERLINK("https://nga.laas.intel.com/#/nga_fv_gnr/failureManagement/bucket/552d2a0e-c576-4076-a07c-78eac17e323f","hw_err_msm_global_status_ctrl_reg_general_mca,hw_err_msm_global_status_ctrl_reg_global_viral,hw_err_msm_global_status_ctrl_reg_ierr,hw_err_msm_mbx_error_sts_mbx_overflow,hw_err_ras_uncore_punit,hw_err_ras_uncore_ubox,hw_err_ubox_ncevents_ncevents_cr_bankm")</f>
        <v>hw_err_msm_global_status_ctrl_reg_general_mca,hw_err_msm_global_status_ctrl_reg_global_viral,hw_err_msm_global_status_ctrl_reg_ierr,hw_err_msm_mbx_error_sts_mbx_overflow,hw_err_ras_uncore_punit,hw_err_ras_uncore_ubox,hw_err_ubox_ncevents_ncevents_cr_bankm</v>
      </c>
      <c r="F279" s="2" t="str">
        <f>HYPERLINK("https://nga.laas.intel.com/#/nga_fv_gnr/planning/suites/4602b7c0-cc4c-4841-bc78-d3764cf13fe2","GNR-AP-X1_A0_VV")</f>
        <v>GNR-AP-X1_A0_VV</v>
      </c>
      <c r="G279" s="2" t="str">
        <f>HYPERLINK("https://axonsv.app.intel.com/apps/record-viewer?id=e6bd5c95-8073-4573-8aa4-08f2afdccec1","e6bd5c95-8073-4573-8aa4-08f2afdccec1")</f>
        <v>e6bd5c95-8073-4573-8aa4-08f2afdccec1</v>
      </c>
      <c r="I279" t="s">
        <v>46</v>
      </c>
      <c r="J279" t="s">
        <v>82</v>
      </c>
    </row>
    <row r="280" spans="1:10" ht="14.5" x14ac:dyDescent="0.35">
      <c r="A280" s="2" t="str">
        <f>HYPERLINK("https://nga.laas.intel.com/#/nga_fv_gnr/failureManagement/failures/a0d7dbe3-84d0-4ea1-9dc1-0bfa5d374f2f","a0d7dbe3")</f>
        <v>a0d7dbe3</v>
      </c>
      <c r="B280" t="s">
        <v>27</v>
      </c>
      <c r="C280" t="s">
        <v>30</v>
      </c>
      <c r="D280" t="s">
        <v>66</v>
      </c>
      <c r="E280" s="2" t="str">
        <f>HYPERLINK("https://nga.laas.intel.com/#/nga_fv_gnr/failureManagement/bucket/6cfe8b63-47a6-498d-9bb0-604146904eed","hw_err_msm_mbx_error_sts_mbx_overflow,hw_err_uncersts_oob_received_an_unsupported_request")</f>
        <v>hw_err_msm_mbx_error_sts_mbx_overflow,hw_err_uncersts_oob_received_an_unsupported_request</v>
      </c>
      <c r="F280" s="2" t="str">
        <f>HYPERLINK("https://nga.laas.intel.com/#/nga_fv_gnr/planning/suites/4602b7c0-cc4c-4841-bc78-d3764cf13fe2","GNR-AP-X1_A0_VV")</f>
        <v>GNR-AP-X1_A0_VV</v>
      </c>
      <c r="G280" s="2" t="str">
        <f>HYPERLINK("https://axonsv.app.intel.com/apps/record-viewer?id=75489343-f1ed-476d-9fe7-047d3d85b833","75489343-f1ed-476d-9fe7-047d3d85b833")</f>
        <v>75489343-f1ed-476d-9fe7-047d3d85b833</v>
      </c>
      <c r="I280" t="s">
        <v>33</v>
      </c>
      <c r="J280" t="s">
        <v>74</v>
      </c>
    </row>
    <row r="281" spans="1:10" ht="14.5" x14ac:dyDescent="0.35">
      <c r="A281" s="2" t="str">
        <f>HYPERLINK("https://nga.laas.intel.com/#/nga_fv_gnr/failureManagement/failures/5dbdb6e8-42e5-429d-a9c4-115bec610972","5dbdb6e8")</f>
        <v>5dbdb6e8</v>
      </c>
      <c r="B281" t="s">
        <v>179</v>
      </c>
      <c r="C281" t="s">
        <v>22</v>
      </c>
      <c r="D281" t="s">
        <v>135</v>
      </c>
      <c r="E281" s="2" t="str">
        <f>HYPERLINK("https://nga.laas.intel.com/#/nga_fv_gnr/failureManagement/bucket/2d956967-762e-4ef1-a668-a860a5f6b7c4","hw_err_hiop_hiop2,hw_err_hiop_hiop3,hw_err_hiop_hiop5,hw_err_msm_global_status_ctrl_reg_general_mca,hw_err_msm_global_status_ctrl_reg_global_viral,hw_err_msm_global_status_ctrl_reg_ierr,hw_err_msm_mbx_error_sts_mbx_overflow,hw_err_ras_cha_cha0,hw_err_ras_")</f>
        <v>hw_err_hiop_hiop2,hw_err_hiop_hiop3,hw_err_hiop_hiop5,hw_err_msm_global_status_ctrl_reg_general_mca,hw_err_msm_global_status_ctrl_reg_global_viral,hw_err_msm_global_status_ctrl_reg_ierr,hw_err_msm_mbx_error_sts_mbx_overflow,hw_err_ras_cha_cha0,hw_err_ras_</v>
      </c>
      <c r="F281" s="2" t="str">
        <f>HYPERLINK("https://nga.laas.intel.com/#/nga_fv_gnr/planning/suites/1f60130b-5ac5-47b1-9f05-cd28a120f5c9","GNR-AP-X3_A2_VV")</f>
        <v>GNR-AP-X3_A2_VV</v>
      </c>
      <c r="G281" s="2" t="str">
        <f>HYPERLINK("https://axonsv.app.intel.com/apps/record-viewer?id=3b6c9e2a-afde-4d88-a7cf-a9a018ef9719","3b6c9e2a-afde-4d88-a7cf-a9a018ef9719")</f>
        <v>3b6c9e2a-afde-4d88-a7cf-a9a018ef9719</v>
      </c>
      <c r="H281" t="s">
        <v>347</v>
      </c>
      <c r="I281" t="s">
        <v>348</v>
      </c>
      <c r="J281" t="s">
        <v>51</v>
      </c>
    </row>
    <row r="282" spans="1:10" ht="14.5" x14ac:dyDescent="0.35">
      <c r="A282" s="2" t="str">
        <f>HYPERLINK("https://nga.laas.intel.com/#/nga_fv_gnr/failureManagement/failures/b2a110f5-2fc5-4964-9f86-064a7867584e","b2a110f5")</f>
        <v>b2a110f5</v>
      </c>
      <c r="B282" t="s">
        <v>133</v>
      </c>
      <c r="C282" t="s">
        <v>22</v>
      </c>
      <c r="D282" t="s">
        <v>349</v>
      </c>
      <c r="E282" s="2" t="str">
        <f>HYPERLINK("https://nga.laas.intel.com/#/nga_fv_gnr/failureManagement/bucket/bd68454f-effc-446d-b83b-6f906ecf3213","hw_err_hiop_hiop2,hw_err_hiop_hiop5,hw_err_ieh_satieh2_gerrcorsts,hw_err_ieh_satieh3_gerrcorsts,hw_err_ieh_satieh4_gerrcorsts,hw_err_ieh_satieh5_gerrcorsts,hw_err_msm_global_status_ctrl_reg_general_mca,hw_err_msm_global_status_ctrl_reg_global_viral,hw_err")</f>
        <v>hw_err_hiop_hiop2,hw_err_hiop_hiop5,hw_err_ieh_satieh2_gerrcorsts,hw_err_ieh_satieh3_gerrcorsts,hw_err_ieh_satieh4_gerrcorsts,hw_err_ieh_satieh5_gerrcorsts,hw_err_msm_global_status_ctrl_reg_general_mca,hw_err_msm_global_status_ctrl_reg_global_viral,hw_err</v>
      </c>
      <c r="F282" s="2" t="str">
        <f>HYPERLINK("https://nga.laas.intel.com/#/nga_fv_gnr/planning/suites/1f60130b-5ac5-47b1-9f05-cd28a120f5c9","GNR-AP-X3_A2_VV")</f>
        <v>GNR-AP-X3_A2_VV</v>
      </c>
      <c r="G282" s="2" t="str">
        <f>HYPERLINK("https://axonsv.app.intel.com/apps/record-viewer?id=72574f25-5c8d-4914-be14-006501f7773a","72574f25-5c8d-4914-be14-006501f7773a")</f>
        <v>72574f25-5c8d-4914-be14-006501f7773a</v>
      </c>
      <c r="I282" t="s">
        <v>46</v>
      </c>
      <c r="J282" t="s">
        <v>38</v>
      </c>
    </row>
    <row r="283" spans="1:10" ht="14.5" x14ac:dyDescent="0.35">
      <c r="A283" s="2" t="str">
        <f>HYPERLINK("https://nga.laas.intel.com/#/nga_fv_gnr/failureManagement/failures/0aa2f13d-e9c1-4b0a-b4e7-13dc4b12b80c","0aa2f13d")</f>
        <v>0aa2f13d</v>
      </c>
      <c r="B283" t="s">
        <v>350</v>
      </c>
      <c r="C283" t="s">
        <v>22</v>
      </c>
      <c r="D283" t="s">
        <v>351</v>
      </c>
      <c r="E283" s="2" t="str">
        <f>HYPERLINK("https://nga.laas.intel.com/#/nga_fv_gnr/failureManagement/bucket/704a5b97-79ee-4948-97c6-4ad5ca0b3db5","hw_err_msm_global_status_ctrl_reg_general_mca_hw_err_msm_global_status_ctrl_reg_global_viral_hw_err_msm_global_status_ctrl_reg_ierr_hw_err_msm_mbx_error_sts_mbx_overflow_hw_err_ras_uncore_punit_hw_err_ubox_ncevents_ncevents_cr_bankmerge6_errlog_hw_err_...")</f>
        <v>hw_err_msm_global_status_ctrl_reg_general_mca_hw_err_msm_global_status_ctrl_reg_global_viral_hw_err_msm_global_status_ctrl_reg_ierr_hw_err_msm_mbx_error_sts_mbx_overflow_hw_err_ras_uncore_punit_hw_err_ubox_ncevents_ncevents_cr_bankmerge6_errlog_hw_err_...</v>
      </c>
      <c r="F283" s="2" t="str">
        <f>HYPERLINK("https://nga.laas.intel.com/#/nga_fv_gnr/planning/suites/3bf82cea-b611-4111-970b-fa5c85b51d2c","GNR-AP-X3_A2_Reset-Matrix")</f>
        <v>GNR-AP-X3_A2_Reset-Matrix</v>
      </c>
      <c r="G283" s="2" t="str">
        <f>HYPERLINK("https://axonsv.app.intel.com/apps/record-viewer?id=e8bde3a3-e8ae-4cdd-9b5e-c2ae031950ad","e8bde3a3-e8ae-4cdd-9b5e-c2ae031950ad")</f>
        <v>e8bde3a3-e8ae-4cdd-9b5e-c2ae031950ad</v>
      </c>
      <c r="I283" t="s">
        <v>59</v>
      </c>
      <c r="J283" t="s">
        <v>352</v>
      </c>
    </row>
    <row r="284" spans="1:10" ht="14.5" x14ac:dyDescent="0.35">
      <c r="A284" s="2" t="str">
        <f>HYPERLINK("https://nga.laas.intel.com/#/nga_fv_gnr/failureManagement/failures/73afda6b-9f9e-47a8-8ddc-0f8bf9ec3cb0","73afda6b")</f>
        <v>73afda6b</v>
      </c>
      <c r="B284" t="s">
        <v>90</v>
      </c>
      <c r="C284" t="s">
        <v>11</v>
      </c>
      <c r="D284" t="s">
        <v>290</v>
      </c>
      <c r="E284" s="2" t="str">
        <f>HYPERLINK("https://nga.laas.intel.com/#/nga_fv_gnr/failureManagement/bucket/6f76a9bf-f6db-4e0a-bd62-9ae8ca5cef25","hw_err_msm_corecrashlog_ctrl_haderror,hw_err_msm_global_status_ctrl_reg_crashlog_err,hw_err_msm_global_status_ctrl_reg_global_viral,hw_err_msm_global_status_ctrl_reg_ierr,hw_err_msm_mbx_error_sts_mbx_overflow,hw_err_ubox_ncevents_ncevents_cr_bankmerge13_e")</f>
        <v>hw_err_msm_corecrashlog_ctrl_haderror,hw_err_msm_global_status_ctrl_reg_crashlog_err,hw_err_msm_global_status_ctrl_reg_global_viral,hw_err_msm_global_status_ctrl_reg_ierr,hw_err_msm_mbx_error_sts_mbx_overflow,hw_err_ubox_ncevents_ncevents_cr_bankmerge13_e</v>
      </c>
      <c r="F284" s="2" t="str">
        <f>HYPERLINK("https://nga.laas.intel.com/#/nga_fv_gnr/planning/suites/4602b7c0-cc4c-4841-bc78-d3764cf13fe2","GNR-AP-X1_A0_VV")</f>
        <v>GNR-AP-X1_A0_VV</v>
      </c>
      <c r="G284" s="2" t="str">
        <f>HYPERLINK("https://axonsv.app.intel.com/apps/record-viewer?id=3abc8ba6-c6e9-4091-9895-81fad0c4a3ba","3abc8ba6-c6e9-4091-9895-81fad0c4a3ba")</f>
        <v>3abc8ba6-c6e9-4091-9895-81fad0c4a3ba</v>
      </c>
      <c r="I284" t="s">
        <v>353</v>
      </c>
      <c r="J284" t="s">
        <v>82</v>
      </c>
    </row>
    <row r="285" spans="1:10" ht="14.5" x14ac:dyDescent="0.35">
      <c r="A285" s="2" t="str">
        <f>HYPERLINK("https://nga.laas.intel.com/#/nga_fv_gnr/failureManagement/failures/c38853fd-764d-4d52-8ec0-19ca6d9c47cd","c38853fd")</f>
        <v>c38853fd</v>
      </c>
      <c r="B285" t="s">
        <v>350</v>
      </c>
      <c r="C285" t="s">
        <v>22</v>
      </c>
      <c r="D285" t="s">
        <v>351</v>
      </c>
      <c r="E285" s="2" t="str">
        <f>HYPERLINK("https://nga.laas.intel.com/#/nga_fv_gnr/failureManagement/bucket/5790ccb1-f51b-4b60-aeb2-c5e1306c19f6","hw_err_msm_mbx_error_sts_mbx_overflow_hw_err_uncersts_msm_received_an_unsupported_request_hw_err_uncersts_oob_received_an_unsupported_request_hw_err_msm_mbx_error_sts_mbx_overflow_hw_err_uncersts_msm_received_an_unsupported_request_hw_err_uncersts_oob_...")</f>
        <v>hw_err_msm_mbx_error_sts_mbx_overflow_hw_err_uncersts_msm_received_an_unsupported_request_hw_err_uncersts_oob_received_an_unsupported_request_hw_err_msm_mbx_error_sts_mbx_overflow_hw_err_uncersts_msm_received_an_unsupported_request_hw_err_uncersts_oob_...</v>
      </c>
      <c r="F285" s="2" t="str">
        <f>HYPERLINK("https://nga.laas.intel.com/#/nga_fv_gnr/planning/suites/68ed84d1-320a-4bbf-a945-46fd5334b4d1","GNR-AP-X3_A2_Reset-Cycle")</f>
        <v>GNR-AP-X3_A2_Reset-Cycle</v>
      </c>
      <c r="G285" s="2" t="str">
        <f>HYPERLINK("https://axonsv.app.intel.com/apps/record-viewer?id=cbb5884b-192e-47ce-a2e6-36c98bacedd9","cbb5884b-192e-47ce-a2e6-36c98bacedd9")</f>
        <v>cbb5884b-192e-47ce-a2e6-36c98bacedd9</v>
      </c>
      <c r="I285" t="s">
        <v>33</v>
      </c>
      <c r="J285" t="s">
        <v>352</v>
      </c>
    </row>
    <row r="286" spans="1:10" ht="14.5" x14ac:dyDescent="0.35">
      <c r="A286" s="2" t="str">
        <f>HYPERLINK("https://nga.laas.intel.com/#/nga_fv_gnr/failureManagement/failures/f88a0206-b09c-4a76-8bef-1dedf66ba9ac","f88a0206")</f>
        <v>f88a0206</v>
      </c>
      <c r="B286" t="s">
        <v>354</v>
      </c>
      <c r="C286" t="s">
        <v>22</v>
      </c>
      <c r="D286" t="s">
        <v>43</v>
      </c>
      <c r="E286" s="2" t="str">
        <f>HYPERLINK("https://nga.laas.intel.com/#/nga_fv_gnr/failureManagement/bucket/e3be8342-5ebd-49a9-8d29-86b8c541709c","hw_err_hiop_hiop3_hw_err_hiop_hiop5_hw_err_msm_global_status_ctrl_reg_general_mca_hw_err_msm_global_status_ctrl_reg_global_viral_hw_err_msm_global_status_ctrl_reg_ierr_hw_err_msm_mbx_error_sts_mbx_overflow_hw_err_ubox_ncevents_ncevents_cr_bankmerge6_er...")</f>
        <v>hw_err_hiop_hiop3_hw_err_hiop_hiop5_hw_err_msm_global_status_ctrl_reg_general_mca_hw_err_msm_global_status_ctrl_reg_global_viral_hw_err_msm_global_status_ctrl_reg_ierr_hw_err_msm_mbx_error_sts_mbx_overflow_hw_err_ubox_ncevents_ncevents_cr_bankmerge6_er...</v>
      </c>
      <c r="F286" s="2" t="str">
        <f t="shared" ref="F286:F295" si="19">HYPERLINK("https://nga.laas.intel.com/#/nga_fv_gnr/planning/suites/1f60130b-5ac5-47b1-9f05-cd28a120f5c9","GNR-AP-X3_A2_VV")</f>
        <v>GNR-AP-X3_A2_VV</v>
      </c>
      <c r="G286" s="2" t="str">
        <f>HYPERLINK("https://axonsv.app.intel.com/apps/record-viewer?id=e2908b87-15db-4916-b06f-dad6ee81556e","e2908b87-15db-4916-b06f-dad6ee81556e")</f>
        <v>e2908b87-15db-4916-b06f-dad6ee81556e</v>
      </c>
      <c r="I286" t="s">
        <v>355</v>
      </c>
      <c r="J286" t="s">
        <v>38</v>
      </c>
    </row>
    <row r="287" spans="1:10" ht="14.5" x14ac:dyDescent="0.35">
      <c r="A287" s="2" t="str">
        <f>HYPERLINK("https://nga.laas.intel.com/#/nga_fv_gnr/failureManagement/failures/43281f08-78d5-4238-8159-21a8d6b257b7","43281f08")</f>
        <v>43281f08</v>
      </c>
      <c r="B287" t="s">
        <v>356</v>
      </c>
      <c r="C287" t="s">
        <v>22</v>
      </c>
      <c r="D287" t="s">
        <v>43</v>
      </c>
      <c r="E287" s="2" t="str">
        <f>HYPERLINK("https://nga.laas.intel.com/#/nga_fv_gnr/failureManagement/bucket/77d3a8c6-f984-46a4-b6ad-98dc20543a80","hw_err_msm_global_status_ctrl_reg_general_mca_hw_err_msm_global_status_ctrl_reg_global_viral_hw_err_msm_global_status_ctrl_reg_ierr_hw_err_msm_mbx_error_sts_mbx_overflow_hw_err_ubox_ncevents_ncevents_cr_bankmerge5_errlog_hw_err_ubox_ncevents_ncevents_c...")</f>
        <v>hw_err_msm_global_status_ctrl_reg_general_mca_hw_err_msm_global_status_ctrl_reg_global_viral_hw_err_msm_global_status_ctrl_reg_ierr_hw_err_msm_mbx_error_sts_mbx_overflow_hw_err_ubox_ncevents_ncevents_cr_bankmerge5_errlog_hw_err_ubox_ncevents_ncevents_c...</v>
      </c>
      <c r="F287" s="2" t="str">
        <f t="shared" si="19"/>
        <v>GNR-AP-X3_A2_VV</v>
      </c>
      <c r="G287" s="2" t="str">
        <f>HYPERLINK("https://axonsv.app.intel.com/apps/record-viewer?id=93f20002-663c-4309-8300-6e67acc109e2","93f20002-663c-4309-8300-6e67acc109e2")</f>
        <v>93f20002-663c-4309-8300-6e67acc109e2</v>
      </c>
      <c r="I287" t="s">
        <v>357</v>
      </c>
      <c r="J287" t="s">
        <v>38</v>
      </c>
    </row>
    <row r="288" spans="1:10" ht="14.5" x14ac:dyDescent="0.35">
      <c r="A288" s="2" t="str">
        <f>HYPERLINK("https://nga.laas.intel.com/#/nga_fv_gnr/failureManagement/failures/3b58383f-0fed-4a17-a0fa-17b07e3b715f","3b58383f")</f>
        <v>3b58383f</v>
      </c>
      <c r="B288" t="s">
        <v>358</v>
      </c>
      <c r="C288" t="s">
        <v>22</v>
      </c>
      <c r="D288" t="s">
        <v>43</v>
      </c>
      <c r="E288" s="2" t="str">
        <f>HYPERLINK("https://nga.laas.intel.com/#/nga_fv_gnr/failureManagement/bucket/ad38848a-d04a-4fe1-bac4-ba2ba3232a3e","hw_err_msm_corecrashlog_ctrl_haderror_hw_err_msm_global_status_ctrl_reg_crashlog_err_hw_err_msm_global_status_ctrl_reg_general_mca_hw_err_msm_global_status_ctrl_reg_global_viral_hw_err_msm_global_status_ctrl_reg_ierr_hw_err_msm_mbx_error_sts_mbx_overfl...")</f>
        <v>hw_err_msm_corecrashlog_ctrl_haderror_hw_err_msm_global_status_ctrl_reg_crashlog_err_hw_err_msm_global_status_ctrl_reg_general_mca_hw_err_msm_global_status_ctrl_reg_global_viral_hw_err_msm_global_status_ctrl_reg_ierr_hw_err_msm_mbx_error_sts_mbx_overfl...</v>
      </c>
      <c r="F288" s="2" t="str">
        <f t="shared" si="19"/>
        <v>GNR-AP-X3_A2_VV</v>
      </c>
      <c r="G288" s="2" t="str">
        <f>HYPERLINK("https://axonsv.app.intel.com/apps/record-viewer?id=4f4b419b-42c8-4755-b5ba-aee0a865b80c","4f4b419b-42c8-4755-b5ba-aee0a865b80c")</f>
        <v>4f4b419b-42c8-4755-b5ba-aee0a865b80c</v>
      </c>
      <c r="I288" t="s">
        <v>359</v>
      </c>
      <c r="J288" t="s">
        <v>38</v>
      </c>
    </row>
    <row r="289" spans="1:10" ht="14.5" x14ac:dyDescent="0.35">
      <c r="A289" s="2" t="str">
        <f>HYPERLINK("https://nga.laas.intel.com/#/nga_fv_gnr/failureManagement/failures/f63e1b95-5359-422d-b388-1729e0dcd19f","f63e1b95")</f>
        <v>f63e1b95</v>
      </c>
      <c r="B289" t="s">
        <v>360</v>
      </c>
      <c r="C289" t="s">
        <v>22</v>
      </c>
      <c r="D289" t="s">
        <v>43</v>
      </c>
      <c r="E289" s="2" t="str">
        <f>HYPERLINK("https://nga.laas.intel.com/#/nga_fv_gnr/failureManagement/bucket/dd99d444-4064-4d1f-9a44-ed09535af10d","hw_err_msm_global_status_ctrl_reg_general_mca_hw_err_msm_global_status_ctrl_reg_global_viral_hw_err_msm_global_status_ctrl_reg_ierr_hw_err_msm_mbx_error_sts_mbx_overflow_hw_err_ubox_ncevents_ncevents_cr_bankmerge6_errlog_hw_err_ubox_ncevents_ncevents_c...")</f>
        <v>hw_err_msm_global_status_ctrl_reg_general_mca_hw_err_msm_global_status_ctrl_reg_global_viral_hw_err_msm_global_status_ctrl_reg_ierr_hw_err_msm_mbx_error_sts_mbx_overflow_hw_err_ubox_ncevents_ncevents_cr_bankmerge6_errlog_hw_err_ubox_ncevents_ncevents_c...</v>
      </c>
      <c r="F289" s="2" t="str">
        <f t="shared" si="19"/>
        <v>GNR-AP-X3_A2_VV</v>
      </c>
      <c r="G289" s="2" t="str">
        <f>HYPERLINK("https://axonsv.app.intel.com/apps/record-viewer?id=c051fbaf-2923-4e89-9352-969aceae6045","c051fbaf-2923-4e89-9352-969aceae6045")</f>
        <v>c051fbaf-2923-4e89-9352-969aceae6045</v>
      </c>
      <c r="I289" t="s">
        <v>361</v>
      </c>
      <c r="J289" t="s">
        <v>38</v>
      </c>
    </row>
    <row r="290" spans="1:10" ht="14.5" x14ac:dyDescent="0.35">
      <c r="A290" s="2" t="str">
        <f>HYPERLINK("https://nga.laas.intel.com/#/nga_fv_gnr/failureManagement/failures/6668a61a-50ba-436c-934a-01730e9a0d39","6668a61a")</f>
        <v>6668a61a</v>
      </c>
      <c r="B290" t="s">
        <v>362</v>
      </c>
      <c r="C290" t="s">
        <v>22</v>
      </c>
      <c r="D290" t="s">
        <v>363</v>
      </c>
      <c r="E290" s="2" t="str">
        <f>HYPERLINK("https://nga.laas.intel.com/#/nga_fv_gnr/failureManagement/bucket/dbcaed29-215b-4f28-a9a8-4d566f3adb14","hw_err_msm_corecrashlog_ctrl_haderror_hw_err_msm_global_status_ctrl_reg_crashlog_err_hw_err_msm_global_status_ctrl_reg_general_mca_hw_err_msm_global_status_ctrl_reg_global_viral_hw_err_msm_global_status_ctrl_reg_ierr_hw_err_msm_mbx_error_sts_mbx_overfl...")</f>
        <v>hw_err_msm_corecrashlog_ctrl_haderror_hw_err_msm_global_status_ctrl_reg_crashlog_err_hw_err_msm_global_status_ctrl_reg_general_mca_hw_err_msm_global_status_ctrl_reg_global_viral_hw_err_msm_global_status_ctrl_reg_ierr_hw_err_msm_mbx_error_sts_mbx_overfl...</v>
      </c>
      <c r="F290" s="2" t="str">
        <f t="shared" si="19"/>
        <v>GNR-AP-X3_A2_VV</v>
      </c>
      <c r="G290" s="2" t="str">
        <f>HYPERLINK("https://axonsv.app.intel.com/apps/record-viewer?id=503280a7-e6f8-4a6e-af78-3ff0827c4296","503280a7-e6f8-4a6e-af78-3ff0827c4296")</f>
        <v>503280a7-e6f8-4a6e-af78-3ff0827c4296</v>
      </c>
      <c r="I290" t="s">
        <v>355</v>
      </c>
      <c r="J290" t="s">
        <v>38</v>
      </c>
    </row>
    <row r="291" spans="1:10" ht="14.5" x14ac:dyDescent="0.35">
      <c r="A291" s="2" t="str">
        <f>HYPERLINK("https://nga.laas.intel.com/#/nga_fv_gnr/failureManagement/failures/63f789db-7629-4309-bb2e-07b07f36dbf0","63f789db")</f>
        <v>63f789db</v>
      </c>
      <c r="B291" t="s">
        <v>360</v>
      </c>
      <c r="C291" t="s">
        <v>22</v>
      </c>
      <c r="D291" t="s">
        <v>345</v>
      </c>
      <c r="E291" s="2" t="str">
        <f>HYPERLINK("https://nga.laas.intel.com/#/nga_fv_gnr/failureManagement/bucket/f3ed5dfb-c242-44a0-85ef-4b2b4c8fc53c","hw_err_msm_corecrashlog_ctrl_haderror_hw_err_msm_global_status_ctrl_reg_crashlog_err_hw_err_msm_global_status_ctrl_reg_general_mca_hw_err_msm_global_status_ctrl_reg_global_viral_hw_err_msm_global_status_ctrl_reg_ierr_hw_err_msm_mbx_error_sts_mbx_overfl...")</f>
        <v>hw_err_msm_corecrashlog_ctrl_haderror_hw_err_msm_global_status_ctrl_reg_crashlog_err_hw_err_msm_global_status_ctrl_reg_general_mca_hw_err_msm_global_status_ctrl_reg_global_viral_hw_err_msm_global_status_ctrl_reg_ierr_hw_err_msm_mbx_error_sts_mbx_overfl...</v>
      </c>
      <c r="F291" s="2" t="str">
        <f t="shared" si="19"/>
        <v>GNR-AP-X3_A2_VV</v>
      </c>
      <c r="G291" s="2" t="str">
        <f>HYPERLINK("https://axonsv.app.intel.com/apps/record-viewer?id=ccd770e7-e17c-48dc-bb80-0c6591ceba4b","ccd770e7-e17c-48dc-bb80-0c6591ceba4b")</f>
        <v>ccd770e7-e17c-48dc-bb80-0c6591ceba4b</v>
      </c>
      <c r="I291" t="s">
        <v>364</v>
      </c>
      <c r="J291" t="s">
        <v>38</v>
      </c>
    </row>
    <row r="292" spans="1:10" ht="14.5" x14ac:dyDescent="0.35">
      <c r="A292" s="2" t="str">
        <f>HYPERLINK("https://nga.laas.intel.com/#/nga_fv_gnr/failureManagement/failures/3c7511dd-06a4-4bee-b6f8-13442d7b389f","3c7511dd")</f>
        <v>3c7511dd</v>
      </c>
      <c r="B292" t="s">
        <v>365</v>
      </c>
      <c r="C292" t="s">
        <v>22</v>
      </c>
      <c r="D292" t="s">
        <v>366</v>
      </c>
      <c r="E292" s="2" t="str">
        <f>HYPERLINK("https://nga.laas.intel.com/#/nga_fv_gnr/failureManagement/bucket/29435bc7-3274-4d6d-b6f6-d37576e8eb56","hw_err_msm_global_status_ctrl_reg_general_mca,hw_err_msm_global_status_ctrl_reg_global_viral,hw_err_msm_global_status_ctrl_reg_ierr,hw_err_msm_mbx_error_sts_mbx_overflow,hw_err_sbo_parity_status_type_bl_data_parity_err_det,hw_err_ubox_ncevents_ncevents_cr")</f>
        <v>hw_err_msm_global_status_ctrl_reg_general_mca,hw_err_msm_global_status_ctrl_reg_global_viral,hw_err_msm_global_status_ctrl_reg_ierr,hw_err_msm_mbx_error_sts_mbx_overflow,hw_err_sbo_parity_status_type_bl_data_parity_err_det,hw_err_ubox_ncevents_ncevents_cr</v>
      </c>
      <c r="F292" s="2" t="str">
        <f t="shared" si="19"/>
        <v>GNR-AP-X3_A2_VV</v>
      </c>
      <c r="G292" s="2" t="str">
        <f>HYPERLINK("https://axonsv.app.intel.com/apps/record-viewer?id=30db66f6-0136-4ed8-ae5e-96c44f5bff18","30db66f6-0136-4ed8-ae5e-96c44f5bff18")</f>
        <v>30db66f6-0136-4ed8-ae5e-96c44f5bff18</v>
      </c>
      <c r="H292" t="s">
        <v>367</v>
      </c>
      <c r="I292" t="s">
        <v>368</v>
      </c>
      <c r="J292" t="s">
        <v>51</v>
      </c>
    </row>
    <row r="293" spans="1:10" ht="14.5" x14ac:dyDescent="0.35">
      <c r="A293" s="2" t="str">
        <f>HYPERLINK("https://nga.laas.intel.com/#/nga_fv_gnr/failureManagement/failures/9c1b258e-8832-41b5-871a-0029c2ffff7c","9c1b258e")</f>
        <v>9c1b258e</v>
      </c>
      <c r="B293" t="s">
        <v>18</v>
      </c>
      <c r="C293" t="s">
        <v>11</v>
      </c>
      <c r="D293" t="s">
        <v>369</v>
      </c>
      <c r="E293" s="2" t="str">
        <f>HYPERLINK("https://nga.laas.intel.com/#/nga_fv_gnr/failureManagement/bucket/141c6024-9b76-47d6-b138-fedca40cf6c7","hw_err_msm_mbx_error_sts_mbx_overflow_hw_err_uncersts_oob_received_an_unsupported_request_hw_err_msm_mbx_error_sts_mbx_overflow_hw_err_uncersts_oob_received_an_unsupported_request_nomatch")</f>
        <v>hw_err_msm_mbx_error_sts_mbx_overflow_hw_err_uncersts_oob_received_an_unsupported_request_hw_err_msm_mbx_error_sts_mbx_overflow_hw_err_uncersts_oob_received_an_unsupported_request_nomatch</v>
      </c>
      <c r="F293" s="2" t="str">
        <f t="shared" si="19"/>
        <v>GNR-AP-X3_A2_VV</v>
      </c>
      <c r="G293" s="2" t="str">
        <f>HYPERLINK("https://axonsv.app.intel.com/apps/record-viewer?id=3f80d7d8-a54b-4046-a489-f9a686c0a4e5","3f80d7d8-a54b-4046-a489-f9a686c0a4e5")</f>
        <v>3f80d7d8-a54b-4046-a489-f9a686c0a4e5</v>
      </c>
      <c r="I293" t="s">
        <v>33</v>
      </c>
      <c r="J293" t="s">
        <v>47</v>
      </c>
    </row>
    <row r="294" spans="1:10" ht="14.5" x14ac:dyDescent="0.35">
      <c r="A294" s="2" t="str">
        <f>HYPERLINK("https://nga.laas.intel.com/#/nga_fv_gnr/failureManagement/failures/abf65e98-ab0e-4035-baea-03e619fe82b0","abf65e98")</f>
        <v>abf65e98</v>
      </c>
      <c r="B294" t="s">
        <v>133</v>
      </c>
      <c r="C294" t="s">
        <v>11</v>
      </c>
      <c r="D294" t="s">
        <v>369</v>
      </c>
      <c r="E294" s="2" t="str">
        <f>HYPERLINK("https://nga.laas.intel.com/#/nga_fv_gnr/failureManagement/bucket/be512eac-759b-44df-ac16-f84fcb178eea","hw_err_msm_mbx_error_sts_mbx_overflow_hw_err_msm_mbx_error_sts_mbx_overflow_nomatch")</f>
        <v>hw_err_msm_mbx_error_sts_mbx_overflow_hw_err_msm_mbx_error_sts_mbx_overflow_nomatch</v>
      </c>
      <c r="F294" s="2" t="str">
        <f t="shared" si="19"/>
        <v>GNR-AP-X3_A2_VV</v>
      </c>
      <c r="G294" s="2" t="str">
        <f>HYPERLINK("https://axonsv.app.intel.com/apps/record-viewer?id=62c559e1-b9d6-4747-8fc0-7911bc4b46db","62c559e1-b9d6-4747-8fc0-7911bc4b46db")</f>
        <v>62c559e1-b9d6-4747-8fc0-7911bc4b46db</v>
      </c>
      <c r="I294" t="s">
        <v>33</v>
      </c>
      <c r="J294" t="s">
        <v>51</v>
      </c>
    </row>
    <row r="295" spans="1:10" ht="14.5" x14ac:dyDescent="0.35">
      <c r="A295" s="2" t="str">
        <f>HYPERLINK("https://nga.laas.intel.com/#/nga_fv_gnr/failureManagement/failures/c519c4f2-5070-4881-b1de-09b2dee0b4c2","c519c4f2")</f>
        <v>c519c4f2</v>
      </c>
      <c r="B295" t="s">
        <v>134</v>
      </c>
      <c r="C295" t="s">
        <v>22</v>
      </c>
      <c r="D295" t="s">
        <v>332</v>
      </c>
      <c r="E295" s="2" t="str">
        <f>HYPERLINK("https://nga.laas.intel.com/#/nga_fv_gnr/failureManagement/bucket/56759554-48e1-449f-8dc6-9e23bd024605","hw_err_msm_global_status_ctrl_reg_general_mca,hw_err_msm_global_status_ctrl_reg_global_viral,hw_err_msm_global_status_ctrl_reg_ierr,hw_err_msm_mbx_error_sts_mbx_overflow,hw_err_ubox_ncevents_ncevents_cr_bankmerge6_errlog,hw_mce_mlc_mcacod_internal_timer_m")</f>
        <v>hw_err_msm_global_status_ctrl_reg_general_mca,hw_err_msm_global_status_ctrl_reg_global_viral,hw_err_msm_global_status_ctrl_reg_ierr,hw_err_msm_mbx_error_sts_mbx_overflow,hw_err_ubox_ncevents_ncevents_cr_bankmerge6_errlog,hw_mce_mlc_mcacod_internal_timer_m</v>
      </c>
      <c r="F295" s="2" t="str">
        <f t="shared" si="19"/>
        <v>GNR-AP-X3_A2_VV</v>
      </c>
      <c r="G295" s="2" t="str">
        <f>HYPERLINK("https://axonsv.app.intel.com/apps/record-viewer?id=cac26c9c-e115-43df-a399-976b9737f4f0","cac26c9c-e115-43df-a399-976b9737f4f0")</f>
        <v>cac26c9c-e115-43df-a399-976b9737f4f0</v>
      </c>
      <c r="H295" t="s">
        <v>370</v>
      </c>
      <c r="I295" t="s">
        <v>371</v>
      </c>
      <c r="J295" t="s">
        <v>51</v>
      </c>
    </row>
    <row r="296" spans="1:10" ht="14.5" x14ac:dyDescent="0.35">
      <c r="A296" s="2" t="str">
        <f>HYPERLINK("https://nga.laas.intel.com/#/nga_fv_gnr/failureManagement/failures/1c0d0ad7-7315-4fbf-ba5f-222f3e4e7395","1c0d0ad7")</f>
        <v>1c0d0ad7</v>
      </c>
      <c r="B296" t="s">
        <v>71</v>
      </c>
      <c r="C296" t="s">
        <v>30</v>
      </c>
      <c r="D296" t="s">
        <v>66</v>
      </c>
      <c r="F296" s="2" t="str">
        <f>HYPERLINK("https://nga.laas.intel.com/#/nga_fv_gnr/planning/suites/4602b7c0-cc4c-4841-bc78-d3764cf13fe2","GNR-AP-X1_A0_VV")</f>
        <v>GNR-AP-X1_A0_VV</v>
      </c>
      <c r="G296" s="2" t="str">
        <f>HYPERLINK("https://axonsv.app.intel.com/apps/record-viewer?id=7ec70f23-1fa5-4007-b28f-1b459390ad1f","7ec70f23-1fa5-4007-b28f-1b459390ad1f")</f>
        <v>7ec70f23-1fa5-4007-b28f-1b459390ad1f</v>
      </c>
      <c r="I296" t="s">
        <v>372</v>
      </c>
      <c r="J296" t="s">
        <v>82</v>
      </c>
    </row>
    <row r="297" spans="1:10" ht="14.5" x14ac:dyDescent="0.35">
      <c r="A297" s="2" t="str">
        <f>HYPERLINK("https://nga.laas.intel.com/#/nga_fv_gnr/failureManagement/failures/022639b8-6dff-45b3-85f4-138d3b320998","022639b8")</f>
        <v>022639b8</v>
      </c>
      <c r="B297" t="s">
        <v>29</v>
      </c>
      <c r="C297" t="s">
        <v>22</v>
      </c>
      <c r="D297" t="s">
        <v>77</v>
      </c>
      <c r="F297" s="2" t="str">
        <f>HYPERLINK("https://nga.laas.intel.com/#/nga_fv_gnr/planning/suites/4602b7c0-cc4c-4841-bc78-d3764cf13fe2","GNR-AP-X1_A0_VV")</f>
        <v>GNR-AP-X1_A0_VV</v>
      </c>
      <c r="G297" s="2" t="str">
        <f>HYPERLINK("https://axonsv.app.intel.com/apps/record-viewer?id=edbe51a7-1767-4b0a-a2af-ea9745ac1826","edbe51a7-1767-4b0a-a2af-ea9745ac1826")</f>
        <v>edbe51a7-1767-4b0a-a2af-ea9745ac1826</v>
      </c>
      <c r="H297" t="s">
        <v>373</v>
      </c>
      <c r="I297" t="s">
        <v>374</v>
      </c>
      <c r="J297" t="s">
        <v>51</v>
      </c>
    </row>
    <row r="298" spans="1:10" ht="14.5" x14ac:dyDescent="0.35">
      <c r="A298" s="2" t="str">
        <f>HYPERLINK("https://nga.laas.intel.com/#/nga_fv_gnr/failureManagement/failures/616794c0-162a-4fda-ad0d-081da3ad4631","616794c0")</f>
        <v>616794c0</v>
      </c>
      <c r="B298" t="s">
        <v>375</v>
      </c>
      <c r="C298" t="s">
        <v>30</v>
      </c>
      <c r="D298" t="s">
        <v>66</v>
      </c>
      <c r="E298" s="2" t="str">
        <f>HYPERLINK("https://nga.laas.intel.com/#/nga_fv_gnr/failureManagement/bucket/2148041b-9e75-4a30-9dc1-39b9322634b4","hw_err_msm_global_status_ctrl_reg_general_mca_hw_err_msm_global_status_ctrl_reg_global_viral_hw_err_msm_global_status_ctrl_reg_ierr_hw_err_msm_mbx_error_sts_mbx_overflow_hw_err_ras_uncore_punit_hw_err_ras_uncore_ubox_hw_err_ubox_ncevents_ncevents_cr_ba...")</f>
        <v>hw_err_msm_global_status_ctrl_reg_general_mca_hw_err_msm_global_status_ctrl_reg_global_viral_hw_err_msm_global_status_ctrl_reg_ierr_hw_err_msm_mbx_error_sts_mbx_overflow_hw_err_ras_uncore_punit_hw_err_ras_uncore_ubox_hw_err_ubox_ncevents_ncevents_cr_ba...</v>
      </c>
      <c r="F298" s="2" t="str">
        <f>HYPERLINK("https://nga.laas.intel.com/#/nga_fv_gnr/planning/suites/3bf82cea-b611-4111-970b-fa5c85b51d2c","GNR-AP-X3_A2_Reset-Matrix")</f>
        <v>GNR-AP-X3_A2_Reset-Matrix</v>
      </c>
      <c r="G298" s="2" t="str">
        <f>HYPERLINK("https://axonsv.app.intel.com/apps/record-viewer?id=cbbbff8b-bb04-4df3-af16-91e758e65f3f","cbbbff8b-bb04-4df3-af16-91e758e65f3f")</f>
        <v>cbbbff8b-bb04-4df3-af16-91e758e65f3f</v>
      </c>
      <c r="I298" t="s">
        <v>46</v>
      </c>
      <c r="J298" t="s">
        <v>352</v>
      </c>
    </row>
    <row r="299" spans="1:10" ht="14.5" x14ac:dyDescent="0.35">
      <c r="A299" s="2" t="str">
        <f>HYPERLINK("https://nga.laas.intel.com/#/nga_fv_gnr/failureManagement/failures/107f631b-66d0-4c33-80f0-0b5478919e4c","107f631b")</f>
        <v>107f631b</v>
      </c>
      <c r="B299" t="s">
        <v>319</v>
      </c>
      <c r="C299" t="s">
        <v>22</v>
      </c>
      <c r="D299" t="s">
        <v>376</v>
      </c>
      <c r="E299" s="2" t="str">
        <f>HYPERLINK("https://nga.laas.intel.com/#/nga_fv_gnr/failureManagement/bucket/cec05d68-a128-47e2-b4af-e22998d9e8f7","hw_err_msm_corecrashlog_ctrl_haderror_hw_err_msm_global_status_ctrl_reg_crashlog_err_hw_err_msm_global_status_ctrl_reg_general_mca_hw_err_msm_global_status_ctrl_reg_global_viral_hw_err_msm_global_status_ctrl_reg_ierr_hw_err_msm_mbx_error_sts_mbx_overfl...")</f>
        <v>hw_err_msm_corecrashlog_ctrl_haderror_hw_err_msm_global_status_ctrl_reg_crashlog_err_hw_err_msm_global_status_ctrl_reg_general_mca_hw_err_msm_global_status_ctrl_reg_global_viral_hw_err_msm_global_status_ctrl_reg_ierr_hw_err_msm_mbx_error_sts_mbx_overfl...</v>
      </c>
      <c r="F299" s="2" t="str">
        <f>HYPERLINK("https://nga.laas.intel.com/#/nga_fv_gnr/planning/suites/1f60130b-5ac5-47b1-9f05-cd28a120f5c9","GNR-AP-X3_A2_VV")</f>
        <v>GNR-AP-X3_A2_VV</v>
      </c>
      <c r="G299" s="2" t="str">
        <f>HYPERLINK("https://axonsv.app.intel.com/apps/record-viewer?id=8341e932-ac33-4231-9cb3-7b0122add698","8341e932-ac33-4231-9cb3-7b0122add698")</f>
        <v>8341e932-ac33-4231-9cb3-7b0122add698</v>
      </c>
      <c r="I299" t="s">
        <v>364</v>
      </c>
      <c r="J299" t="s">
        <v>47</v>
      </c>
    </row>
    <row r="300" spans="1:10" ht="14.5" x14ac:dyDescent="0.35">
      <c r="A300" s="2" t="str">
        <f>HYPERLINK("https://nga.laas.intel.com/#/nga_fv_gnr/failureManagement/failures/70a8ee59-5e91-4105-b3b8-23e80529a719","70a8ee59")</f>
        <v>70a8ee59</v>
      </c>
      <c r="B300" t="s">
        <v>103</v>
      </c>
      <c r="C300" t="s">
        <v>22</v>
      </c>
      <c r="D300" t="s">
        <v>377</v>
      </c>
      <c r="E30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00" s="2" t="str">
        <f>HYPERLINK("https://nga.laas.intel.com/#/nga_fv_gnr/planning/suites/2c7ec13c-df59-42c4-8a05-0f54498b2f70","SQ_PM_GNR_AP_SANITY")</f>
        <v>SQ_PM_GNR_AP_SANITY</v>
      </c>
      <c r="G300" s="2" t="str">
        <f>HYPERLINK("https://axonsv.app.intel.com/apps/record-viewer?id=a571a971-94c9-4215-ad44-a412a3796452","a571a971-94c9-4215-ad44-a412a3796452")</f>
        <v>a571a971-94c9-4215-ad44-a412a3796452</v>
      </c>
      <c r="I300" t="s">
        <v>328</v>
      </c>
      <c r="J300" t="s">
        <v>38</v>
      </c>
    </row>
    <row r="301" spans="1:10" ht="14.5" x14ac:dyDescent="0.35">
      <c r="A301" s="2" t="str">
        <f>HYPERLINK("https://nga.laas.intel.com/#/nga_fv_gnr/failureManagement/failures/280c884a-2393-41fb-96cc-19db1cae2f73","280c884a")</f>
        <v>280c884a</v>
      </c>
      <c r="B301" t="s">
        <v>230</v>
      </c>
      <c r="C301" t="s">
        <v>11</v>
      </c>
      <c r="D301" t="s">
        <v>369</v>
      </c>
      <c r="E301" s="2" t="str">
        <f>HYPERLINK("https://nga.laas.intel.com/#/nga_fv_gnr/failureManagement/bucket/d826a519-91a5-4195-b0d5-d2a4b117db33","hw_err_msm_mbx_error_sts_mbx_overflow,hw_err_uncersts_msm_received_an_unsupported_request,hw_err_uncersts_oob_received_an_unsupported_request")</f>
        <v>hw_err_msm_mbx_error_sts_mbx_overflow,hw_err_uncersts_msm_received_an_unsupported_request,hw_err_uncersts_oob_received_an_unsupported_request</v>
      </c>
      <c r="F301" s="2" t="str">
        <f>HYPERLINK("https://nga.laas.intel.com/#/nga_fv_gnr/planning/suites/4602b7c0-cc4c-4841-bc78-d3764cf13fe2","GNR-AP-X1_A0_VV")</f>
        <v>GNR-AP-X1_A0_VV</v>
      </c>
      <c r="G301" s="2" t="str">
        <f>HYPERLINK("https://axonsv.app.intel.com/apps/record-viewer?id=5f923cf3-c424-44c9-8d83-42e3b41c2973","5f923cf3-c424-44c9-8d83-42e3b41c2973")</f>
        <v>5f923cf3-c424-44c9-8d83-42e3b41c2973</v>
      </c>
      <c r="I301" t="s">
        <v>33</v>
      </c>
      <c r="J301" t="s">
        <v>51</v>
      </c>
    </row>
    <row r="302" spans="1:10" ht="14.5" x14ac:dyDescent="0.35">
      <c r="A302" s="2" t="str">
        <f>HYPERLINK("https://nga.laas.intel.com/#/nga_fv_gnr/failureManagement/failures/75429f51-986b-4610-884f-114e3641b120","75429f51")</f>
        <v>75429f51</v>
      </c>
      <c r="B302" t="s">
        <v>356</v>
      </c>
      <c r="C302" t="s">
        <v>22</v>
      </c>
      <c r="D302" t="s">
        <v>77</v>
      </c>
      <c r="E302" s="2" t="str">
        <f>HYPERLINK("https://nga.laas.intel.com/#/nga_fv_gnr/failureManagement/bucket/24628b8a-a458-48ec-9707-52542448c207","hw_err_msm_corecrashlog_ctrl_haderror,hw_err_msm_global_status_ctrl_reg_crashlog_err,hw_err_msm_global_status_ctrl_reg_general_mca,hw_err_msm_global_status_ctrl_reg_global_viral,hw_err_msm_global_status_ctrl_reg_ierr,hw_err_msm_mbx_error_sts_mbx_overflow,")</f>
        <v>hw_err_msm_corecrashlog_ctrl_haderror,hw_err_msm_global_status_ctrl_reg_crashlog_err,hw_err_msm_global_status_ctrl_reg_general_mca,hw_err_msm_global_status_ctrl_reg_global_viral,hw_err_msm_global_status_ctrl_reg_ierr,hw_err_msm_mbx_error_sts_mbx_overflow,</v>
      </c>
      <c r="F302" s="2" t="str">
        <f>HYPERLINK("https://nga.laas.intel.com/#/nga_fv_gnr/planning/suites/1f60130b-5ac5-47b1-9f05-cd28a120f5c9","GNR-AP-X3_A2_VV")</f>
        <v>GNR-AP-X3_A2_VV</v>
      </c>
      <c r="G302" s="2" t="str">
        <f>HYPERLINK("https://axonsv.app.intel.com/apps/record-viewer?id=86a9bdde-d60d-473d-8031-cd88e6d2a4bb","86a9bdde-d60d-473d-8031-cd88e6d2a4bb")</f>
        <v>86a9bdde-d60d-473d-8031-cd88e6d2a4bb</v>
      </c>
      <c r="H302" t="s">
        <v>378</v>
      </c>
      <c r="I302" t="s">
        <v>357</v>
      </c>
      <c r="J302" t="s">
        <v>51</v>
      </c>
    </row>
    <row r="303" spans="1:10" ht="14.5" x14ac:dyDescent="0.35">
      <c r="A303" s="2" t="str">
        <f>HYPERLINK("https://nga.laas.intel.com/#/nga_fv_gnr/failureManagement/failures/48638411-9509-4254-9757-20dbec7c3bc2","48638411")</f>
        <v>48638411</v>
      </c>
      <c r="B303" t="s">
        <v>319</v>
      </c>
      <c r="C303" t="s">
        <v>22</v>
      </c>
      <c r="D303" t="s">
        <v>142</v>
      </c>
      <c r="E303" s="2" t="str">
        <f>HYPERLINK("https://nga.laas.intel.com/#/nga_fv_gnr/failureManagement/bucket/fd31d36a-6093-4e17-bcc5-8140edd250d6","hw_err_msm_corecrashlog_ctrl_haderror_hw_err_msm_global_status_ctrl_reg_crashlog_err_hw_err_msm_global_status_ctrl_reg_general_mca_hw_err_msm_global_status_ctrl_reg_global_viral_hw_err_msm_global_status_ctrl_reg_ierr_hw_err_msm_mbx_error_sts_mbx_overfl...")</f>
        <v>hw_err_msm_corecrashlog_ctrl_haderror_hw_err_msm_global_status_ctrl_reg_crashlog_err_hw_err_msm_global_status_ctrl_reg_general_mca_hw_err_msm_global_status_ctrl_reg_global_viral_hw_err_msm_global_status_ctrl_reg_ierr_hw_err_msm_mbx_error_sts_mbx_overfl...</v>
      </c>
      <c r="F303" s="2" t="str">
        <f>HYPERLINK("https://nga.laas.intel.com/#/nga_fv_gnr/planning/suites/1f60130b-5ac5-47b1-9f05-cd28a120f5c9","GNR-AP-X3_A2_VV")</f>
        <v>GNR-AP-X3_A2_VV</v>
      </c>
      <c r="G303" s="2" t="str">
        <f>HYPERLINK("https://axonsv.app.intel.com/apps/record-viewer?id=2f736f1e-5e2d-457c-897d-4db2fd90770b","2f736f1e-5e2d-457c-897d-4db2fd90770b")</f>
        <v>2f736f1e-5e2d-457c-897d-4db2fd90770b</v>
      </c>
      <c r="H303" t="s">
        <v>379</v>
      </c>
      <c r="I303" t="s">
        <v>361</v>
      </c>
      <c r="J303" t="s">
        <v>51</v>
      </c>
    </row>
    <row r="304" spans="1:10" ht="14.5" x14ac:dyDescent="0.35">
      <c r="A304" s="2" t="str">
        <f>HYPERLINK("https://nga.laas.intel.com/#/nga_fv_gnr/failureManagement/failures/1bad86e4-1d2b-4c4c-87c1-0a58e700cc90","1bad86e4")</f>
        <v>1bad86e4</v>
      </c>
      <c r="B304" t="s">
        <v>380</v>
      </c>
      <c r="C304" t="s">
        <v>22</v>
      </c>
      <c r="D304" t="s">
        <v>381</v>
      </c>
      <c r="E304" s="2" t="str">
        <f>HYPERLINK("https://nga.laas.intel.com/#/nga_fv_gnr/failureManagement/bucket/bacbbc5f-c15b-4b64-9f1f-f2bd6cba3641","hw_err_msm_global_status_ctrl_reg_general_mca,hw_err_msm_global_status_ctrl_reg_global_viral,hw_err_msm_global_status_ctrl_reg_ierr,hw_err_msm_mbx_error_sts_mbx_overflow,hw_err_ubox_ncevents_ncevents_cr_bankmerge5_errlog,hw_err_ubox_ncevents_ncevents_cr_b")</f>
        <v>hw_err_msm_global_status_ctrl_reg_general_mca,hw_err_msm_global_status_ctrl_reg_global_viral,hw_err_msm_global_status_ctrl_reg_ierr,hw_err_msm_mbx_error_sts_mbx_overflow,hw_err_ubox_ncevents_ncevents_cr_bankmerge5_errlog,hw_err_ubox_ncevents_ncevents_cr_b</v>
      </c>
      <c r="F304" s="2" t="str">
        <f>HYPERLINK("https://nga.laas.intel.com/#/nga_fv_gnr/planning/suites/1f60130b-5ac5-47b1-9f05-cd28a120f5c9","GNR-AP-X3_A2_VV")</f>
        <v>GNR-AP-X3_A2_VV</v>
      </c>
      <c r="G304" s="2" t="str">
        <f>HYPERLINK("https://axonsv.app.intel.com/apps/record-viewer?id=82b452b3-232d-445f-b4ad-45f8b16ed5fb","82b452b3-232d-445f-b4ad-45f8b16ed5fb")</f>
        <v>82b452b3-232d-445f-b4ad-45f8b16ed5fb</v>
      </c>
      <c r="H304" t="s">
        <v>382</v>
      </c>
      <c r="I304" t="s">
        <v>383</v>
      </c>
      <c r="J304" t="s">
        <v>51</v>
      </c>
    </row>
    <row r="305" spans="1:10" ht="14.5" x14ac:dyDescent="0.35">
      <c r="A305" s="2" t="str">
        <f>HYPERLINK("https://nga.laas.intel.com/#/nga_fv_gnr/failureManagement/failures/1fc88596-5eba-4bc5-af00-1437ee9d323b","1fc88596")</f>
        <v>1fc88596</v>
      </c>
      <c r="B305" t="s">
        <v>380</v>
      </c>
      <c r="C305" t="s">
        <v>22</v>
      </c>
      <c r="D305" t="s">
        <v>384</v>
      </c>
      <c r="E305" s="2" t="str">
        <f>HYPERLINK("https://nga.laas.intel.com/#/nga_fv_gnr/failureManagement/bucket/24628b8a-a458-48ec-9707-52542448c207","hw_err_msm_corecrashlog_ctrl_haderror,hw_err_msm_global_status_ctrl_reg_crashlog_err,hw_err_msm_global_status_ctrl_reg_general_mca,hw_err_msm_global_status_ctrl_reg_global_viral,hw_err_msm_global_status_ctrl_reg_ierr,hw_err_msm_mbx_error_sts_mbx_overflow,")</f>
        <v>hw_err_msm_corecrashlog_ctrl_haderror,hw_err_msm_global_status_ctrl_reg_crashlog_err,hw_err_msm_global_status_ctrl_reg_general_mca,hw_err_msm_global_status_ctrl_reg_global_viral,hw_err_msm_global_status_ctrl_reg_ierr,hw_err_msm_mbx_error_sts_mbx_overflow,</v>
      </c>
      <c r="F305" s="2" t="str">
        <f>HYPERLINK("https://nga.laas.intel.com/#/nga_fv_gnr/planning/suites/1f60130b-5ac5-47b1-9f05-cd28a120f5c9","GNR-AP-X3_A2_VV")</f>
        <v>GNR-AP-X3_A2_VV</v>
      </c>
      <c r="G305" s="2" t="str">
        <f>HYPERLINK("https://axonsv.app.intel.com/apps/record-viewer?id=8da92891-819d-4c71-beef-055c98a28324","8da92891-819d-4c71-beef-055c98a28324")</f>
        <v>8da92891-819d-4c71-beef-055c98a28324</v>
      </c>
      <c r="H305" t="s">
        <v>385</v>
      </c>
      <c r="I305" t="s">
        <v>371</v>
      </c>
      <c r="J305" t="s">
        <v>51</v>
      </c>
    </row>
    <row r="306" spans="1:10" ht="14.5" x14ac:dyDescent="0.35">
      <c r="A306" s="2" t="str">
        <f>HYPERLINK("https://nga.laas.intel.com/#/nga_fv_gnr/failureManagement/failures/f89e2b02-d9c8-44ad-a453-18775141487b","f89e2b02")</f>
        <v>f89e2b02</v>
      </c>
      <c r="B306" t="s">
        <v>166</v>
      </c>
      <c r="C306" t="s">
        <v>22</v>
      </c>
      <c r="D306" t="s">
        <v>386</v>
      </c>
      <c r="E306" s="2" t="str">
        <f>HYPERLINK("https://nga.laas.intel.com/#/nga_fv_gnr/failureManagement/bucket/24628b8a-a458-48ec-9707-52542448c207","hw_err_msm_corecrashlog_ctrl_haderror,hw_err_msm_global_status_ctrl_reg_crashlog_err,hw_err_msm_global_status_ctrl_reg_general_mca,hw_err_msm_global_status_ctrl_reg_global_viral,hw_err_msm_global_status_ctrl_reg_ierr,hw_err_msm_mbx_error_sts_mbx_overflow,")</f>
        <v>hw_err_msm_corecrashlog_ctrl_haderror,hw_err_msm_global_status_ctrl_reg_crashlog_err,hw_err_msm_global_status_ctrl_reg_general_mca,hw_err_msm_global_status_ctrl_reg_global_viral,hw_err_msm_global_status_ctrl_reg_ierr,hw_err_msm_mbx_error_sts_mbx_overflow,</v>
      </c>
      <c r="F306" s="2" t="str">
        <f>HYPERLINK("https://nga.laas.intel.com/#/nga_fv_gnr/planning/suites/4602b7c0-cc4c-4841-bc78-d3764cf13fe2","GNR-AP-X1_A0_VV")</f>
        <v>GNR-AP-X1_A0_VV</v>
      </c>
      <c r="G306" s="2" t="str">
        <f>HYPERLINK("https://axonsv.app.intel.com/apps/record-viewer?id=ad4857de-8783-44b6-b696-511aedaadc9f","ad4857de-8783-44b6-b696-511aedaadc9f")</f>
        <v>ad4857de-8783-44b6-b696-511aedaadc9f</v>
      </c>
      <c r="I306" t="s">
        <v>387</v>
      </c>
      <c r="J306" t="s">
        <v>74</v>
      </c>
    </row>
    <row r="307" spans="1:10" ht="14.5" x14ac:dyDescent="0.35">
      <c r="A307" s="2" t="str">
        <f>HYPERLINK("https://nga.laas.intel.com/#/nga_fv_gnr/failureManagement/failures/8324cdca-fe02-4e01-ae3b-20a8b0fa7a97","8324cdca")</f>
        <v>8324cdca</v>
      </c>
      <c r="B307" t="s">
        <v>360</v>
      </c>
      <c r="C307" t="s">
        <v>30</v>
      </c>
      <c r="D307" t="s">
        <v>66</v>
      </c>
      <c r="E307" s="2" t="str">
        <f>HYPERLINK("https://nga.laas.intel.com/#/nga_fv_gnr/failureManagement/bucket/9e74a742-b0c2-4451-bf2f-24b265e63110","hw_err_msm_mbx_error_sts_mbx_overflow")</f>
        <v>hw_err_msm_mbx_error_sts_mbx_overflow</v>
      </c>
      <c r="F307" s="2" t="str">
        <f>HYPERLINK("https://nga.laas.intel.com/#/nga_fv_gnr/planning/suites/1f60130b-5ac5-47b1-9f05-cd28a120f5c9","GNR-AP-X3_A2_VV")</f>
        <v>GNR-AP-X3_A2_VV</v>
      </c>
      <c r="G307" s="2" t="str">
        <f>HYPERLINK("https://axonsv.app.intel.com/apps/record-viewer?id=8fa7166b-1ec3-49f8-abfa-b51ee4533280","8fa7166b-1ec3-49f8-abfa-b51ee4533280")</f>
        <v>8fa7166b-1ec3-49f8-abfa-b51ee4533280</v>
      </c>
      <c r="I307" t="s">
        <v>33</v>
      </c>
      <c r="J307" t="s">
        <v>82</v>
      </c>
    </row>
    <row r="308" spans="1:10" ht="14.5" x14ac:dyDescent="0.35">
      <c r="A308" s="2" t="str">
        <f>HYPERLINK("https://nga.laas.intel.com/#/nga_fv_gnr/failureManagement/failures/1ddfa962-e208-4768-b8b8-20941023f751","1ddfa962")</f>
        <v>1ddfa962</v>
      </c>
      <c r="B308" t="s">
        <v>126</v>
      </c>
      <c r="C308" t="s">
        <v>22</v>
      </c>
      <c r="D308" t="s">
        <v>388</v>
      </c>
      <c r="E308" s="2" t="str">
        <f>HYPERLINK("https://nga.laas.intel.com/#/nga_fv_gnr/failureManagement/bucket/fe32944c-2fdc-482b-a9ca-759e92c7ac8e","hw_err_msm_global_status_ctrl_reg_crashlog_err,hw_err_msm_global_status_ctrl_reg_global_viral,hw_err_msm_global_status_ctrl_reg_ierr,hw_err_msm_mbx_error_sts_mbx_overflow,hw_err_msm_uncorecrashlog_ctrl_haderror,hw_err_ubox_ncevents_ncevents_cr_bankmerge5_")</f>
        <v>hw_err_msm_global_status_ctrl_reg_crashlog_err,hw_err_msm_global_status_ctrl_reg_global_viral,hw_err_msm_global_status_ctrl_reg_ierr,hw_err_msm_mbx_error_sts_mbx_overflow,hw_err_msm_uncorecrashlog_ctrl_haderror,hw_err_ubox_ncevents_ncevents_cr_bankmerge5_</v>
      </c>
      <c r="F308" s="2" t="str">
        <f>HYPERLINK("https://nga.laas.intel.com/#/nga_fv_gnr/planning/suites/1f60130b-5ac5-47b1-9f05-cd28a120f5c9","GNR-AP-X3_A2_VV")</f>
        <v>GNR-AP-X3_A2_VV</v>
      </c>
      <c r="G308" s="2" t="str">
        <f>HYPERLINK("https://axonsv.app.intel.com/apps/record-viewer?id=ce876613-bc08-4b72-9910-ff4ac7a63ea5","ce876613-bc08-4b72-9910-ff4ac7a63ea5")</f>
        <v>ce876613-bc08-4b72-9910-ff4ac7a63ea5</v>
      </c>
      <c r="I308" t="s">
        <v>389</v>
      </c>
      <c r="J308" t="s">
        <v>34</v>
      </c>
    </row>
    <row r="309" spans="1:10" ht="14.5" x14ac:dyDescent="0.35">
      <c r="A309" s="2" t="str">
        <f>HYPERLINK("https://nga.laas.intel.com/#/nga_fv_gnr/failureManagement/failures/a29ae260-4080-465f-9d53-0f7904a53815","a29ae260")</f>
        <v>a29ae260</v>
      </c>
      <c r="B309" t="s">
        <v>63</v>
      </c>
      <c r="C309" t="s">
        <v>11</v>
      </c>
      <c r="D309" t="s">
        <v>70</v>
      </c>
      <c r="E309" s="2" t="str">
        <f>HYPERLINK("https://nga.laas.intel.com/#/nga_fv_gnr/failureManagement/bucket/5790ccb1-f51b-4b60-aeb2-c5e1306c19f6","hw_err_msm_mbx_error_sts_mbx_overflow_hw_err_uncersts_msm_received_an_unsupported_request_hw_err_uncersts_oob_received_an_unsupported_request_hw_err_msm_mbx_error_sts_mbx_overflow_hw_err_uncersts_msm_received_an_unsupported_request_hw_err_uncersts_oob_...")</f>
        <v>hw_err_msm_mbx_error_sts_mbx_overflow_hw_err_uncersts_msm_received_an_unsupported_request_hw_err_uncersts_oob_received_an_unsupported_request_hw_err_msm_mbx_error_sts_mbx_overflow_hw_err_uncersts_msm_received_an_unsupported_request_hw_err_uncersts_oob_...</v>
      </c>
      <c r="F309" s="2" t="str">
        <f>HYPERLINK("https://nga.laas.intel.com/#/nga_fv_gnr/planning/suites/c65455fe-8c12-4f57-b587-5f122099da7b","GNR-AP-X1_A0_Idle")</f>
        <v>GNR-AP-X1_A0_Idle</v>
      </c>
      <c r="G309" s="2" t="str">
        <f>HYPERLINK("https://axonsv.app.intel.com/apps/record-viewer?id=95157d08-c5f0-43ac-aba0-3e7ebfe2db47","95157d08-c5f0-43ac-aba0-3e7ebfe2db47")</f>
        <v>95157d08-c5f0-43ac-aba0-3e7ebfe2db47</v>
      </c>
      <c r="I309" t="s">
        <v>33</v>
      </c>
      <c r="J309" t="s">
        <v>34</v>
      </c>
    </row>
    <row r="310" spans="1:10" ht="14.5" x14ac:dyDescent="0.35">
      <c r="A310" s="2" t="str">
        <f>HYPERLINK("https://nga.laas.intel.com/#/nga_fv_gnr/failureManagement/failures/19d12377-605c-4a53-9b18-2282f8d81d0d","19d12377")</f>
        <v>19d12377</v>
      </c>
      <c r="B310" t="s">
        <v>76</v>
      </c>
      <c r="C310" t="s">
        <v>30</v>
      </c>
      <c r="D310" t="s">
        <v>66</v>
      </c>
      <c r="E310" s="2" t="str">
        <f>HYPERLINK("https://nga.laas.intel.com/#/nga_fv_gnr/failureManagement/bucket/22c93c52-78f3-4e05-8cfb-17d951d86113","hw_mce_cha_mcacod_017ah_mscod_core_wb_miss_llc,hw_mce_cha_mcacod_1146h_mscod_core_wb_miss_llc")</f>
        <v>hw_mce_cha_mcacod_017ah_mscod_core_wb_miss_llc,hw_mce_cha_mcacod_1146h_mscod_core_wb_miss_llc</v>
      </c>
      <c r="F310" s="2" t="str">
        <f>HYPERLINK("https://nga.laas.intel.com/#/nga_fv_gnr/planning/suites/1f60130b-5ac5-47b1-9f05-cd28a120f5c9","GNR-AP-X3_A2_VV")</f>
        <v>GNR-AP-X3_A2_VV</v>
      </c>
      <c r="G310" s="2" t="str">
        <f>HYPERLINK("https://axonsv.app.intel.com/apps/record-viewer?id=a6e20b61-19b2-43a1-8fb7-d4900be813f1","a6e20b61-19b2-43a1-8fb7-d4900be813f1")</f>
        <v>a6e20b61-19b2-43a1-8fb7-d4900be813f1</v>
      </c>
      <c r="I310" t="s">
        <v>390</v>
      </c>
      <c r="J310" t="s">
        <v>74</v>
      </c>
    </row>
    <row r="311" spans="1:10" ht="14.5" x14ac:dyDescent="0.35">
      <c r="A311" s="2" t="str">
        <f>HYPERLINK("https://nga.laas.intel.com/#/nga_fv_gnr/failureManagement/failures/ef63e044-17d8-44cf-a22d-053da79a2fc8","ef63e044")</f>
        <v>ef63e044</v>
      </c>
      <c r="B311" t="s">
        <v>102</v>
      </c>
      <c r="C311" t="s">
        <v>22</v>
      </c>
      <c r="D311" t="s">
        <v>391</v>
      </c>
      <c r="E311" s="2" t="str">
        <f>HYPERLINK("https://nga.laas.intel.com/#/nga_fv_gnr/failureManagement/bucket/9a252209-f9d5-4f56-9797-896b011183d7","runpmx_tool_exited_fail_package_cstate_check_maintest_verification_failed_runpmx_error_process_handler_exited_after_the_test_step_")</f>
        <v>runpmx_tool_exited_fail_package_cstate_check_maintest_verification_failed_runpmx_error_process_handler_exited_after_the_test_step_</v>
      </c>
      <c r="F311" s="2" t="str">
        <f>HYPERLINK("https://nga.laas.intel.com/#/nga_fv_gnr/planning/suites/2c7ec13c-df59-42c4-8a05-0f54498b2f70","SQ_PM_GNR_AP_SANITY")</f>
        <v>SQ_PM_GNR_AP_SANITY</v>
      </c>
      <c r="G311" s="2" t="str">
        <f>HYPERLINK("https://axonsv.app.intel.com/apps/record-viewer?id=8f840c68-39d5-4796-a379-34755b262609","8f840c68-39d5-4796-a379-34755b262609")</f>
        <v>8f840c68-39d5-4796-a379-34755b262609</v>
      </c>
      <c r="H311" t="s">
        <v>392</v>
      </c>
      <c r="I311" t="s">
        <v>56</v>
      </c>
      <c r="J311" t="s">
        <v>14</v>
      </c>
    </row>
    <row r="312" spans="1:10" ht="14.5" x14ac:dyDescent="0.35">
      <c r="A312" s="2" t="str">
        <f>HYPERLINK("https://nga.laas.intel.com/#/nga_fv_gnr/failureManagement/failures/c4bd05d6-744a-4ab3-9d7d-1e400787dfdf","c4bd05d6")</f>
        <v>c4bd05d6</v>
      </c>
      <c r="B312" t="s">
        <v>393</v>
      </c>
      <c r="C312" t="s">
        <v>22</v>
      </c>
      <c r="D312" t="s">
        <v>394</v>
      </c>
      <c r="E312" s="2" t="str">
        <f>HYPERLINK("https://nga.laas.intel.com/#/nga_fv_gnr/failureManagement/bucket/2b458a03-02ac-4a37-b273-2e8d7208ddbc","hw_err_msm_global_status_ctrl_reg_crashlog_err_hw_err_msm_global_status_ctrl_reg_global_viral_hw_err_msm_global_status_ctrl_reg_ierr_hw_err_msm_mbx_error_sts_mbx_overflow_hw_err_msm_uncorecrashlog_ctrl_haderror_hw_err_ubox_ncevents_ncevents_cr_bankmerg...")</f>
        <v>hw_err_msm_global_status_ctrl_reg_crashlog_err_hw_err_msm_global_status_ctrl_reg_global_viral_hw_err_msm_global_status_ctrl_reg_ierr_hw_err_msm_mbx_error_sts_mbx_overflow_hw_err_msm_uncorecrashlog_ctrl_haderror_hw_err_ubox_ncevents_ncevents_cr_bankmerg...</v>
      </c>
      <c r="F312" s="2" t="str">
        <f t="shared" ref="F312:F322" si="20">HYPERLINK("https://nga.laas.intel.com/#/nga_fv_gnr/planning/suites/1f60130b-5ac5-47b1-9f05-cd28a120f5c9","GNR-AP-X3_A2_VV")</f>
        <v>GNR-AP-X3_A2_VV</v>
      </c>
      <c r="G312" s="2" t="str">
        <f>HYPERLINK("https://axonsv.app.intel.com/apps/record-viewer?id=d3cc606c-05b1-5596-e323-13cb67f457a2","d3cc606c-05b1-5596-e323-13cb67f457a2")</f>
        <v>d3cc606c-05b1-5596-e323-13cb67f457a2</v>
      </c>
      <c r="I312" t="s">
        <v>389</v>
      </c>
      <c r="J312" t="s">
        <v>34</v>
      </c>
    </row>
    <row r="313" spans="1:10" ht="14.5" x14ac:dyDescent="0.35">
      <c r="A313" s="2" t="str">
        <f>HYPERLINK("https://nga.laas.intel.com/#/nga_fv_gnr/failureManagement/failures/4adb29b3-c39c-49cc-8cbb-0a095980f7cb","4adb29b3")</f>
        <v>4adb29b3</v>
      </c>
      <c r="B313" t="s">
        <v>326</v>
      </c>
      <c r="C313" t="s">
        <v>22</v>
      </c>
      <c r="D313" t="s">
        <v>128</v>
      </c>
      <c r="E31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13" s="2" t="str">
        <f t="shared" si="20"/>
        <v>GNR-AP-X3_A2_VV</v>
      </c>
      <c r="G313" s="2" t="str">
        <f>HYPERLINK("https://axonsv.app.intel.com/apps/record-viewer?id=f2b7f763-928b-4054-962e-2b4cded000a7","f2b7f763-928b-4054-962e-2b4cded000a7")</f>
        <v>f2b7f763-928b-4054-962e-2b4cded000a7</v>
      </c>
      <c r="I313" t="s">
        <v>395</v>
      </c>
      <c r="J313" t="s">
        <v>38</v>
      </c>
    </row>
    <row r="314" spans="1:10" ht="14.5" x14ac:dyDescent="0.35">
      <c r="A314" s="2" t="str">
        <f>HYPERLINK("https://nga.laas.intel.com/#/nga_fv_gnr/failureManagement/failures/c1ae3d1f-3bf2-48d9-917e-06d03044d4f9","c1ae3d1f")</f>
        <v>c1ae3d1f</v>
      </c>
      <c r="B314" t="s">
        <v>217</v>
      </c>
      <c r="C314" t="s">
        <v>22</v>
      </c>
      <c r="D314" t="s">
        <v>396</v>
      </c>
      <c r="E314" s="2" t="str">
        <f>HYPERLINK("https://nga.laas.intel.com/#/nga_fv_gnr/failureManagement/bucket/fa3521e5-8003-4459-82d6-8282c856f4f8","hw_err_msm_mbx_error_sts_mbx_overflow_hw_mce_dcu_mcacod_fdfdh_mscod_fedfh_hw_mce_dcu_mcacod_fffdh_mscod_fedfh_hw_mce_dcu_mcacod_fffdh_mscod_feffh_hw_mce_dtlb_mcacod_fdfdh_mscod_fecfh_hw_mce_dtlb_mcacod_fffdh_mscod_feefh_hw_mce_ifu_mcacod_fffdh_mscod_fe...")</f>
        <v>hw_err_msm_mbx_error_sts_mbx_overflow_hw_mce_dcu_mcacod_fdfdh_mscod_fedfh_hw_mce_dcu_mcacod_fffdh_mscod_fedfh_hw_mce_dcu_mcacod_fffdh_mscod_feffh_hw_mce_dtlb_mcacod_fdfdh_mscod_fecfh_hw_mce_dtlb_mcacod_fffdh_mscod_feefh_hw_mce_ifu_mcacod_fffdh_mscod_fe...</v>
      </c>
      <c r="F314" s="2" t="str">
        <f t="shared" si="20"/>
        <v>GNR-AP-X3_A2_VV</v>
      </c>
      <c r="G314" s="2" t="str">
        <f>HYPERLINK("https://axonsv.app.intel.com/apps/record-viewer?id=311e8f8a-bc6b-42aa-b883-20093a5f8c12","311e8f8a-bc6b-42aa-b883-20093a5f8c12")</f>
        <v>311e8f8a-bc6b-42aa-b883-20093a5f8c12</v>
      </c>
      <c r="I314" t="s">
        <v>395</v>
      </c>
      <c r="J314" t="s">
        <v>20</v>
      </c>
    </row>
    <row r="315" spans="1:10" ht="14.5" x14ac:dyDescent="0.35">
      <c r="A315" s="2" t="str">
        <f>HYPERLINK("https://nga.laas.intel.com/#/nga_fv_gnr/failureManagement/failures/67d5ee92-ac5c-49d0-9d4b-05d22c3cc968","67d5ee92")</f>
        <v>67d5ee92</v>
      </c>
      <c r="B315" t="s">
        <v>18</v>
      </c>
      <c r="C315" t="s">
        <v>22</v>
      </c>
      <c r="D315" t="s">
        <v>397</v>
      </c>
      <c r="E315" s="2" t="str">
        <f>HYPERLINK("https://nga.laas.intel.com/#/nga_fv_gnr/failureManagement/bucket/5e5cc6d1-ef70-4f0d-a091-dee49a716206","junk")</f>
        <v>junk</v>
      </c>
      <c r="F315" s="2" t="str">
        <f t="shared" si="20"/>
        <v>GNR-AP-X3_A2_VV</v>
      </c>
      <c r="G315" s="2" t="str">
        <f>HYPERLINK("https://axonsv.app.intel.com/apps/record-viewer?id=8ab4143e-0db9-403b-a7c7-185378143b71","8ab4143e-0db9-403b-a7c7-185378143b71")</f>
        <v>8ab4143e-0db9-403b-a7c7-185378143b71</v>
      </c>
      <c r="H315" t="s">
        <v>398</v>
      </c>
      <c r="I315" t="s">
        <v>395</v>
      </c>
      <c r="J315" t="s">
        <v>82</v>
      </c>
    </row>
    <row r="316" spans="1:10" ht="14.5" x14ac:dyDescent="0.35">
      <c r="A316" s="2" t="str">
        <f>HYPERLINK("https://nga.laas.intel.com/#/nga_fv_gnr/failureManagement/failures/fe077a17-660d-439e-8ae6-128c0edf58a8","fe077a17")</f>
        <v>fe077a17</v>
      </c>
      <c r="B316" t="s">
        <v>319</v>
      </c>
      <c r="C316" t="s">
        <v>22</v>
      </c>
      <c r="D316" t="s">
        <v>399</v>
      </c>
      <c r="E316" s="2" t="str">
        <f>HYPERLINK("https://nga.laas.intel.com/#/nga_fv_gnr/failureManagement/bucket/12d3e32b-cf78-4f20-80bb-8ce7bf06415e","hw_err_msm_mbx_error_sts_mbx_overflow_hw_mce_dcu_mcacod_bd7ch_mscod_ffbeh_hw_mce_dcu_mcacod_bdech_mscod_ffbeh_hw_mce_dcu_mcacod_bdfch_mscod_ffbeh_hw_mce_dtlb_mcacod_bd7ch_mscod_ffbeh_hw_mce_dtlb_mcacod_bdfch_mscod_ffbeh_hw_mce_ifu_mcacod_bd7ch_mscod_ff...")</f>
        <v>hw_err_msm_mbx_error_sts_mbx_overflow_hw_mce_dcu_mcacod_bd7ch_mscod_ffbeh_hw_mce_dcu_mcacod_bdech_mscod_ffbeh_hw_mce_dcu_mcacod_bdfch_mscod_ffbeh_hw_mce_dtlb_mcacod_bd7ch_mscod_ffbeh_hw_mce_dtlb_mcacod_bdfch_mscod_ffbeh_hw_mce_ifu_mcacod_bd7ch_mscod_ff...</v>
      </c>
      <c r="F316" s="2" t="str">
        <f t="shared" si="20"/>
        <v>GNR-AP-X3_A2_VV</v>
      </c>
      <c r="G316" s="2" t="str">
        <f>HYPERLINK("https://axonsv.app.intel.com/apps/record-viewer?id=08789a3d-60db-4c36-b447-199f2f07ce7d","08789a3d-60db-4c36-b447-199f2f07ce7d")</f>
        <v>08789a3d-60db-4c36-b447-199f2f07ce7d</v>
      </c>
      <c r="H316" t="s">
        <v>400</v>
      </c>
      <c r="I316" t="s">
        <v>395</v>
      </c>
      <c r="J316" t="s">
        <v>82</v>
      </c>
    </row>
    <row r="317" spans="1:10" ht="14.5" x14ac:dyDescent="0.35">
      <c r="A317" s="2" t="str">
        <f>HYPERLINK("https://nga.laas.intel.com/#/nga_fv_gnr/failureManagement/failures/38bbe49a-95c4-48c7-880d-0033ba5f44a1","38bbe49a")</f>
        <v>38bbe49a</v>
      </c>
      <c r="B317" t="s">
        <v>326</v>
      </c>
      <c r="C317" t="s">
        <v>22</v>
      </c>
      <c r="D317" t="s">
        <v>142</v>
      </c>
      <c r="E31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17" s="2" t="str">
        <f t="shared" si="20"/>
        <v>GNR-AP-X3_A2_VV</v>
      </c>
      <c r="G317" s="2" t="str">
        <f>HYPERLINK("https://axonsv.app.intel.com/apps/record-viewer?id=0bba7eb6-ef9e-4073-b847-d33f3a24c0a0","0bba7eb6-ef9e-4073-b847-d33f3a24c0a0")</f>
        <v>0bba7eb6-ef9e-4073-b847-d33f3a24c0a0</v>
      </c>
      <c r="I317" t="s">
        <v>401</v>
      </c>
      <c r="J317" t="s">
        <v>51</v>
      </c>
    </row>
    <row r="318" spans="1:10" ht="14.5" x14ac:dyDescent="0.35">
      <c r="A318" s="2" t="str">
        <f>HYPERLINK("https://nga.laas.intel.com/#/nga_fv_gnr/failureManagement/failures/152b21dd-0250-4988-a90b-06c460c55e54","152b21dd")</f>
        <v>152b21dd</v>
      </c>
      <c r="B318" t="s">
        <v>360</v>
      </c>
      <c r="C318" t="s">
        <v>22</v>
      </c>
      <c r="D318" t="s">
        <v>60</v>
      </c>
      <c r="E318" s="2" t="str">
        <f>HYPERLINK("https://nga.laas.intel.com/#/nga_fv_gnr/failureManagement/bucket/33fc58a9-7dbd-4aaf-981e-de573f04707b","hw_err_msm_mbx_error_sts_mbx_overflow_hw_mce_dcu_mcacod_d9bfh_mscod_fffdh_hw_mce_dtlb_mcacod_dd9fh_mscod_ffffh_hw_err_msm_mbx_error_sts_mbx_overflow_hw_mce_dcu_mcacod_d9bfh_mscod_fffdh_hw_mce_dtlb_mcacod_dd9fh_mscod_ffffh_is_rocket_fail")</f>
        <v>hw_err_msm_mbx_error_sts_mbx_overflow_hw_mce_dcu_mcacod_d9bfh_mscod_fffdh_hw_mce_dtlb_mcacod_dd9fh_mscod_ffffh_hw_err_msm_mbx_error_sts_mbx_overflow_hw_mce_dcu_mcacod_d9bfh_mscod_fffdh_hw_mce_dtlb_mcacod_dd9fh_mscod_ffffh_is_rocket_fail</v>
      </c>
      <c r="F318" s="2" t="str">
        <f t="shared" si="20"/>
        <v>GNR-AP-X3_A2_VV</v>
      </c>
      <c r="G318" s="2" t="str">
        <f>HYPERLINK("https://axonsv.app.intel.com/apps/record-viewer?id=a14552ca-0c7e-427c-93d0-5c572f3c8ed0","a14552ca-0c7e-427c-93d0-5c572f3c8ed0")</f>
        <v>a14552ca-0c7e-427c-93d0-5c572f3c8ed0</v>
      </c>
      <c r="I318" t="s">
        <v>402</v>
      </c>
      <c r="J318" t="s">
        <v>61</v>
      </c>
    </row>
    <row r="319" spans="1:10" ht="14.5" x14ac:dyDescent="0.35">
      <c r="A319" s="2" t="str">
        <f>HYPERLINK("https://nga.laas.intel.com/#/nga_fv_gnr/failureManagement/failures/567e7f80-2643-4332-8561-1e528ca62346","567e7f80")</f>
        <v>567e7f80</v>
      </c>
      <c r="B319" t="s">
        <v>223</v>
      </c>
      <c r="C319" t="s">
        <v>22</v>
      </c>
      <c r="D319" t="s">
        <v>60</v>
      </c>
      <c r="E31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19" s="2" t="str">
        <f t="shared" si="20"/>
        <v>GNR-AP-X3_A2_VV</v>
      </c>
      <c r="G319" s="2" t="str">
        <f>HYPERLINK("https://axonsv.app.intel.com/apps/record-viewer?id=f1c04937-49c9-4d39-a396-0ad5182360de","f1c04937-49c9-4d39-a396-0ad5182360de")</f>
        <v>f1c04937-49c9-4d39-a396-0ad5182360de</v>
      </c>
      <c r="I319" t="s">
        <v>403</v>
      </c>
      <c r="J319" t="s">
        <v>61</v>
      </c>
    </row>
    <row r="320" spans="1:10" ht="14.5" x14ac:dyDescent="0.35">
      <c r="A320" s="2" t="str">
        <f>HYPERLINK("https://nga.laas.intel.com/#/nga_fv_gnr/failureManagement/failures/95720f8a-3f6d-4e5d-bb35-22716c6eff02","95720f8a")</f>
        <v>95720f8a</v>
      </c>
      <c r="B320" t="s">
        <v>179</v>
      </c>
      <c r="C320" t="s">
        <v>22</v>
      </c>
      <c r="D320" t="s">
        <v>404</v>
      </c>
      <c r="E32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20" s="2" t="str">
        <f t="shared" si="20"/>
        <v>GNR-AP-X3_A2_VV</v>
      </c>
      <c r="G320" s="2" t="str">
        <f>HYPERLINK("https://axonsv.app.intel.com/apps/record-viewer?id=e4b4a617-b2f2-4e9f-914f-a64164e8be47","e4b4a617-b2f2-4e9f-914f-a64164e8be47")</f>
        <v>e4b4a617-b2f2-4e9f-914f-a64164e8be47</v>
      </c>
      <c r="H320" t="s">
        <v>405</v>
      </c>
      <c r="I320" t="s">
        <v>395</v>
      </c>
      <c r="J320" t="s">
        <v>51</v>
      </c>
    </row>
    <row r="321" spans="1:10" ht="14.5" x14ac:dyDescent="0.35">
      <c r="A321" s="2" t="str">
        <f>HYPERLINK("https://nga.laas.intel.com/#/nga_fv_gnr/failureManagement/failures/1c952fd6-c8d9-45fc-a4e1-01ebe09926ce","1c952fd6")</f>
        <v>1c952fd6</v>
      </c>
      <c r="B321" t="s">
        <v>119</v>
      </c>
      <c r="C321" t="s">
        <v>22</v>
      </c>
      <c r="D321" t="s">
        <v>406</v>
      </c>
      <c r="E32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21" s="2" t="str">
        <f t="shared" si="20"/>
        <v>GNR-AP-X3_A2_VV</v>
      </c>
      <c r="G321" s="2" t="str">
        <f>HYPERLINK("https://axonsv.app.intel.com/apps/record-viewer?id=31282462-d7af-4687-add6-ed12e528b184","31282462-d7af-4687-add6-ed12e528b184")</f>
        <v>31282462-d7af-4687-add6-ed12e528b184</v>
      </c>
      <c r="H321" t="s">
        <v>407</v>
      </c>
      <c r="I321" t="s">
        <v>395</v>
      </c>
      <c r="J321" t="s">
        <v>51</v>
      </c>
    </row>
    <row r="322" spans="1:10" ht="14.5" x14ac:dyDescent="0.35">
      <c r="A322" s="2" t="str">
        <f>HYPERLINK("https://nga.laas.intel.com/#/nga_fv_gnr/failureManagement/failures/3a5e7952-a8b9-4a62-a940-17f52f990ebc","3a5e7952")</f>
        <v>3a5e7952</v>
      </c>
      <c r="B322" t="s">
        <v>326</v>
      </c>
      <c r="C322" t="s">
        <v>22</v>
      </c>
      <c r="D322" t="s">
        <v>408</v>
      </c>
      <c r="E32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22" s="2" t="str">
        <f t="shared" si="20"/>
        <v>GNR-AP-X3_A2_VV</v>
      </c>
      <c r="G322" s="2" t="str">
        <f>HYPERLINK("https://axonsv.app.intel.com/apps/record-viewer?id=4aa74de2-9192-49b5-adc7-e2a0dc9e1c0b","4aa74de2-9192-49b5-adc7-e2a0dc9e1c0b")</f>
        <v>4aa74de2-9192-49b5-adc7-e2a0dc9e1c0b</v>
      </c>
      <c r="I322" t="s">
        <v>403</v>
      </c>
      <c r="J322" t="s">
        <v>34</v>
      </c>
    </row>
    <row r="323" spans="1:10" ht="14.5" x14ac:dyDescent="0.35">
      <c r="A323" s="2" t="str">
        <f>HYPERLINK("https://nga.laas.intel.com/#/nga_fv_gnr/failureManagement/failures/bec0039b-ff70-48b4-8d85-11f0245a65e7","bec0039b")</f>
        <v>bec0039b</v>
      </c>
      <c r="B323" t="s">
        <v>409</v>
      </c>
      <c r="C323" t="s">
        <v>11</v>
      </c>
      <c r="D323" t="s">
        <v>70</v>
      </c>
      <c r="E323" s="2" t="str">
        <f>HYPERLINK("https://nga.laas.intel.com/#/nga_fv_gnr/failureManagement/bucket/bb7fe613-b82d-4cad-87b5-a0f1d3c3d79f","hw_err_msm_mbx_error_sts_mbx_overflow_hw_mce_dcu_mcacod_f6b9h_mscod_f676h_hw_mce_dcu_mcacod_f7b8h_mscod_d637h_hw_mce_dcu_mcacod_f7b9h_mscod_d665h_hw_mce_dcu_mcacod_fbb8h_mscod_f635h_hw_mce_ifu_mcacod_f3b8h_mscod_f637h_hw_mce_ifu_mcacod_f5b9h_mscod_f677...")</f>
        <v>hw_err_msm_mbx_error_sts_mbx_overflow_hw_mce_dcu_mcacod_f6b9h_mscod_f676h_hw_mce_dcu_mcacod_f7b8h_mscod_d637h_hw_mce_dcu_mcacod_f7b9h_mscod_d665h_hw_mce_dcu_mcacod_fbb8h_mscod_f635h_hw_mce_ifu_mcacod_f3b8h_mscod_f637h_hw_mce_ifu_mcacod_f5b9h_mscod_f677...</v>
      </c>
      <c r="F323" s="2" t="str">
        <f>HYPERLINK("https://nga.laas.intel.com/#/nga_fv_gnr/planning/suites/8bf04327-a6c7-4722-8d54-99b5768382ea","GNR-AP-X3_A2_VV_Cov")</f>
        <v>GNR-AP-X3_A2_VV_Cov</v>
      </c>
      <c r="G323" s="2" t="str">
        <f>HYPERLINK("https://axonsv.app.intel.com/apps/record-viewer?id=b1fa1b9c-74e3-4e94-9078-8bcce1d958eb","b1fa1b9c-74e3-4e94-9078-8bcce1d958eb")</f>
        <v>b1fa1b9c-74e3-4e94-9078-8bcce1d958eb</v>
      </c>
      <c r="I323" t="s">
        <v>410</v>
      </c>
      <c r="J323" t="s">
        <v>61</v>
      </c>
    </row>
    <row r="324" spans="1:10" ht="14.5" x14ac:dyDescent="0.35">
      <c r="A324" s="2" t="str">
        <f>HYPERLINK("https://nga.laas.intel.com/#/nga_fv_gnr/failureManagement/failures/3c85f2e0-1a38-424b-8c7a-22dbe4229517","3c85f2e0")</f>
        <v>3c85f2e0</v>
      </c>
      <c r="B324" t="s">
        <v>230</v>
      </c>
      <c r="C324" t="s">
        <v>22</v>
      </c>
      <c r="D324" t="s">
        <v>77</v>
      </c>
      <c r="E324" s="2" t="str">
        <f>HYPERLINK("https://nga.laas.intel.com/#/nga_fv_gnr/failureManagement/bucket/77cc2664-ede3-45c4-8725-b8f540438ca8","hw_err_msm_global_status_ctrl_reg_general_mca_hw_err_msm_global_status_ctrl_reg_global_viral_hw_err_msm_global_status_ctrl_reg_ierr_hw_err_msm_mbx_error_sts_mbx_overflow_hw_err_sbo_parity_status_type_bl_data_parity_err_det_hw_err_ubox_ncevents_ncevents...")</f>
        <v>hw_err_msm_global_status_ctrl_reg_general_mca_hw_err_msm_global_status_ctrl_reg_global_viral_hw_err_msm_global_status_ctrl_reg_ierr_hw_err_msm_mbx_error_sts_mbx_overflow_hw_err_sbo_parity_status_type_bl_data_parity_err_det_hw_err_ubox_ncevents_ncevents...</v>
      </c>
      <c r="F324" s="2" t="str">
        <f>HYPERLINK("https://nga.laas.intel.com/#/nga_fv_gnr/planning/suites/4602b7c0-cc4c-4841-bc78-d3764cf13fe2","GNR-AP-X1_A0_VV")</f>
        <v>GNR-AP-X1_A0_VV</v>
      </c>
      <c r="G324" s="2" t="str">
        <f>HYPERLINK("https://axonsv.app.intel.com/apps/record-viewer?id=c9dd43fb-fb83-4613-8a5e-0ceba5e4af8a","c9dd43fb-fb83-4613-8a5e-0ceba5e4af8a")</f>
        <v>c9dd43fb-fb83-4613-8a5e-0ceba5e4af8a</v>
      </c>
      <c r="H324" t="s">
        <v>411</v>
      </c>
      <c r="I324" t="s">
        <v>412</v>
      </c>
      <c r="J324" t="s">
        <v>51</v>
      </c>
    </row>
    <row r="325" spans="1:10" ht="14.5" x14ac:dyDescent="0.35">
      <c r="A325" s="2" t="str">
        <f>HYPERLINK("https://nga.laas.intel.com/#/nga_fv_gnr/failureManagement/failures/518b1bb4-1391-46dd-99e1-084a30d9b2a0","518b1bb4")</f>
        <v>518b1bb4</v>
      </c>
      <c r="B325" t="s">
        <v>335</v>
      </c>
      <c r="C325" t="s">
        <v>22</v>
      </c>
      <c r="D325" t="s">
        <v>336</v>
      </c>
      <c r="E325" s="2" t="str">
        <f>HYPERLINK("https://nga.laas.intel.com/#/nga_fv_gnr/failureManagement/bucket/c1d8ff9f-295e-4d5b-a4fe-35178744504e","hw_err_msm_global_status_ctrl_reg_global_viral_hw_err_msm_global_status_ctrl_reg_ierr_hw_err_uncersts_msm_received_an_unsupported_request_hw_mce_pcu_mcacod_0402h_mscod_agg_hw_mce_ras_hw_err_msm_global_status_ctrl_reg_global_viral_hw_err_msm_global_stat...")</f>
        <v>hw_err_msm_global_status_ctrl_reg_global_viral_hw_err_msm_global_status_ctrl_reg_ierr_hw_err_uncersts_msm_received_an_unsupported_request_hw_mce_pcu_mcacod_0402h_mscod_agg_hw_mce_ras_hw_err_msm_global_status_ctrl_reg_global_viral_hw_err_msm_global_stat...</v>
      </c>
      <c r="F325" s="2" t="str">
        <f>HYPERLINK("https://nga.laas.intel.com/#/nga_fv_gnr/planning/suites/4602b7c0-cc4c-4841-bc78-d3764cf13fe2","GNR-AP-X1_A0_VV")</f>
        <v>GNR-AP-X1_A0_VV</v>
      </c>
      <c r="G325" s="2" t="str">
        <f>HYPERLINK("https://axonsv.app.intel.com/apps/record-viewer?id=bbbc3d01-9b66-441d-b363-ddc1280fcf45","bbbc3d01-9b66-441d-b363-ddc1280fcf45")</f>
        <v>bbbc3d01-9b66-441d-b363-ddc1280fcf45</v>
      </c>
      <c r="I325" t="s">
        <v>413</v>
      </c>
      <c r="J325" t="s">
        <v>112</v>
      </c>
    </row>
    <row r="326" spans="1:10" ht="14.5" x14ac:dyDescent="0.35">
      <c r="A326" s="2" t="str">
        <f>HYPERLINK("https://nga.laas.intel.com/#/nga_fv_gnr/failureManagement/failures/c164e920-6476-48c2-93b2-191b8960f314","c164e920")</f>
        <v>c164e920</v>
      </c>
      <c r="B326" t="s">
        <v>360</v>
      </c>
      <c r="C326" t="s">
        <v>25</v>
      </c>
      <c r="D326" t="s">
        <v>45</v>
      </c>
      <c r="E326" s="2" t="str">
        <f>HYPERLINK("https://nga.laas.intel.com/#/nga_fv_gnr/failureManagement/bucket/48bd28c3-e275-41ac-8f07-742d8bd59416","hw_err_msm_mbx_error_sts_mbx_overflow_hw_err_upi_upi0_flit_mismatch_hw_err_upi_upi1_flit_mismatch_hw_mce_dcu_mcacod_d99fh_mscod_bfefh_hw_mce_dcu_mcacod_f9bfh_mscod_bffeh_hw_mce_dtlb_mcacod_d9bfh_mscod_bfefh_hw_mce_ifu_mcacod_f9bfh_mscod_bfffh_hw_mce_up...")</f>
        <v>hw_err_msm_mbx_error_sts_mbx_overflow_hw_err_upi_upi0_flit_mismatch_hw_err_upi_upi1_flit_mismatch_hw_mce_dcu_mcacod_d99fh_mscod_bfefh_hw_mce_dcu_mcacod_f9bfh_mscod_bffeh_hw_mce_dtlb_mcacod_d9bfh_mscod_bfefh_hw_mce_ifu_mcacod_f9bfh_mscod_bfffh_hw_mce_up...</v>
      </c>
      <c r="F326" s="2" t="str">
        <f>HYPERLINK("https://nga.laas.intel.com/#/nga_fv_gnr/planning/suites/1f60130b-5ac5-47b1-9f05-cd28a120f5c9","GNR-AP-X3_A2_VV")</f>
        <v>GNR-AP-X3_A2_VV</v>
      </c>
      <c r="G326" s="2" t="str">
        <f>HYPERLINK("https://axonsv.app.intel.com/apps/record-viewer?id=2c83ec4c-df6f-4fae-a59a-55f1ec776515","2c83ec4c-df6f-4fae-a59a-55f1ec776515")</f>
        <v>2c83ec4c-df6f-4fae-a59a-55f1ec776515</v>
      </c>
      <c r="I326" t="s">
        <v>414</v>
      </c>
      <c r="J326" t="s">
        <v>20</v>
      </c>
    </row>
    <row r="327" spans="1:10" ht="14.5" x14ac:dyDescent="0.35">
      <c r="A327" s="2" t="str">
        <f>HYPERLINK("https://nga.laas.intel.com/#/nga_fv_gnr/failureManagement/failures/38906a62-d9f8-4a7a-b0b9-1ef9709b4953","38906a62")</f>
        <v>38906a62</v>
      </c>
      <c r="B327" t="s">
        <v>102</v>
      </c>
      <c r="C327" t="s">
        <v>30</v>
      </c>
      <c r="D327" t="s">
        <v>66</v>
      </c>
      <c r="E327" s="2" t="str">
        <f>HYPERLINK("https://nga.laas.intel.com/#/nga_fv_gnr/failureManagement/bucket/9e74a742-b0c2-4451-bf2f-24b265e63110","hw_err_msm_mbx_error_sts_mbx_overflow")</f>
        <v>hw_err_msm_mbx_error_sts_mbx_overflow</v>
      </c>
      <c r="F327" s="2" t="str">
        <f>HYPERLINK("https://nga.laas.intel.com/#/nga_fv_gnr/planning/suites/2c7ec13c-df59-42c4-8a05-0f54498b2f70","SQ_PM_GNR_AP_SANITY")</f>
        <v>SQ_PM_GNR_AP_SANITY</v>
      </c>
      <c r="G327" s="2" t="str">
        <f>HYPERLINK("https://axonsv.app.intel.com/apps/record-viewer?id=e9a03b59-91c2-4b6b-a31e-7b4da0e4299e","e9a03b59-91c2-4b6b-a31e-7b4da0e4299e")</f>
        <v>e9a03b59-91c2-4b6b-a31e-7b4da0e4299e</v>
      </c>
      <c r="I327" t="s">
        <v>33</v>
      </c>
      <c r="J327" t="s">
        <v>61</v>
      </c>
    </row>
    <row r="328" spans="1:10" ht="14.5" x14ac:dyDescent="0.35">
      <c r="A328" s="2" t="str">
        <f>HYPERLINK("https://nga.laas.intel.com/#/nga_fv_gnr/failureManagement/failures/a000eaa0-60c3-4dba-99fd-120aa6094f15","a000eaa0")</f>
        <v>a000eaa0</v>
      </c>
      <c r="B328" t="s">
        <v>223</v>
      </c>
      <c r="C328" t="s">
        <v>22</v>
      </c>
      <c r="D328" t="s">
        <v>415</v>
      </c>
      <c r="F328" s="2" t="str">
        <f t="shared" ref="F328:F364" si="21">HYPERLINK("https://nga.laas.intel.com/#/nga_fv_gnr/planning/suites/1f60130b-5ac5-47b1-9f05-cd28a120f5c9","GNR-AP-X3_A2_VV")</f>
        <v>GNR-AP-X3_A2_VV</v>
      </c>
      <c r="G328" s="2" t="str">
        <f>HYPERLINK("https://axonsv.app.intel.com/apps/record-viewer?id=1806a1d2-278f-4007-bd25-7211ebff1fc3","1806a1d2-278f-4007-bd25-7211ebff1fc3")</f>
        <v>1806a1d2-278f-4007-bd25-7211ebff1fc3</v>
      </c>
      <c r="H328" t="s">
        <v>416</v>
      </c>
      <c r="I328" t="s">
        <v>395</v>
      </c>
      <c r="J328" t="s">
        <v>82</v>
      </c>
    </row>
    <row r="329" spans="1:10" ht="14.5" x14ac:dyDescent="0.35">
      <c r="A329" s="2" t="str">
        <f>HYPERLINK("https://nga.laas.intel.com/#/nga_fv_gnr/failureManagement/failures/0b870f04-a414-4293-ad39-10e8d7b3ca7e","0b870f04")</f>
        <v>0b870f04</v>
      </c>
      <c r="B329" t="s">
        <v>121</v>
      </c>
      <c r="C329" t="s">
        <v>22</v>
      </c>
      <c r="D329" t="s">
        <v>417</v>
      </c>
      <c r="E32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29" s="2" t="str">
        <f t="shared" si="21"/>
        <v>GNR-AP-X3_A2_VV</v>
      </c>
      <c r="G329" s="2" t="str">
        <f>HYPERLINK("https://axonsv.app.intel.com/apps/record-viewer?id=c4d5ebd2-1e4b-4678-a05f-ead4119d93f6","c4d5ebd2-1e4b-4678-a05f-ead4119d93f6")</f>
        <v>c4d5ebd2-1e4b-4678-a05f-ead4119d93f6</v>
      </c>
      <c r="I329" t="s">
        <v>395</v>
      </c>
      <c r="J329" t="s">
        <v>38</v>
      </c>
    </row>
    <row r="330" spans="1:10" ht="14.5" x14ac:dyDescent="0.35">
      <c r="A330" s="2" t="str">
        <f>HYPERLINK("https://nga.laas.intel.com/#/nga_fv_gnr/failureManagement/failures/5c5e0ac4-9da9-41be-b9ab-04c41d9afbfa","5c5e0ac4")</f>
        <v>5c5e0ac4</v>
      </c>
      <c r="B330" t="s">
        <v>48</v>
      </c>
      <c r="C330" t="s">
        <v>22</v>
      </c>
      <c r="D330" t="s">
        <v>406</v>
      </c>
      <c r="E330" s="2" t="str">
        <f>HYPERLINK("https://nga.laas.intel.com/#/nga_fv_gnr/failureManagement/bucket/69bec385-9f0f-42a5-be60-c8d0996ccb7c","hw_err_msm_mbx_error_sts_mbx_overflow,hw_mce_dcu_mcacod_4eefh_mscod_fdffh,hw_mce_dcu_mcacod_5eafh_mscod_bddfh,hw_mce_dcu_mcacod_5eafh_mscod_bfffh,hw_mce_dcu_mcacod_5eafh_mscod_fd5fh,hw_mce_dcu_mcacod_5eefh_mscod_bd7fh,hw_mce_dcu_mcacod_5eefh_mscod_bdbfh,h")</f>
        <v>hw_err_msm_mbx_error_sts_mbx_overflow,hw_mce_dcu_mcacod_4eefh_mscod_fdffh,hw_mce_dcu_mcacod_5eafh_mscod_bddfh,hw_mce_dcu_mcacod_5eafh_mscod_bfffh,hw_mce_dcu_mcacod_5eafh_mscod_fd5fh,hw_mce_dcu_mcacod_5eefh_mscod_bd7fh,hw_mce_dcu_mcacod_5eefh_mscod_bdbfh,h</v>
      </c>
      <c r="F330" s="2" t="str">
        <f t="shared" si="21"/>
        <v>GNR-AP-X3_A2_VV</v>
      </c>
      <c r="G330" s="2" t="str">
        <f>HYPERLINK("https://axonsv.app.intel.com/apps/record-viewer?id=27347789-74cc-4ad1-8171-efda9db13c2e","27347789-74cc-4ad1-8171-efda9db13c2e")</f>
        <v>27347789-74cc-4ad1-8171-efda9db13c2e</v>
      </c>
      <c r="H330" t="s">
        <v>418</v>
      </c>
      <c r="I330" t="s">
        <v>395</v>
      </c>
      <c r="J330" t="s">
        <v>51</v>
      </c>
    </row>
    <row r="331" spans="1:10" ht="14.5" x14ac:dyDescent="0.35">
      <c r="A331" s="2" t="str">
        <f>HYPERLINK("https://nga.laas.intel.com/#/nga_fv_gnr/failureManagement/failures/48b842ba-1b51-4a04-9f17-03c03e8d8ffb","48b842ba")</f>
        <v>48b842ba</v>
      </c>
      <c r="B331" t="s">
        <v>183</v>
      </c>
      <c r="C331" t="s">
        <v>22</v>
      </c>
      <c r="D331" t="s">
        <v>419</v>
      </c>
      <c r="E331" s="2" t="str">
        <f>HYPERLINK("https://nga.laas.intel.com/#/nga_fv_gnr/failureManagement/bucket/4e07fea5-9805-4a3e-88ff-8e3f6cbd6f64","hw_err_msm_mbx_error_sts_mbx_overflow,hw_mce_dcu_mcacod_ab76h_mscod_febfh,hw_mce_dcu_mcacod_ab76h_mscod_fefeh,hw_mce_dcu_mcacod_ab76h_mscod_feffh,hw_mce_dcu_mcacod_ab77h_mscod_feffh,hw_mce_dcu_mcacod_af76h_mscod_feffh,hw_mce_dcu_mcacod_bb76h_mscod_febfh,h")</f>
        <v>hw_err_msm_mbx_error_sts_mbx_overflow,hw_mce_dcu_mcacod_ab76h_mscod_febfh,hw_mce_dcu_mcacod_ab76h_mscod_fefeh,hw_mce_dcu_mcacod_ab76h_mscod_feffh,hw_mce_dcu_mcacod_ab77h_mscod_feffh,hw_mce_dcu_mcacod_af76h_mscod_feffh,hw_mce_dcu_mcacod_bb76h_mscod_febfh,h</v>
      </c>
      <c r="F331" s="2" t="str">
        <f t="shared" si="21"/>
        <v>GNR-AP-X3_A2_VV</v>
      </c>
      <c r="G331" s="2" t="str">
        <f>HYPERLINK("https://axonsv.app.intel.com/apps/record-viewer?id=3d69548d-5bd5-44e9-9337-54363b1d432b","3d69548d-5bd5-44e9-9337-54363b1d432b")</f>
        <v>3d69548d-5bd5-44e9-9337-54363b1d432b</v>
      </c>
      <c r="H331" t="s">
        <v>420</v>
      </c>
      <c r="I331" t="s">
        <v>395</v>
      </c>
      <c r="J331" t="s">
        <v>51</v>
      </c>
    </row>
    <row r="332" spans="1:10" ht="14.5" x14ac:dyDescent="0.35">
      <c r="A332" s="2" t="str">
        <f>HYPERLINK("https://nga.laas.intel.com/#/nga_fv_gnr/failureManagement/failures/495a493e-ff61-48a6-a2f0-21602bc4000b","495a493e")</f>
        <v>495a493e</v>
      </c>
      <c r="B332" t="s">
        <v>73</v>
      </c>
      <c r="C332" t="s">
        <v>11</v>
      </c>
      <c r="D332" t="s">
        <v>70</v>
      </c>
      <c r="E33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32" s="2" t="str">
        <f t="shared" si="21"/>
        <v>GNR-AP-X3_A2_VV</v>
      </c>
      <c r="G332" s="2" t="str">
        <f>HYPERLINK("https://axonsv.app.intel.com/apps/record-viewer?id=ac0ed1c5-30ed-4e2b-ad9e-f0319367a554","ac0ed1c5-30ed-4e2b-ad9e-f0319367a554")</f>
        <v>ac0ed1c5-30ed-4e2b-ad9e-f0319367a554</v>
      </c>
      <c r="I332" t="s">
        <v>395</v>
      </c>
      <c r="J332" t="s">
        <v>20</v>
      </c>
    </row>
    <row r="333" spans="1:10" ht="14.5" x14ac:dyDescent="0.35">
      <c r="A333" s="2" t="str">
        <f>HYPERLINK("https://nga.laas.intel.com/#/nga_fv_gnr/failureManagement/failures/4b307fe3-16cb-4a7e-aef7-174268115da9","4b307fe3")</f>
        <v>4b307fe3</v>
      </c>
      <c r="B333" t="s">
        <v>360</v>
      </c>
      <c r="C333" t="s">
        <v>22</v>
      </c>
      <c r="D333" t="s">
        <v>421</v>
      </c>
      <c r="E333" s="2" t="str">
        <f>HYPERLINK("https://nga.laas.intel.com/#/nga_fv_gnr/failureManagement/bucket/57e0e60f-244c-404b-b6e8-c196ab795ea2","hw_err_msm_mbx_error_sts_mbx_overflow_hw_mce_dcu_mcacod_c19eh_mscod_73fdh_hw_mce_dcu_mcacod_c1bfh_mscod_73d9h_hw_mce_dcu_mcacod_f1ffh_mscod_f3dch_hw_mce_dtlb_mcacod_81ffh_mscod_73dch_hw_mce_dtlb_mcacod_d9bfh_mscod_ffffh_hw_mce_ifu_mcacod_d1bfh_mscod_ff...")</f>
        <v>hw_err_msm_mbx_error_sts_mbx_overflow_hw_mce_dcu_mcacod_c19eh_mscod_73fdh_hw_mce_dcu_mcacod_c1bfh_mscod_73d9h_hw_mce_dcu_mcacod_f1ffh_mscod_f3dch_hw_mce_dtlb_mcacod_81ffh_mscod_73dch_hw_mce_dtlb_mcacod_d9bfh_mscod_ffffh_hw_mce_ifu_mcacod_d1bfh_mscod_ff...</v>
      </c>
      <c r="F333" s="2" t="str">
        <f t="shared" si="21"/>
        <v>GNR-AP-X3_A2_VV</v>
      </c>
      <c r="G333" s="2" t="str">
        <f>HYPERLINK("https://axonsv.app.intel.com/apps/record-viewer?id=0e7e893f-00b8-45cb-b572-b2a20a2a2c80","0e7e893f-00b8-45cb-b572-b2a20a2a2c80")</f>
        <v>0e7e893f-00b8-45cb-b572-b2a20a2a2c80</v>
      </c>
      <c r="I333" t="s">
        <v>395</v>
      </c>
      <c r="J333" t="s">
        <v>38</v>
      </c>
    </row>
    <row r="334" spans="1:10" ht="14.5" x14ac:dyDescent="0.35">
      <c r="A334" s="2" t="str">
        <f>HYPERLINK("https://nga.laas.intel.com/#/nga_fv_gnr/failureManagement/failures/95cb8ca5-f00b-4b48-91b0-1bb6c35252bb","95cb8ca5")</f>
        <v>95cb8ca5</v>
      </c>
      <c r="B334" t="s">
        <v>134</v>
      </c>
      <c r="C334" t="s">
        <v>22</v>
      </c>
      <c r="D334" t="s">
        <v>253</v>
      </c>
      <c r="E33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34" s="2" t="str">
        <f t="shared" si="21"/>
        <v>GNR-AP-X3_A2_VV</v>
      </c>
      <c r="G334" s="2" t="str">
        <f>HYPERLINK("https://axonsv.app.intel.com/apps/record-viewer?id=2d5c4f72-390d-4112-a7fe-b1c14c4b087a","2d5c4f72-390d-4112-a7fe-b1c14c4b087a")</f>
        <v>2d5c4f72-390d-4112-a7fe-b1c14c4b087a</v>
      </c>
      <c r="H334" t="s">
        <v>422</v>
      </c>
      <c r="I334" t="s">
        <v>395</v>
      </c>
      <c r="J334" t="s">
        <v>14</v>
      </c>
    </row>
    <row r="335" spans="1:10" ht="14.5" x14ac:dyDescent="0.35">
      <c r="A335" s="2" t="str">
        <f>HYPERLINK("https://nga.laas.intel.com/#/nga_fv_gnr/failureManagement/failures/72bb7eca-7ab2-43d5-aaff-12c4b8147072","72bb7eca")</f>
        <v>72bb7eca</v>
      </c>
      <c r="B335" t="s">
        <v>86</v>
      </c>
      <c r="C335" t="s">
        <v>30</v>
      </c>
      <c r="D335" t="s">
        <v>66</v>
      </c>
      <c r="E335" s="2" t="str">
        <f>HYPERLINK("https://nga.laas.intel.com/#/nga_fv_gnr/failureManagement/bucket/915cf161-ef1a-492a-8b09-3413188d8615","hw_err_msm_global_status_ctrl_reg_crashlog_err_hw_err_msm_global_status_ctrl_reg_global_viral_hw_err_msm_global_status_ctrl_reg_ierr_hw_err_msm_uncorecrashlog_ctrl_haderror_hw_mce_mlc_mcacod_a_code_error_mscod_a_code_error_hw_mce_mlc_mcacod_a_code_erro...")</f>
        <v>hw_err_msm_global_status_ctrl_reg_crashlog_err_hw_err_msm_global_status_ctrl_reg_global_viral_hw_err_msm_global_status_ctrl_reg_ierr_hw_err_msm_uncorecrashlog_ctrl_haderror_hw_mce_mlc_mcacod_a_code_error_mscod_a_code_error_hw_mce_mlc_mcacod_a_code_erro...</v>
      </c>
      <c r="F335" s="2" t="str">
        <f t="shared" si="21"/>
        <v>GNR-AP-X3_A2_VV</v>
      </c>
      <c r="G335" s="2" t="str">
        <f>HYPERLINK("https://axonsv.app.intel.com/apps/record-viewer?id=0fe59f88-2a8f-4494-8213-b8c4e1f5afc9","0fe59f88-2a8f-4494-8213-b8c4e1f5afc9")</f>
        <v>0fe59f88-2a8f-4494-8213-b8c4e1f5afc9</v>
      </c>
      <c r="I335" t="s">
        <v>423</v>
      </c>
      <c r="J335" t="s">
        <v>20</v>
      </c>
    </row>
    <row r="336" spans="1:10" ht="14.5" x14ac:dyDescent="0.35">
      <c r="A336" s="2" t="str">
        <f>HYPERLINK("https://nga.laas.intel.com/#/nga_fv_gnr/failureManagement/failures/60dd2008-4393-482a-a751-04f1c3a41439","60dd2008")</f>
        <v>60dd2008</v>
      </c>
      <c r="B336" t="s">
        <v>393</v>
      </c>
      <c r="C336" t="s">
        <v>22</v>
      </c>
      <c r="D336" t="s">
        <v>164</v>
      </c>
      <c r="E33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36" s="2" t="str">
        <f t="shared" si="21"/>
        <v>GNR-AP-X3_A2_VV</v>
      </c>
      <c r="G336" s="2" t="str">
        <f>HYPERLINK("https://axonsv.app.intel.com/apps/record-viewer?id=f60bef3f-72ac-474f-ad1b-2111789d1060","f60bef3f-72ac-474f-ad1b-2111789d1060")</f>
        <v>f60bef3f-72ac-474f-ad1b-2111789d1060</v>
      </c>
      <c r="I336" t="s">
        <v>395</v>
      </c>
      <c r="J336" t="s">
        <v>20</v>
      </c>
    </row>
    <row r="337" spans="1:10" ht="14.5" x14ac:dyDescent="0.35">
      <c r="A337" s="2" t="str">
        <f>HYPERLINK("https://nga.laas.intel.com/#/nga_fv_gnr/failureManagement/failures/e7574f26-adc2-45d2-84c0-116ab6626607","e7574f26")</f>
        <v>e7574f26</v>
      </c>
      <c r="B337" t="s">
        <v>48</v>
      </c>
      <c r="C337" t="s">
        <v>22</v>
      </c>
      <c r="D337" t="s">
        <v>425</v>
      </c>
      <c r="E33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37" s="2" t="str">
        <f t="shared" si="21"/>
        <v>GNR-AP-X3_A2_VV</v>
      </c>
      <c r="G337" s="2" t="str">
        <f>HYPERLINK("https://axonsv.app.intel.com/apps/record-viewer?id=45e88150-1e87-47e2-8aaa-9034e955cc16","45e88150-1e87-47e2-8aaa-9034e955cc16")</f>
        <v>45e88150-1e87-47e2-8aaa-9034e955cc16</v>
      </c>
      <c r="H337" t="s">
        <v>426</v>
      </c>
      <c r="I337" t="s">
        <v>395</v>
      </c>
      <c r="J337" t="s">
        <v>14</v>
      </c>
    </row>
    <row r="338" spans="1:10" ht="14.5" x14ac:dyDescent="0.35">
      <c r="A338" s="2" t="str">
        <f>HYPERLINK("https://nga.laas.intel.com/#/nga_fv_gnr/failureManagement/failures/2bb61f22-e33d-4e90-9ffc-17d0e18a7948","2bb61f22")</f>
        <v>2bb61f22</v>
      </c>
      <c r="B338" t="s">
        <v>360</v>
      </c>
      <c r="C338" t="s">
        <v>30</v>
      </c>
      <c r="D338" t="s">
        <v>66</v>
      </c>
      <c r="E338" s="2" t="str">
        <f>HYPERLINK("https://nga.laas.intel.com/#/nga_fv_gnr/failureManagement/bucket/be512eac-759b-44df-ac16-f84fcb178eea","hw_err_msm_mbx_error_sts_mbx_overflow_hw_err_msm_mbx_error_sts_mbx_overflow_nomatch")</f>
        <v>hw_err_msm_mbx_error_sts_mbx_overflow_hw_err_msm_mbx_error_sts_mbx_overflow_nomatch</v>
      </c>
      <c r="F338" s="2" t="str">
        <f t="shared" si="21"/>
        <v>GNR-AP-X3_A2_VV</v>
      </c>
      <c r="G338" s="2" t="str">
        <f>HYPERLINK("https://axonsv.app.intel.com/apps/record-viewer?id=ccdf6eab-9d10-4833-ae4c-dc7d57a281f8","ccdf6eab-9d10-4833-ae4c-dc7d57a281f8")</f>
        <v>ccdf6eab-9d10-4833-ae4c-dc7d57a281f8</v>
      </c>
      <c r="I338" t="s">
        <v>33</v>
      </c>
      <c r="J338" t="s">
        <v>51</v>
      </c>
    </row>
    <row r="339" spans="1:10" ht="14.5" x14ac:dyDescent="0.35">
      <c r="A339" s="2" t="str">
        <f>HYPERLINK("https://nga.laas.intel.com/#/nga_fv_gnr/failureManagement/failures/1a87ea34-c230-471a-aad7-1e985fee2e9b","1a87ea34")</f>
        <v>1a87ea34</v>
      </c>
      <c r="B339" t="s">
        <v>427</v>
      </c>
      <c r="C339" t="s">
        <v>30</v>
      </c>
      <c r="D339" t="s">
        <v>66</v>
      </c>
      <c r="E339" s="2" t="str">
        <f>HYPERLINK("https://nga.laas.intel.com/#/nga_fv_gnr/failureManagement/bucket/9e74a742-b0c2-4451-bf2f-24b265e63110","hw_err_msm_mbx_error_sts_mbx_overflow")</f>
        <v>hw_err_msm_mbx_error_sts_mbx_overflow</v>
      </c>
      <c r="F339" s="2" t="str">
        <f t="shared" si="21"/>
        <v>GNR-AP-X3_A2_VV</v>
      </c>
      <c r="G339" s="2" t="str">
        <f>HYPERLINK("https://axonsv.app.intel.com/apps/record-viewer?id=feed698b-a002-4b04-a706-a205e6baa551","feed698b-a002-4b04-a706-a205e6baa551")</f>
        <v>feed698b-a002-4b04-a706-a205e6baa551</v>
      </c>
      <c r="I339" t="s">
        <v>33</v>
      </c>
      <c r="J339" t="s">
        <v>47</v>
      </c>
    </row>
    <row r="340" spans="1:10" ht="14.5" x14ac:dyDescent="0.35">
      <c r="A340" s="2" t="str">
        <f>HYPERLINK("https://nga.laas.intel.com/#/nga_fv_gnr/failureManagement/failures/bdbb82ff-c8d3-47ab-9d9d-21298ccfa64d","bdbb82ff")</f>
        <v>bdbb82ff</v>
      </c>
      <c r="B340" t="s">
        <v>360</v>
      </c>
      <c r="C340" t="s">
        <v>22</v>
      </c>
      <c r="D340" t="s">
        <v>428</v>
      </c>
      <c r="E340" s="2" t="str">
        <f>HYPERLINK("https://nga.laas.intel.com/#/nga_fv_gnr/failureManagement/bucket/21e28162-dca8-4ae9-a8cd-1e7190fc5966","hw_err_msm_mbx_error_sts_mbx_overflow,hw_mce_dtlb_mcacod_d9bfh_mscod_ffefh,hw_mce_dtlb_mcacod_fbd7h_mscod_55afh")</f>
        <v>hw_err_msm_mbx_error_sts_mbx_overflow,hw_mce_dtlb_mcacod_d9bfh_mscod_ffefh,hw_mce_dtlb_mcacod_fbd7h_mscod_55afh</v>
      </c>
      <c r="F340" s="2" t="str">
        <f t="shared" si="21"/>
        <v>GNR-AP-X3_A2_VV</v>
      </c>
      <c r="G340" s="2" t="str">
        <f>HYPERLINK("https://axonsv.app.intel.com/apps/record-viewer?id=f68f7e16-7722-4cd8-be78-d84ed73bc152","f68f7e16-7722-4cd8-be78-d84ed73bc152")</f>
        <v>f68f7e16-7722-4cd8-be78-d84ed73bc152</v>
      </c>
      <c r="H340" t="s">
        <v>429</v>
      </c>
      <c r="I340" t="s">
        <v>430</v>
      </c>
      <c r="J340" t="s">
        <v>51</v>
      </c>
    </row>
    <row r="341" spans="1:10" ht="14.5" x14ac:dyDescent="0.35">
      <c r="A341" s="2" t="str">
        <f>HYPERLINK("https://nga.laas.intel.com/#/nga_fv_gnr/failureManagement/failures/0213b299-0c99-4e99-b8c1-001440466303","0213b299")</f>
        <v>0213b299</v>
      </c>
      <c r="B341" t="s">
        <v>431</v>
      </c>
      <c r="C341" t="s">
        <v>22</v>
      </c>
      <c r="D341" t="s">
        <v>60</v>
      </c>
      <c r="E341" s="2" t="str">
        <f>HYPERLINK("https://nga.laas.intel.com/#/nga_fv_gnr/failureManagement/bucket/66288d53-ac23-449a-98af-b3cc1b2511ea","hw_err_msm_mbx_error_sts_mbx_overflow_hw_mce_dcu_mcacod_33f6h_mscod_f5d3h_hw_mce_dcu_mcacod_3af4h_mscod_f5d2h_hw_mce_dcu_mcacod_3af6h_mscod_f1d7h_hw_mce_dcu_mcacod_bbf6h_mscod_f4d7h_hw_mce_dtlb_mcacod_3af6h_mscod_f1f7h_hw_mce_dtlb_mcacod_3af6h_mscod_f5...")</f>
        <v>hw_err_msm_mbx_error_sts_mbx_overflow_hw_mce_dcu_mcacod_33f6h_mscod_f5d3h_hw_mce_dcu_mcacod_3af4h_mscod_f5d2h_hw_mce_dcu_mcacod_3af6h_mscod_f1d7h_hw_mce_dcu_mcacod_bbf6h_mscod_f4d7h_hw_mce_dtlb_mcacod_3af6h_mscod_f1f7h_hw_mce_dtlb_mcacod_3af6h_mscod_f5...</v>
      </c>
      <c r="F341" s="2" t="str">
        <f t="shared" si="21"/>
        <v>GNR-AP-X3_A2_VV</v>
      </c>
      <c r="G341" s="2" t="str">
        <f>HYPERLINK("https://axonsv.app.intel.com/apps/record-viewer?id=baa613b2-4262-4892-908e-86e4c47ef92b","baa613b2-4262-4892-908e-86e4c47ef92b")</f>
        <v>baa613b2-4262-4892-908e-86e4c47ef92b</v>
      </c>
      <c r="I341" t="s">
        <v>395</v>
      </c>
      <c r="J341" t="s">
        <v>61</v>
      </c>
    </row>
    <row r="342" spans="1:10" ht="14.5" x14ac:dyDescent="0.35">
      <c r="A342" s="2" t="str">
        <f>HYPERLINK("https://nga.laas.intel.com/#/nga_fv_gnr/failureManagement/failures/c07b1753-abdb-4d84-b2a4-07b413fce584","c07b1753")</f>
        <v>c07b1753</v>
      </c>
      <c r="B342" t="s">
        <v>431</v>
      </c>
      <c r="C342" t="s">
        <v>22</v>
      </c>
      <c r="D342" t="s">
        <v>60</v>
      </c>
      <c r="E34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42" s="2" t="str">
        <f t="shared" si="21"/>
        <v>GNR-AP-X3_A2_VV</v>
      </c>
      <c r="G342" s="2" t="str">
        <f>HYPERLINK("https://axonsv.app.intel.com/apps/record-viewer?id=019536af-289f-40fd-9b17-a67ea599801f","019536af-289f-40fd-9b17-a67ea599801f")</f>
        <v>019536af-289f-40fd-9b17-a67ea599801f</v>
      </c>
      <c r="I342" t="s">
        <v>395</v>
      </c>
      <c r="J342" t="s">
        <v>61</v>
      </c>
    </row>
    <row r="343" spans="1:10" ht="14.5" x14ac:dyDescent="0.35">
      <c r="A343" s="2" t="str">
        <f>HYPERLINK("https://nga.laas.intel.com/#/nga_fv_gnr/failureManagement/failures/8a7752c5-2a3f-4b3c-ac6a-09650ef96170","8a7752c5")</f>
        <v>8a7752c5</v>
      </c>
      <c r="B343" t="s">
        <v>18</v>
      </c>
      <c r="C343" t="s">
        <v>22</v>
      </c>
      <c r="D343" t="s">
        <v>432</v>
      </c>
      <c r="E34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43" s="2" t="str">
        <f t="shared" si="21"/>
        <v>GNR-AP-X3_A2_VV</v>
      </c>
      <c r="G343" s="2" t="str">
        <f>HYPERLINK("https://axonsv.app.intel.com/apps/record-viewer?id=a2f9299a-292f-42a6-acdf-e5146ce8f1fa","a2f9299a-292f-42a6-acdf-e5146ce8f1fa")</f>
        <v>a2f9299a-292f-42a6-acdf-e5146ce8f1fa</v>
      </c>
      <c r="H343" t="s">
        <v>433</v>
      </c>
      <c r="I343" t="s">
        <v>434</v>
      </c>
      <c r="J343" t="s">
        <v>14</v>
      </c>
    </row>
    <row r="344" spans="1:10" ht="14.5" x14ac:dyDescent="0.35">
      <c r="A344" s="2" t="str">
        <f>HYPERLINK("https://nga.laas.intel.com/#/nga_fv_gnr/failureManagement/failures/bdf41e0f-d466-43f6-a4ba-005be0adaa93","bdf41e0f")</f>
        <v>bdf41e0f</v>
      </c>
      <c r="B344" t="s">
        <v>127</v>
      </c>
      <c r="C344" t="s">
        <v>30</v>
      </c>
      <c r="D344" t="s">
        <v>66</v>
      </c>
      <c r="E344" s="2" t="str">
        <f>HYPERLINK("https://nga.laas.intel.com/#/nga_fv_gnr/failureManagement/bucket/0836e157-4289-44a0-a9f5-24f1760a82e2","no_svtools_report_signature_nomatch")</f>
        <v>no_svtools_report_signature_nomatch</v>
      </c>
      <c r="F344" s="2" t="str">
        <f t="shared" si="21"/>
        <v>GNR-AP-X3_A2_VV</v>
      </c>
      <c r="G344" s="2" t="str">
        <f>HYPERLINK("https://axonsv.app.intel.com/apps/record-viewer?id=fdc13ac4-4807-4b6d-9d00-fdb3a6325612","fdc13ac4-4807-4b6d-9d00-fdb3a6325612")</f>
        <v>fdc13ac4-4807-4b6d-9d00-fdb3a6325612</v>
      </c>
      <c r="I344" t="s">
        <v>372</v>
      </c>
      <c r="J344" t="s">
        <v>20</v>
      </c>
    </row>
    <row r="345" spans="1:10" ht="14.5" x14ac:dyDescent="0.35">
      <c r="A345" s="2" t="str">
        <f>HYPERLINK("https://nga.laas.intel.com/#/nga_fv_gnr/failureManagement/failures/88ad7ca9-a6d5-4e30-82db-168ea3dad8ac","88ad7ca9")</f>
        <v>88ad7ca9</v>
      </c>
      <c r="B345" t="s">
        <v>362</v>
      </c>
      <c r="C345" t="s">
        <v>30</v>
      </c>
      <c r="D345" t="s">
        <v>66</v>
      </c>
      <c r="E345" s="2" t="str">
        <f>HYPERLINK("https://nga.laas.intel.com/#/nga_fv_gnr/failureManagement/bucket/0836e157-4289-44a0-a9f5-24f1760a82e2","no_svtools_report_signature_nomatch")</f>
        <v>no_svtools_report_signature_nomatch</v>
      </c>
      <c r="F345" s="2" t="str">
        <f t="shared" si="21"/>
        <v>GNR-AP-X3_A2_VV</v>
      </c>
      <c r="G345" s="2" t="str">
        <f>HYPERLINK("https://axonsv.app.intel.com/apps/record-viewer?id=d4367b95-4dcf-443e-8a1f-9dcf44587e67","d4367b95-4dcf-443e-8a1f-9dcf44587e67")</f>
        <v>d4367b95-4dcf-443e-8a1f-9dcf44587e67</v>
      </c>
      <c r="I345" t="s">
        <v>372</v>
      </c>
      <c r="J345" t="s">
        <v>20</v>
      </c>
    </row>
    <row r="346" spans="1:10" ht="14.5" x14ac:dyDescent="0.35">
      <c r="A346" s="2" t="str">
        <f>HYPERLINK("https://nga.laas.intel.com/#/nga_fv_gnr/failureManagement/failures/db69eed5-7742-4c85-a10a-15b67d0ae1d9","db69eed5")</f>
        <v>db69eed5</v>
      </c>
      <c r="B346" t="s">
        <v>18</v>
      </c>
      <c r="C346" t="s">
        <v>11</v>
      </c>
      <c r="D346" t="s">
        <v>15</v>
      </c>
      <c r="E346" s="2" t="str">
        <f>HYPERLINK("https://nga.laas.intel.com/#/nga_fv_gnr/failureManagement/bucket/e8b56448-6609-43a0-97d6-317d905fc832","hw_err_msm_global_status_ctrl_reg_general_mca_hw_err_msm_global_status_ctrl_reg_global_viral_hw_err_msm_global_status_ctrl_reg_ierr_hw_err_msm_mbx_error_sts_mbx_overflow_hw_err_ubox_ncevents_ncevents_cr_bankmerge5_errlog_hw_err_ubox_ncevents_ncevents_c...")</f>
        <v>hw_err_msm_global_status_ctrl_reg_general_mca_hw_err_msm_global_status_ctrl_reg_global_viral_hw_err_msm_global_status_ctrl_reg_ierr_hw_err_msm_mbx_error_sts_mbx_overflow_hw_err_ubox_ncevents_ncevents_cr_bankmerge5_errlog_hw_err_ubox_ncevents_ncevents_c...</v>
      </c>
      <c r="F346" s="2" t="str">
        <f t="shared" si="21"/>
        <v>GNR-AP-X3_A2_VV</v>
      </c>
      <c r="G346" s="2" t="str">
        <f>HYPERLINK("https://axonsv.app.intel.com/apps/record-viewer?id=0141382d-8c34-420e-a1c5-a7c213d2d42a","0141382d-8c34-420e-a1c5-a7c213d2d42a")</f>
        <v>0141382d-8c34-420e-a1c5-a7c213d2d42a</v>
      </c>
      <c r="I346" t="s">
        <v>435</v>
      </c>
      <c r="J346" t="s">
        <v>14</v>
      </c>
    </row>
    <row r="347" spans="1:10" ht="14.5" x14ac:dyDescent="0.35">
      <c r="A347" s="2" t="str">
        <f>HYPERLINK("https://nga.laas.intel.com/#/nga_fv_gnr/failureManagement/failures/b9f367b6-0853-46ee-b9fe-22229f0aeb26","b9f367b6")</f>
        <v>b9f367b6</v>
      </c>
      <c r="B347" t="s">
        <v>436</v>
      </c>
      <c r="C347" t="s">
        <v>22</v>
      </c>
      <c r="D347" t="s">
        <v>376</v>
      </c>
      <c r="E34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47" s="2" t="str">
        <f t="shared" si="21"/>
        <v>GNR-AP-X3_A2_VV</v>
      </c>
      <c r="G347" s="2" t="str">
        <f>HYPERLINK("https://axonsv.app.intel.com/apps/record-viewer?id=6ab97a34-1302-4286-909d-e81361c7ea79","6ab97a34-1302-4286-909d-e81361c7ea79")</f>
        <v>6ab97a34-1302-4286-909d-e81361c7ea79</v>
      </c>
      <c r="I347" t="s">
        <v>395</v>
      </c>
      <c r="J347" t="s">
        <v>47</v>
      </c>
    </row>
    <row r="348" spans="1:10" ht="14.5" x14ac:dyDescent="0.35">
      <c r="A348" s="2" t="str">
        <f>HYPERLINK("https://nga.laas.intel.com/#/nga_fv_gnr/failureManagement/failures/898311e8-5ff3-46c1-8afc-1406b6bac432","898311e8")</f>
        <v>898311e8</v>
      </c>
      <c r="B348" t="s">
        <v>223</v>
      </c>
      <c r="C348" t="s">
        <v>22</v>
      </c>
      <c r="D348" t="s">
        <v>309</v>
      </c>
      <c r="E348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48" s="2" t="str">
        <f t="shared" si="21"/>
        <v>GNR-AP-X3_A2_VV</v>
      </c>
      <c r="G348" s="2" t="str">
        <f>HYPERLINK("https://axonsv.app.intel.com/apps/record-viewer?id=3215ea3f-be5e-423a-86b2-5fbff6ffc440","3215ea3f-be5e-423a-86b2-5fbff6ffc440")</f>
        <v>3215ea3f-be5e-423a-86b2-5fbff6ffc440</v>
      </c>
      <c r="I348" t="s">
        <v>395</v>
      </c>
      <c r="J348" t="s">
        <v>20</v>
      </c>
    </row>
    <row r="349" spans="1:10" ht="14.5" x14ac:dyDescent="0.35">
      <c r="A349" s="2" t="str">
        <f>HYPERLINK("https://nga.laas.intel.com/#/nga_fv_gnr/failureManagement/failures/287c1010-ebec-4f77-a722-17fd09996f3e","287c1010")</f>
        <v>287c1010</v>
      </c>
      <c r="B349" t="s">
        <v>437</v>
      </c>
      <c r="C349" t="s">
        <v>22</v>
      </c>
      <c r="D349" t="s">
        <v>438</v>
      </c>
      <c r="E34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49" s="2" t="str">
        <f t="shared" si="21"/>
        <v>GNR-AP-X3_A2_VV</v>
      </c>
      <c r="G349" s="2" t="str">
        <f>HYPERLINK("https://axonsv.app.intel.com/apps/record-viewer?id=69df3c3d-9eb4-47ff-a1fc-7550906369cc","69df3c3d-9eb4-47ff-a1fc-7550906369cc")</f>
        <v>69df3c3d-9eb4-47ff-a1fc-7550906369cc</v>
      </c>
      <c r="I349" t="s">
        <v>395</v>
      </c>
      <c r="J349" t="s">
        <v>14</v>
      </c>
    </row>
    <row r="350" spans="1:10" ht="14.5" x14ac:dyDescent="0.35">
      <c r="A350" s="2" t="str">
        <f>HYPERLINK("https://nga.laas.intel.com/#/nga_fv_gnr/failureManagement/failures/68d575fb-1ed6-4358-ae3f-0425e72bac0e","68d575fb")</f>
        <v>68d575fb</v>
      </c>
      <c r="B350" t="s">
        <v>326</v>
      </c>
      <c r="C350" t="s">
        <v>22</v>
      </c>
      <c r="D350" t="s">
        <v>439</v>
      </c>
      <c r="E35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0" s="2" t="str">
        <f t="shared" si="21"/>
        <v>GNR-AP-X3_A2_VV</v>
      </c>
      <c r="G350" s="2" t="str">
        <f>HYPERLINK("https://axonsv.app.intel.com/apps/record-viewer?id=7f14f3a5-c39f-4386-aa65-24badce0f909","7f14f3a5-c39f-4386-aa65-24badce0f909")</f>
        <v>7f14f3a5-c39f-4386-aa65-24badce0f909</v>
      </c>
      <c r="H350" t="s">
        <v>440</v>
      </c>
      <c r="I350" t="s">
        <v>395</v>
      </c>
      <c r="J350" t="s">
        <v>51</v>
      </c>
    </row>
    <row r="351" spans="1:10" ht="14.5" x14ac:dyDescent="0.35">
      <c r="A351" s="2" t="str">
        <f>HYPERLINK("https://nga.laas.intel.com/#/nga_fv_gnr/failureManagement/failures/dfe267c0-bbce-478f-b097-0c57601c4641","dfe267c0")</f>
        <v>dfe267c0</v>
      </c>
      <c r="B351" t="s">
        <v>73</v>
      </c>
      <c r="C351" t="s">
        <v>22</v>
      </c>
      <c r="D351" t="s">
        <v>441</v>
      </c>
      <c r="E35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1" s="2" t="str">
        <f t="shared" si="21"/>
        <v>GNR-AP-X3_A2_VV</v>
      </c>
      <c r="G351" s="2" t="str">
        <f>HYPERLINK("https://axonsv.app.intel.com/apps/record-viewer?id=7a814025-fc98-4ad3-9f53-cda5506ea685","7a814025-fc98-4ad3-9f53-cda5506ea685")</f>
        <v>7a814025-fc98-4ad3-9f53-cda5506ea685</v>
      </c>
      <c r="I351" t="s">
        <v>395</v>
      </c>
      <c r="J351" t="s">
        <v>47</v>
      </c>
    </row>
    <row r="352" spans="1:10" ht="14.5" x14ac:dyDescent="0.35">
      <c r="A352" s="2" t="str">
        <f>HYPERLINK("https://nga.laas.intel.com/#/nga_fv_gnr/failureManagement/failures/d9399914-a5a9-46b9-927c-02c56712b1ca","d9399914")</f>
        <v>d9399914</v>
      </c>
      <c r="B352" t="s">
        <v>127</v>
      </c>
      <c r="C352" t="s">
        <v>22</v>
      </c>
      <c r="D352" t="s">
        <v>366</v>
      </c>
      <c r="E352" s="2" t="str">
        <f>HYPERLINK("https://nga.laas.intel.com/#/nga_fv_gnr/failureManagement/bucket/ac021a00-5103-4fe5-8c7f-15a30ebbd573","hw_err_msm_mbx_error_sts_mbx_overflow,hw_mce_dcu_mcacod_7f1fh_mscod_5ff8h,hw_mce_dcu_mcacod_f31fh_mscod_7ffbh,hw_mce_dcu_mcacod_ff3fh_mscod_dfffh,hw_mce_dcu_mcacod_ff7bh_mscod_9fffh,hw_mce_dcu_mcacod_ff7fh_mscod_9ff7h,hw_mce_dcu_mcacod_ff7fh_mscod_9fffh,h")</f>
        <v>hw_err_msm_mbx_error_sts_mbx_overflow,hw_mce_dcu_mcacod_7f1fh_mscod_5ff8h,hw_mce_dcu_mcacod_f31fh_mscod_7ffbh,hw_mce_dcu_mcacod_ff3fh_mscod_dfffh,hw_mce_dcu_mcacod_ff7bh_mscod_9fffh,hw_mce_dcu_mcacod_ff7fh_mscod_9ff7h,hw_mce_dcu_mcacod_ff7fh_mscod_9fffh,h</v>
      </c>
      <c r="F352" s="2" t="str">
        <f t="shared" si="21"/>
        <v>GNR-AP-X3_A2_VV</v>
      </c>
      <c r="G352" s="2" t="str">
        <f>HYPERLINK("https://axonsv.app.intel.com/apps/record-viewer?id=fed9c96e-d78b-403d-a91b-e54450215e12","fed9c96e-d78b-403d-a91b-e54450215e12")</f>
        <v>fed9c96e-d78b-403d-a91b-e54450215e12</v>
      </c>
      <c r="H352" t="s">
        <v>442</v>
      </c>
      <c r="I352" t="s">
        <v>395</v>
      </c>
      <c r="J352" t="s">
        <v>51</v>
      </c>
    </row>
    <row r="353" spans="1:10" ht="14.5" x14ac:dyDescent="0.35">
      <c r="A353" s="2" t="str">
        <f>HYPERLINK("https://nga.laas.intel.com/#/nga_fv_gnr/failureManagement/failures/29fc69d1-c21e-4ec6-8680-09cd02316860","29fc69d1")</f>
        <v>29fc69d1</v>
      </c>
      <c r="B353" t="s">
        <v>354</v>
      </c>
      <c r="C353" t="s">
        <v>22</v>
      </c>
      <c r="D353" t="s">
        <v>94</v>
      </c>
      <c r="E35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3" s="2" t="str">
        <f t="shared" si="21"/>
        <v>GNR-AP-X3_A2_VV</v>
      </c>
      <c r="G353" s="2" t="str">
        <f>HYPERLINK("https://axonsv.app.intel.com/apps/record-viewer?id=d3515063-b0d7-4a82-b0a3-a8f73f830403","d3515063-b0d7-4a82-b0a3-a8f73f830403")</f>
        <v>d3515063-b0d7-4a82-b0a3-a8f73f830403</v>
      </c>
      <c r="H353" t="s">
        <v>443</v>
      </c>
      <c r="I353" t="s">
        <v>444</v>
      </c>
      <c r="J353" t="s">
        <v>51</v>
      </c>
    </row>
    <row r="354" spans="1:10" ht="14.5" x14ac:dyDescent="0.35">
      <c r="A354" s="2" t="str">
        <f>HYPERLINK("https://nga.laas.intel.com/#/nga_fv_gnr/failureManagement/failures/fcbdc8fa-6b75-4c32-9b76-01ae0ab9711b","fcbdc8fa")</f>
        <v>fcbdc8fa</v>
      </c>
      <c r="B354" t="s">
        <v>362</v>
      </c>
      <c r="C354" t="s">
        <v>22</v>
      </c>
      <c r="D354" t="s">
        <v>60</v>
      </c>
      <c r="E35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4" s="2" t="str">
        <f t="shared" si="21"/>
        <v>GNR-AP-X3_A2_VV</v>
      </c>
      <c r="G354" s="2" t="str">
        <f>HYPERLINK("https://axonsv.app.intel.com/apps/record-viewer?id=24294c25-4d15-4ae5-9753-9c17a976059e","24294c25-4d15-4ae5-9753-9c17a976059e")</f>
        <v>24294c25-4d15-4ae5-9753-9c17a976059e</v>
      </c>
      <c r="I354" t="s">
        <v>395</v>
      </c>
      <c r="J354" t="s">
        <v>61</v>
      </c>
    </row>
    <row r="355" spans="1:10" ht="14.5" x14ac:dyDescent="0.35">
      <c r="A355" s="2" t="str">
        <f>HYPERLINK("https://nga.laas.intel.com/#/nga_fv_gnr/failureManagement/failures/3ae035db-8add-479a-9c23-188f81293068","3ae035db")</f>
        <v>3ae035db</v>
      </c>
      <c r="B355" t="s">
        <v>362</v>
      </c>
      <c r="C355" t="s">
        <v>22</v>
      </c>
      <c r="D355" t="s">
        <v>445</v>
      </c>
      <c r="E355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5" s="2" t="str">
        <f t="shared" si="21"/>
        <v>GNR-AP-X3_A2_VV</v>
      </c>
      <c r="G355" s="2" t="str">
        <f>HYPERLINK("https://axonsv.app.intel.com/apps/record-viewer?id=caf82a4a-a27b-4d6c-8982-70fdddfe5cc6","caf82a4a-a27b-4d6c-8982-70fdddfe5cc6")</f>
        <v>caf82a4a-a27b-4d6c-8982-70fdddfe5cc6</v>
      </c>
      <c r="I355" t="s">
        <v>395</v>
      </c>
      <c r="J355" t="s">
        <v>14</v>
      </c>
    </row>
    <row r="356" spans="1:10" ht="14.5" x14ac:dyDescent="0.35">
      <c r="A356" s="2" t="str">
        <f>HYPERLINK("https://nga.laas.intel.com/#/nga_fv_gnr/failureManagement/failures/408f8126-cb03-4042-81a5-10c4e7393da5","408f8126")</f>
        <v>408f8126</v>
      </c>
      <c r="B356" t="s">
        <v>90</v>
      </c>
      <c r="C356" t="s">
        <v>22</v>
      </c>
      <c r="D356" t="s">
        <v>446</v>
      </c>
      <c r="E356" s="2" t="str">
        <f>HYPERLINK("https://nga.laas.intel.com/#/nga_fv_gnr/failureManagement/bucket/4932519a-970c-4307-9593-1c2a12fa233a","hw_err_msm_mbx_error_sts_mbx_overflow,hw_mce_dcu_mcacod_2fadh_mscod_3ecfh,hw_mce_dcu_mcacod_2fafh_mscod_1ecfh,hw_mce_dcu_mcacod_2fafh_mscod_1edfh,hw_mce_dcu_mcacod_2fafh_mscod_9ecfh,hw_mce_dcu_mcacod_6fafh_mscod_3edfh,hw_mce_dcu_mcacod_afafh_mscod_1ecfh,h")</f>
        <v>hw_err_msm_mbx_error_sts_mbx_overflow,hw_mce_dcu_mcacod_2fadh_mscod_3ecfh,hw_mce_dcu_mcacod_2fafh_mscod_1ecfh,hw_mce_dcu_mcacod_2fafh_mscod_1edfh,hw_mce_dcu_mcacod_2fafh_mscod_9ecfh,hw_mce_dcu_mcacod_6fafh_mscod_3edfh,hw_mce_dcu_mcacod_afafh_mscod_1ecfh,h</v>
      </c>
      <c r="F356" s="2" t="str">
        <f t="shared" si="21"/>
        <v>GNR-AP-X3_A2_VV</v>
      </c>
      <c r="G356" s="2" t="str">
        <f>HYPERLINK("https://axonsv.app.intel.com/apps/record-viewer?id=ba6c204e-7618-4b9e-a9d2-a641a210b4a3","ba6c204e-7618-4b9e-a9d2-a641a210b4a3")</f>
        <v>ba6c204e-7618-4b9e-a9d2-a641a210b4a3</v>
      </c>
      <c r="H356" t="s">
        <v>447</v>
      </c>
      <c r="I356" t="s">
        <v>395</v>
      </c>
      <c r="J356" t="s">
        <v>82</v>
      </c>
    </row>
    <row r="357" spans="1:10" ht="14.5" x14ac:dyDescent="0.35">
      <c r="A357" s="2" t="str">
        <f>HYPERLINK("https://nga.laas.intel.com/#/nga_fv_gnr/failureManagement/failures/e27a2eae-4bcd-4fc4-813f-0024955f6127","e27a2eae")</f>
        <v>e27a2eae</v>
      </c>
      <c r="B357" t="s">
        <v>179</v>
      </c>
      <c r="C357" t="s">
        <v>22</v>
      </c>
      <c r="D357" t="s">
        <v>139</v>
      </c>
      <c r="E35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7" s="2" t="str">
        <f t="shared" si="21"/>
        <v>GNR-AP-X3_A2_VV</v>
      </c>
      <c r="G357" s="2" t="str">
        <f>HYPERLINK("https://axonsv.app.intel.com/apps/record-viewer?id=835d209e-d38b-4957-8178-45b2aace9f77","835d209e-d38b-4957-8178-45b2aace9f77")</f>
        <v>835d209e-d38b-4957-8178-45b2aace9f77</v>
      </c>
      <c r="I357" t="s">
        <v>395</v>
      </c>
      <c r="J357" t="s">
        <v>74</v>
      </c>
    </row>
    <row r="358" spans="1:10" ht="14.5" x14ac:dyDescent="0.35">
      <c r="A358" s="2" t="str">
        <f>HYPERLINK("https://nga.laas.intel.com/#/nga_fv_gnr/failureManagement/failures/a0f61a66-0dfd-4e0f-a567-18559bcb1c53","a0f61a66")</f>
        <v>a0f61a66</v>
      </c>
      <c r="B358" t="s">
        <v>121</v>
      </c>
      <c r="C358" t="s">
        <v>22</v>
      </c>
      <c r="D358" t="s">
        <v>448</v>
      </c>
      <c r="E358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58" s="2" t="str">
        <f t="shared" si="21"/>
        <v>GNR-AP-X3_A2_VV</v>
      </c>
      <c r="G358" s="2" t="str">
        <f>HYPERLINK("https://axonsv.app.intel.com/apps/record-viewer?id=7e14c7c9-6a68-41e4-b45f-0903ab8272bc","7e14c7c9-6a68-41e4-b45f-0903ab8272bc")</f>
        <v>7e14c7c9-6a68-41e4-b45f-0903ab8272bc</v>
      </c>
      <c r="H358" t="s">
        <v>449</v>
      </c>
      <c r="I358" t="s">
        <v>395</v>
      </c>
      <c r="J358" t="s">
        <v>14</v>
      </c>
    </row>
    <row r="359" spans="1:10" ht="14.5" x14ac:dyDescent="0.35">
      <c r="A359" s="2" t="str">
        <f>HYPERLINK("https://nga.laas.intel.com/#/nga_fv_gnr/failureManagement/failures/83575965-dcfa-4cbe-ade0-1f560c809fb2","83575965")</f>
        <v>83575965</v>
      </c>
      <c r="B359" t="s">
        <v>450</v>
      </c>
      <c r="C359" t="s">
        <v>22</v>
      </c>
      <c r="D359" t="s">
        <v>451</v>
      </c>
      <c r="E359" s="2" t="str">
        <f>HYPERLINK("https://nga.laas.intel.com/#/nga_fv_gnr/failureManagement/bucket/b5705420-aaa2-48f8-83ce-6a01ac3ca95e","hw_err_msm_mbx_error_sts_mbx_overflow,hw_mce_dcu_mcacod_b6f9h_mscod_7bedh,hw_mce_dcu_mcacod_debbh_mscod_7b58h,hw_mce_dcu_mcacod_dffeh_mscod_ffebh,hw_mce_dcu_mcacod_f4dfh_mscod_7f9ah,hw_mce_dcu_mcacod_f4f8h_mscod_5a85h,hw_mce_dcu_mcacod_f4f9h_mscod_5a8dh,h")</f>
        <v>hw_err_msm_mbx_error_sts_mbx_overflow,hw_mce_dcu_mcacod_b6f9h_mscod_7bedh,hw_mce_dcu_mcacod_debbh_mscod_7b58h,hw_mce_dcu_mcacod_dffeh_mscod_ffebh,hw_mce_dcu_mcacod_f4dfh_mscod_7f9ah,hw_mce_dcu_mcacod_f4f8h_mscod_5a85h,hw_mce_dcu_mcacod_f4f9h_mscod_5a8dh,h</v>
      </c>
      <c r="F359" s="2" t="str">
        <f t="shared" si="21"/>
        <v>GNR-AP-X3_A2_VV</v>
      </c>
      <c r="G359" s="2" t="str">
        <f>HYPERLINK("https://axonsv.app.intel.com/apps/record-viewer?id=d60aa796-6151-42db-9482-769615d5214f","d60aa796-6151-42db-9482-769615d5214f")</f>
        <v>d60aa796-6151-42db-9482-769615d5214f</v>
      </c>
      <c r="H359" t="s">
        <v>452</v>
      </c>
      <c r="I359" t="s">
        <v>395</v>
      </c>
      <c r="J359" t="s">
        <v>82</v>
      </c>
    </row>
    <row r="360" spans="1:10" ht="14.5" x14ac:dyDescent="0.35">
      <c r="A360" s="2" t="str">
        <f>HYPERLINK("https://nga.laas.intel.com/#/nga_fv_gnr/failureManagement/failures/29a07c29-468d-4e7d-82e2-171d6ca8986d","29a07c29")</f>
        <v>29a07c29</v>
      </c>
      <c r="B360" t="s">
        <v>73</v>
      </c>
      <c r="C360" t="s">
        <v>22</v>
      </c>
      <c r="D360" t="s">
        <v>453</v>
      </c>
      <c r="E360" s="2" t="str">
        <f>HYPERLINK("https://nga.laas.intel.com/#/nga_fv_gnr/failureManagement/bucket/87391aed-5a46-4e76-bd3a-85b84ec3594e","hw_err_msm_global_status_ctrl_reg_global_viral_hw_err_msm_global_status_ctrl_reg_ierr_hw_err_msm_mbx_error_sts_mbx_overflow_hw_err_ubox_ncevents_ncevents_cr_bankmerge5_errlog_hw_err_ubox_ncevents_ncevents_cr_bankmerge6_errlog_hw_err_upi_upi0_flit_misma...")</f>
        <v>hw_err_msm_global_status_ctrl_reg_global_viral_hw_err_msm_global_status_ctrl_reg_ierr_hw_err_msm_mbx_error_sts_mbx_overflow_hw_err_ubox_ncevents_ncevents_cr_bankmerge5_errlog_hw_err_ubox_ncevents_ncevents_cr_bankmerge6_errlog_hw_err_upi_upi0_flit_misma...</v>
      </c>
      <c r="F360" s="2" t="str">
        <f t="shared" si="21"/>
        <v>GNR-AP-X3_A2_VV</v>
      </c>
      <c r="G360" s="2" t="str">
        <f>HYPERLINK("https://axonsv.app.intel.com/apps/record-viewer?id=8efca9e6-88e4-9b0c-3703-551d90d76497","8efca9e6-88e4-9b0c-3703-551d90d76497")</f>
        <v>8efca9e6-88e4-9b0c-3703-551d90d76497</v>
      </c>
      <c r="I360" t="s">
        <v>454</v>
      </c>
      <c r="J360" t="s">
        <v>34</v>
      </c>
    </row>
    <row r="361" spans="1:10" ht="14.5" x14ac:dyDescent="0.35">
      <c r="A361" s="2" t="str">
        <f>HYPERLINK("https://nga.laas.intel.com/#/nga_fv_gnr/failureManagement/failures/35b906ca-6825-4f62-82a3-13e639132cfe","35b906ca")</f>
        <v>35b906ca</v>
      </c>
      <c r="B361" t="s">
        <v>455</v>
      </c>
      <c r="C361" t="s">
        <v>22</v>
      </c>
      <c r="D361" t="s">
        <v>43</v>
      </c>
      <c r="E361" s="2" t="str">
        <f>HYPERLINK("https://nga.laas.intel.com/#/nga_fv_gnr/failureManagement/bucket/622c3a4c-7e76-49cd-b5e6-e144334c2867","hw_err_msm_mbx_error_sts_mbx_overflow_hw_mce_dcu_mcacod_5ee8h_mscod_7f4fh_hw_mce_dcu_mcacod_76a8h_mscod_7fcdh_hw_mce_dcu_mcacod_7fa8h_mscod_7fcdh_hw_mce_dcu_mcacod_busl0_x_x_io_timeout_err_mscod_7f4dh_hw_mce_ifu_mcacod_2ee8h_mscod_7f4fh_hw_mce_ifu_mcac...")</f>
        <v>hw_err_msm_mbx_error_sts_mbx_overflow_hw_mce_dcu_mcacod_5ee8h_mscod_7f4fh_hw_mce_dcu_mcacod_76a8h_mscod_7fcdh_hw_mce_dcu_mcacod_7fa8h_mscod_7fcdh_hw_mce_dcu_mcacod_busl0_x_x_io_timeout_err_mscod_7f4dh_hw_mce_ifu_mcacod_2ee8h_mscod_7f4fh_hw_mce_ifu_mcac...</v>
      </c>
      <c r="F361" s="2" t="str">
        <f t="shared" si="21"/>
        <v>GNR-AP-X3_A2_VV</v>
      </c>
      <c r="G361" s="2" t="str">
        <f>HYPERLINK("https://axonsv.app.intel.com/apps/record-viewer?id=0a161d18-8255-4a05-b731-1038de164fc5","0a161d18-8255-4a05-b731-1038de164fc5")</f>
        <v>0a161d18-8255-4a05-b731-1038de164fc5</v>
      </c>
      <c r="I361" t="s">
        <v>410</v>
      </c>
      <c r="J361" t="s">
        <v>38</v>
      </c>
    </row>
    <row r="362" spans="1:10" ht="14.5" x14ac:dyDescent="0.35">
      <c r="A362" s="2" t="str">
        <f>HYPERLINK("https://nga.laas.intel.com/#/nga_fv_gnr/failureManagement/failures/ad7c1eae-df43-42be-9bc7-169c76859b57","ad7c1eae")</f>
        <v>ad7c1eae</v>
      </c>
      <c r="B362" t="s">
        <v>185</v>
      </c>
      <c r="C362" t="s">
        <v>22</v>
      </c>
      <c r="D362" t="s">
        <v>456</v>
      </c>
      <c r="E36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62" s="2" t="str">
        <f t="shared" si="21"/>
        <v>GNR-AP-X3_A2_VV</v>
      </c>
      <c r="G362" s="2" t="str">
        <f>HYPERLINK("https://axonsv.app.intel.com/apps/record-viewer?id=c50b9f0a-a6be-4c93-a4ef-d4f223c0777d","c50b9f0a-a6be-4c93-a4ef-d4f223c0777d")</f>
        <v>c50b9f0a-a6be-4c93-a4ef-d4f223c0777d</v>
      </c>
      <c r="I362" t="s">
        <v>395</v>
      </c>
      <c r="J362" t="s">
        <v>38</v>
      </c>
    </row>
    <row r="363" spans="1:10" ht="14.5" x14ac:dyDescent="0.35">
      <c r="A363" s="2" t="str">
        <f>HYPERLINK("https://nga.laas.intel.com/#/nga_fv_gnr/failureManagement/failures/04c4a844-7c18-4489-854d-0e2ded22a4ea","04c4a844")</f>
        <v>04c4a844</v>
      </c>
      <c r="B363" t="s">
        <v>271</v>
      </c>
      <c r="C363" t="s">
        <v>22</v>
      </c>
      <c r="D363" t="s">
        <v>457</v>
      </c>
      <c r="E363" s="2" t="str">
        <f>HYPERLINK("https://nga.laas.intel.com/#/nga_fv_gnr/failureManagement/bucket/f9cc67e0-b090-4ebf-96e3-1ffba0436ce5","hw_err_msm_mbx_error_sts_mbx_overflow,hw_mce_dcu_mcacod_a504h_mscod_ffbch,hw_mce_dcu_mcacod_a524h_mscod_ffbch,hw_mce_dcu_mcacod_b504h_mscod_ffbch,hw_mce_dcu_mcacod_bd04h_mscod_ffbch,hw_mce_dcu_mcacod_e504h_mscod_ffbch,hw_mce_dcu_mcacod_e524h_mscod_ffbch,h")</f>
        <v>hw_err_msm_mbx_error_sts_mbx_overflow,hw_mce_dcu_mcacod_a504h_mscod_ffbch,hw_mce_dcu_mcacod_a524h_mscod_ffbch,hw_mce_dcu_mcacod_b504h_mscod_ffbch,hw_mce_dcu_mcacod_bd04h_mscod_ffbch,hw_mce_dcu_mcacod_e504h_mscod_ffbch,hw_mce_dcu_mcacod_e524h_mscod_ffbch,h</v>
      </c>
      <c r="F363" s="2" t="str">
        <f t="shared" si="21"/>
        <v>GNR-AP-X3_A2_VV</v>
      </c>
      <c r="G363" s="2" t="str">
        <f>HYPERLINK("https://axonsv.app.intel.com/apps/record-viewer?id=8f260c16-f735-4d87-bb9f-ed22cca714e4","8f260c16-f735-4d87-bb9f-ed22cca714e4")</f>
        <v>8f260c16-f735-4d87-bb9f-ed22cca714e4</v>
      </c>
      <c r="H363" t="s">
        <v>458</v>
      </c>
      <c r="I363" t="s">
        <v>395</v>
      </c>
      <c r="J363" t="s">
        <v>51</v>
      </c>
    </row>
    <row r="364" spans="1:10" ht="14.5" x14ac:dyDescent="0.35">
      <c r="A364" s="2" t="str">
        <f>HYPERLINK("https://nga.laas.intel.com/#/nga_fv_gnr/failureManagement/failures/ad13cdf3-da8d-4658-9057-12aa13f436cf","ad13cdf3")</f>
        <v>ad13cdf3</v>
      </c>
      <c r="B364" t="s">
        <v>271</v>
      </c>
      <c r="C364" t="s">
        <v>22</v>
      </c>
      <c r="D364" t="s">
        <v>459</v>
      </c>
      <c r="E36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64" s="2" t="str">
        <f t="shared" si="21"/>
        <v>GNR-AP-X3_A2_VV</v>
      </c>
      <c r="G364" s="2" t="str">
        <f>HYPERLINK("https://axonsv.app.intel.com/apps/record-viewer?id=a2a3182b-a862-407e-a574-f98589c54762","a2a3182b-a862-407e-a574-f98589c54762")</f>
        <v>a2a3182b-a862-407e-a574-f98589c54762</v>
      </c>
      <c r="I364" t="s">
        <v>395</v>
      </c>
      <c r="J364" t="s">
        <v>20</v>
      </c>
    </row>
    <row r="365" spans="1:10" ht="14.5" x14ac:dyDescent="0.35">
      <c r="A365" s="2" t="str">
        <f>HYPERLINK("https://nga.laas.intel.com/#/nga_fv_gnr/failureManagement/failures/08fc47fc-db0b-45c3-926a-0f3f73ba9545","08fc47fc")</f>
        <v>08fc47fc</v>
      </c>
      <c r="B365" t="s">
        <v>375</v>
      </c>
      <c r="C365" t="s">
        <v>22</v>
      </c>
      <c r="D365" t="s">
        <v>460</v>
      </c>
      <c r="E365" s="2" t="str">
        <f>HYPERLINK("https://nga.laas.intel.com/#/nga_fv_gnr/failureManagement/bucket/2e63289f-bb4e-4699-9460-6d845bd7b7ca","hw_err_uncersts_msm_received_an_unsupported_request,hw_err_uncersts_oob_received_an_unsupported_request")</f>
        <v>hw_err_uncersts_msm_received_an_unsupported_request,hw_err_uncersts_oob_received_an_unsupported_request</v>
      </c>
      <c r="F365" s="2" t="str">
        <f>HYPERLINK("https://nga.laas.intel.com/#/nga_fv_gnr/planning/suites/68ed84d1-320a-4bbf-a945-46fd5334b4d1","GNR-AP-X3_A2_Reset-Cycle")</f>
        <v>GNR-AP-X3_A2_Reset-Cycle</v>
      </c>
      <c r="G365" s="2" t="str">
        <f>HYPERLINK("https://axonsv.app.intel.com/apps/record-viewer?id=cf2fc0bd-3c9a-7171-a0db-4ef4260a40e8","cf2fc0bd-3c9a-7171-a0db-4ef4260a40e8")</f>
        <v>cf2fc0bd-3c9a-7171-a0db-4ef4260a40e8</v>
      </c>
      <c r="I365" t="s">
        <v>461</v>
      </c>
      <c r="J365" t="s">
        <v>352</v>
      </c>
    </row>
    <row r="366" spans="1:10" ht="14.5" x14ac:dyDescent="0.35">
      <c r="A366" s="2" t="str">
        <f>HYPERLINK("https://nga.laas.intel.com/#/nga_fv_gnr/failureManagement/failures/3c94031e-1868-4a47-bec9-23d31d497bd4","3c94031e")</f>
        <v>3c94031e</v>
      </c>
      <c r="B366" t="s">
        <v>409</v>
      </c>
      <c r="C366" t="s">
        <v>22</v>
      </c>
      <c r="D366" t="s">
        <v>462</v>
      </c>
      <c r="E366" s="2" t="str">
        <f>HYPERLINK("https://nga.laas.intel.com/#/nga_fv_gnr/failureManagement/bucket/e4097ea9-7af1-4906-a908-7a6286505dcc","hw_err_msm_global_status_ctrl_reg_global_viral_hw_err_msm_global_status_ctrl_reg_ierr_hw_err_msm_mbx_error_sts_mbx_overflow_hw_err_ubox_ncevents_ncevents_cr_bankmerge6_errlog_hw_mce_iio_hw_mce_pcu_mcacod_0402h_mscod_ierr_generic_hw_mce_pcu_mcacod_0402h...")</f>
        <v>hw_err_msm_global_status_ctrl_reg_global_viral_hw_err_msm_global_status_ctrl_reg_ierr_hw_err_msm_mbx_error_sts_mbx_overflow_hw_err_ubox_ncevents_ncevents_cr_bankmerge6_errlog_hw_mce_iio_hw_mce_pcu_mcacod_0402h_mscod_ierr_generic_hw_mce_pcu_mcacod_0402h...</v>
      </c>
      <c r="F366" s="2" t="str">
        <f>HYPERLINK("https://nga.laas.intel.com/#/nga_fv_gnr/planning/suites/8bf04327-a6c7-4722-8d54-99b5768382ea","GNR-AP-X3_A2_VV_Cov")</f>
        <v>GNR-AP-X3_A2_VV_Cov</v>
      </c>
      <c r="G366" s="2" t="str">
        <f>HYPERLINK("https://axonsv.app.intel.com/apps/record-viewer?id=e8cdd525-ac99-4a51-800e-b25ac5024eaa","e8cdd525-ac99-4a51-800e-b25ac5024eaa")</f>
        <v>e8cdd525-ac99-4a51-800e-b25ac5024eaa</v>
      </c>
      <c r="I366" t="s">
        <v>463</v>
      </c>
      <c r="J366" t="s">
        <v>61</v>
      </c>
    </row>
    <row r="367" spans="1:10" ht="14.5" x14ac:dyDescent="0.35">
      <c r="A367" s="2" t="str">
        <f>HYPERLINK("https://nga.laas.intel.com/#/nga_fv_gnr/failureManagement/failures/04562796-f97f-42c3-b315-08e7ae88a900","04562796")</f>
        <v>04562796</v>
      </c>
      <c r="B367" t="s">
        <v>450</v>
      </c>
      <c r="C367" t="s">
        <v>22</v>
      </c>
      <c r="D367" t="s">
        <v>465</v>
      </c>
      <c r="E36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67" s="2" t="str">
        <f>HYPERLINK("https://nga.laas.intel.com/#/nga_fv_gnr/planning/suites/1f60130b-5ac5-47b1-9f05-cd28a120f5c9","GNR-AP-X3_A2_VV")</f>
        <v>GNR-AP-X3_A2_VV</v>
      </c>
      <c r="G367" s="2" t="str">
        <f>HYPERLINK("https://axonsv.app.intel.com/apps/record-viewer?id=ddd15883-6633-4a92-a692-d819d9258b4d","ddd15883-6633-4a92-a692-d819d9258b4d")</f>
        <v>ddd15883-6633-4a92-a692-d819d9258b4d</v>
      </c>
      <c r="I367" t="s">
        <v>395</v>
      </c>
      <c r="J367" t="s">
        <v>74</v>
      </c>
    </row>
    <row r="368" spans="1:10" ht="14.5" x14ac:dyDescent="0.35">
      <c r="A368" s="2" t="str">
        <f>HYPERLINK("https://nga.laas.intel.com/#/nga_fv_gnr/failureManagement/failures/ad773216-1b30-4b8f-9bd4-0c010b80fb75","ad773216")</f>
        <v>ad773216</v>
      </c>
      <c r="B368" t="s">
        <v>179</v>
      </c>
      <c r="C368" t="s">
        <v>22</v>
      </c>
      <c r="D368" t="s">
        <v>466</v>
      </c>
      <c r="E368" s="2" t="str">
        <f>HYPERLINK("https://nga.laas.intel.com/#/nga_fv_gnr/failureManagement/bucket/63e9d869-f191-4bb5-837c-1aac37e97977","hw_err_msm_corecrashlog_ctrl_haderror_hw_err_msm_global_status_ctrl_reg_crashlog_err_hw_err_msm_global_status_ctrl_reg_global_viral_hw_err_msm_global_status_ctrl_reg_ierr_hw_err_msm_mbx_error_sts_mbx_overflow_hw_err_ubox_ncevents_ncevents_cr_bankmerge5...")</f>
        <v>hw_err_msm_corecrashlog_ctrl_haderror_hw_err_msm_global_status_ctrl_reg_crashlog_err_hw_err_msm_global_status_ctrl_reg_global_viral_hw_err_msm_global_status_ctrl_reg_ierr_hw_err_msm_mbx_error_sts_mbx_overflow_hw_err_ubox_ncevents_ncevents_cr_bankmerge5...</v>
      </c>
      <c r="F368" s="2" t="str">
        <f>HYPERLINK("https://nga.laas.intel.com/#/nga_fv_gnr/planning/suites/1f60130b-5ac5-47b1-9f05-cd28a120f5c9","GNR-AP-X3_A2_VV")</f>
        <v>GNR-AP-X3_A2_VV</v>
      </c>
      <c r="G368" s="2" t="str">
        <f>HYPERLINK("https://axonsv.app.intel.com/apps/record-viewer?id=64610ed9-6672-4b92-9006-4edef41ae244","64610ed9-6672-4b92-9006-4edef41ae244")</f>
        <v>64610ed9-6672-4b92-9006-4edef41ae244</v>
      </c>
      <c r="I368" t="s">
        <v>467</v>
      </c>
      <c r="J368" t="s">
        <v>38</v>
      </c>
    </row>
    <row r="369" spans="1:10" ht="14.5" x14ac:dyDescent="0.35">
      <c r="A369" s="2" t="str">
        <f>HYPERLINK("https://nga.laas.intel.com/#/nga_fv_gnr/failureManagement/failures/cb06e36f-11f4-468a-b638-1cedca0dcd78","cb06e36f")</f>
        <v>cb06e36f</v>
      </c>
      <c r="B369" t="s">
        <v>10</v>
      </c>
      <c r="C369" t="s">
        <v>22</v>
      </c>
      <c r="D369" t="s">
        <v>110</v>
      </c>
      <c r="E36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69" s="2" t="str">
        <f>HYPERLINK("https://nga.laas.intel.com/#/nga_fv_gnr/planning/suites/1f60130b-5ac5-47b1-9f05-cd28a120f5c9","GNR-AP-X3_A2_VV")</f>
        <v>GNR-AP-X3_A2_VV</v>
      </c>
      <c r="G369" s="2" t="str">
        <f>HYPERLINK("https://axonsv.app.intel.com/apps/record-viewer?id=200c3235-212b-49e8-97eb-53ae136dc8e2","200c3235-212b-49e8-97eb-53ae136dc8e2")</f>
        <v>200c3235-212b-49e8-97eb-53ae136dc8e2</v>
      </c>
      <c r="I369" t="s">
        <v>395</v>
      </c>
      <c r="J369" t="s">
        <v>38</v>
      </c>
    </row>
    <row r="370" spans="1:10" ht="14.5" x14ac:dyDescent="0.35">
      <c r="A370" s="2" t="str">
        <f>HYPERLINK("https://nga.laas.intel.com/#/nga_fv_gnr/failureManagement/failures/189e54f2-89c0-42b4-810e-17e9db936ea9","189e54f2")</f>
        <v>189e54f2</v>
      </c>
      <c r="B370" t="s">
        <v>431</v>
      </c>
      <c r="C370" t="s">
        <v>22</v>
      </c>
      <c r="D370" t="s">
        <v>464</v>
      </c>
      <c r="E370" s="2" t="str">
        <f>HYPERLINK("https://nga.laas.intel.com/#/nga_fv_gnr/failureManagement/bucket/160164f6-8fff-4ecd-9e83-7dbf1eebc301","hw_err_msm_mbx_error_sts_mbx_overflow_hw_mce_dcu_mcacod_32f4h_mscod_f5f7h_hw_mce_dcu_mcacod_72f6h_mscod_f5d7h_hw_mce_dtlb_mcacod_3af6h_mscod_f5d7h_hw_mce_ifu_mcacod_32f4h_mscod_f5f7h_hw_mce_ifu_mcacod_3bf4h_mscod_f4f7h_hw_mce_ifu_mcacod_3bfeh_mscod_f5d...")</f>
        <v>hw_err_msm_mbx_error_sts_mbx_overflow_hw_mce_dcu_mcacod_32f4h_mscod_f5f7h_hw_mce_dcu_mcacod_72f6h_mscod_f5d7h_hw_mce_dtlb_mcacod_3af6h_mscod_f5d7h_hw_mce_ifu_mcacod_32f4h_mscod_f5f7h_hw_mce_ifu_mcacod_3bf4h_mscod_f4f7h_hw_mce_ifu_mcacod_3bfeh_mscod_f5d...</v>
      </c>
      <c r="F370" s="2" t="str">
        <f>HYPERLINK("https://nga.laas.intel.com/#/nga_fv_gnr/planning/suites/1f60130b-5ac5-47b1-9f05-cd28a120f5c9","GNR-AP-X3_A2_VV")</f>
        <v>GNR-AP-X3_A2_VV</v>
      </c>
      <c r="G370" s="2" t="str">
        <f>HYPERLINK("https://axonsv.app.intel.com/apps/record-viewer?id=74b8a996-ab40-4aec-976e-45dc46064f6c","74b8a996-ab40-4aec-976e-45dc46064f6c")</f>
        <v>74b8a996-ab40-4aec-976e-45dc46064f6c</v>
      </c>
      <c r="I370" t="s">
        <v>395</v>
      </c>
      <c r="J370" t="s">
        <v>14</v>
      </c>
    </row>
    <row r="371" spans="1:10" ht="14.5" x14ac:dyDescent="0.35">
      <c r="A371" s="2" t="str">
        <f>HYPERLINK("https://nga.laas.intel.com/#/nga_fv_gnr/failureManagement/failures/b75ab210-562c-4a47-9009-08ace18d9520","b75ab210")</f>
        <v>b75ab210</v>
      </c>
      <c r="B371" t="s">
        <v>350</v>
      </c>
      <c r="C371" t="s">
        <v>22</v>
      </c>
      <c r="D371" t="s">
        <v>468</v>
      </c>
      <c r="E371" s="2" t="str">
        <f>HYPERLINK("https://nga.laas.intel.com/#/nga_fv_gnr/failureManagement/bucket/47340744-45ab-41ae-a924-3a50dcbf8b9a","hw_err_msm_global_status_ctrl_reg_general_mca_hw_err_msm_global_status_ctrl_reg_global_viral_hw_err_msm_global_status_ctrl_reg_ierr_hw_err_msm_global_status_ctrl_reg_msm_pmsb_err_hw_err_msm_global_status_ctrl_reg_pcode_err_hw_err_msm_global_status_ctrl...")</f>
        <v>hw_err_msm_global_status_ctrl_reg_general_mca_hw_err_msm_global_status_ctrl_reg_global_viral_hw_err_msm_global_status_ctrl_reg_ierr_hw_err_msm_global_status_ctrl_reg_msm_pmsb_err_hw_err_msm_global_status_ctrl_reg_pcode_err_hw_err_msm_global_status_ctrl...</v>
      </c>
      <c r="F371" s="2" t="str">
        <f>HYPERLINK("https://nga.laas.intel.com/#/nga_fv_gnr/planning/suites/68ed84d1-320a-4bbf-a945-46fd5334b4d1","GNR-AP-X3_A2_Reset-Cycle")</f>
        <v>GNR-AP-X3_A2_Reset-Cycle</v>
      </c>
      <c r="G371" s="2" t="str">
        <f>HYPERLINK("https://axonsv.app.intel.com/apps/record-viewer?id=77065083-2619-4da8-b92a-9cb9ada02f0a","77065083-2619-4da8-b92a-9cb9ada02f0a")</f>
        <v>77065083-2619-4da8-b92a-9cb9ada02f0a</v>
      </c>
      <c r="I371" t="s">
        <v>359</v>
      </c>
      <c r="J371" t="s">
        <v>352</v>
      </c>
    </row>
    <row r="372" spans="1:10" ht="14.5" x14ac:dyDescent="0.35">
      <c r="A372" s="2" t="str">
        <f>HYPERLINK("https://nga.laas.intel.com/#/nga_fv_gnr/failureManagement/failures/6e4475fe-b232-4f0d-9c8c-1026693cee53","6e4475fe")</f>
        <v>6e4475fe</v>
      </c>
      <c r="B372" t="s">
        <v>108</v>
      </c>
      <c r="C372" t="s">
        <v>22</v>
      </c>
      <c r="D372" t="s">
        <v>469</v>
      </c>
      <c r="E372" s="2" t="str">
        <f>HYPERLINK("https://nga.laas.intel.com/#/nga_fv_gnr/failureManagement/bucket/cf9bc20a-c557-4f31-b63e-7619cb2ac109","hw_err_msm_mbx_error_sts_mbx_overflow_hw_mce_dcu_mcacod_a78bh_mscod_ca7ah_hw_mce_dtlb_mcacod_a68bh_mscod_ca7ah_hw_mce_ifu_mcacod_a68bh_mscod_da7ah_hw_mce_mlc_mcacod_a78bh_mscod_ca7ah_hw_mce_mlc_mcacod_a78bh_mscod_da7ah_hw_err_msm_mbx_error_sts_mbx_over...")</f>
        <v>hw_err_msm_mbx_error_sts_mbx_overflow_hw_mce_dcu_mcacod_a78bh_mscod_ca7ah_hw_mce_dtlb_mcacod_a68bh_mscod_ca7ah_hw_mce_ifu_mcacod_a68bh_mscod_da7ah_hw_mce_mlc_mcacod_a78bh_mscod_ca7ah_hw_mce_mlc_mcacod_a78bh_mscod_da7ah_hw_err_msm_mbx_error_sts_mbx_over...</v>
      </c>
      <c r="F372" s="2" t="str">
        <f t="shared" ref="F372:F379" si="22">HYPERLINK("https://nga.laas.intel.com/#/nga_fv_gnr/planning/suites/1f60130b-5ac5-47b1-9f05-cd28a120f5c9","GNR-AP-X3_A2_VV")</f>
        <v>GNR-AP-X3_A2_VV</v>
      </c>
      <c r="G372" s="2" t="str">
        <f>HYPERLINK("https://axonsv.app.intel.com/apps/record-viewer?id=2d33e658-8246-4aff-b28f-4054a7878aaa","2d33e658-8246-4aff-b28f-4054a7878aaa")</f>
        <v>2d33e658-8246-4aff-b28f-4054a7878aaa</v>
      </c>
      <c r="I372" t="s">
        <v>395</v>
      </c>
      <c r="J372" t="s">
        <v>74</v>
      </c>
    </row>
    <row r="373" spans="1:10" ht="14.5" x14ac:dyDescent="0.35">
      <c r="A373" s="2" t="str">
        <f>HYPERLINK("https://nga.laas.intel.com/#/nga_fv_gnr/failureManagement/failures/6bc57c9e-5cdd-4586-8bd9-077c6afd3a7d","6bc57c9e")</f>
        <v>6bc57c9e</v>
      </c>
      <c r="B373" t="s">
        <v>436</v>
      </c>
      <c r="C373" t="s">
        <v>22</v>
      </c>
      <c r="D373" t="s">
        <v>470</v>
      </c>
      <c r="E37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73" s="2" t="str">
        <f t="shared" si="22"/>
        <v>GNR-AP-X3_A2_VV</v>
      </c>
      <c r="G373" s="2" t="str">
        <f>HYPERLINK("https://axonsv.app.intel.com/apps/record-viewer?id=0f3e39b4-a4f3-4344-97b9-52e7d4bbc79a","0f3e39b4-a4f3-4344-97b9-52e7d4bbc79a")</f>
        <v>0f3e39b4-a4f3-4344-97b9-52e7d4bbc79a</v>
      </c>
      <c r="I373" t="s">
        <v>395</v>
      </c>
      <c r="J373" t="s">
        <v>74</v>
      </c>
    </row>
    <row r="374" spans="1:10" ht="14.5" x14ac:dyDescent="0.35">
      <c r="A374" s="2" t="str">
        <f>HYPERLINK("https://nga.laas.intel.com/#/nga_fv_gnr/failureManagement/failures/7517351a-c1e6-4f22-9207-1a38e41abe24","7517351a")</f>
        <v>7517351a</v>
      </c>
      <c r="B374" t="s">
        <v>227</v>
      </c>
      <c r="C374" t="s">
        <v>22</v>
      </c>
      <c r="D374" t="s">
        <v>424</v>
      </c>
      <c r="E374" s="2" t="str">
        <f>HYPERLINK("https://nga.laas.intel.com/#/nga_fv_gnr/failureManagement/bucket/5a825038-2f7a-4e23-bfd3-f4b1ea640a0d","hw_err_msm_mbx_error_sts_mbx_overflow_hw_mce_dcu_mcacod_ffddh_mscod_5eddh_hw_mce_dcu_mcacod_ffddh_mscod_deddh_hw_mce_dcu_mcacod_ffddh_mscod_dedfh_hw_mce_dtlb_mcacod_ffddh_mscod_5eddh_hw_mce_dtlb_mcacod_ffddh_mscod_5edfh_hw_mce_dtlb_mcacod_ffddh_mscod_d...")</f>
        <v>hw_err_msm_mbx_error_sts_mbx_overflow_hw_mce_dcu_mcacod_ffddh_mscod_5eddh_hw_mce_dcu_mcacod_ffddh_mscod_deddh_hw_mce_dcu_mcacod_ffddh_mscod_dedfh_hw_mce_dtlb_mcacod_ffddh_mscod_5eddh_hw_mce_dtlb_mcacod_ffddh_mscod_5edfh_hw_mce_dtlb_mcacod_ffddh_mscod_d...</v>
      </c>
      <c r="F374" s="2" t="str">
        <f t="shared" si="22"/>
        <v>GNR-AP-X3_A2_VV</v>
      </c>
      <c r="G374" s="2" t="str">
        <f>HYPERLINK("https://axonsv.app.intel.com/apps/record-viewer?id=5e36967e-48c6-4f54-972e-c4ab4395ff1b","5e36967e-48c6-4f54-972e-c4ab4395ff1b")</f>
        <v>5e36967e-48c6-4f54-972e-c4ab4395ff1b</v>
      </c>
      <c r="I374" t="s">
        <v>395</v>
      </c>
      <c r="J374" t="s">
        <v>20</v>
      </c>
    </row>
    <row r="375" spans="1:10" ht="14.5" x14ac:dyDescent="0.35">
      <c r="A375" s="2" t="str">
        <f>HYPERLINK("https://nga.laas.intel.com/#/nga_fv_gnr/failureManagement/failures/3494ba04-0a5e-476b-ac5f-1ec48fd66ebd","3494ba04")</f>
        <v>3494ba04</v>
      </c>
      <c r="B375" t="s">
        <v>27</v>
      </c>
      <c r="C375" t="s">
        <v>22</v>
      </c>
      <c r="D375" t="s">
        <v>376</v>
      </c>
      <c r="E375" s="2" t="str">
        <f>HYPERLINK("https://nga.laas.intel.com/#/nga_fv_gnr/failureManagement/bucket/f60e9cf5-c051-41e5-8391-da0deeaa57c3","hw_err_msm_global_status_ctrl_reg_global_viral_hw_err_msm_global_status_ctrl_reg_ierr_hw_err_msm_mbx_error_sts_mbx_overflow_hw_err_ubox_ncevents_ncevents_cr_bankmerge6_errlog_hw_err_ubox_ncevents_ncevents_cr_bankmerge7_errlog_hw_err_uncore_ubox_hard_ha...")</f>
        <v>hw_err_msm_global_status_ctrl_reg_global_viral_hw_err_msm_global_status_ctrl_reg_ierr_hw_err_msm_mbx_error_sts_mbx_overflow_hw_err_ubox_ncevents_ncevents_cr_bankmerge6_errlog_hw_err_ubox_ncevents_ncevents_cr_bankmerge7_errlog_hw_err_uncore_ubox_hard_ha...</v>
      </c>
      <c r="F375" s="2" t="str">
        <f t="shared" si="22"/>
        <v>GNR-AP-X3_A2_VV</v>
      </c>
      <c r="G375" s="2" t="str">
        <f>HYPERLINK("https://axonsv.app.intel.com/apps/record-viewer?id=c88e8e42-72e3-44b3-9379-c401258447b7","c88e8e42-72e3-44b3-9379-c401258447b7")</f>
        <v>c88e8e42-72e3-44b3-9379-c401258447b7</v>
      </c>
      <c r="I375" t="s">
        <v>471</v>
      </c>
      <c r="J375" t="s">
        <v>47</v>
      </c>
    </row>
    <row r="376" spans="1:10" ht="14.5" x14ac:dyDescent="0.35">
      <c r="A376" s="2" t="str">
        <f>HYPERLINK("https://nga.laas.intel.com/#/nga_fv_gnr/failureManagement/failures/9fe21aea-9e23-42fa-ab0b-1abaf0994c5c","9fe21aea")</f>
        <v>9fe21aea</v>
      </c>
      <c r="B376" t="s">
        <v>223</v>
      </c>
      <c r="C376" t="s">
        <v>22</v>
      </c>
      <c r="D376" t="s">
        <v>424</v>
      </c>
      <c r="E37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76" s="2" t="str">
        <f t="shared" si="22"/>
        <v>GNR-AP-X3_A2_VV</v>
      </c>
      <c r="G376" s="2" t="str">
        <f>HYPERLINK("https://axonsv.app.intel.com/apps/record-viewer?id=a8f7cd0d-4794-4f61-9f92-8aaa961ea969","a8f7cd0d-4794-4f61-9f92-8aaa961ea969")</f>
        <v>a8f7cd0d-4794-4f61-9f92-8aaa961ea969</v>
      </c>
      <c r="I376" t="s">
        <v>395</v>
      </c>
      <c r="J376" t="s">
        <v>20</v>
      </c>
    </row>
    <row r="377" spans="1:10" ht="14.5" x14ac:dyDescent="0.35">
      <c r="A377" s="2" t="str">
        <f>HYPERLINK("https://nga.laas.intel.com/#/nga_fv_gnr/failureManagement/failures/74749bf4-ce7b-428b-815b-0c1005b31c77","74749bf4")</f>
        <v>74749bf4</v>
      </c>
      <c r="B377" t="s">
        <v>21</v>
      </c>
      <c r="C377" t="s">
        <v>22</v>
      </c>
      <c r="D377" t="s">
        <v>441</v>
      </c>
      <c r="E377" s="2" t="str">
        <f>HYPERLINK("https://nga.laas.intel.com/#/nga_fv_gnr/failureManagement/bucket/3a69eeec-352d-4008-8a48-2d286eab2ac0","hw_err_msm_global_status_ctrl_reg_global_viral_hw_err_msm_global_status_ctrl_reg_ierr_hw_err_msm_mbx_error_sts_mbx_overflow_hw_err_ubox_ncevents_ncevents_cr_bankmerge6_errlog_hw_err_ubox_ncevents_ncevents_cr_bankmerge7_errlog_hw_err_uncore_ubox_hard_ha...")</f>
        <v>hw_err_msm_global_status_ctrl_reg_global_viral_hw_err_msm_global_status_ctrl_reg_ierr_hw_err_msm_mbx_error_sts_mbx_overflow_hw_err_ubox_ncevents_ncevents_cr_bankmerge6_errlog_hw_err_ubox_ncevents_ncevents_cr_bankmerge7_errlog_hw_err_uncore_ubox_hard_ha...</v>
      </c>
      <c r="F377" s="2" t="str">
        <f t="shared" si="22"/>
        <v>GNR-AP-X3_A2_VV</v>
      </c>
      <c r="G377" s="2" t="str">
        <f>HYPERLINK("https://axonsv.app.intel.com/apps/record-viewer?id=513c8630-497e-4d0b-b1fb-3fd77e55a0ef","513c8630-497e-4d0b-b1fb-3fd77e55a0ef")</f>
        <v>513c8630-497e-4d0b-b1fb-3fd77e55a0ef</v>
      </c>
      <c r="I377" t="s">
        <v>471</v>
      </c>
      <c r="J377" t="s">
        <v>47</v>
      </c>
    </row>
    <row r="378" spans="1:10" ht="14.5" x14ac:dyDescent="0.35">
      <c r="A378" s="2" t="str">
        <f>HYPERLINK("https://nga.laas.intel.com/#/nga_fv_gnr/failureManagement/failures/9dbf8c60-dbe9-43fc-ab91-21986515158b","9dbf8c60")</f>
        <v>9dbf8c60</v>
      </c>
      <c r="B378" t="s">
        <v>138</v>
      </c>
      <c r="C378" t="s">
        <v>22</v>
      </c>
      <c r="D378" t="s">
        <v>472</v>
      </c>
      <c r="E378" s="2" t="str">
        <f>HYPERLINK("https://nga.laas.intel.com/#/nga_fv_gnr/failureManagement/bucket/bae87ec3-30a7-4aa8-920a-70a54cb55679","hw_err_msm_mbx_error_sts_mbx_overflow_hw_err_msm_mbx_error_sts_mbx_overflow_none_unexpected_target_reboot_detected")</f>
        <v>hw_err_msm_mbx_error_sts_mbx_overflow_hw_err_msm_mbx_error_sts_mbx_overflow_none_unexpected_target_reboot_detected</v>
      </c>
      <c r="F378" s="2" t="str">
        <f t="shared" si="22"/>
        <v>GNR-AP-X3_A2_VV</v>
      </c>
      <c r="G378" s="2" t="str">
        <f>HYPERLINK("https://axonsv.app.intel.com/apps/record-viewer?id=d05a80b0-d1d8-4a28-9c02-24ad29a0f57c","d05a80b0-d1d8-4a28-9c02-24ad29a0f57c")</f>
        <v>d05a80b0-d1d8-4a28-9c02-24ad29a0f57c</v>
      </c>
      <c r="I378" t="s">
        <v>33</v>
      </c>
      <c r="J378" t="s">
        <v>74</v>
      </c>
    </row>
    <row r="379" spans="1:10" ht="14.5" x14ac:dyDescent="0.35">
      <c r="A379" s="2" t="str">
        <f>HYPERLINK("https://nga.laas.intel.com/#/nga_fv_gnr/failureManagement/failures/c81b9a85-48a1-449b-ae10-0cbfbc03766f","c81b9a85")</f>
        <v>c81b9a85</v>
      </c>
      <c r="B379" t="s">
        <v>185</v>
      </c>
      <c r="C379" t="s">
        <v>22</v>
      </c>
      <c r="D379" t="s">
        <v>473</v>
      </c>
      <c r="E37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79" s="2" t="str">
        <f t="shared" si="22"/>
        <v>GNR-AP-X3_A2_VV</v>
      </c>
      <c r="G379" s="2" t="str">
        <f>HYPERLINK("https://axonsv.app.intel.com/apps/record-viewer?id=6514a8c1-3361-4ae4-b4df-debaf73d619c","6514a8c1-3361-4ae4-b4df-debaf73d619c")</f>
        <v>6514a8c1-3361-4ae4-b4df-debaf73d619c</v>
      </c>
      <c r="I379" t="s">
        <v>395</v>
      </c>
      <c r="J379" t="s">
        <v>14</v>
      </c>
    </row>
    <row r="380" spans="1:10" ht="14.5" x14ac:dyDescent="0.35">
      <c r="A380" s="2" t="str">
        <f>HYPERLINK("https://nga.laas.intel.com/#/nga_fv_gnr/failureManagement/failures/305ef5e4-b901-4785-ba4f-10ae2ec5d40c","305ef5e4")</f>
        <v>305ef5e4</v>
      </c>
      <c r="B380" t="s">
        <v>375</v>
      </c>
      <c r="C380" t="s">
        <v>30</v>
      </c>
      <c r="D380" t="s">
        <v>66</v>
      </c>
      <c r="E380" s="2" t="str">
        <f>HYPERLINK("https://nga.laas.intel.com/#/nga_fv_gnr/failureManagement/bucket/df5bab38-1b80-49c3-a171-0a3146c0c983","hw_err_msm_global_status_ctrl_reg_general_mca_hw_err_msm_global_status_ctrl_reg_global_viral_hw_err_msm_global_status_ctrl_reg_ierr_hw_err_msm_global_status_ctrl_reg_msm_pmsb_err_hw_err_msm_global_status_ctrl_reg_pcode_err_hw_err_msm_global_status_ctrl...")</f>
        <v>hw_err_msm_global_status_ctrl_reg_general_mca_hw_err_msm_global_status_ctrl_reg_global_viral_hw_err_msm_global_status_ctrl_reg_ierr_hw_err_msm_global_status_ctrl_reg_msm_pmsb_err_hw_err_msm_global_status_ctrl_reg_pcode_err_hw_err_msm_global_status_ctrl...</v>
      </c>
      <c r="F380" s="2" t="str">
        <f>HYPERLINK("https://nga.laas.intel.com/#/nga_fv_gnr/planning/suites/3bf82cea-b611-4111-970b-fa5c85b51d2c","GNR-AP-X3_A2_Reset-Matrix")</f>
        <v>GNR-AP-X3_A2_Reset-Matrix</v>
      </c>
      <c r="G380" s="2" t="str">
        <f>HYPERLINK("https://axonsv.app.intel.com/apps/record-viewer?id=74306b6a-a7aa-47c2-bd3d-729c058fbc49","74306b6a-a7aa-47c2-bd3d-729c058fbc49")</f>
        <v>74306b6a-a7aa-47c2-bd3d-729c058fbc49</v>
      </c>
      <c r="I380" t="s">
        <v>474</v>
      </c>
      <c r="J380" t="s">
        <v>352</v>
      </c>
    </row>
    <row r="381" spans="1:10" ht="14.5" x14ac:dyDescent="0.35">
      <c r="A381" s="2" t="str">
        <f>HYPERLINK("https://nga.laas.intel.com/#/nga_fv_gnr/failureManagement/failures/c76edc7f-ff52-4ee1-a792-099703574680","c76edc7f")</f>
        <v>c76edc7f</v>
      </c>
      <c r="B381" t="s">
        <v>21</v>
      </c>
      <c r="C381" t="s">
        <v>11</v>
      </c>
      <c r="D381" t="s">
        <v>290</v>
      </c>
      <c r="E381" s="2" t="str">
        <f>HYPERLINK("https://nga.laas.intel.com/#/nga_fv_gnr/failureManagement/bucket/c7295ddd-74ff-4421-8a5b-915679095124","hw_err_ieh_satieh3_gerrcorsts,hw_err_ieh_satieh4_gerrnonsts,hw_err_msm_global_status_ctrl_reg_msm_pmsb_err,hw_err_msm_global_status_ctrl_reg_pcode_err,hw_err_msm_global_status_ctrl_reg_peci_err,hw_err_uncersts_oob_received_an_unsupported_request")</f>
        <v>hw_err_ieh_satieh3_gerrcorsts,hw_err_ieh_satieh4_gerrnonsts,hw_err_msm_global_status_ctrl_reg_msm_pmsb_err,hw_err_msm_global_status_ctrl_reg_pcode_err,hw_err_msm_global_status_ctrl_reg_peci_err,hw_err_uncersts_oob_received_an_unsupported_request</v>
      </c>
      <c r="F381" s="2" t="str">
        <f>HYPERLINK("https://nga.laas.intel.com/#/nga_fv_gnr/planning/suites/1f60130b-5ac5-47b1-9f05-cd28a120f5c9","GNR-AP-X3_A2_VV")</f>
        <v>GNR-AP-X3_A2_VV</v>
      </c>
      <c r="G381" s="2" t="str">
        <f>HYPERLINK("https://axonsv.app.intel.com/apps/record-viewer?id=b523a193-5961-4428-a368-348a9c0f0720","b523a193-5961-4428-a368-348a9c0f0720")</f>
        <v>b523a193-5961-4428-a368-348a9c0f0720</v>
      </c>
      <c r="I381" t="s">
        <v>33</v>
      </c>
      <c r="J381" t="s">
        <v>20</v>
      </c>
    </row>
    <row r="382" spans="1:10" ht="14.5" x14ac:dyDescent="0.35">
      <c r="A382" s="2" t="str">
        <f>HYPERLINK("https://nga.laas.intel.com/#/nga_fv_gnr/failureManagement/failures/3b4219ce-7f5d-4cb6-8fe4-14b62d6e45e0","3b4219ce")</f>
        <v>3b4219ce</v>
      </c>
      <c r="B382" t="s">
        <v>475</v>
      </c>
      <c r="C382" t="s">
        <v>30</v>
      </c>
      <c r="D382" t="s">
        <v>66</v>
      </c>
      <c r="E382" s="2" t="str">
        <f>HYPERLINK("https://nga.laas.intel.com/#/nga_fv_gnr/failureManagement/bucket/9e53d275-8877-43a2-8edd-c7a1e0a0987c","hw_err_msm_corecrashlog_ctrl_haderror,hw_err_msm_global_status_ctrl_reg_crashlog_err,hw_err_msm_global_status_ctrl_reg_general_mca,hw_err_msm_global_status_ctrl_reg_global_viral,hw_err_msm_global_status_ctrl_reg_ierr,hw_err_msm_global_status_ctrl_reg_msm_")</f>
        <v>hw_err_msm_corecrashlog_ctrl_haderror,hw_err_msm_global_status_ctrl_reg_crashlog_err,hw_err_msm_global_status_ctrl_reg_general_mca,hw_err_msm_global_status_ctrl_reg_global_viral,hw_err_msm_global_status_ctrl_reg_ierr,hw_err_msm_global_status_ctrl_reg_msm_</v>
      </c>
      <c r="F382" s="2" t="str">
        <f>HYPERLINK("https://nga.laas.intel.com/#/nga_fv_gnr/planning/suites/68ed84d1-320a-4bbf-a945-46fd5334b4d1","GNR-AP-X3_A2_Reset-Cycle")</f>
        <v>GNR-AP-X3_A2_Reset-Cycle</v>
      </c>
      <c r="G382" s="2" t="str">
        <f>HYPERLINK("https://axonsv.app.intel.com/apps/record-viewer?id=a077be47-04bf-4b36-b309-fb20df924426","a077be47-04bf-4b36-b309-fb20df924426")</f>
        <v>a077be47-04bf-4b36-b309-fb20df924426</v>
      </c>
      <c r="I382" t="s">
        <v>476</v>
      </c>
      <c r="J382" t="s">
        <v>352</v>
      </c>
    </row>
    <row r="383" spans="1:10" ht="14.5" x14ac:dyDescent="0.35">
      <c r="A383" s="2" t="str">
        <f>HYPERLINK("https://nga.laas.intel.com/#/nga_fv_gnr/failureManagement/failures/de5ae676-61fe-4cf0-b797-1f1df1bbbad1","de5ae676")</f>
        <v>de5ae676</v>
      </c>
      <c r="B383" t="s">
        <v>31</v>
      </c>
      <c r="C383" t="s">
        <v>11</v>
      </c>
      <c r="D383" t="s">
        <v>290</v>
      </c>
      <c r="E38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83" s="2" t="str">
        <f>HYPERLINK("https://nga.laas.intel.com/#/nga_fv_gnr/planning/suites/1f60130b-5ac5-47b1-9f05-cd28a120f5c9","GNR-AP-X3_A2_VV")</f>
        <v>GNR-AP-X3_A2_VV</v>
      </c>
      <c r="G383" s="2" t="str">
        <f>HYPERLINK("https://axonsv.app.intel.com/apps/record-viewer?id=278ea4ce-792f-43f9-a500-2da9cf7fd38d","278ea4ce-792f-43f9-a500-2da9cf7fd38d")</f>
        <v>278ea4ce-792f-43f9-a500-2da9cf7fd38d</v>
      </c>
      <c r="I383" t="s">
        <v>395</v>
      </c>
      <c r="J383" t="s">
        <v>38</v>
      </c>
    </row>
    <row r="384" spans="1:10" ht="14.5" x14ac:dyDescent="0.35">
      <c r="A384" s="2" t="str">
        <f>HYPERLINK("https://nga.laas.intel.com/#/nga_fv_gnr/failureManagement/failures/6488b769-dd7b-4c0c-ba71-215f04470ddc","6488b769")</f>
        <v>6488b769</v>
      </c>
      <c r="B384" t="s">
        <v>133</v>
      </c>
      <c r="C384" t="s">
        <v>22</v>
      </c>
      <c r="D384" t="s">
        <v>477</v>
      </c>
      <c r="E38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84" s="2" t="str">
        <f>HYPERLINK("https://nga.laas.intel.com/#/nga_fv_gnr/planning/suites/1f60130b-5ac5-47b1-9f05-cd28a120f5c9","GNR-AP-X3_A2_VV")</f>
        <v>GNR-AP-X3_A2_VV</v>
      </c>
      <c r="G384" s="2" t="str">
        <f>HYPERLINK("https://axonsv.app.intel.com/apps/record-viewer?id=1588df0e-0744-4f79-ab64-51221333b449","1588df0e-0744-4f79-ab64-51221333b449")</f>
        <v>1588df0e-0744-4f79-ab64-51221333b449</v>
      </c>
      <c r="I384" t="s">
        <v>467</v>
      </c>
      <c r="J384" t="s">
        <v>38</v>
      </c>
    </row>
    <row r="385" spans="1:10" ht="14.5" x14ac:dyDescent="0.35">
      <c r="A385" s="2" t="str">
        <f>HYPERLINK("https://nga.laas.intel.com/#/nga_fv_gnr/failureManagement/failures/26372c22-d06f-4bd6-b983-073638bd7e6d","26372c22")</f>
        <v>26372c22</v>
      </c>
      <c r="B385" t="s">
        <v>319</v>
      </c>
      <c r="C385" t="s">
        <v>22</v>
      </c>
      <c r="D385" t="s">
        <v>60</v>
      </c>
      <c r="E385" s="2" t="str">
        <f>HYPERLINK("https://nga.laas.intel.com/#/nga_fv_gnr/failureManagement/bucket/bfb3d30e-d075-4941-b340-4075d1c7b691","none_is_rocket_fail_rocket_failure_details_29932_rktsync_76_null_iman_nointrvectresources_hw_err_msm_mbx_error_sts_mbx_overflow_hw_mce_dcu_mcacod_99a5h_mscod_e6bfh_hw_mce_dcu_mcacod_b1e0h_mscod_e2bfh_hw_mce_dcu_mcacod_d9e2h_mscod_e2bfh_hw_mce_dcu_mcaco...")</f>
        <v>none_is_rocket_fail_rocket_failure_details_29932_rktsync_76_null_iman_nointrvectresources_hw_err_msm_mbx_error_sts_mbx_overflow_hw_mce_dcu_mcacod_99a5h_mscod_e6bfh_hw_mce_dcu_mcacod_b1e0h_mscod_e2bfh_hw_mce_dcu_mcacod_d9e2h_mscod_e2bfh_hw_mce_dcu_mcaco...</v>
      </c>
      <c r="F385" s="2" t="str">
        <f>HYPERLINK("https://nga.laas.intel.com/#/nga_fv_gnr/planning/suites/9d446fa6-7f8a-4f27-91c1-de3eead7a543","SVOS_CR_GNR_AP_X3")</f>
        <v>SVOS_CR_GNR_AP_X3</v>
      </c>
      <c r="G385" s="2" t="str">
        <f>HYPERLINK("https://axonsv.app.intel.com/apps/record-viewer?id=208a7421-36b8-428d-a9b6-307dcc25c1dc","208a7421-36b8-428d-a9b6-307dcc25c1dc")</f>
        <v>208a7421-36b8-428d-a9b6-307dcc25c1dc</v>
      </c>
      <c r="I385" t="s">
        <v>395</v>
      </c>
      <c r="J385" t="s">
        <v>61</v>
      </c>
    </row>
    <row r="386" spans="1:10" ht="14.5" x14ac:dyDescent="0.35">
      <c r="A386" s="2" t="str">
        <f>HYPERLINK("https://nga.laas.intel.com/#/nga_fv_gnr/failureManagement/failures/e554ca12-d333-4f53-9aa0-079a0cc7ebc8","e554ca12")</f>
        <v>e554ca12</v>
      </c>
      <c r="B386" t="s">
        <v>450</v>
      </c>
      <c r="C386" t="s">
        <v>22</v>
      </c>
      <c r="D386" t="s">
        <v>432</v>
      </c>
      <c r="E386" s="2" t="str">
        <f>HYPERLINK("https://nga.laas.intel.com/#/nga_fv_gnr/failureManagement/bucket/7435c52b-f3a5-4be7-80e5-768341eefc16","hw_err_msm_corecrashlog_ctrl_haderror_hw_err_msm_global_status_ctrl_reg_crashlog_err_hw_err_msm_global_status_ctrl_reg_general_mca_hw_err_msm_global_status_ctrl_reg_global_viral_hw_err_msm_global_status_ctrl_reg_ierr_hw_err_msm_global_status_ctrl_reg_m...")</f>
        <v>hw_err_msm_corecrashlog_ctrl_haderror_hw_err_msm_global_status_ctrl_reg_crashlog_err_hw_err_msm_global_status_ctrl_reg_general_mca_hw_err_msm_global_status_ctrl_reg_global_viral_hw_err_msm_global_status_ctrl_reg_ierr_hw_err_msm_global_status_ctrl_reg_m...</v>
      </c>
      <c r="F386" s="2" t="str">
        <f t="shared" ref="F386:F400" si="23">HYPERLINK("https://nga.laas.intel.com/#/nga_fv_gnr/planning/suites/1f60130b-5ac5-47b1-9f05-cd28a120f5c9","GNR-AP-X3_A2_VV")</f>
        <v>GNR-AP-X3_A2_VV</v>
      </c>
      <c r="G386" s="2" t="str">
        <f>HYPERLINK("https://axonsv.app.intel.com/apps/record-viewer?id=9925c57b-b904-47e5-b6c6-05c60413541a","9925c57b-b904-47e5-b6c6-05c60413541a")</f>
        <v>9925c57b-b904-47e5-b6c6-05c60413541a</v>
      </c>
      <c r="I386" t="s">
        <v>461</v>
      </c>
      <c r="J386" t="s">
        <v>14</v>
      </c>
    </row>
    <row r="387" spans="1:10" ht="14.5" x14ac:dyDescent="0.35">
      <c r="A387" s="2" t="str">
        <f>HYPERLINK("https://nga.laas.intel.com/#/nga_fv_gnr/failureManagement/failures/85c4ff68-0196-4853-baa3-0383bcbb250b","85c4ff68")</f>
        <v>85c4ff68</v>
      </c>
      <c r="B387" t="s">
        <v>217</v>
      </c>
      <c r="C387" t="s">
        <v>22</v>
      </c>
      <c r="D387" t="s">
        <v>478</v>
      </c>
      <c r="E38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87" s="2" t="str">
        <f t="shared" si="23"/>
        <v>GNR-AP-X3_A2_VV</v>
      </c>
      <c r="G387" s="2" t="str">
        <f>HYPERLINK("https://axonsv.app.intel.com/apps/record-viewer?id=c90ec9c4-4b6f-9ab9-c67d-d982f6e50314","c90ec9c4-4b6f-9ab9-c67d-d982f6e50314")</f>
        <v>c90ec9c4-4b6f-9ab9-c67d-d982f6e50314</v>
      </c>
      <c r="I387" t="s">
        <v>461</v>
      </c>
      <c r="J387" t="s">
        <v>14</v>
      </c>
    </row>
    <row r="388" spans="1:10" ht="14.5" x14ac:dyDescent="0.35">
      <c r="A388" s="2" t="str">
        <f>HYPERLINK("https://nga.laas.intel.com/#/nga_fv_gnr/failureManagement/failures/fe5ae932-69a8-4aac-b869-1728595e2755","fe5ae932")</f>
        <v>fe5ae932</v>
      </c>
      <c r="B388" t="s">
        <v>479</v>
      </c>
      <c r="C388" t="s">
        <v>30</v>
      </c>
      <c r="D388" t="s">
        <v>66</v>
      </c>
      <c r="E388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88" s="2" t="str">
        <f t="shared" si="23"/>
        <v>GNR-AP-X3_A2_VV</v>
      </c>
      <c r="G388" s="2" t="str">
        <f>HYPERLINK("https://axonsv.app.intel.com/apps/record-viewer?id=5b4255ca-9371-4997-a60b-38ee914d3d5a","5b4255ca-9371-4997-a60b-38ee914d3d5a")</f>
        <v>5b4255ca-9371-4997-a60b-38ee914d3d5a</v>
      </c>
      <c r="I388" t="s">
        <v>480</v>
      </c>
      <c r="J388" t="s">
        <v>20</v>
      </c>
    </row>
    <row r="389" spans="1:10" ht="14.5" x14ac:dyDescent="0.35">
      <c r="A389" s="2" t="str">
        <f>HYPERLINK("https://nga.laas.intel.com/#/nga_fv_gnr/failureManagement/failures/4a1d10ea-3e47-4a53-a1ec-22d6ea2d70cf","4a1d10ea")</f>
        <v>4a1d10ea</v>
      </c>
      <c r="B389" t="s">
        <v>27</v>
      </c>
      <c r="C389" t="s">
        <v>30</v>
      </c>
      <c r="D389" t="s">
        <v>66</v>
      </c>
      <c r="E389" s="2" t="str">
        <f>HYPERLINK("https://nga.laas.intel.com/#/nga_fv_gnr/failureManagement/bucket/c66ed183-c5b4-48c9-807b-e37454487aea","hw_err_msm_global_status_ctrl_reg_crashlog_err_hw_err_msm_global_status_ctrl_reg_global_viral_hw_err_msm_global_status_ctrl_reg_ierr_hw_err_msm_global_status_ctrl_reg_msm_pmsb_err_hw_err_msm_global_status_ctrl_reg_pcode_err_hw_err_msm_global_status_ctr...")</f>
        <v>hw_err_msm_global_status_ctrl_reg_crashlog_err_hw_err_msm_global_status_ctrl_reg_global_viral_hw_err_msm_global_status_ctrl_reg_ierr_hw_err_msm_global_status_ctrl_reg_msm_pmsb_err_hw_err_msm_global_status_ctrl_reg_pcode_err_hw_err_msm_global_status_ctr...</v>
      </c>
      <c r="F389" s="2" t="str">
        <f t="shared" si="23"/>
        <v>GNR-AP-X3_A2_VV</v>
      </c>
      <c r="G389" s="2" t="str">
        <f>HYPERLINK("https://axonsv.app.intel.com/apps/record-viewer?id=4ef596c5-b09d-4b0d-8f49-69e39a599bd2","4ef596c5-b09d-4b0d-8f49-69e39a599bd2")</f>
        <v>4ef596c5-b09d-4b0d-8f49-69e39a599bd2</v>
      </c>
      <c r="I389" t="s">
        <v>474</v>
      </c>
      <c r="J389" t="s">
        <v>20</v>
      </c>
    </row>
    <row r="390" spans="1:10" ht="14.5" x14ac:dyDescent="0.35">
      <c r="A390" s="2" t="str">
        <f>HYPERLINK("https://nga.laas.intel.com/#/nga_fv_gnr/failureManagement/failures/f4112dbb-05b2-4354-ba70-0b86b7a1f64e","f4112dbb")</f>
        <v>f4112dbb</v>
      </c>
      <c r="B390" t="s">
        <v>271</v>
      </c>
      <c r="C390" t="s">
        <v>22</v>
      </c>
      <c r="D390" t="s">
        <v>457</v>
      </c>
      <c r="E390" s="2" t="str">
        <f>HYPERLINK("https://nga.laas.intel.com/#/nga_fv_gnr/failureManagement/bucket/ce1e1704-456e-4f9a-b909-b002aa943c20","hw_err_msm_global_status_ctrl_reg_global_viral,hw_err_msm_global_status_ctrl_reg_ierr,hw_err_msm_global_status_ctrl_reg_msm_pmsb_err,hw_err_msm_global_status_ctrl_reg_pcode_err,hw_err_msm_global_status_ctrl_reg_peci_err,hw_err_msm_mbx_error_sts_mbx_overfl")</f>
        <v>hw_err_msm_global_status_ctrl_reg_global_viral,hw_err_msm_global_status_ctrl_reg_ierr,hw_err_msm_global_status_ctrl_reg_msm_pmsb_err,hw_err_msm_global_status_ctrl_reg_pcode_err,hw_err_msm_global_status_ctrl_reg_peci_err,hw_err_msm_mbx_error_sts_mbx_overfl</v>
      </c>
      <c r="F390" s="2" t="str">
        <f t="shared" si="23"/>
        <v>GNR-AP-X3_A2_VV</v>
      </c>
      <c r="G390" s="2" t="str">
        <f>HYPERLINK("https://axonsv.app.intel.com/apps/record-viewer?id=cdc156a8-1e07-4790-b829-b106df98b8f1","cdc156a8-1e07-4790-b829-b106df98b8f1")</f>
        <v>cdc156a8-1e07-4790-b829-b106df98b8f1</v>
      </c>
      <c r="H390" t="s">
        <v>481</v>
      </c>
      <c r="I390" t="s">
        <v>482</v>
      </c>
      <c r="J390" t="s">
        <v>51</v>
      </c>
    </row>
    <row r="391" spans="1:10" ht="14.5" x14ac:dyDescent="0.35">
      <c r="A391" s="2" t="str">
        <f>HYPERLINK("https://nga.laas.intel.com/#/nga_fv_gnr/failureManagement/failures/8b9ee2c2-f1ba-4768-a2d5-01e28be6efd0","8b9ee2c2")</f>
        <v>8b9ee2c2</v>
      </c>
      <c r="B391" t="s">
        <v>483</v>
      </c>
      <c r="C391" t="s">
        <v>22</v>
      </c>
      <c r="D391" t="s">
        <v>342</v>
      </c>
      <c r="E39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91" s="2" t="str">
        <f t="shared" si="23"/>
        <v>GNR-AP-X3_A2_VV</v>
      </c>
      <c r="G391" s="2" t="str">
        <f>HYPERLINK("https://axonsv.app.intel.com/apps/record-viewer?id=c97026c7-d546-4c0e-b0af-8fd3b166d0f0","c97026c7-d546-4c0e-b0af-8fd3b166d0f0")</f>
        <v>c97026c7-d546-4c0e-b0af-8fd3b166d0f0</v>
      </c>
      <c r="I391" t="s">
        <v>395</v>
      </c>
      <c r="J391" t="s">
        <v>51</v>
      </c>
    </row>
    <row r="392" spans="1:10" ht="14.5" x14ac:dyDescent="0.35">
      <c r="A392" s="2" t="str">
        <f>HYPERLINK("https://nga.laas.intel.com/#/nga_fv_gnr/failureManagement/failures/21d59d35-fd78-412e-b6f2-2215ae5fb241","21d59d35")</f>
        <v>21d59d35</v>
      </c>
      <c r="B392" t="s">
        <v>119</v>
      </c>
      <c r="C392" t="s">
        <v>22</v>
      </c>
      <c r="D392" t="s">
        <v>484</v>
      </c>
      <c r="E392" s="2" t="str">
        <f>HYPERLINK("https://nga.laas.intel.com/#/nga_fv_gnr/failureManagement/bucket/19167c53-dd54-4be5-be11-3d3f766011f8","hw_err_msm_mbx_error_sts_mbx_overflow,hw_mce_dcu_mcacod_c575h_mscod_9ffeh,hw_mce_dcu_mcacod_c575h_mscod_9fffh,hw_mce_dcu_mcacod_c57dh_mscod_9ffeh,hw_mce_dcu_mcacod_c57dh_mscod_9fffh,hw_mce_dcu_mcacod_c775h_mscod_9feeh,hw_mce_dcu_mcacod_c775h_mscod_9ffeh,h")</f>
        <v>hw_err_msm_mbx_error_sts_mbx_overflow,hw_mce_dcu_mcacod_c575h_mscod_9ffeh,hw_mce_dcu_mcacod_c575h_mscod_9fffh,hw_mce_dcu_mcacod_c57dh_mscod_9ffeh,hw_mce_dcu_mcacod_c57dh_mscod_9fffh,hw_mce_dcu_mcacod_c775h_mscod_9feeh,hw_mce_dcu_mcacod_c775h_mscod_9ffeh,h</v>
      </c>
      <c r="F392" s="2" t="str">
        <f t="shared" si="23"/>
        <v>GNR-AP-X3_A2_VV</v>
      </c>
      <c r="G392" s="2" t="str">
        <f>HYPERLINK("https://axonsv.app.intel.com/apps/record-viewer?id=d5b78027-62a9-4b76-b032-4cd9d71962a8","d5b78027-62a9-4b76-b032-4cd9d71962a8")</f>
        <v>d5b78027-62a9-4b76-b032-4cd9d71962a8</v>
      </c>
      <c r="H392" t="s">
        <v>485</v>
      </c>
      <c r="I392" t="s">
        <v>395</v>
      </c>
      <c r="J392" t="s">
        <v>51</v>
      </c>
    </row>
    <row r="393" spans="1:10" ht="14.5" x14ac:dyDescent="0.35">
      <c r="A393" s="2" t="str">
        <f>HYPERLINK("https://nga.laas.intel.com/#/nga_fv_gnr/failureManagement/failures/3140f3bc-3fb1-44b1-9316-04dda3de431d","3140f3bc")</f>
        <v>3140f3bc</v>
      </c>
      <c r="B393" t="s">
        <v>217</v>
      </c>
      <c r="C393" t="s">
        <v>22</v>
      </c>
      <c r="D393" t="s">
        <v>486</v>
      </c>
      <c r="E393" s="2" t="str">
        <f>HYPERLINK("https://nga.laas.intel.com/#/nga_fv_gnr/failureManagement/bucket/2586c5f1-480c-47ca-9c8b-4c0c282616dd","hw_err_msm_global_status_ctrl_reg_msm_pmsb_err_hw_err_msm_global_status_ctrl_reg_pcode_err_hw_err_msm_global_status_ctrl_reg_peci_err_hw_err_msm_mbx_error_sts_mbx_overflow_hw_mce_dtlb_mcacod_fffdh_mscod_fedfh_hw_mce_ifu_mcacod_fdfdh_mscod_fedfh_hw_err_...")</f>
        <v>hw_err_msm_global_status_ctrl_reg_msm_pmsb_err_hw_err_msm_global_status_ctrl_reg_pcode_err_hw_err_msm_global_status_ctrl_reg_peci_err_hw_err_msm_mbx_error_sts_mbx_overflow_hw_mce_dtlb_mcacod_fffdh_mscod_fedfh_hw_mce_ifu_mcacod_fdfdh_mscod_fedfh_hw_err_...</v>
      </c>
      <c r="F393" s="2" t="str">
        <f t="shared" si="23"/>
        <v>GNR-AP-X3_A2_VV</v>
      </c>
      <c r="G393" s="2" t="str">
        <f>HYPERLINK("https://axonsv.app.intel.com/apps/record-viewer?id=9a70f572-daa5-4ee8-a904-ecda4de8ae6b","9a70f572-daa5-4ee8-a904-ecda4de8ae6b")</f>
        <v>9a70f572-daa5-4ee8-a904-ecda4de8ae6b</v>
      </c>
      <c r="I393" t="s">
        <v>487</v>
      </c>
      <c r="J393" t="s">
        <v>14</v>
      </c>
    </row>
    <row r="394" spans="1:10" ht="14.5" x14ac:dyDescent="0.35">
      <c r="A394" s="2" t="str">
        <f>HYPERLINK("https://nga.laas.intel.com/#/nga_fv_gnr/failureManagement/failures/5addde54-6a70-490a-a64a-1aa09fb69020","5addde54")</f>
        <v>5addde54</v>
      </c>
      <c r="B394" t="s">
        <v>431</v>
      </c>
      <c r="C394" t="s">
        <v>22</v>
      </c>
      <c r="D394" t="s">
        <v>488</v>
      </c>
      <c r="E394" s="2" t="str">
        <f>HYPERLINK("https://nga.laas.intel.com/#/nga_fv_gnr/failureManagement/bucket/5e5cc6d1-ef70-4f0d-a091-dee49a716206","junk")</f>
        <v>junk</v>
      </c>
      <c r="F394" s="2" t="str">
        <f t="shared" si="23"/>
        <v>GNR-AP-X3_A2_VV</v>
      </c>
      <c r="G394" s="2" t="str">
        <f>HYPERLINK("https://axonsv.app.intel.com/apps/record-viewer?id=a7afa5a8-66bd-46ef-b33a-a903e4f7dd35","a7afa5a8-66bd-46ef-b33a-a903e4f7dd35")</f>
        <v>a7afa5a8-66bd-46ef-b33a-a903e4f7dd35</v>
      </c>
      <c r="H394" t="s">
        <v>489</v>
      </c>
      <c r="I394" t="s">
        <v>395</v>
      </c>
      <c r="J394" t="s">
        <v>82</v>
      </c>
    </row>
    <row r="395" spans="1:10" ht="14.5" x14ac:dyDescent="0.35">
      <c r="A395" s="2" t="str">
        <f>HYPERLINK("https://nga.laas.intel.com/#/nga_fv_gnr/failureManagement/failures/617bf897-0383-4b3b-b050-11e903002eaa","617bf897")</f>
        <v>617bf897</v>
      </c>
      <c r="B395" t="s">
        <v>10</v>
      </c>
      <c r="C395" t="s">
        <v>22</v>
      </c>
      <c r="D395" t="s">
        <v>490</v>
      </c>
      <c r="E395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95" s="2" t="str">
        <f t="shared" si="23"/>
        <v>GNR-AP-X3_A2_VV</v>
      </c>
      <c r="G395" s="2" t="str">
        <f>HYPERLINK("https://axonsv.app.intel.com/apps/record-viewer?id=bc078d78-703f-47bb-a890-71a10157dcc6","bc078d78-703f-47bb-a890-71a10157dcc6")</f>
        <v>bc078d78-703f-47bb-a890-71a10157dcc6</v>
      </c>
      <c r="H395" t="s">
        <v>491</v>
      </c>
      <c r="I395" t="s">
        <v>492</v>
      </c>
      <c r="J395" t="s">
        <v>82</v>
      </c>
    </row>
    <row r="396" spans="1:10" ht="14.5" x14ac:dyDescent="0.35">
      <c r="A396" s="2" t="str">
        <f>HYPERLINK("https://nga.laas.intel.com/#/nga_fv_gnr/failureManagement/failures/1092fbfd-8d25-443a-8768-1361884eb8dc","1092fbfd")</f>
        <v>1092fbfd</v>
      </c>
      <c r="B396" t="s">
        <v>271</v>
      </c>
      <c r="C396" t="s">
        <v>22</v>
      </c>
      <c r="D396" t="s">
        <v>493</v>
      </c>
      <c r="E39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396" s="2" t="str">
        <f t="shared" si="23"/>
        <v>GNR-AP-X3_A2_VV</v>
      </c>
      <c r="G396" s="2" t="str">
        <f>HYPERLINK("https://axonsv.app.intel.com/apps/record-viewer?id=b6c756ef-f29f-48b0-b7a1-6a8904f10227","b6c756ef-f29f-48b0-b7a1-6a8904f10227")</f>
        <v>b6c756ef-f29f-48b0-b7a1-6a8904f10227</v>
      </c>
      <c r="H396" t="s">
        <v>494</v>
      </c>
      <c r="I396" t="s">
        <v>395</v>
      </c>
      <c r="J396" t="s">
        <v>14</v>
      </c>
    </row>
    <row r="397" spans="1:10" ht="14.5" x14ac:dyDescent="0.35">
      <c r="A397" s="2" t="str">
        <f>HYPERLINK("https://nga.laas.intel.com/#/nga_fv_gnr/failureManagement/failures/4cd2b5a9-b482-4c35-82c8-22784bb28030","4cd2b5a9")</f>
        <v>4cd2b5a9</v>
      </c>
      <c r="B397" t="s">
        <v>436</v>
      </c>
      <c r="C397" t="s">
        <v>22</v>
      </c>
      <c r="D397" t="s">
        <v>495</v>
      </c>
      <c r="E397" s="2" t="str">
        <f>HYPERLINK("https://nga.laas.intel.com/#/nga_fv_gnr/failureManagement/bucket/5e5cc6d1-ef70-4f0d-a091-dee49a716206","junk")</f>
        <v>junk</v>
      </c>
      <c r="F397" s="2" t="str">
        <f t="shared" si="23"/>
        <v>GNR-AP-X3_A2_VV</v>
      </c>
      <c r="G397" s="2" t="str">
        <f>HYPERLINK("https://axonsv.app.intel.com/apps/record-viewer?id=629a0759-29ca-4950-a131-d1b5ad97b2a0","629a0759-29ca-4950-a131-d1b5ad97b2a0")</f>
        <v>629a0759-29ca-4950-a131-d1b5ad97b2a0</v>
      </c>
      <c r="H397" t="s">
        <v>496</v>
      </c>
      <c r="I397" t="s">
        <v>395</v>
      </c>
      <c r="J397" t="s">
        <v>82</v>
      </c>
    </row>
    <row r="398" spans="1:10" ht="14.5" x14ac:dyDescent="0.35">
      <c r="A398" s="2" t="str">
        <f>HYPERLINK("https://nga.laas.intel.com/#/nga_fv_gnr/failureManagement/failures/4bd6b6d1-8d78-4213-ad22-183e1a0711f1","4bd6b6d1")</f>
        <v>4bd6b6d1</v>
      </c>
      <c r="B398" t="s">
        <v>497</v>
      </c>
      <c r="C398" t="s">
        <v>22</v>
      </c>
      <c r="D398" t="s">
        <v>498</v>
      </c>
      <c r="E398" s="2" t="str">
        <f>HYPERLINK("https://nga.laas.intel.com/#/nga_fv_gnr/failureManagement/bucket/3b29cdef-f5be-4c57-818d-5a13e3811e5c","hw_err_msm_mbx_error_sts_mbx_overflow_hw_mce_dcu_mcacod_bf7dh_mscod_e9c6h_hw_mce_dcu_mcacod_bf7dh_mscod_e9c7h_hw_mce_dcu_mcacod_bf7dh_mscod_e9ceh_hw_mce_dcu_mcacod_bf7dh_mscod_f9ceh_hw_mce_dtlb_mcacod_bf7dh_mscod_e9cfh_hw_mce_mlc_mcacod_bf7dh_mscod_e9c...")</f>
        <v>hw_err_msm_mbx_error_sts_mbx_overflow_hw_mce_dcu_mcacod_bf7dh_mscod_e9c6h_hw_mce_dcu_mcacod_bf7dh_mscod_e9c7h_hw_mce_dcu_mcacod_bf7dh_mscod_e9ceh_hw_mce_dcu_mcacod_bf7dh_mscod_f9ceh_hw_mce_dtlb_mcacod_bf7dh_mscod_e9cfh_hw_mce_mlc_mcacod_bf7dh_mscod_e9c...</v>
      </c>
      <c r="F398" s="2" t="str">
        <f t="shared" si="23"/>
        <v>GNR-AP-X3_A2_VV</v>
      </c>
      <c r="G398" s="2" t="str">
        <f>HYPERLINK("https://axonsv.app.intel.com/apps/record-viewer?id=dbc4d9ca-5ab7-4c9a-b80c-79a56fbafdec","dbc4d9ca-5ab7-4c9a-b80c-79a56fbafdec")</f>
        <v>dbc4d9ca-5ab7-4c9a-b80c-79a56fbafdec</v>
      </c>
      <c r="H398" t="s">
        <v>499</v>
      </c>
      <c r="I398" t="s">
        <v>500</v>
      </c>
      <c r="J398" t="s">
        <v>14</v>
      </c>
    </row>
    <row r="399" spans="1:10" ht="14.5" x14ac:dyDescent="0.35">
      <c r="A399" s="2" t="str">
        <f>HYPERLINK("https://nga.laas.intel.com/#/nga_fv_gnr/failureManagement/failures/6f2661da-ac81-4840-b626-0100ff099433","6f2661da")</f>
        <v>6f2661da</v>
      </c>
      <c r="B399" t="s">
        <v>326</v>
      </c>
      <c r="C399" t="s">
        <v>22</v>
      </c>
      <c r="D399" t="s">
        <v>501</v>
      </c>
      <c r="E399" s="2" t="str">
        <f>HYPERLINK("https://nga.laas.intel.com/#/nga_fv_gnr/failureManagement/bucket/7fae1859-480a-4003-b332-0e7f10e350aa","hw_err_msm_global_status_ctrl_reg_msm_pmsb_err,hw_err_msm_global_status_ctrl_reg_pcode_err,hw_err_msm_global_status_ctrl_reg_peci_err,hw_err_msm_mbx_error_sts_mbx_overflow,hw_mce_dcu_mcacod_4f2fh_mscod_fff7h,hw_mce_dcu_mcacod_5d2fh_mscod_fff7h,hw_mce_dcu_")</f>
        <v>hw_err_msm_global_status_ctrl_reg_msm_pmsb_err,hw_err_msm_global_status_ctrl_reg_pcode_err,hw_err_msm_global_status_ctrl_reg_peci_err,hw_err_msm_mbx_error_sts_mbx_overflow,hw_mce_dcu_mcacod_4f2fh_mscod_fff7h,hw_mce_dcu_mcacod_5d2fh_mscod_fff7h,hw_mce_dcu_</v>
      </c>
      <c r="F399" s="2" t="str">
        <f t="shared" si="23"/>
        <v>GNR-AP-X3_A2_VV</v>
      </c>
      <c r="G399" s="2" t="str">
        <f>HYPERLINK("https://axonsv.app.intel.com/apps/record-viewer?id=9b2efb3b-67bf-44e2-8d03-b6c4594a2650","9b2efb3b-67bf-44e2-8d03-b6c4594a2650")</f>
        <v>9b2efb3b-67bf-44e2-8d03-b6c4594a2650</v>
      </c>
      <c r="H399" t="s">
        <v>502</v>
      </c>
      <c r="I399" t="s">
        <v>395</v>
      </c>
      <c r="J399" t="s">
        <v>14</v>
      </c>
    </row>
    <row r="400" spans="1:10" ht="14.5" x14ac:dyDescent="0.35">
      <c r="A400" s="2" t="str">
        <f>HYPERLINK("https://nga.laas.intel.com/#/nga_fv_gnr/failureManagement/failures/cfbb978f-25aa-46b5-b526-1875864a7258","cfbb978f")</f>
        <v>cfbb978f</v>
      </c>
      <c r="B400" t="s">
        <v>73</v>
      </c>
      <c r="C400" t="s">
        <v>22</v>
      </c>
      <c r="D400" t="s">
        <v>503</v>
      </c>
      <c r="E400" s="2" t="str">
        <f>HYPERLINK("https://nga.laas.intel.com/#/nga_fv_gnr/failureManagement/bucket/389d0e8d-3886-4d1b-8406-9f07676f4181","hw_err_msm_global_status_ctrl_reg_general_mca,hw_err_msm_global_status_ctrl_reg_global_viral,hw_err_msm_global_status_ctrl_reg_ierr,hw_err_msm_global_status_ctrl_reg_msm_pmsb_err,hw_err_msm_global_status_ctrl_reg_pcode_err,hw_err_msm_global_status_ctrl_re")</f>
        <v>hw_err_msm_global_status_ctrl_reg_general_mca,hw_err_msm_global_status_ctrl_reg_global_viral,hw_err_msm_global_status_ctrl_reg_ierr,hw_err_msm_global_status_ctrl_reg_msm_pmsb_err,hw_err_msm_global_status_ctrl_reg_pcode_err,hw_err_msm_global_status_ctrl_re</v>
      </c>
      <c r="F400" s="2" t="str">
        <f t="shared" si="23"/>
        <v>GNR-AP-X3_A2_VV</v>
      </c>
      <c r="G400" s="2" t="str">
        <f>HYPERLINK("https://axonsv.app.intel.com/apps/record-viewer?id=9385e7a1-7e31-4f14-b9a6-e7c35c72308b","9385e7a1-7e31-4f14-b9a6-e7c35c72308b")</f>
        <v>9385e7a1-7e31-4f14-b9a6-e7c35c72308b</v>
      </c>
      <c r="H400" t="s">
        <v>504</v>
      </c>
      <c r="I400" t="s">
        <v>505</v>
      </c>
      <c r="J400" t="s">
        <v>51</v>
      </c>
    </row>
    <row r="401" spans="1:10" ht="14.5" x14ac:dyDescent="0.35">
      <c r="A401" s="2" t="str">
        <f>HYPERLINK("https://nga.laas.intel.com/#/nga_fv_gnr/failureManagement/failures/b9d8dd29-9e18-41a9-a69b-05aa2947b008","b9d8dd29")</f>
        <v>b9d8dd29</v>
      </c>
      <c r="B401" t="s">
        <v>217</v>
      </c>
      <c r="C401" t="s">
        <v>22</v>
      </c>
      <c r="D401" t="s">
        <v>506</v>
      </c>
      <c r="E401" s="2" t="str">
        <f>HYPERLINK("https://nga.laas.intel.com/#/nga_fv_gnr/failureManagement/bucket/1d3c91a3-3931-4263-a8a9-969cf6c4385b","presighting_already_raised_gnrap")</f>
        <v>presighting_already_raised_gnrap</v>
      </c>
      <c r="F401" s="2" t="str">
        <f>HYPERLINK("https://nga.laas.intel.com/#/nga_fv_gnr/planning/suites/5704ff06-4247-4880-92f8-57fe6af0ecfc","GNR-AP-X3_A2_Idle")</f>
        <v>GNR-AP-X3_A2_Idle</v>
      </c>
      <c r="G401" s="2" t="str">
        <f>HYPERLINK("https://axonsv.app.intel.com/apps/record-viewer?id=14177c58-11c5-494b-9a62-b8ccf4b4192c","14177c58-11c5-494b-9a62-b8ccf4b4192c")</f>
        <v>14177c58-11c5-494b-9a62-b8ccf4b4192c</v>
      </c>
      <c r="I401" t="s">
        <v>507</v>
      </c>
      <c r="J401" t="s">
        <v>34</v>
      </c>
    </row>
    <row r="402" spans="1:10" ht="14.5" x14ac:dyDescent="0.35">
      <c r="A402" s="2" t="str">
        <f>HYPERLINK("https://nga.laas.intel.com/#/nga_fv_gnr/failureManagement/failures/9ba6f0c0-ff06-4582-86ec-1f590fb06778","9ba6f0c0")</f>
        <v>9ba6f0c0</v>
      </c>
      <c r="B402" t="s">
        <v>90</v>
      </c>
      <c r="C402" t="s">
        <v>22</v>
      </c>
      <c r="D402" t="s">
        <v>508</v>
      </c>
      <c r="E402" s="2" t="str">
        <f>HYPERLINK("https://nga.laas.intel.com/#/nga_fv_gnr/failureManagement/bucket/3c8322b6-a8a1-4b07-8116-3a32ee5ac934","hw_err_msm_mbx_error_sts_mbx_overflow,hw_mce_dcu_mcacod_2fadh_mscod_1edfh,hw_mce_dcu_mcacod_2fafh_mscod_1ecfh,hw_mce_dcu_mcacod_2fafh_mscod_1edfh,hw_mce_dcu_mcacod_2fafh_mscod_3ecfh,hw_mce_dcu_mcacod_6fafh_mscod_1edfh,hw_mce_dcu_mcacod_6fafh_mscod_3edfh,h")</f>
        <v>hw_err_msm_mbx_error_sts_mbx_overflow,hw_mce_dcu_mcacod_2fadh_mscod_1edfh,hw_mce_dcu_mcacod_2fafh_mscod_1ecfh,hw_mce_dcu_mcacod_2fafh_mscod_1edfh,hw_mce_dcu_mcacod_2fafh_mscod_3ecfh,hw_mce_dcu_mcacod_6fafh_mscod_1edfh,hw_mce_dcu_mcacod_6fafh_mscod_3edfh,h</v>
      </c>
      <c r="F402" s="2" t="str">
        <f>HYPERLINK("https://nga.laas.intel.com/#/nga_fv_gnr/planning/suites/1f60130b-5ac5-47b1-9f05-cd28a120f5c9","GNR-AP-X3_A2_VV")</f>
        <v>GNR-AP-X3_A2_VV</v>
      </c>
      <c r="G402" s="2" t="str">
        <f>HYPERLINK("https://axonsv.app.intel.com/apps/record-viewer?id=e9d25787-6400-4f32-97d5-7c0505f92e13","e9d25787-6400-4f32-97d5-7c0505f92e13")</f>
        <v>e9d25787-6400-4f32-97d5-7c0505f92e13</v>
      </c>
      <c r="H402" t="s">
        <v>509</v>
      </c>
      <c r="I402" t="s">
        <v>395</v>
      </c>
      <c r="J402" t="s">
        <v>51</v>
      </c>
    </row>
    <row r="403" spans="1:10" ht="14.5" x14ac:dyDescent="0.35">
      <c r="A403" s="2" t="str">
        <f>HYPERLINK("https://nga.laas.intel.com/#/nga_fv_gnr/failureManagement/failures/11da9271-9fc0-4446-aae6-1a35fcecc753","11da9271")</f>
        <v>11da9271</v>
      </c>
      <c r="B403" t="s">
        <v>326</v>
      </c>
      <c r="C403" t="s">
        <v>22</v>
      </c>
      <c r="D403" t="s">
        <v>510</v>
      </c>
      <c r="E403" s="2" t="str">
        <f>HYPERLINK("https://nga.laas.intel.com/#/nga_fv_gnr/failureManagement/bucket/1d3c91a3-3931-4263-a8a9-969cf6c4385b","presighting_already_raised_gnrap")</f>
        <v>presighting_already_raised_gnrap</v>
      </c>
      <c r="F403" s="2" t="str">
        <f>HYPERLINK("https://nga.laas.intel.com/#/nga_fv_gnr/planning/suites/5704ff06-4247-4880-92f8-57fe6af0ecfc","GNR-AP-X3_A2_Idle")</f>
        <v>GNR-AP-X3_A2_Idle</v>
      </c>
      <c r="G403" s="2" t="str">
        <f>HYPERLINK("https://axonsv.app.intel.com/apps/record-viewer?id=5a68c4d1-d463-46af-8f3e-e9b9bf138266","5a68c4d1-d463-46af-8f3e-e9b9bf138266")</f>
        <v>5a68c4d1-d463-46af-8f3e-e9b9bf138266</v>
      </c>
      <c r="I403" t="s">
        <v>395</v>
      </c>
      <c r="J403" t="s">
        <v>34</v>
      </c>
    </row>
    <row r="404" spans="1:10" ht="14.5" x14ac:dyDescent="0.35">
      <c r="A404" s="2" t="str">
        <f>HYPERLINK("https://nga.laas.intel.com/#/nga_fv_gnr/failureManagement/failures/04dceda0-f999-4344-87a0-0c517bc91b0d","04dceda0")</f>
        <v>04dceda0</v>
      </c>
      <c r="B404" t="s">
        <v>73</v>
      </c>
      <c r="C404" t="s">
        <v>22</v>
      </c>
      <c r="D404" t="s">
        <v>424</v>
      </c>
      <c r="E404" s="2" t="str">
        <f>HYPERLINK("https://nga.laas.intel.com/#/nga_fv_gnr/failureManagement/bucket/f9ab2d2d-a888-4a66-9c6d-4ffb567e0c33","hw_err_msm_mbx_error_sts_mbx_overflow_hw_mce_dcu_mcacod_8b68h_mscod_0e97h_hw_mce_dcu_mcacod_8ba8h_mscod_8e97h_hw_mce_dcu_mcacod_8be8h_mscod_0e97h_hw_mce_dcu_mcacod_8be8h_mscod_8e97h_hw_mce_dcu_mcacod_8be8h_mscod_ce17h_hw_mce_dcu_mcacod_cba8h_mscod_8e97...")</f>
        <v>hw_err_msm_mbx_error_sts_mbx_overflow_hw_mce_dcu_mcacod_8b68h_mscod_0e97h_hw_mce_dcu_mcacod_8ba8h_mscod_8e97h_hw_mce_dcu_mcacod_8be8h_mscod_0e97h_hw_mce_dcu_mcacod_8be8h_mscod_8e97h_hw_mce_dcu_mcacod_8be8h_mscod_ce17h_hw_mce_dcu_mcacod_cba8h_mscod_8e97...</v>
      </c>
      <c r="F404" s="2" t="str">
        <f t="shared" ref="F404:F410" si="24">HYPERLINK("https://nga.laas.intel.com/#/nga_fv_gnr/planning/suites/1f60130b-5ac5-47b1-9f05-cd28a120f5c9","GNR-AP-X3_A2_VV")</f>
        <v>GNR-AP-X3_A2_VV</v>
      </c>
      <c r="G404" s="2" t="str">
        <f>HYPERLINK("https://axonsv.app.intel.com/apps/record-viewer?id=54b6af85-6c08-4d6f-a677-1dbff268a6fa","54b6af85-6c08-4d6f-a677-1dbff268a6fa")</f>
        <v>54b6af85-6c08-4d6f-a677-1dbff268a6fa</v>
      </c>
      <c r="I404" t="s">
        <v>395</v>
      </c>
      <c r="J404" t="s">
        <v>20</v>
      </c>
    </row>
    <row r="405" spans="1:10" ht="14.5" x14ac:dyDescent="0.35">
      <c r="A405" s="2" t="str">
        <f>HYPERLINK("https://nga.laas.intel.com/#/nga_fv_gnr/failureManagement/failures/ba02332f-29c6-4b6d-bcd5-1fec66364fc0","ba02332f")</f>
        <v>ba02332f</v>
      </c>
      <c r="B405" t="s">
        <v>436</v>
      </c>
      <c r="C405" t="s">
        <v>22</v>
      </c>
      <c r="D405" t="s">
        <v>99</v>
      </c>
      <c r="E405" s="2" t="str">
        <f t="shared" ref="E405:E409" si="25"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05" s="2" t="str">
        <f t="shared" si="24"/>
        <v>GNR-AP-X3_A2_VV</v>
      </c>
      <c r="G405" s="2" t="str">
        <f>HYPERLINK("https://axonsv.app.intel.com/apps/record-viewer?id=2f981d02-94cd-4226-bb02-bcc972f63e65","2f981d02-94cd-4226-bb02-bcc972f63e65")</f>
        <v>2f981d02-94cd-4226-bb02-bcc972f63e65</v>
      </c>
      <c r="I405" t="s">
        <v>395</v>
      </c>
      <c r="J405" t="s">
        <v>74</v>
      </c>
    </row>
    <row r="406" spans="1:10" ht="14.5" x14ac:dyDescent="0.35">
      <c r="A406" s="2" t="str">
        <f>HYPERLINK("https://nga.laas.intel.com/#/nga_fv_gnr/failureManagement/failures/e0d1989f-1283-4b05-bf5f-2005017e8dd6","e0d1989f")</f>
        <v>e0d1989f</v>
      </c>
      <c r="B406" t="s">
        <v>479</v>
      </c>
      <c r="C406" t="s">
        <v>22</v>
      </c>
      <c r="D406" t="s">
        <v>511</v>
      </c>
      <c r="E406" s="2" t="str">
        <f t="shared" si="25"/>
        <v>nga_bucketname_field_limit_exceeded_unable_to_insert_bucketname</v>
      </c>
      <c r="F406" s="2" t="str">
        <f t="shared" si="24"/>
        <v>GNR-AP-X3_A2_VV</v>
      </c>
      <c r="G406" s="2" t="str">
        <f>HYPERLINK("https://axonsv.app.intel.com/apps/record-viewer?id=294cd210-cbc1-46f3-a0c9-c3d2f226a1a4","294cd210-cbc1-46f3-a0c9-c3d2f226a1a4")</f>
        <v>294cd210-cbc1-46f3-a0c9-c3d2f226a1a4</v>
      </c>
      <c r="H406" t="s">
        <v>512</v>
      </c>
      <c r="I406" t="s">
        <v>513</v>
      </c>
      <c r="J406" t="s">
        <v>51</v>
      </c>
    </row>
    <row r="407" spans="1:10" ht="14.5" x14ac:dyDescent="0.35">
      <c r="A407" s="2" t="str">
        <f>HYPERLINK("https://nga.laas.intel.com/#/nga_fv_gnr/failureManagement/failures/0c8fedd0-3810-402f-9678-08cedea17402","0c8fedd0")</f>
        <v>0c8fedd0</v>
      </c>
      <c r="B407" t="s">
        <v>497</v>
      </c>
      <c r="C407" t="s">
        <v>22</v>
      </c>
      <c r="D407" t="s">
        <v>501</v>
      </c>
      <c r="E407" s="2" t="str">
        <f t="shared" si="25"/>
        <v>nga_bucketname_field_limit_exceeded_unable_to_insert_bucketname</v>
      </c>
      <c r="F407" s="2" t="str">
        <f t="shared" si="24"/>
        <v>GNR-AP-X3_A2_VV</v>
      </c>
      <c r="G407" s="2" t="str">
        <f>HYPERLINK("https://axonsv.app.intel.com/apps/record-viewer?id=d4f49b9f-a3b8-490c-be13-1fde01e1e20a","d4f49b9f-a3b8-490c-be13-1fde01e1e20a")</f>
        <v>d4f49b9f-a3b8-490c-be13-1fde01e1e20a</v>
      </c>
      <c r="I407" t="s">
        <v>395</v>
      </c>
      <c r="J407" t="s">
        <v>14</v>
      </c>
    </row>
    <row r="408" spans="1:10" ht="14.5" x14ac:dyDescent="0.35">
      <c r="A408" s="2" t="str">
        <f>HYPERLINK("https://nga.laas.intel.com/#/nga_fv_gnr/failureManagement/failures/6c78d952-69c0-4062-b90d-0056a39756af","6c78d952")</f>
        <v>6c78d952</v>
      </c>
      <c r="B408" t="s">
        <v>121</v>
      </c>
      <c r="C408" t="s">
        <v>22</v>
      </c>
      <c r="D408" t="s">
        <v>295</v>
      </c>
      <c r="E408" s="2" t="str">
        <f t="shared" si="25"/>
        <v>nga_bucketname_field_limit_exceeded_unable_to_insert_bucketname</v>
      </c>
      <c r="F408" s="2" t="str">
        <f t="shared" si="24"/>
        <v>GNR-AP-X3_A2_VV</v>
      </c>
      <c r="G408" s="2" t="str">
        <f>HYPERLINK("https://axonsv.app.intel.com/apps/record-viewer?id=7b50b26b-0b06-4698-bea5-015eb412a90c","7b50b26b-0b06-4698-bea5-015eb412a90c")</f>
        <v>7b50b26b-0b06-4698-bea5-015eb412a90c</v>
      </c>
      <c r="H408" t="s">
        <v>514</v>
      </c>
      <c r="I408" t="s">
        <v>395</v>
      </c>
      <c r="J408" t="s">
        <v>14</v>
      </c>
    </row>
    <row r="409" spans="1:10" ht="14.5" x14ac:dyDescent="0.35">
      <c r="A409" s="2" t="str">
        <f>HYPERLINK("https://nga.laas.intel.com/#/nga_fv_gnr/failureManagement/failures/08257e45-8bf7-4eb3-82e4-0d2f9b64b701","08257e45")</f>
        <v>08257e45</v>
      </c>
      <c r="B409" t="s">
        <v>497</v>
      </c>
      <c r="C409" t="s">
        <v>22</v>
      </c>
      <c r="D409" t="s">
        <v>60</v>
      </c>
      <c r="E409" s="2" t="str">
        <f t="shared" si="25"/>
        <v>nga_bucketname_field_limit_exceeded_unable_to_insert_bucketname</v>
      </c>
      <c r="F409" s="2" t="str">
        <f t="shared" si="24"/>
        <v>GNR-AP-X3_A2_VV</v>
      </c>
      <c r="G409" s="2" t="str">
        <f>HYPERLINK("https://axonsv.app.intel.com/apps/record-viewer?id=fb9ca07c-869c-4629-9f4e-bb2b79c78143","fb9ca07c-869c-4629-9f4e-bb2b79c78143")</f>
        <v>fb9ca07c-869c-4629-9f4e-bb2b79c78143</v>
      </c>
      <c r="I409" t="s">
        <v>395</v>
      </c>
      <c r="J409" t="s">
        <v>61</v>
      </c>
    </row>
    <row r="410" spans="1:10" ht="14.5" x14ac:dyDescent="0.35">
      <c r="A410" s="2" t="str">
        <f>HYPERLINK("https://nga.laas.intel.com/#/nga_fv_gnr/failureManagement/failures/957a44b4-a3a6-450c-84e7-04a91f138e6d","957a44b4")</f>
        <v>957a44b4</v>
      </c>
      <c r="B410" t="s">
        <v>455</v>
      </c>
      <c r="C410" t="s">
        <v>22</v>
      </c>
      <c r="D410" t="s">
        <v>515</v>
      </c>
      <c r="E410" s="2" t="str">
        <f>HYPERLINK("https://nga.laas.intel.com/#/nga_fv_gnr/failureManagement/bucket/389d0e8d-3886-4d1b-8406-9f07676f4181","hw_err_msm_global_status_ctrl_reg_general_mca,hw_err_msm_global_status_ctrl_reg_global_viral,hw_err_msm_global_status_ctrl_reg_ierr,hw_err_msm_global_status_ctrl_reg_msm_pmsb_err,hw_err_msm_global_status_ctrl_reg_pcode_err,hw_err_msm_global_status_ctrl_re")</f>
        <v>hw_err_msm_global_status_ctrl_reg_general_mca,hw_err_msm_global_status_ctrl_reg_global_viral,hw_err_msm_global_status_ctrl_reg_ierr,hw_err_msm_global_status_ctrl_reg_msm_pmsb_err,hw_err_msm_global_status_ctrl_reg_pcode_err,hw_err_msm_global_status_ctrl_re</v>
      </c>
      <c r="F410" s="2" t="str">
        <f t="shared" si="24"/>
        <v>GNR-AP-X3_A2_VV</v>
      </c>
      <c r="G410" s="2" t="str">
        <f>HYPERLINK("https://axonsv.app.intel.com/apps/record-viewer?id=270a5e18-91ef-4c5f-8de6-be716275537c","270a5e18-91ef-4c5f-8de6-be716275537c")</f>
        <v>270a5e18-91ef-4c5f-8de6-be716275537c</v>
      </c>
      <c r="H410" t="s">
        <v>504</v>
      </c>
      <c r="I410" t="s">
        <v>516</v>
      </c>
      <c r="J410" t="s">
        <v>51</v>
      </c>
    </row>
    <row r="411" spans="1:10" ht="14.5" x14ac:dyDescent="0.35">
      <c r="A411" s="2" t="str">
        <f>HYPERLINK("https://nga.laas.intel.com/#/nga_fv_gnr/failureManagement/failures/7fe3cf38-1d88-46d2-88b4-1514237a7801","7fe3cf38")</f>
        <v>7fe3cf38</v>
      </c>
      <c r="B411" t="s">
        <v>227</v>
      </c>
      <c r="C411" t="s">
        <v>22</v>
      </c>
      <c r="D411" t="s">
        <v>506</v>
      </c>
      <c r="E411" s="2" t="str">
        <f>HYPERLINK("https://nga.laas.intel.com/#/nga_fv_gnr/failureManagement/bucket/1d3c91a3-3931-4263-a8a9-969cf6c4385b","presighting_already_raised_gnrap")</f>
        <v>presighting_already_raised_gnrap</v>
      </c>
      <c r="F411" s="2" t="str">
        <f>HYPERLINK("https://nga.laas.intel.com/#/nga_fv_gnr/planning/suites/5704ff06-4247-4880-92f8-57fe6af0ecfc","GNR-AP-X3_A2_Idle")</f>
        <v>GNR-AP-X3_A2_Idle</v>
      </c>
      <c r="G411" s="2" t="str">
        <f>HYPERLINK("https://axonsv.app.intel.com/apps/record-viewer?id=c79efd0a-3bd2-49a7-9243-f2d14cf255b3","c79efd0a-3bd2-49a7-9243-f2d14cf255b3")</f>
        <v>c79efd0a-3bd2-49a7-9243-f2d14cf255b3</v>
      </c>
      <c r="I411" t="s">
        <v>395</v>
      </c>
      <c r="J411" t="s">
        <v>34</v>
      </c>
    </row>
    <row r="412" spans="1:10" ht="14.5" x14ac:dyDescent="0.35">
      <c r="A412" s="2" t="str">
        <f>HYPERLINK("https://nga.laas.intel.com/#/nga_fv_gnr/failureManagement/failures/fb23f6f6-48bb-4216-ac95-22089f94d6fe","fb23f6f6")</f>
        <v>fb23f6f6</v>
      </c>
      <c r="B412" t="s">
        <v>90</v>
      </c>
      <c r="C412" t="s">
        <v>22</v>
      </c>
      <c r="D412" t="s">
        <v>381</v>
      </c>
      <c r="E412" s="2" t="str">
        <f>HYPERLINK("https://nga.laas.intel.com/#/nga_fv_gnr/failureManagement/bucket/4f958d0f-bbf5-4cea-8a6a-73b0e64933f8","nga_bucketname_field_limit_exceeded_unable_to_insert_bucketname_hw_err_msm_global_status_ctrl_reg_general_mca_hw_err_msm_global_status_ctrl_reg_global_viral_hw_err_msm_global_status_ctrl_reg_ierr_hw_err_msm_global_status_ctrl_reg_msm_pmsb_err_hw_err_ms...")</f>
        <v>nga_bucketname_field_limit_exceeded_unable_to_insert_bucketname_hw_err_msm_global_status_ctrl_reg_general_mca_hw_err_msm_global_status_ctrl_reg_global_viral_hw_err_msm_global_status_ctrl_reg_ierr_hw_err_msm_global_status_ctrl_reg_msm_pmsb_err_hw_err_ms...</v>
      </c>
      <c r="F412" s="2" t="str">
        <f>HYPERLINK("https://nga.laas.intel.com/#/nga_fv_gnr/planning/suites/1f60130b-5ac5-47b1-9f05-cd28a120f5c9","GNR-AP-X3_A2_VV")</f>
        <v>GNR-AP-X3_A2_VV</v>
      </c>
      <c r="G412" s="2" t="str">
        <f>HYPERLINK("https://axonsv.app.intel.com/apps/record-viewer?id=7dfefc91-2307-4872-8fc3-5ca795dab531","7dfefc91-2307-4872-8fc3-5ca795dab531")</f>
        <v>7dfefc91-2307-4872-8fc3-5ca795dab531</v>
      </c>
      <c r="H412" t="s">
        <v>517</v>
      </c>
      <c r="I412" t="s">
        <v>518</v>
      </c>
      <c r="J412" t="s">
        <v>51</v>
      </c>
    </row>
    <row r="413" spans="1:10" ht="14.5" x14ac:dyDescent="0.35">
      <c r="A413" s="2" t="str">
        <f>HYPERLINK("https://nga.laas.intel.com/#/nga_fv_gnr/failureManagement/failures/fcf88c9d-be07-4e1d-8535-1b89f33acdee","fcf88c9d")</f>
        <v>fcf88c9d</v>
      </c>
      <c r="B413" t="s">
        <v>245</v>
      </c>
      <c r="C413" t="s">
        <v>22</v>
      </c>
      <c r="D413" t="s">
        <v>519</v>
      </c>
      <c r="E413" s="2" t="str">
        <f>HYPERLINK("https://nga.laas.intel.com/#/nga_fv_gnr/failureManagement/bucket/60e45def-08b3-482c-b568-347702092f04","none_hw_err_msm_global_status_ctrl_reg_general_mca_hw_err_msm_global_status_ctrl_reg_global_viral_hw_err_msm_global_status_ctrl_reg_ierr_hw_err_msm_global_status_ctrl_reg_msm_pmsb_err_hw_err_msm_global_status_ctrl_reg_pcode_err_hw_err_msm_global_status...")</f>
        <v>none_hw_err_msm_global_status_ctrl_reg_general_mca_hw_err_msm_global_status_ctrl_reg_global_viral_hw_err_msm_global_status_ctrl_reg_ierr_hw_err_msm_global_status_ctrl_reg_msm_pmsb_err_hw_err_msm_global_status_ctrl_reg_pcode_err_hw_err_msm_global_status...</v>
      </c>
      <c r="F413" s="2" t="str">
        <f>HYPERLINK("https://nga.laas.intel.com/#/nga_fv_gnr/planning/suites/1f60130b-5ac5-47b1-9f05-cd28a120f5c9","GNR-AP-X3_A2_VV")</f>
        <v>GNR-AP-X3_A2_VV</v>
      </c>
      <c r="G413" s="2" t="str">
        <f>HYPERLINK("https://axonsv.app.intel.com/apps/record-viewer?id=e2bac2b4-e317-4590-af88-6669083845d8","e2bac2b4-e317-4590-af88-6669083845d8")</f>
        <v>e2bac2b4-e317-4590-af88-6669083845d8</v>
      </c>
      <c r="H413" t="s">
        <v>520</v>
      </c>
      <c r="I413" t="s">
        <v>521</v>
      </c>
      <c r="J413" t="s">
        <v>14</v>
      </c>
    </row>
    <row r="414" spans="1:10" ht="14.5" x14ac:dyDescent="0.35">
      <c r="A414" s="2" t="str">
        <f>HYPERLINK("https://nga.laas.intel.com/#/nga_fv_gnr/failureManagement/failures/155e8fed-afbc-403c-98a5-14891dbf1221","155e8fed")</f>
        <v>155e8fed</v>
      </c>
      <c r="B414" t="s">
        <v>276</v>
      </c>
      <c r="C414" t="s">
        <v>22</v>
      </c>
      <c r="D414" t="s">
        <v>484</v>
      </c>
      <c r="E41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14" s="2" t="str">
        <f>HYPERLINK("https://nga.laas.intel.com/#/nga_fv_gnr/planning/suites/1f60130b-5ac5-47b1-9f05-cd28a120f5c9","GNR-AP-X3_A2_VV")</f>
        <v>GNR-AP-X3_A2_VV</v>
      </c>
      <c r="G414" s="2" t="str">
        <f>HYPERLINK("https://axonsv.app.intel.com/apps/record-viewer?id=e9784a72-9656-443a-a5b7-d3e18261e0f0","e9784a72-9656-443a-a5b7-d3e18261e0f0")</f>
        <v>e9784a72-9656-443a-a5b7-d3e18261e0f0</v>
      </c>
      <c r="H414" t="s">
        <v>522</v>
      </c>
      <c r="I414" t="s">
        <v>395</v>
      </c>
      <c r="J414" t="s">
        <v>51</v>
      </c>
    </row>
    <row r="415" spans="1:10" ht="14.5" x14ac:dyDescent="0.35">
      <c r="A415" s="2" t="str">
        <f>HYPERLINK("https://nga.laas.intel.com/#/nga_fv_gnr/failureManagement/failures/955acdb4-6853-48a9-8d21-092e0d829d71","955acdb4")</f>
        <v>955acdb4</v>
      </c>
      <c r="B415" t="s">
        <v>90</v>
      </c>
      <c r="C415" t="s">
        <v>22</v>
      </c>
      <c r="D415" t="s">
        <v>453</v>
      </c>
      <c r="E415" s="2" t="str">
        <f>HYPERLINK("https://nga.laas.intel.com/#/nga_fv_gnr/failureManagement/bucket/106b814c-177e-460b-8751-aa9a5e37a000","hw_err_msm_mbx_error_sts_mbx_overflow_hw_mce_ras_hw_err_msm_mbx_error_sts_mbx_overflow_hw_mce_ras_nomatch_hw_err_msm_mbx_error_sts_mbx_overflow_hw_mce_ras_nomatch")</f>
        <v>hw_err_msm_mbx_error_sts_mbx_overflow_hw_mce_ras_hw_err_msm_mbx_error_sts_mbx_overflow_hw_mce_ras_nomatch_hw_err_msm_mbx_error_sts_mbx_overflow_hw_mce_ras_nomatch</v>
      </c>
      <c r="F415" s="2" t="str">
        <f>HYPERLINK("https://nga.laas.intel.com/#/nga_fv_gnr/planning/suites/1f60130b-5ac5-47b1-9f05-cd28a120f5c9","GNR-AP-X3_A2_VV")</f>
        <v>GNR-AP-X3_A2_VV</v>
      </c>
      <c r="G415" s="2" t="str">
        <f>HYPERLINK("https://axonsv.app.intel.com/apps/record-viewer?id=b81e1f7c-6897-133f-e853-f2ac34445854","b81e1f7c-6897-133f-e853-f2ac34445854")</f>
        <v>b81e1f7c-6897-133f-e853-f2ac34445854</v>
      </c>
      <c r="I415" t="s">
        <v>523</v>
      </c>
      <c r="J415" t="s">
        <v>34</v>
      </c>
    </row>
    <row r="416" spans="1:10" ht="14.5" x14ac:dyDescent="0.35">
      <c r="A416" s="2" t="str">
        <f>HYPERLINK("https://nga.laas.intel.com/#/nga_fv_gnr/failureManagement/failures/c3be06e7-182c-498d-b7d1-1d5b4f7ad73b","c3be06e7")</f>
        <v>c3be06e7</v>
      </c>
      <c r="B416" t="s">
        <v>360</v>
      </c>
      <c r="C416" t="s">
        <v>22</v>
      </c>
      <c r="D416" t="s">
        <v>506</v>
      </c>
      <c r="E416" s="2" t="str">
        <f>HYPERLINK("https://nga.laas.intel.com/#/nga_fv_gnr/failureManagement/bucket/1d3c91a3-3931-4263-a8a9-969cf6c4385b","presighting_already_raised_gnrap")</f>
        <v>presighting_already_raised_gnrap</v>
      </c>
      <c r="F416" s="2" t="str">
        <f>HYPERLINK("https://nga.laas.intel.com/#/nga_fv_gnr/planning/suites/5704ff06-4247-4880-92f8-57fe6af0ecfc","GNR-AP-X3_A2_Idle")</f>
        <v>GNR-AP-X3_A2_Idle</v>
      </c>
      <c r="G416" s="2" t="str">
        <f>HYPERLINK("https://axonsv.app.intel.com/apps/record-viewer?id=8a4d6176-df72-48fb-a0bb-be3d288e1ddb","8a4d6176-df72-48fb-a0bb-be3d288e1ddb")</f>
        <v>8a4d6176-df72-48fb-a0bb-be3d288e1ddb</v>
      </c>
      <c r="I416" t="s">
        <v>524</v>
      </c>
      <c r="J416" t="s">
        <v>34</v>
      </c>
    </row>
    <row r="417" spans="1:10" ht="14.5" x14ac:dyDescent="0.35">
      <c r="A417" s="2" t="str">
        <f>HYPERLINK("https://nga.laas.intel.com/#/nga_fv_gnr/failureManagement/failures/4646e434-9c10-4520-8eb2-0e65254684f6","4646e434")</f>
        <v>4646e434</v>
      </c>
      <c r="B417" t="s">
        <v>21</v>
      </c>
      <c r="C417" t="s">
        <v>22</v>
      </c>
      <c r="D417" t="s">
        <v>404</v>
      </c>
      <c r="E41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17" s="2" t="str">
        <f>HYPERLINK("https://nga.laas.intel.com/#/nga_fv_gnr/planning/suites/1f60130b-5ac5-47b1-9f05-cd28a120f5c9","GNR-AP-X3_A2_VV")</f>
        <v>GNR-AP-X3_A2_VV</v>
      </c>
      <c r="G417" s="2" t="str">
        <f>HYPERLINK("https://axonsv.app.intel.com/apps/record-viewer?id=c44a23d8-4ddb-4d32-8153-9c21840e3dc5","c44a23d8-4ddb-4d32-8153-9c21840e3dc5")</f>
        <v>c44a23d8-4ddb-4d32-8153-9c21840e3dc5</v>
      </c>
      <c r="H417" t="s">
        <v>525</v>
      </c>
      <c r="I417" t="s">
        <v>395</v>
      </c>
      <c r="J417" t="s">
        <v>51</v>
      </c>
    </row>
    <row r="418" spans="1:10" ht="14.5" x14ac:dyDescent="0.35">
      <c r="A418" s="2" t="str">
        <f>HYPERLINK("https://nga.laas.intel.com/#/nga_fv_gnr/failureManagement/failures/066a9da6-6cdf-4909-9dcc-048a191c42a5","066a9da6")</f>
        <v>066a9da6</v>
      </c>
      <c r="B418" t="s">
        <v>108</v>
      </c>
      <c r="C418" t="s">
        <v>22</v>
      </c>
      <c r="D418" t="s">
        <v>406</v>
      </c>
      <c r="E418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18" s="2" t="str">
        <f>HYPERLINK("https://nga.laas.intel.com/#/nga_fv_gnr/planning/suites/1f60130b-5ac5-47b1-9f05-cd28a120f5c9","GNR-AP-X3_A2_VV")</f>
        <v>GNR-AP-X3_A2_VV</v>
      </c>
      <c r="G418" s="2" t="str">
        <f>HYPERLINK("https://axonsv.app.intel.com/apps/record-viewer?id=ad020eda-8651-4952-bf1c-63bb466154a1","ad020eda-8651-4952-bf1c-63bb466154a1")</f>
        <v>ad020eda-8651-4952-bf1c-63bb466154a1</v>
      </c>
      <c r="H418" t="s">
        <v>526</v>
      </c>
      <c r="I418" t="s">
        <v>395</v>
      </c>
      <c r="J418" t="s">
        <v>51</v>
      </c>
    </row>
    <row r="419" spans="1:10" ht="14.5" x14ac:dyDescent="0.35">
      <c r="A419" s="2" t="str">
        <f>HYPERLINK("https://nga.laas.intel.com/#/nga_fv_gnr/failureManagement/failures/eb84ad70-ea73-4479-ad40-1a5edcd03e6e","eb84ad70")</f>
        <v>eb84ad70</v>
      </c>
      <c r="B419" t="s">
        <v>90</v>
      </c>
      <c r="C419" t="s">
        <v>22</v>
      </c>
      <c r="D419" t="s">
        <v>527</v>
      </c>
      <c r="E41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19" s="2" t="str">
        <f>HYPERLINK("https://nga.laas.intel.com/#/nga_fv_gnr/planning/suites/1f60130b-5ac5-47b1-9f05-cd28a120f5c9","GNR-AP-X3_A2_VV")</f>
        <v>GNR-AP-X3_A2_VV</v>
      </c>
      <c r="G419" s="2" t="str">
        <f>HYPERLINK("https://axonsv.app.intel.com/apps/record-viewer?id=a7fb902d-9d2e-4ac6-b595-02ab63400733","a7fb902d-9d2e-4ac6-b595-02ab63400733")</f>
        <v>a7fb902d-9d2e-4ac6-b595-02ab63400733</v>
      </c>
      <c r="H419" t="s">
        <v>528</v>
      </c>
      <c r="I419" t="s">
        <v>395</v>
      </c>
      <c r="J419" t="s">
        <v>14</v>
      </c>
    </row>
    <row r="420" spans="1:10" ht="14.5" x14ac:dyDescent="0.35">
      <c r="A420" s="2" t="str">
        <f>HYPERLINK("https://nga.laas.intel.com/#/nga_fv_gnr/failureManagement/failures/7b93f8f4-efb1-4fe3-ba3b-1e5f0edbff7f","7b93f8f4")</f>
        <v>7b93f8f4</v>
      </c>
      <c r="B420" t="s">
        <v>27</v>
      </c>
      <c r="C420" t="s">
        <v>22</v>
      </c>
      <c r="D420" t="s">
        <v>135</v>
      </c>
      <c r="E420" s="2" t="str">
        <f>HYPERLINK("https://nga.laas.intel.com/#/nga_fv_gnr/failureManagement/bucket/96e001a8-7c08-49cc-b6fc-28c4e5342eec","hw_err_msm_global_status_ctrl_reg_msm_pmsb_err_hw_err_msm_global_status_ctrl_reg_pcode_err_hw_err_msm_global_status_ctrl_reg_peci_err_hw_err_msm_mbx_error_sts_mbx_overflow_hw_mce_dcu_mcacod_ff7fh_mscod_1fffh_hw_mce_dcu_mcacod_ffbfh_mscod_dfeeh_hw_mce_d...")</f>
        <v>hw_err_msm_global_status_ctrl_reg_msm_pmsb_err_hw_err_msm_global_status_ctrl_reg_pcode_err_hw_err_msm_global_status_ctrl_reg_peci_err_hw_err_msm_mbx_error_sts_mbx_overflow_hw_mce_dcu_mcacod_ff7fh_mscod_1fffh_hw_mce_dcu_mcacod_ffbfh_mscod_dfeeh_hw_mce_d...</v>
      </c>
      <c r="F420" s="2" t="str">
        <f>HYPERLINK("https://nga.laas.intel.com/#/nga_fv_gnr/planning/suites/1f60130b-5ac5-47b1-9f05-cd28a120f5c9","GNR-AP-X3_A2_VV")</f>
        <v>GNR-AP-X3_A2_VV</v>
      </c>
      <c r="G420" s="2" t="str">
        <f>HYPERLINK("https://axonsv.app.intel.com/apps/record-viewer?id=595358af-f077-41ad-bbf7-96f8e750fb53","595358af-f077-41ad-bbf7-96f8e750fb53")</f>
        <v>595358af-f077-41ad-bbf7-96f8e750fb53</v>
      </c>
      <c r="H420" t="s">
        <v>529</v>
      </c>
      <c r="I420" t="s">
        <v>507</v>
      </c>
      <c r="J420" t="s">
        <v>51</v>
      </c>
    </row>
    <row r="421" spans="1:10" ht="14.5" x14ac:dyDescent="0.35">
      <c r="A421" s="2" t="str">
        <f>HYPERLINK("https://nga.laas.intel.com/#/nga_fv_gnr/failureManagement/failures/a49154a7-062d-4edd-a2bd-043740f8271f","a49154a7")</f>
        <v>a49154a7</v>
      </c>
      <c r="B421" t="s">
        <v>326</v>
      </c>
      <c r="C421" t="s">
        <v>22</v>
      </c>
      <c r="D421" t="s">
        <v>506</v>
      </c>
      <c r="E421" s="2" t="str">
        <f>HYPERLINK("https://nga.laas.intel.com/#/nga_fv_gnr/failureManagement/bucket/1d3c91a3-3931-4263-a8a9-969cf6c4385b","presighting_already_raised_gnrap")</f>
        <v>presighting_already_raised_gnrap</v>
      </c>
      <c r="F421" s="2" t="str">
        <f>HYPERLINK("https://nga.laas.intel.com/#/nga_fv_gnr/planning/suites/5704ff06-4247-4880-92f8-57fe6af0ecfc","GNR-AP-X3_A2_Idle")</f>
        <v>GNR-AP-X3_A2_Idle</v>
      </c>
      <c r="G421" s="2" t="str">
        <f>HYPERLINK("https://axonsv.app.intel.com/apps/record-viewer?id=480d9a30-ec21-4136-8249-003e62d059a6","480d9a30-ec21-4136-8249-003e62d059a6")</f>
        <v>480d9a30-ec21-4136-8249-003e62d059a6</v>
      </c>
      <c r="I421" t="s">
        <v>395</v>
      </c>
      <c r="J421" t="s">
        <v>34</v>
      </c>
    </row>
    <row r="422" spans="1:10" ht="14.5" x14ac:dyDescent="0.35">
      <c r="A422" s="2" t="str">
        <f>HYPERLINK("https://nga.laas.intel.com/#/nga_fv_gnr/failureManagement/failures/4108b88a-c47f-4511-93d7-03ee73e10f39","4108b88a")</f>
        <v>4108b88a</v>
      </c>
      <c r="B422" t="s">
        <v>27</v>
      </c>
      <c r="C422" t="s">
        <v>30</v>
      </c>
      <c r="D422" t="s">
        <v>66</v>
      </c>
      <c r="E422" s="2" t="str">
        <f>HYPERLINK("https://nga.laas.intel.com/#/nga_fv_gnr/failureManagement/bucket/c66ed183-c5b4-48c9-807b-e37454487aea","hw_err_msm_global_status_ctrl_reg_crashlog_err_hw_err_msm_global_status_ctrl_reg_global_viral_hw_err_msm_global_status_ctrl_reg_ierr_hw_err_msm_global_status_ctrl_reg_msm_pmsb_err_hw_err_msm_global_status_ctrl_reg_pcode_err_hw_err_msm_global_status_ctr...")</f>
        <v>hw_err_msm_global_status_ctrl_reg_crashlog_err_hw_err_msm_global_status_ctrl_reg_global_viral_hw_err_msm_global_status_ctrl_reg_ierr_hw_err_msm_global_status_ctrl_reg_msm_pmsb_err_hw_err_msm_global_status_ctrl_reg_pcode_err_hw_err_msm_global_status_ctr...</v>
      </c>
      <c r="F422" s="2" t="str">
        <f>HYPERLINK("https://nga.laas.intel.com/#/nga_fv_gnr/planning/suites/1f60130b-5ac5-47b1-9f05-cd28a120f5c9","GNR-AP-X3_A2_VV")</f>
        <v>GNR-AP-X3_A2_VV</v>
      </c>
      <c r="G422" s="2" t="str">
        <f>HYPERLINK("https://axonsv.app.intel.com/apps/record-viewer?id=12e6d675-06cc-41d3-ae0b-4d473924c622","12e6d675-06cc-41d3-ae0b-4d473924c622")</f>
        <v>12e6d675-06cc-41d3-ae0b-4d473924c622</v>
      </c>
      <c r="I422" t="s">
        <v>474</v>
      </c>
      <c r="J422" t="s">
        <v>20</v>
      </c>
    </row>
    <row r="423" spans="1:10" ht="14.5" x14ac:dyDescent="0.35">
      <c r="A423" s="2" t="str">
        <f>HYPERLINK("https://nga.laas.intel.com/#/nga_fv_gnr/failureManagement/failures/da392265-fc37-482e-a689-12373a43a59b","da392265")</f>
        <v>da392265</v>
      </c>
      <c r="B423" t="s">
        <v>362</v>
      </c>
      <c r="C423" t="s">
        <v>11</v>
      </c>
      <c r="D423" t="s">
        <v>290</v>
      </c>
      <c r="E42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23" s="2" t="str">
        <f>HYPERLINK("https://nga.laas.intel.com/#/nga_fv_gnr/planning/suites/5704ff06-4247-4880-92f8-57fe6af0ecfc","GNR-AP-X3_A2_Idle")</f>
        <v>GNR-AP-X3_A2_Idle</v>
      </c>
      <c r="G423" s="2" t="str">
        <f>HYPERLINK("https://axonsv.app.intel.com/apps/record-viewer?id=50859933-49d2-4031-8603-9a18b82e9c1f","50859933-49d2-4031-8603-9a18b82e9c1f")</f>
        <v>50859933-49d2-4031-8603-9a18b82e9c1f</v>
      </c>
      <c r="I423" t="s">
        <v>395</v>
      </c>
      <c r="J423" t="s">
        <v>34</v>
      </c>
    </row>
    <row r="424" spans="1:10" ht="14.5" x14ac:dyDescent="0.35">
      <c r="A424" s="2" t="str">
        <f>HYPERLINK("https://nga.laas.intel.com/#/nga_fv_gnr/failureManagement/failures/c5039da9-0f41-4579-8556-1ff2bc604cfc","c5039da9")</f>
        <v>c5039da9</v>
      </c>
      <c r="B424" t="s">
        <v>185</v>
      </c>
      <c r="C424" t="s">
        <v>22</v>
      </c>
      <c r="D424" t="s">
        <v>530</v>
      </c>
      <c r="E42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24" s="2" t="str">
        <f t="shared" ref="F424:F430" si="26">HYPERLINK("https://nga.laas.intel.com/#/nga_fv_gnr/planning/suites/1f60130b-5ac5-47b1-9f05-cd28a120f5c9","GNR-AP-X3_A2_VV")</f>
        <v>GNR-AP-X3_A2_VV</v>
      </c>
      <c r="G424" s="2" t="str">
        <f>HYPERLINK("https://axonsv.app.intel.com/apps/record-viewer?id=86d7db24-ac96-4256-9bce-50c7a28a24e6","86d7db24-ac96-4256-9bce-50c7a28a24e6")</f>
        <v>86d7db24-ac96-4256-9bce-50c7a28a24e6</v>
      </c>
      <c r="H424" t="s">
        <v>531</v>
      </c>
      <c r="I424" t="s">
        <v>532</v>
      </c>
      <c r="J424" t="s">
        <v>14</v>
      </c>
    </row>
    <row r="425" spans="1:10" ht="14.5" x14ac:dyDescent="0.35">
      <c r="A425" s="2" t="str">
        <f>HYPERLINK("https://nga.laas.intel.com/#/nga_fv_gnr/failureManagement/failures/ff9a7006-26e5-4c4b-939b-13eeb310dfd4","ff9a7006")</f>
        <v>ff9a7006</v>
      </c>
      <c r="B425" t="s">
        <v>533</v>
      </c>
      <c r="C425" t="s">
        <v>22</v>
      </c>
      <c r="D425" t="s">
        <v>534</v>
      </c>
      <c r="E425" s="2" t="str">
        <f>HYPERLINK("https://nga.laas.intel.com/#/nga_fv_gnr/failureManagement/bucket/48cb8d26-2b15-4e8a-9f70-bb72a5b7d2a4","hw_err_msm_global_status_ctrl_reg_msm_pmsb_err_hw_err_msm_global_status_ctrl_reg_pcode_err_hw_err_msm_global_status_ctrl_reg_peci_err_hw_err_msm_mbx_error_sts_mbx_overflow_hw_mce_ifu_mcacod_da5bh_mscod_5c56h_hw_mce_mlc_mcacod_d85bh_mscod_5c56h_hw_err_m...")</f>
        <v>hw_err_msm_global_status_ctrl_reg_msm_pmsb_err_hw_err_msm_global_status_ctrl_reg_pcode_err_hw_err_msm_global_status_ctrl_reg_peci_err_hw_err_msm_mbx_error_sts_mbx_overflow_hw_mce_ifu_mcacod_da5bh_mscod_5c56h_hw_mce_mlc_mcacod_d85bh_mscod_5c56h_hw_err_m...</v>
      </c>
      <c r="F425" s="2" t="str">
        <f t="shared" si="26"/>
        <v>GNR-AP-X3_A2_VV</v>
      </c>
      <c r="G425" s="2" t="str">
        <f>HYPERLINK("https://axonsv.app.intel.com/apps/record-viewer?id=4fb7c396-a7d4-4ad9-9d37-cd01a2d4aaba","4fb7c396-a7d4-4ad9-9d37-cd01a2d4aaba")</f>
        <v>4fb7c396-a7d4-4ad9-9d37-cd01a2d4aaba</v>
      </c>
      <c r="H425" t="s">
        <v>535</v>
      </c>
      <c r="I425" t="s">
        <v>536</v>
      </c>
      <c r="J425" t="s">
        <v>14</v>
      </c>
    </row>
    <row r="426" spans="1:10" ht="14.5" x14ac:dyDescent="0.35">
      <c r="A426" s="2" t="str">
        <f>HYPERLINK("https://nga.laas.intel.com/#/nga_fv_gnr/failureManagement/failures/5e2d65d6-9422-4634-a79d-2311607e3a98","5e2d65d6")</f>
        <v>5e2d65d6</v>
      </c>
      <c r="B426" t="s">
        <v>21</v>
      </c>
      <c r="C426" t="s">
        <v>22</v>
      </c>
      <c r="D426" t="s">
        <v>493</v>
      </c>
      <c r="E426" s="2" t="str">
        <f>HYPERLINK("https://nga.laas.intel.com/#/nga_fv_gnr/failureManagement/bucket/df72a375-350d-4134-96fd-6b88b49165f7","nga_bucketname_field_limit_exceeded_unable_to_insert_bucketname_s_hw_known_hsd_16019933053_hw_err_hiop_hiop3_hw_err_msm_global_status_ctrl_reg_general_mca_hw_err_msm_global_status_ctrl_reg_global_viral_hw_err_msm_global_status_ctrl_reg_ierr_hw_err_msm_...")</f>
        <v>nga_bucketname_field_limit_exceeded_unable_to_insert_bucketname_s_hw_known_hsd_16019933053_hw_err_hiop_hiop3_hw_err_msm_global_status_ctrl_reg_general_mca_hw_err_msm_global_status_ctrl_reg_global_viral_hw_err_msm_global_status_ctrl_reg_ierr_hw_err_msm_...</v>
      </c>
      <c r="F426" s="2" t="str">
        <f t="shared" si="26"/>
        <v>GNR-AP-X3_A2_VV</v>
      </c>
      <c r="G426" s="2" t="str">
        <f>HYPERLINK("https://axonsv.app.intel.com/apps/record-viewer?id=b7852a78-69dc-bbcf-a029-79b0e14c2ee5","b7852a78-69dc-bbcf-a029-79b0e14c2ee5")</f>
        <v>b7852a78-69dc-bbcf-a029-79b0e14c2ee5</v>
      </c>
      <c r="I426" t="s">
        <v>537</v>
      </c>
      <c r="J426" t="s">
        <v>14</v>
      </c>
    </row>
    <row r="427" spans="1:10" ht="14.5" x14ac:dyDescent="0.35">
      <c r="A427" s="2" t="str">
        <f>HYPERLINK("https://nga.laas.intel.com/#/nga_fv_gnr/failureManagement/failures/de377d7d-cf21-4d63-abee-061e6def344e","de377d7d")</f>
        <v>de377d7d</v>
      </c>
      <c r="B427" t="s">
        <v>91</v>
      </c>
      <c r="C427" t="s">
        <v>22</v>
      </c>
      <c r="D427" t="s">
        <v>472</v>
      </c>
      <c r="E427" s="2" t="str">
        <f>HYPERLINK("https://nga.laas.intel.com/#/nga_fv_gnr/failureManagement/bucket/00ee875a-32d6-4629-9f20-96ab975eaa94","nga_bucketname_field_limit_exceeded_unable_to_insert_bucketname_hw_err_msm_global_status_ctrl_reg_general_mca_hw_err_msm_global_status_ctrl_reg_global_viral_hw_err_msm_global_status_ctrl_reg_ierr_hw_err_msm_global_status_ctrl_reg_msm_pmsb_err_hw_err_ms...")</f>
        <v>nga_bucketname_field_limit_exceeded_unable_to_insert_bucketname_hw_err_msm_global_status_ctrl_reg_general_mca_hw_err_msm_global_status_ctrl_reg_global_viral_hw_err_msm_global_status_ctrl_reg_ierr_hw_err_msm_global_status_ctrl_reg_msm_pmsb_err_hw_err_ms...</v>
      </c>
      <c r="F427" s="2" t="str">
        <f t="shared" si="26"/>
        <v>GNR-AP-X3_A2_VV</v>
      </c>
      <c r="G427" s="2" t="str">
        <f>HYPERLINK("https://axonsv.app.intel.com/apps/record-viewer?id=280f9fb0-b0f1-42ec-8c1b-81094742479a","280f9fb0-b0f1-42ec-8c1b-81094742479a")</f>
        <v>280f9fb0-b0f1-42ec-8c1b-81094742479a</v>
      </c>
      <c r="I427" t="s">
        <v>482</v>
      </c>
      <c r="J427" t="s">
        <v>74</v>
      </c>
    </row>
    <row r="428" spans="1:10" ht="14.5" x14ac:dyDescent="0.35">
      <c r="A428" s="2" t="str">
        <f>HYPERLINK("https://nga.laas.intel.com/#/nga_fv_gnr/failureManagement/failures/19a44533-1d75-442a-962b-0070388470c5","19a44533")</f>
        <v>19a44533</v>
      </c>
      <c r="B428" t="s">
        <v>21</v>
      </c>
      <c r="C428" t="s">
        <v>22</v>
      </c>
      <c r="D428" t="s">
        <v>406</v>
      </c>
      <c r="E428" s="2" t="str">
        <f>HYPERLINK("https://nga.laas.intel.com/#/nga_fv_gnr/failureManagement/bucket/0d2f371e-a469-458e-ba9d-03f6d816b262","nga_bucketname_field_limit_exceeded_unable_to_insert_bucketname_hw_err_msm_global_status_ctrl_reg_general_mca_hw_err_msm_global_status_ctrl_reg_global_viral_hw_err_msm_global_status_ctrl_reg_ierr_hw_err_msm_global_status_ctrl_reg_msm_pmsb_err_hw_err_ms...")</f>
        <v>nga_bucketname_field_limit_exceeded_unable_to_insert_bucketname_hw_err_msm_global_status_ctrl_reg_general_mca_hw_err_msm_global_status_ctrl_reg_global_viral_hw_err_msm_global_status_ctrl_reg_ierr_hw_err_msm_global_status_ctrl_reg_msm_pmsb_err_hw_err_ms...</v>
      </c>
      <c r="F428" s="2" t="str">
        <f t="shared" si="26"/>
        <v>GNR-AP-X3_A2_VV</v>
      </c>
      <c r="G428" s="2" t="str">
        <f>HYPERLINK("https://axonsv.app.intel.com/apps/record-viewer?id=9f4f1822-84db-45b1-b55b-6a17b2dc7295","9f4f1822-84db-45b1-b55b-6a17b2dc7295")</f>
        <v>9f4f1822-84db-45b1-b55b-6a17b2dc7295</v>
      </c>
      <c r="H428" t="s">
        <v>538</v>
      </c>
      <c r="I428" t="s">
        <v>518</v>
      </c>
      <c r="J428" t="s">
        <v>14</v>
      </c>
    </row>
    <row r="429" spans="1:10" ht="14.5" x14ac:dyDescent="0.35">
      <c r="A429" s="2" t="str">
        <f>HYPERLINK("https://nga.laas.intel.com/#/nga_fv_gnr/failureManagement/failures/c9eef9c2-a1b4-4b29-a1f0-121f62194225","c9eef9c2")</f>
        <v>c9eef9c2</v>
      </c>
      <c r="B429" t="s">
        <v>539</v>
      </c>
      <c r="C429" t="s">
        <v>22</v>
      </c>
      <c r="D429" t="s">
        <v>302</v>
      </c>
      <c r="E429" s="2" t="str">
        <f>HYPERLINK("https://nga.laas.intel.com/#/nga_fv_gnr/failureManagement/bucket/ae4d8d07-d86a-4186-8135-83e6e1aa53c3","hw_err_ieh_satieh3_gerrcorsts,hw_err_msm_global_status_ctrl_reg_general_mca,hw_err_msm_global_status_ctrl_reg_global_viral,hw_err_msm_global_status_ctrl_reg_ierr,hw_err_msm_mbx_error_sts_mbx_overflow,hw_err_ubox_ncevents_ncevents_cr_bankmerge5_errlog,hw_e")</f>
        <v>hw_err_ieh_satieh3_gerrcorsts,hw_err_msm_global_status_ctrl_reg_general_mca,hw_err_msm_global_status_ctrl_reg_global_viral,hw_err_msm_global_status_ctrl_reg_ierr,hw_err_msm_mbx_error_sts_mbx_overflow,hw_err_ubox_ncevents_ncevents_cr_bankmerge5_errlog,hw_e</v>
      </c>
      <c r="F429" s="2" t="str">
        <f t="shared" si="26"/>
        <v>GNR-AP-X3_A2_VV</v>
      </c>
      <c r="G429" s="2" t="str">
        <f>HYPERLINK("https://axonsv.app.intel.com/apps/record-viewer?id=292838f1-f6a0-493a-bc6d-6b11f72d9e06","292838f1-f6a0-493a-bc6d-6b11f72d9e06")</f>
        <v>292838f1-f6a0-493a-bc6d-6b11f72d9e06</v>
      </c>
      <c r="H429" t="s">
        <v>540</v>
      </c>
      <c r="I429" t="s">
        <v>541</v>
      </c>
      <c r="J429" t="s">
        <v>14</v>
      </c>
    </row>
    <row r="430" spans="1:10" ht="14.5" x14ac:dyDescent="0.35">
      <c r="A430" s="2" t="str">
        <f>HYPERLINK("https://nga.laas.intel.com/#/nga_fv_gnr/failureManagement/failures/38c6c8a8-cb6c-4972-bd07-14dfc002a4e7","38c6c8a8")</f>
        <v>38c6c8a8</v>
      </c>
      <c r="B430" t="s">
        <v>41</v>
      </c>
      <c r="C430" t="s">
        <v>22</v>
      </c>
      <c r="D430" t="s">
        <v>176</v>
      </c>
      <c r="E430" s="2" t="str">
        <f>HYPERLINK("https://nga.laas.intel.com/#/nga_fv_gnr/failureManagement/bucket/afc5004a-f100-4c8c-8c2e-5dc13c7746df","hw_err_msm_global_status_ctrl_reg_general_mca_hw_err_msm_global_status_ctrl_reg_global_viral_hw_err_msm_global_status_ctrl_reg_ierr_hw_err_msm_mbx_error_sts_mbx_overflow_hw_err_ubox_ncevents_ncevents_cr_bankmerge5_errlog_hw_err_ubox_ncevents_ncevents_c...")</f>
        <v>hw_err_msm_global_status_ctrl_reg_general_mca_hw_err_msm_global_status_ctrl_reg_global_viral_hw_err_msm_global_status_ctrl_reg_ierr_hw_err_msm_mbx_error_sts_mbx_overflow_hw_err_ubox_ncevents_ncevents_cr_bankmerge5_errlog_hw_err_ubox_ncevents_ncevents_c...</v>
      </c>
      <c r="F430" s="2" t="str">
        <f t="shared" si="26"/>
        <v>GNR-AP-X3_A2_VV</v>
      </c>
      <c r="G430" s="2" t="str">
        <f>HYPERLINK("https://axonsv.app.intel.com/apps/record-viewer?id=ba4ed509-30d6-fd9e-4732-49d0873d4088","ba4ed509-30d6-fd9e-4732-49d0873d4088")</f>
        <v>ba4ed509-30d6-fd9e-4732-49d0873d4088</v>
      </c>
      <c r="H430" t="s">
        <v>542</v>
      </c>
      <c r="I430" t="s">
        <v>543</v>
      </c>
      <c r="J430" t="s">
        <v>14</v>
      </c>
    </row>
    <row r="431" spans="1:10" ht="14.5" x14ac:dyDescent="0.35">
      <c r="A431" s="2" t="str">
        <f>HYPERLINK("https://nga.laas.intel.com/#/nga_fv_gnr/failureManagement/failures/4e429491-305f-4519-bd48-097ed96176f9","4e429491")</f>
        <v>4e429491</v>
      </c>
      <c r="B431" t="s">
        <v>544</v>
      </c>
      <c r="C431" t="s">
        <v>11</v>
      </c>
      <c r="D431" t="s">
        <v>70</v>
      </c>
      <c r="E431" s="2" t="str">
        <f>HYPERLINK("https://nga.laas.intel.com/#/nga_fv_gnr/failureManagement/bucket/dee8920e-5548-4cf6-a7b5-472e4dc09f41","hw_err_msm_global_status_ctrl_reg_msm_pmsb_err,hw_err_msm_global_status_ctrl_reg_pcode_err,hw_err_msm_global_status_ctrl_reg_peci_err,hw_err_msm_mbx_error_sts_mbx_overflow,hw_err_uncersts_oob_received_an_unsupported_request,hw_mce_dcu_mcacod_busl0_obs_x_x")</f>
        <v>hw_err_msm_global_status_ctrl_reg_msm_pmsb_err,hw_err_msm_global_status_ctrl_reg_pcode_err,hw_err_msm_global_status_ctrl_reg_peci_err,hw_err_msm_mbx_error_sts_mbx_overflow,hw_err_uncersts_oob_received_an_unsupported_request,hw_mce_dcu_mcacod_busl0_obs_x_x</v>
      </c>
      <c r="F431" s="2" t="str">
        <f>HYPERLINK("https://nga.laas.intel.com/#/nga_fv_gnr/planning/suites/68ed84d1-320a-4bbf-a945-46fd5334b4d1","GNR-AP-X3_A2_Reset-Cycle")</f>
        <v>GNR-AP-X3_A2_Reset-Cycle</v>
      </c>
      <c r="G431" s="2" t="str">
        <f>HYPERLINK("https://axonsv.app.intel.com/apps/record-viewer?id=54f1fd2b-b016-4581-bbf6-edab77a7a42e","54f1fd2b-b016-4581-bbf6-edab77a7a42e")</f>
        <v>54f1fd2b-b016-4581-bbf6-edab77a7a42e</v>
      </c>
      <c r="I431" t="s">
        <v>395</v>
      </c>
      <c r="J431" t="s">
        <v>352</v>
      </c>
    </row>
    <row r="432" spans="1:10" ht="14.5" x14ac:dyDescent="0.35">
      <c r="A432" s="2" t="str">
        <f>HYPERLINK("https://nga.laas.intel.com/#/nga_fv_gnr/failureManagement/failures/b588928f-2c87-4c8e-9c48-14e834f8ee73","b588928f")</f>
        <v>b588928f</v>
      </c>
      <c r="B432" t="s">
        <v>544</v>
      </c>
      <c r="C432" t="s">
        <v>11</v>
      </c>
      <c r="D432" t="s">
        <v>545</v>
      </c>
      <c r="E432" s="2" t="str">
        <f>HYPERLINK("https://nga.laas.intel.com/#/nga_fv_gnr/failureManagement/bucket/dee8920e-5548-4cf6-a7b5-472e4dc09f41","hw_err_msm_global_status_ctrl_reg_msm_pmsb_err,hw_err_msm_global_status_ctrl_reg_pcode_err,hw_err_msm_global_status_ctrl_reg_peci_err,hw_err_msm_mbx_error_sts_mbx_overflow,hw_err_uncersts_oob_received_an_unsupported_request,hw_mce_dcu_mcacod_busl0_obs_x_x")</f>
        <v>hw_err_msm_global_status_ctrl_reg_msm_pmsb_err,hw_err_msm_global_status_ctrl_reg_pcode_err,hw_err_msm_global_status_ctrl_reg_peci_err,hw_err_msm_mbx_error_sts_mbx_overflow,hw_err_uncersts_oob_received_an_unsupported_request,hw_mce_dcu_mcacod_busl0_obs_x_x</v>
      </c>
      <c r="F432" s="2" t="str">
        <f>HYPERLINK("https://nga.laas.intel.com/#/nga_fv_gnr/planning/suites/68ed84d1-320a-4bbf-a945-46fd5334b4d1","GNR-AP-X3_A2_Reset-Cycle")</f>
        <v>GNR-AP-X3_A2_Reset-Cycle</v>
      </c>
      <c r="G432" s="2" t="str">
        <f>HYPERLINK("https://axonsv.app.intel.com/apps/record-viewer?id=9fa91b37-bfd0-4de3-8ab2-0529085dda26","9fa91b37-bfd0-4de3-8ab2-0529085dda26")</f>
        <v>9fa91b37-bfd0-4de3-8ab2-0529085dda26</v>
      </c>
      <c r="I432" t="s">
        <v>395</v>
      </c>
      <c r="J432" t="s">
        <v>352</v>
      </c>
    </row>
    <row r="433" spans="1:10" ht="14.5" x14ac:dyDescent="0.35">
      <c r="A433" s="2" t="str">
        <f>HYPERLINK("https://nga.laas.intel.com/#/nga_fv_gnr/failureManagement/failures/b4132093-f3c2-4d58-970a-212842e1d3ac","b4132093")</f>
        <v>b4132093</v>
      </c>
      <c r="B433" t="s">
        <v>544</v>
      </c>
      <c r="C433" t="s">
        <v>11</v>
      </c>
      <c r="D433" t="s">
        <v>545</v>
      </c>
      <c r="E43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33" s="2" t="str">
        <f>HYPERLINK("https://nga.laas.intel.com/#/nga_fv_gnr/planning/suites/68ed84d1-320a-4bbf-a945-46fd5334b4d1","GNR-AP-X3_A2_Reset-Cycle")</f>
        <v>GNR-AP-X3_A2_Reset-Cycle</v>
      </c>
      <c r="G433" s="2" t="str">
        <f>HYPERLINK("https://axonsv.app.intel.com/apps/record-viewer?id=e56a72af-6b0d-4ec2-a14c-de23dea9edb1","e56a72af-6b0d-4ec2-a14c-de23dea9edb1")</f>
        <v>e56a72af-6b0d-4ec2-a14c-de23dea9edb1</v>
      </c>
      <c r="I433" t="s">
        <v>463</v>
      </c>
      <c r="J433" t="s">
        <v>352</v>
      </c>
    </row>
    <row r="434" spans="1:10" ht="14.5" x14ac:dyDescent="0.35">
      <c r="A434" s="2" t="str">
        <f>HYPERLINK("https://nga.laas.intel.com/#/nga_fv_gnr/failureManagement/failures/4bc08e24-e630-4217-b4c5-1dd43f08df1a","4bc08e24")</f>
        <v>4bc08e24</v>
      </c>
      <c r="B434" t="s">
        <v>475</v>
      </c>
      <c r="C434" t="s">
        <v>30</v>
      </c>
      <c r="D434" t="s">
        <v>66</v>
      </c>
      <c r="E43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34" s="2" t="str">
        <f>HYPERLINK("https://nga.laas.intel.com/#/nga_fv_gnr/planning/suites/3bf82cea-b611-4111-970b-fa5c85b51d2c","GNR-AP-X3_A2_Reset-Matrix")</f>
        <v>GNR-AP-X3_A2_Reset-Matrix</v>
      </c>
      <c r="G434" s="2" t="str">
        <f>HYPERLINK("https://axonsv.app.intel.com/apps/record-viewer?id=3094b7c2-50c7-40fb-a49d-56e2c4d302c3","3094b7c2-50c7-40fb-a49d-56e2c4d302c3")</f>
        <v>3094b7c2-50c7-40fb-a49d-56e2c4d302c3</v>
      </c>
      <c r="I434" t="s">
        <v>355</v>
      </c>
      <c r="J434" t="s">
        <v>352</v>
      </c>
    </row>
    <row r="435" spans="1:10" ht="14.5" x14ac:dyDescent="0.35">
      <c r="A435" s="2" t="str">
        <f>HYPERLINK("https://nga.laas.intel.com/#/nga_fv_gnr/failureManagement/failures/e1844619-6235-40eb-8c0a-108aa641790b","e1844619")</f>
        <v>e1844619</v>
      </c>
      <c r="B435" t="s">
        <v>546</v>
      </c>
      <c r="C435" t="s">
        <v>11</v>
      </c>
      <c r="D435" t="s">
        <v>290</v>
      </c>
      <c r="E435" s="2" t="str">
        <f>HYPERLINK("https://nga.laas.intel.com/#/nga_fv_gnr/failureManagement/bucket/4439f373-263b-4c30-9844-bbfbc0d101a9","hw_err_msm_global_status_ctrl_reg_msm_pmsb_err_hw_err_msm_global_status_ctrl_reg_pcode_err_hw_err_msm_global_status_ctrl_reg_peci_err_hw_err_msm_mbx_error_sts_mbx_overflow_hw_mce_dcu_mcacod_7fach_mscod_7dffh_hw_mce_dtlb_mcacod_7f3ch_mscod_3dffh_hw_err_...")</f>
        <v>hw_err_msm_global_status_ctrl_reg_msm_pmsb_err_hw_err_msm_global_status_ctrl_reg_pcode_err_hw_err_msm_global_status_ctrl_reg_peci_err_hw_err_msm_mbx_error_sts_mbx_overflow_hw_mce_dcu_mcacod_7fach_mscod_7dffh_hw_mce_dtlb_mcacod_7f3ch_mscod_3dffh_hw_err_...</v>
      </c>
      <c r="F435" s="2" t="str">
        <f>HYPERLINK("https://nga.laas.intel.com/#/nga_fv_gnr/planning/suites/68ed84d1-320a-4bbf-a945-46fd5334b4d1","GNR-AP-X3_A2_Reset-Cycle")</f>
        <v>GNR-AP-X3_A2_Reset-Cycle</v>
      </c>
      <c r="G435" s="2" t="str">
        <f>HYPERLINK("https://axonsv.app.intel.com/apps/record-viewer?id=1d7c4d25-9c9e-44f2-8430-f71dabd1b306","1d7c4d25-9c9e-44f2-8430-f71dabd1b306")</f>
        <v>1d7c4d25-9c9e-44f2-8430-f71dabd1b306</v>
      </c>
      <c r="I435" t="s">
        <v>402</v>
      </c>
      <c r="J435" t="s">
        <v>352</v>
      </c>
    </row>
    <row r="436" spans="1:10" ht="14.5" x14ac:dyDescent="0.35">
      <c r="A436" s="2" t="str">
        <f>HYPERLINK("https://nga.laas.intel.com/#/nga_fv_gnr/failureManagement/failures/6ad1fab4-1245-4af1-9f7e-16768ff2b20c","6ad1fab4")</f>
        <v>6ad1fab4</v>
      </c>
      <c r="B436" t="s">
        <v>547</v>
      </c>
      <c r="C436" t="s">
        <v>22</v>
      </c>
      <c r="D436" t="s">
        <v>548</v>
      </c>
      <c r="E43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36" s="2" t="str">
        <f>HYPERLINK("https://nga.laas.intel.com/#/nga_fv_gnr/planning/suites/2631557f-c996-4457-b8b1-8a62fc20eeb9","GNR-AP-X1_A0_VTD_FOCUSTEST")</f>
        <v>GNR-AP-X1_A0_VTD_FOCUSTEST</v>
      </c>
      <c r="G436" s="2" t="str">
        <f>HYPERLINK("https://axonsv.app.intel.com/apps/record-viewer?id=d19a707c-21a6-4ebc-b762-b33b15d3411e","d19a707c-21a6-4ebc-b762-b33b15d3411e")</f>
        <v>d19a707c-21a6-4ebc-b762-b33b15d3411e</v>
      </c>
      <c r="I436" t="s">
        <v>463</v>
      </c>
      <c r="J436" t="s">
        <v>61</v>
      </c>
    </row>
    <row r="437" spans="1:10" ht="14.5" x14ac:dyDescent="0.35">
      <c r="A437" s="2" t="str">
        <f>HYPERLINK("https://nga.laas.intel.com/#/nga_fv_gnr/failureManagement/failures/71e9bbd0-ea3b-49ef-90c7-201245dc409b","71e9bbd0")</f>
        <v>71e9bbd0</v>
      </c>
      <c r="B437" t="s">
        <v>475</v>
      </c>
      <c r="C437" t="s">
        <v>11</v>
      </c>
      <c r="D437" t="s">
        <v>545</v>
      </c>
      <c r="E437" s="2" t="str">
        <f>HYPERLINK("https://nga.laas.intel.com/#/nga_fv_gnr/failureManagement/bucket/ea8f085b-b599-4f33-ae2d-15fa34102a99","hw_err_msm_corecrashlog_ctrl_haderror_hw_err_msm_global_status_ctrl_reg_crashlog_err_hw_err_msm_global_status_ctrl_reg_general_mca_hw_err_msm_global_status_ctrl_reg_global_viral_hw_err_msm_global_status_ctrl_reg_ierr_hw_err_msm_global_status_ctrl_reg_m...")</f>
        <v>hw_err_msm_corecrashlog_ctrl_haderror_hw_err_msm_global_status_ctrl_reg_crashlog_err_hw_err_msm_global_status_ctrl_reg_general_mca_hw_err_msm_global_status_ctrl_reg_global_viral_hw_err_msm_global_status_ctrl_reg_ierr_hw_err_msm_global_status_ctrl_reg_m...</v>
      </c>
      <c r="F437" s="2" t="str">
        <f>HYPERLINK("https://nga.laas.intel.com/#/nga_fv_gnr/planning/suites/68ed84d1-320a-4bbf-a945-46fd5334b4d1","GNR-AP-X3_A2_Reset-Cycle")</f>
        <v>GNR-AP-X3_A2_Reset-Cycle</v>
      </c>
      <c r="G437" s="2" t="str">
        <f>HYPERLINK("https://axonsv.app.intel.com/apps/record-viewer?id=3701e307-7f9f-4113-9e04-e4926a78d9c3","3701e307-7f9f-4113-9e04-e4926a78d9c3")</f>
        <v>3701e307-7f9f-4113-9e04-e4926a78d9c3</v>
      </c>
      <c r="I437" t="s">
        <v>355</v>
      </c>
      <c r="J437" t="s">
        <v>352</v>
      </c>
    </row>
    <row r="438" spans="1:10" ht="14.5" x14ac:dyDescent="0.35">
      <c r="A438" s="2" t="str">
        <f>HYPERLINK("https://nga.laas.intel.com/#/nga_fv_gnr/failureManagement/failures/7d2241c1-e4da-47b7-9742-08625ef73bf5","7d2241c1")</f>
        <v>7d2241c1</v>
      </c>
      <c r="B438" t="s">
        <v>544</v>
      </c>
      <c r="C438" t="s">
        <v>22</v>
      </c>
      <c r="D438" t="s">
        <v>549</v>
      </c>
      <c r="E438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438" s="2" t="str">
        <f>HYPERLINK("https://nga.laas.intel.com/#/nga_fv_gnr/planning/suites/68ed84d1-320a-4bbf-a945-46fd5334b4d1","GNR-AP-X3_A2_Reset-Cycle")</f>
        <v>GNR-AP-X3_A2_Reset-Cycle</v>
      </c>
      <c r="G438" s="2" t="str">
        <f>HYPERLINK("https://axonsv.app.intel.com/apps/record-viewer?id=2aa534ce-d07a-6676-87fc-7c0cfab10479","2aa534ce-d07a-6676-87fc-7c0cfab10479")</f>
        <v>2aa534ce-d07a-6676-87fc-7c0cfab10479</v>
      </c>
      <c r="I438" t="s">
        <v>463</v>
      </c>
      <c r="J438" t="s">
        <v>352</v>
      </c>
    </row>
    <row r="439" spans="1:10" ht="14.5" x14ac:dyDescent="0.35">
      <c r="A439" s="2" t="str">
        <f>HYPERLINK("https://nga.laas.intel.com/#/nga_fv_gnr/failureManagement/failures/b843b53f-60ff-4e9a-aee1-11d2d9f738b1","b843b53f")</f>
        <v>b843b53f</v>
      </c>
      <c r="B439" t="s">
        <v>91</v>
      </c>
      <c r="C439" t="s">
        <v>22</v>
      </c>
      <c r="D439" t="s">
        <v>457</v>
      </c>
      <c r="F439" s="2" t="str">
        <f>HYPERLINK("https://nga.laas.intel.com/#/nga_fv_gnr/planning/suites/1f60130b-5ac5-47b1-9f05-cd28a120f5c9","GNR-AP-X3_A2_VV")</f>
        <v>GNR-AP-X3_A2_VV</v>
      </c>
      <c r="G439" s="2" t="str">
        <f>HYPERLINK("https://axonsv.app.intel.com/apps/record-viewer?id=72787163-5627-4914-9757-49b6fb4a4504","72787163-5627-4914-9757-49b6fb4a4504")</f>
        <v>72787163-5627-4914-9757-49b6fb4a4504</v>
      </c>
      <c r="H439" t="s">
        <v>550</v>
      </c>
      <c r="I439" t="s">
        <v>551</v>
      </c>
      <c r="J439" t="s">
        <v>51</v>
      </c>
    </row>
    <row r="440" spans="1:10" ht="14.5" x14ac:dyDescent="0.35">
      <c r="A440" s="2" t="str">
        <f>HYPERLINK("https://nga.laas.intel.com/#/nga_fv_gnr/failureManagement/failures/17f4642d-949e-4d42-9f0e-16296e4e8269","17f4642d")</f>
        <v>17f4642d</v>
      </c>
      <c r="B440" t="s">
        <v>91</v>
      </c>
      <c r="C440" t="s">
        <v>22</v>
      </c>
      <c r="D440" t="s">
        <v>552</v>
      </c>
      <c r="E44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40" s="2" t="str">
        <f>HYPERLINK("https://nga.laas.intel.com/#/nga_fv_gnr/planning/suites/1f60130b-5ac5-47b1-9f05-cd28a120f5c9","GNR-AP-X3_A2_VV")</f>
        <v>GNR-AP-X3_A2_VV</v>
      </c>
      <c r="G440" s="2" t="str">
        <f>HYPERLINK("https://axonsv.app.intel.com/apps/record-viewer?id=d8f6c2f3-efeb-4282-bb63-88a002492e30","d8f6c2f3-efeb-4282-bb63-88a002492e30")</f>
        <v>d8f6c2f3-efeb-4282-bb63-88a002492e30</v>
      </c>
      <c r="I440" t="s">
        <v>553</v>
      </c>
      <c r="J440" t="s">
        <v>14</v>
      </c>
    </row>
    <row r="441" spans="1:10" ht="14.5" x14ac:dyDescent="0.35">
      <c r="A441" s="2" t="str">
        <f>HYPERLINK("https://nga.laas.intel.com/#/nga_fv_gnr/failureManagement/failures/5c014903-571c-41c8-ba20-03a7b4aee6e8","5c014903")</f>
        <v>5c014903</v>
      </c>
      <c r="B441" t="s">
        <v>255</v>
      </c>
      <c r="C441" t="s">
        <v>22</v>
      </c>
      <c r="D441" t="s">
        <v>114</v>
      </c>
      <c r="E44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41" s="2" t="str">
        <f>HYPERLINK("https://nga.laas.intel.com/#/nga_fv_gnr/planning/suites/1f60130b-5ac5-47b1-9f05-cd28a120f5c9","GNR-AP-X3_A2_VV")</f>
        <v>GNR-AP-X3_A2_VV</v>
      </c>
      <c r="G441" s="2" t="str">
        <f>HYPERLINK("https://axonsv.app.intel.com/apps/record-viewer?id=9ce443e1-75e5-40aa-bc9d-980df99b1ba8","9ce443e1-75e5-40aa-bc9d-980df99b1ba8")</f>
        <v>9ce443e1-75e5-40aa-bc9d-980df99b1ba8</v>
      </c>
      <c r="I441" t="s">
        <v>554</v>
      </c>
      <c r="J441" t="s">
        <v>51</v>
      </c>
    </row>
    <row r="442" spans="1:10" ht="14.5" x14ac:dyDescent="0.35">
      <c r="A442" s="2" t="str">
        <f>HYPERLINK("https://nga.laas.intel.com/#/nga_fv_gnr/failureManagement/failures/14b66b74-0b5c-4354-9fba-15695ba22cf8","14b66b74")</f>
        <v>14b66b74</v>
      </c>
      <c r="B442" t="s">
        <v>475</v>
      </c>
      <c r="C442" t="s">
        <v>11</v>
      </c>
      <c r="D442" t="s">
        <v>70</v>
      </c>
      <c r="E442" s="2" t="str">
        <f>HYPERLINK("https://nga.laas.intel.com/#/nga_fv_gnr/failureManagement/bucket/a0f4f310-88de-440f-a9ef-6972fab1a085","hw_err_msm_mbx_error_sts_mbx_overflow_hpreboot_updateifwi_overrides_failed_targethang_hw_err_msm_mbx_error_sts_mbx_overflow_nomatch")</f>
        <v>hw_err_msm_mbx_error_sts_mbx_overflow_hpreboot_updateifwi_overrides_failed_targethang_hw_err_msm_mbx_error_sts_mbx_overflow_nomatch</v>
      </c>
      <c r="F442" s="2" t="str">
        <f>HYPERLINK("https://nga.laas.intel.com/#/nga_fv_gnr/planning/suites/3bf82cea-b611-4111-970b-fa5c85b51d2c","GNR-AP-X3_A2_Reset-Matrix")</f>
        <v>GNR-AP-X3_A2_Reset-Matrix</v>
      </c>
      <c r="G442" s="2" t="str">
        <f>HYPERLINK("https://axonsv.app.intel.com/apps/record-viewer?id=dd510ccd-1132-4497-a092-9b1d3477cc19","dd510ccd-1132-4497-a092-9b1d3477cc19")</f>
        <v>dd510ccd-1132-4497-a092-9b1d3477cc19</v>
      </c>
      <c r="I442" t="s">
        <v>555</v>
      </c>
      <c r="J442" t="s">
        <v>352</v>
      </c>
    </row>
    <row r="443" spans="1:10" ht="14.5" x14ac:dyDescent="0.35">
      <c r="A443" s="2" t="str">
        <f>HYPERLINK("https://nga.laas.intel.com/#/nga_fv_gnr/failureManagement/failures/d4a62269-b6d4-41fc-9244-1f9d6291c287","d4a62269")</f>
        <v>d4a62269</v>
      </c>
      <c r="B443" t="s">
        <v>91</v>
      </c>
      <c r="C443" t="s">
        <v>11</v>
      </c>
      <c r="D443" t="s">
        <v>70</v>
      </c>
      <c r="E443" s="2" t="str">
        <f>HYPERLINK("https://nga.laas.intel.com/#/nga_fv_gnr/failureManagement/bucket/60851bfc-b20d-4ff7-add1-4c44c9f09b95","hw_err_msm_global_status_ctrl_reg_msm_pmsb_err_hw_err_msm_global_status_ctrl_reg_pcode_err_hw_err_msm_global_status_ctrl_reg_peci_err_hw_err_msm_mbx_error_sts_mbx_overflow_hpreboot_updateifwi_overrides_failed_targethang_hw_err_msm_global_status_ctrl_re...")</f>
        <v>hw_err_msm_global_status_ctrl_reg_msm_pmsb_err_hw_err_msm_global_status_ctrl_reg_pcode_err_hw_err_msm_global_status_ctrl_reg_peci_err_hw_err_msm_mbx_error_sts_mbx_overflow_hpreboot_updateifwi_overrides_failed_targethang_hw_err_msm_global_status_ctrl_re...</v>
      </c>
      <c r="F443" s="2" t="str">
        <f>HYPERLINK("https://nga.laas.intel.com/#/nga_fv_gnr/planning/suites/42e755f3-036b-4794-ba07-d3eae02805fd","GNR-AP-X3_ES2_VV")</f>
        <v>GNR-AP-X3_ES2_VV</v>
      </c>
      <c r="G443" s="2" t="str">
        <f>HYPERLINK("https://axonsv.app.intel.com/apps/record-viewer?id=94ff806c-bbad-41e9-b196-a9859f875cb4","94ff806c-bbad-41e9-b196-a9859f875cb4")</f>
        <v>94ff806c-bbad-41e9-b196-a9859f875cb4</v>
      </c>
      <c r="I443" t="s">
        <v>555</v>
      </c>
      <c r="J443" t="s">
        <v>20</v>
      </c>
    </row>
    <row r="444" spans="1:10" ht="14.5" x14ac:dyDescent="0.35">
      <c r="A444" s="2" t="str">
        <f>HYPERLINK("https://nga.laas.intel.com/#/nga_fv_gnr/failureManagement/failures/6570f1fd-bc70-4c44-a85a-119bcc24346e","6570f1fd")</f>
        <v>6570f1fd</v>
      </c>
      <c r="B444" t="s">
        <v>255</v>
      </c>
      <c r="C444" t="s">
        <v>22</v>
      </c>
      <c r="D444" t="s">
        <v>556</v>
      </c>
      <c r="E444" s="2" t="str">
        <f>HYPERLINK("https://nga.laas.intel.com/#/nga_fv_gnr/failureManagement/bucket/aa7e7b29-0085-4ee2-91fd-5876a6ccb99c","hw_err_msm_global_status_ctrl_reg_msm_pmsb_err_hw_err_msm_global_status_ctrl_reg_pcode_err_hw_err_msm_global_status_ctrl_reg_peci_err_hw_err_msm_mbx_error_sts_mbx_overflow_mc_memicals_pmx_cstates_1_failed_exit_code_254_hw_err_msm_global_status_ctrl_reg...")</f>
        <v>hw_err_msm_global_status_ctrl_reg_msm_pmsb_err_hw_err_msm_global_status_ctrl_reg_pcode_err_hw_err_msm_global_status_ctrl_reg_peci_err_hw_err_msm_mbx_error_sts_mbx_overflow_mc_memicals_pmx_cstates_1_failed_exit_code_254_hw_err_msm_global_status_ctrl_reg...</v>
      </c>
      <c r="F444" s="2" t="str">
        <f>HYPERLINK("https://nga.laas.intel.com/#/nga_fv_gnr/planning/suites/1f60130b-5ac5-47b1-9f05-cd28a120f5c9","GNR-AP-X3_A2_VV")</f>
        <v>GNR-AP-X3_A2_VV</v>
      </c>
      <c r="G444" s="2" t="str">
        <f>HYPERLINK("https://axonsv.app.intel.com/apps/record-viewer?id=b138833e-9bea-4015-85c7-d6b78f7b6cba","b138833e-9bea-4015-85c7-d6b78f7b6cba")</f>
        <v>b138833e-9bea-4015-85c7-d6b78f7b6cba</v>
      </c>
      <c r="I444" t="s">
        <v>557</v>
      </c>
      <c r="J444" t="s">
        <v>20</v>
      </c>
    </row>
    <row r="445" spans="1:10" ht="14.5" x14ac:dyDescent="0.35">
      <c r="A445" s="2" t="str">
        <f>HYPERLINK("https://nga.laas.intel.com/#/nga_fv_gnr/failureManagement/failures/d9ba177b-11ac-4442-a46b-094fbea6eb02","d9ba177b")</f>
        <v>d9ba177b</v>
      </c>
      <c r="B445" t="s">
        <v>255</v>
      </c>
      <c r="C445" t="s">
        <v>22</v>
      </c>
      <c r="D445" t="s">
        <v>131</v>
      </c>
      <c r="E445" s="2" t="str">
        <f>HYPERLINK("https://nga.laas.intel.com/#/nga_fv_gnr/failureManagement/bucket/1c470701-ca6b-432c-948d-f9936d6dbc1f","hw_err_msm_global_status_ctrl_reg_msm_pmsb_err,hw_err_msm_global_status_ctrl_reg_pcode_err,hw_err_msm_global_status_ctrl_reg_peci_err,hw_err_msm_mbx_error_sts_mbx_overflow")</f>
        <v>hw_err_msm_global_status_ctrl_reg_msm_pmsb_err,hw_err_msm_global_status_ctrl_reg_pcode_err,hw_err_msm_global_status_ctrl_reg_peci_err,hw_err_msm_mbx_error_sts_mbx_overflow</v>
      </c>
      <c r="F445" s="2" t="str">
        <f>HYPERLINK("https://nga.laas.intel.com/#/nga_fv_gnr/planning/suites/1f60130b-5ac5-47b1-9f05-cd28a120f5c9","GNR-AP-X3_A2_VV")</f>
        <v>GNR-AP-X3_A2_VV</v>
      </c>
      <c r="G445" s="2" t="str">
        <f>HYPERLINK("https://axonsv.app.intel.com/apps/record-viewer?id=45b7ab38-5ad8-4fcd-9de0-b242240d75a2","45b7ab38-5ad8-4fcd-9de0-b242240d75a2")</f>
        <v>45b7ab38-5ad8-4fcd-9de0-b242240d75a2</v>
      </c>
      <c r="I445" t="s">
        <v>33</v>
      </c>
      <c r="J445" t="s">
        <v>51</v>
      </c>
    </row>
    <row r="446" spans="1:10" ht="14.5" x14ac:dyDescent="0.35">
      <c r="A446" s="2" t="str">
        <f>HYPERLINK("https://nga.laas.intel.com/#/nga_fv_gnr/failureManagement/failures/40cc8816-543f-4e13-b9b1-0acdebc2358e","40cc8816")</f>
        <v>40cc8816</v>
      </c>
      <c r="B446" t="s">
        <v>255</v>
      </c>
      <c r="C446" t="s">
        <v>22</v>
      </c>
      <c r="D446" t="s">
        <v>558</v>
      </c>
      <c r="E446" s="2" t="str">
        <f>HYPERLINK("https://nga.laas.intel.com/#/nga_fv_gnr/failureManagement/bucket/12aca446-594d-4cea-b13f-e81816404a6a","hw_err_cfg_ibsterrrcrvsts,hw_err_msm_mbx_error_sts_mbx_overflow,hw_err_rppiosts_cfgurc")</f>
        <v>hw_err_cfg_ibsterrrcrvsts,hw_err_msm_mbx_error_sts_mbx_overflow,hw_err_rppiosts_cfgurc</v>
      </c>
      <c r="F446" s="2" t="str">
        <f>HYPERLINK("https://nga.laas.intel.com/#/nga_fv_gnr/planning/suites/1f60130b-5ac5-47b1-9f05-cd28a120f5c9","GNR-AP-X3_A2_VV")</f>
        <v>GNR-AP-X3_A2_VV</v>
      </c>
      <c r="G446" s="2" t="str">
        <f>HYPERLINK("https://axonsv.app.intel.com/apps/record-viewer?id=81b762dd-ba7f-4c8a-abf5-43f8da0ec68c","81b762dd-ba7f-4c8a-abf5-43f8da0ec68c")</f>
        <v>81b762dd-ba7f-4c8a-abf5-43f8da0ec68c</v>
      </c>
      <c r="I446" t="s">
        <v>559</v>
      </c>
      <c r="J446" t="s">
        <v>20</v>
      </c>
    </row>
    <row r="447" spans="1:10" ht="14.5" x14ac:dyDescent="0.35">
      <c r="A447" s="2" t="str">
        <f>HYPERLINK("https://nga.laas.intel.com/#/nga_fv_gnr/failureManagement/failures/438987b0-4551-4c62-b0c7-0bc8ee4994bf","438987b0")</f>
        <v>438987b0</v>
      </c>
      <c r="B447" t="s">
        <v>338</v>
      </c>
      <c r="C447" t="s">
        <v>22</v>
      </c>
      <c r="D447" t="s">
        <v>142</v>
      </c>
      <c r="E447" s="2" t="str">
        <f>HYPERLINK("https://nga.laas.intel.com/#/nga_fv_gnr/failureManagement/bucket/66559840-b04e-4ce7-a6ac-07a4bc9da629","hw_err_msm_global_status_ctrl_reg_msm_pmsb_err,hw_err_msm_global_status_ctrl_reg_pcode_err,hw_err_msm_global_status_ctrl_reg_peci_err,hw_err_msm_mbx_error_sts_mbx_overflow,hw_err_rppiosts_cfgcac,hw_err_rppiosts_cfgurc,hw_err_rppiosts_memcac")</f>
        <v>hw_err_msm_global_status_ctrl_reg_msm_pmsb_err,hw_err_msm_global_status_ctrl_reg_pcode_err,hw_err_msm_global_status_ctrl_reg_peci_err,hw_err_msm_mbx_error_sts_mbx_overflow,hw_err_rppiosts_cfgcac,hw_err_rppiosts_cfgurc,hw_err_rppiosts_memcac</v>
      </c>
      <c r="F447" s="2" t="str">
        <f>HYPERLINK("https://nga.laas.intel.com/#/nga_fv_gnr/planning/suites/42e755f3-036b-4794-ba07-d3eae02805fd","GNR-AP-X3_ES2_VV")</f>
        <v>GNR-AP-X3_ES2_VV</v>
      </c>
      <c r="G447" s="2" t="str">
        <f>HYPERLINK("https://axonsv.app.intel.com/apps/record-viewer?id=b6dc3b3d-d6a3-4754-a88f-64b5ac874d1a","b6dc3b3d-d6a3-4754-a88f-64b5ac874d1a")</f>
        <v>b6dc3b3d-d6a3-4754-a88f-64b5ac874d1a</v>
      </c>
      <c r="I447" t="s">
        <v>559</v>
      </c>
      <c r="J447" t="s">
        <v>51</v>
      </c>
    </row>
    <row r="448" spans="1:10" ht="14.5" x14ac:dyDescent="0.35">
      <c r="A448" s="2" t="str">
        <f>HYPERLINK("https://nga.laas.intel.com/#/nga_fv_gnr/failureManagement/failures/b6344602-501c-4693-8f0e-0e63b6864239","b6344602")</f>
        <v>b6344602</v>
      </c>
      <c r="B448" t="s">
        <v>108</v>
      </c>
      <c r="C448" t="s">
        <v>11</v>
      </c>
      <c r="D448" t="s">
        <v>70</v>
      </c>
      <c r="E448" s="2" t="str">
        <f>HYPERLINK("https://nga.laas.intel.com/#/nga_fv_gnr/failureManagement/bucket/f89723d2-8dc0-429c-bbd5-aa80ed9c1141","hw_err_msm_global_status_ctrl_reg_crashlog_err,hw_err_msm_global_status_ctrl_reg_global_viral,hw_err_msm_global_status_ctrl_reg_ierr,hw_err_msm_mbx_error_sts_mbx_overflow,hw_err_msm_uncorecrashlog_ctrl_haderror,hw_err_rppiosts_cfgurc,hw_err_ubox_ncevents_")</f>
        <v>hw_err_msm_global_status_ctrl_reg_crashlog_err,hw_err_msm_global_status_ctrl_reg_global_viral,hw_err_msm_global_status_ctrl_reg_ierr,hw_err_msm_mbx_error_sts_mbx_overflow,hw_err_msm_uncorecrashlog_ctrl_haderror,hw_err_rppiosts_cfgurc,hw_err_ubox_ncevents_</v>
      </c>
      <c r="F448" s="2" t="str">
        <f>HYPERLINK("https://nga.laas.intel.com/#/nga_fv_gnr/planning/suites/42e755f3-036b-4794-ba07-d3eae02805fd","GNR-AP-X3_ES2_VV")</f>
        <v>GNR-AP-X3_ES2_VV</v>
      </c>
      <c r="G448" s="2" t="str">
        <f>HYPERLINK("https://axonsv.app.intel.com/apps/record-viewer?id=380318be-bcc9-4697-9e15-6821763b53cd","380318be-bcc9-4697-9e15-6821763b53cd")</f>
        <v>380318be-bcc9-4697-9e15-6821763b53cd</v>
      </c>
      <c r="I448" t="s">
        <v>560</v>
      </c>
      <c r="J448" t="s">
        <v>34</v>
      </c>
    </row>
    <row r="449" spans="1:10" ht="14.5" x14ac:dyDescent="0.35">
      <c r="A449" s="2" t="str">
        <f>HYPERLINK("https://nga.laas.intel.com/#/nga_fv_gnr/failureManagement/failures/2fe2f958-e484-4cda-b55e-0b29cdff436f","2fe2f958")</f>
        <v>2fe2f958</v>
      </c>
      <c r="B449" t="s">
        <v>108</v>
      </c>
      <c r="C449" t="s">
        <v>22</v>
      </c>
      <c r="D449" t="s">
        <v>142</v>
      </c>
      <c r="E449" s="2" t="str">
        <f>HYPERLINK("https://nga.laas.intel.com/#/nga_fv_gnr/failureManagement/bucket/cc53121b-60bb-4909-9876-5386fab646fc","hw_err_msm_global_status_ctrl_reg_global_viral,hw_err_msm_global_status_ctrl_reg_ierr,hw_err_msm_mbx_error_sts_mbx_overflow,hw_err_rppiosts_cfgurc,hw_err_ubox_ncevents_ncevents_cr_bankmerge5_errlog,hw_err_upi_upi0_flit_mismatch,hw_err_upi_upi1_flit_mismat")</f>
        <v>hw_err_msm_global_status_ctrl_reg_global_viral,hw_err_msm_global_status_ctrl_reg_ierr,hw_err_msm_mbx_error_sts_mbx_overflow,hw_err_rppiosts_cfgurc,hw_err_ubox_ncevents_ncevents_cr_bankmerge5_errlog,hw_err_upi_upi0_flit_mismatch,hw_err_upi_upi1_flit_mismat</v>
      </c>
      <c r="F449" s="2" t="str">
        <f>HYPERLINK("https://nga.laas.intel.com/#/nga_fv_gnr/planning/suites/42e755f3-036b-4794-ba07-d3eae02805fd","GNR-AP-X3_ES2_VV")</f>
        <v>GNR-AP-X3_ES2_VV</v>
      </c>
      <c r="G449" s="2" t="str">
        <f>HYPERLINK("https://axonsv.app.intel.com/apps/record-viewer?id=deee9636-4a00-4aaf-a146-3455cd2216ca","deee9636-4a00-4aaf-a146-3455cd2216ca")</f>
        <v>deee9636-4a00-4aaf-a146-3455cd2216ca</v>
      </c>
      <c r="H449" t="s">
        <v>561</v>
      </c>
      <c r="I449" t="s">
        <v>562</v>
      </c>
      <c r="J449" t="s">
        <v>51</v>
      </c>
    </row>
    <row r="450" spans="1:10" ht="14.5" x14ac:dyDescent="0.35">
      <c r="A450" s="2" t="str">
        <f>HYPERLINK("https://nga.laas.intel.com/#/nga_fv_gnr/failureManagement/failures/fc347cb0-32cd-40a6-82ed-0b19a02300a4","fc347cb0")</f>
        <v>fc347cb0</v>
      </c>
      <c r="B450" t="s">
        <v>563</v>
      </c>
      <c r="C450" t="s">
        <v>22</v>
      </c>
      <c r="D450" t="s">
        <v>564</v>
      </c>
      <c r="E450" s="2" t="str">
        <f>HYPERLINK("https://nga.laas.intel.com/#/nga_fv_gnr/failureManagement/bucket/17f07557-e602-4bcd-a632-1ddedcdd060e","hw_err_cfg_erruncsts_hw_err_msm_global_status_ctrl_reg_msm_pmsb_err_hw_err_msm_global_status_ctrl_reg_pcode_err_hw_err_msm_global_status_ctrl_reg_peci_err_hw_err_msm_mbx_error_sts_mbx_overflow_hw_err_pxp4_rp0_hw_err_rppiosts_cfgurc_x3_all_resets_solar_...")</f>
        <v>hw_err_cfg_erruncsts_hw_err_msm_global_status_ctrl_reg_msm_pmsb_err_hw_err_msm_global_status_ctrl_reg_pcode_err_hw_err_msm_global_status_ctrl_reg_peci_err_hw_err_msm_mbx_error_sts_mbx_overflow_hw_err_pxp4_rp0_hw_err_rppiosts_cfgurc_x3_all_resets_solar_...</v>
      </c>
      <c r="F450" s="2" t="str">
        <f>HYPERLINK("https://nga.laas.intel.com/#/nga_fv_gnr/planning/suites/68ed84d1-320a-4bbf-a945-46fd5334b4d1","GNR-AP-X3_A2_Reset-Cycle")</f>
        <v>GNR-AP-X3_A2_Reset-Cycle</v>
      </c>
      <c r="G450" s="2" t="str">
        <f>HYPERLINK("https://axonsv.app.intel.com/apps/record-viewer?id=9e47141d-d9e1-4483-91b2-a9c9e48e0f0e","9e47141d-d9e1-4483-91b2-a9c9e48e0f0e")</f>
        <v>9e47141d-d9e1-4483-91b2-a9c9e48e0f0e</v>
      </c>
      <c r="I450" t="s">
        <v>565</v>
      </c>
      <c r="J450" t="s">
        <v>352</v>
      </c>
    </row>
    <row r="451" spans="1:10" ht="14.5" x14ac:dyDescent="0.35">
      <c r="A451" s="2" t="str">
        <f>HYPERLINK("https://nga.laas.intel.com/#/nga_fv_gnr/failureManagement/failures/7ad2bdbd-78f7-4aa5-8a8f-1fd679577169","7ad2bdbd")</f>
        <v>7ad2bdbd</v>
      </c>
      <c r="B451" t="s">
        <v>475</v>
      </c>
      <c r="C451" t="s">
        <v>22</v>
      </c>
      <c r="D451" t="s">
        <v>564</v>
      </c>
      <c r="E451" s="2" t="str">
        <f>HYPERLINK("https://nga.laas.intel.com/#/nga_fv_gnr/failureManagement/bucket/92eacc48-215c-4681-9599-9ce51fc8ea09","hw_err_msm_global_status_ctrl_reg_msm_pmsb_err_hw_err_msm_global_status_ctrl_reg_pcode_err_hw_err_msm_global_status_ctrl_reg_peci_err_hw_err_msm_mbx_error_sts_mbx_overflow_hw_err_rppiosts_cfgurc_x3_all_resets_solar_failed_exit_code_8_hw_err_msm_global_...")</f>
        <v>hw_err_msm_global_status_ctrl_reg_msm_pmsb_err_hw_err_msm_global_status_ctrl_reg_pcode_err_hw_err_msm_global_status_ctrl_reg_peci_err_hw_err_msm_mbx_error_sts_mbx_overflow_hw_err_rppiosts_cfgurc_x3_all_resets_solar_failed_exit_code_8_hw_err_msm_global_...</v>
      </c>
      <c r="F451" s="2" t="str">
        <f>HYPERLINK("https://nga.laas.intel.com/#/nga_fv_gnr/planning/suites/68ed84d1-320a-4bbf-a945-46fd5334b4d1","GNR-AP-X3_A2_Reset-Cycle")</f>
        <v>GNR-AP-X3_A2_Reset-Cycle</v>
      </c>
      <c r="G451" s="2" t="str">
        <f>HYPERLINK("https://axonsv.app.intel.com/apps/record-viewer?id=281bf802-4907-4c64-9b4d-2852cf149c36","281bf802-4907-4c64-9b4d-2852cf149c36")</f>
        <v>281bf802-4907-4c64-9b4d-2852cf149c36</v>
      </c>
      <c r="I451" t="s">
        <v>566</v>
      </c>
      <c r="J451" t="s">
        <v>352</v>
      </c>
    </row>
    <row r="452" spans="1:10" ht="14.5" x14ac:dyDescent="0.35">
      <c r="A452" s="2" t="str">
        <f>HYPERLINK("https://nga.laas.intel.com/#/nga_fv_gnr/failureManagement/failures/be5b6fcf-3fad-479e-98ef-18469289fe14","be5b6fcf")</f>
        <v>be5b6fcf</v>
      </c>
      <c r="B452" t="s">
        <v>475</v>
      </c>
      <c r="C452" t="s">
        <v>11</v>
      </c>
      <c r="D452" t="s">
        <v>290</v>
      </c>
      <c r="E452" s="2" t="str">
        <f>HYPERLINK("https://nga.laas.intel.com/#/nga_fv_gnr/failureManagement/bucket/02fc4e11-7d34-4865-bd38-ba3059dfebbe","hw_err_msm_global_status_ctrl_reg_msm_pmsb_err_hw_err_msm_global_status_ctrl_reg_pcode_err_hw_err_msm_global_status_ctrl_reg_peci_err_hw_err_msm_mbx_error_sts_mbx_overflow_hw_err_rppiosts_cfgurc_hpreboot_updatebmc_failed_targethang_hw_err_msm_global_st...")</f>
        <v>hw_err_msm_global_status_ctrl_reg_msm_pmsb_err_hw_err_msm_global_status_ctrl_reg_pcode_err_hw_err_msm_global_status_ctrl_reg_peci_err_hw_err_msm_mbx_error_sts_mbx_overflow_hw_err_rppiosts_cfgurc_hpreboot_updatebmc_failed_targethang_hw_err_msm_global_st...</v>
      </c>
      <c r="F452" s="2" t="str">
        <f>HYPERLINK("https://nga.laas.intel.com/#/nga_fv_gnr/planning/suites/68ed84d1-320a-4bbf-a945-46fd5334b4d1","GNR-AP-X3_A2_Reset-Cycle")</f>
        <v>GNR-AP-X3_A2_Reset-Cycle</v>
      </c>
      <c r="G452" s="2" t="str">
        <f>HYPERLINK("https://axonsv.app.intel.com/apps/record-viewer?id=a3c7e28e-40d4-41b5-ae8a-5f120a1e7fb6","a3c7e28e-40d4-41b5-ae8a-5f120a1e7fb6")</f>
        <v>a3c7e28e-40d4-41b5-ae8a-5f120a1e7fb6</v>
      </c>
      <c r="I452" t="s">
        <v>567</v>
      </c>
      <c r="J452" t="s">
        <v>352</v>
      </c>
    </row>
    <row r="453" spans="1:10" ht="14.5" x14ac:dyDescent="0.35">
      <c r="A453" s="2" t="str">
        <f>HYPERLINK("https://nga.laas.intel.com/#/nga_fv_gnr/failureManagement/failures/eb90fdde-5370-4fcb-9fb3-03cd4ae3b7e5","eb90fdde")</f>
        <v>eb90fdde</v>
      </c>
      <c r="B453" t="s">
        <v>475</v>
      </c>
      <c r="C453" t="s">
        <v>22</v>
      </c>
      <c r="D453" t="s">
        <v>568</v>
      </c>
      <c r="E45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53" s="2" t="str">
        <f>HYPERLINK("https://nga.laas.intel.com/#/nga_fv_gnr/planning/suites/68ed84d1-320a-4bbf-a945-46fd5334b4d1","GNR-AP-X3_A2_Reset-Cycle")</f>
        <v>GNR-AP-X3_A2_Reset-Cycle</v>
      </c>
      <c r="G453" s="2" t="str">
        <f>HYPERLINK("https://axonsv.app.intel.com/apps/record-viewer?id=976c6846-0911-4c6c-9b85-eb0f6674d432","976c6846-0911-4c6c-9b85-eb0f6674d432")</f>
        <v>976c6846-0911-4c6c-9b85-eb0f6674d432</v>
      </c>
      <c r="I453" t="s">
        <v>569</v>
      </c>
      <c r="J453" t="s">
        <v>352</v>
      </c>
    </row>
    <row r="454" spans="1:10" ht="14.5" x14ac:dyDescent="0.35">
      <c r="A454" s="2" t="str">
        <f>HYPERLINK("https://nga.laas.intel.com/#/nga_fv_gnr/failureManagement/failures/652b85e4-3127-4f89-b902-1d253d7f9fb7","652b85e4")</f>
        <v>652b85e4</v>
      </c>
      <c r="B454" t="s">
        <v>338</v>
      </c>
      <c r="C454" t="s">
        <v>22</v>
      </c>
      <c r="D454" t="s">
        <v>77</v>
      </c>
      <c r="E45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54" s="2" t="str">
        <f>HYPERLINK("https://nga.laas.intel.com/#/nga_fv_gnr/planning/suites/407211fb-a90e-4c23-81cb-228a0b0d976b","SQ_MESH_GNR_AP_X3_ES2")</f>
        <v>SQ_MESH_GNR_AP_X3_ES2</v>
      </c>
      <c r="G454" s="2" t="str">
        <f>HYPERLINK("https://axonsv.app.intel.com/apps/record-viewer?id=46c8123c-ed3e-4582-84af-378dbb590dc0","46c8123c-ed3e-4582-84af-378dbb590dc0")</f>
        <v>46c8123c-ed3e-4582-84af-378dbb590dc0</v>
      </c>
      <c r="H454" t="s">
        <v>570</v>
      </c>
      <c r="I454" t="s">
        <v>571</v>
      </c>
      <c r="J454" t="s">
        <v>51</v>
      </c>
    </row>
    <row r="455" spans="1:10" ht="14.5" x14ac:dyDescent="0.35">
      <c r="A455" s="2" t="str">
        <f>HYPERLINK("https://nga.laas.intel.com/#/nga_fv_gnr/failureManagement/failures/194990fb-16ba-4efa-966a-0376cc922f13","194990fb")</f>
        <v>194990fb</v>
      </c>
      <c r="B455" t="s">
        <v>81</v>
      </c>
      <c r="C455" t="s">
        <v>22</v>
      </c>
      <c r="D455" t="s">
        <v>506</v>
      </c>
      <c r="E455" s="2" t="str">
        <f>HYPERLINK("https://nga.laas.intel.com/#/nga_fv_gnr/failureManagement/bucket/1bbccdf1-c108-401d-bd29-5cc03e856d54","hw_err_cfg_errcorsts_hw_err_cfg_ibsterrrcrvsts_hw_err_cfg_laneerrsts_hw_err_expptmbar_g3frameerr_hw_err_msm_global_status_ctrl_reg_msm_pmsb_err_hw_err_msm_global_status_ctrl_reg_pcode_err_hw_err_msm_global_status_ctrl_reg_peci_err_hw_err_msm_mbx_error_...")</f>
        <v>hw_err_cfg_errcorsts_hw_err_cfg_ibsterrrcrvsts_hw_err_cfg_laneerrsts_hw_err_expptmbar_g3frameerr_hw_err_msm_global_status_ctrl_reg_msm_pmsb_err_hw_err_msm_global_status_ctrl_reg_pcode_err_hw_err_msm_global_status_ctrl_reg_peci_err_hw_err_msm_mbx_error_...</v>
      </c>
      <c r="F455" s="2" t="str">
        <f>HYPERLINK("https://nga.laas.intel.com/#/nga_fv_gnr/planning/suites/832575ec-527e-4a0e-b34e-a408652564d6","SQ_GNR_X3_SV2PVC_SV8")</f>
        <v>SQ_GNR_X3_SV2PVC_SV8</v>
      </c>
      <c r="G455" s="2" t="str">
        <f>HYPERLINK("https://axonsv.app.intel.com/apps/record-viewer?id=f6b8e936-4cc2-4f11-86d0-3cac660091bf","f6b8e936-4cc2-4f11-86d0-3cac660091bf")</f>
        <v>f6b8e936-4cc2-4f11-86d0-3cac660091bf</v>
      </c>
      <c r="I455" t="s">
        <v>572</v>
      </c>
      <c r="J455" t="s">
        <v>34</v>
      </c>
    </row>
    <row r="456" spans="1:10" ht="14.5" x14ac:dyDescent="0.35">
      <c r="A456" s="2" t="str">
        <f>HYPERLINK("https://nga.laas.intel.com/#/nga_fv_gnr/failureManagement/failures/d4cc8ba0-6517-44d9-92a6-06853d5b46c1","d4cc8ba0")</f>
        <v>d4cc8ba0</v>
      </c>
      <c r="B456" t="s">
        <v>109</v>
      </c>
      <c r="C456" t="s">
        <v>25</v>
      </c>
      <c r="D456" t="s">
        <v>45</v>
      </c>
      <c r="E456" s="2" t="str">
        <f>HYPERLINK("https://nga.laas.intel.com/#/nga_fv_gnr/failureManagement/bucket/e72a517d-843e-437a-9a52-a9bc215fd787","hw_err_cfg_errcorsts_hw_err_cfg_ibsterrrcrvsts_hw_err_cfg_laneerrsts_hw_err_expptmbar_g3frameerr_hw_err_msm_global_status_ctrl_reg_msm_pmsb_err_hw_err_msm_global_status_ctrl_reg_pcode_err_hw_err_msm_global_status_ctrl_reg_peci_err_hw_err_msm_mbx_error_...")</f>
        <v>hw_err_cfg_errcorsts_hw_err_cfg_ibsterrrcrvsts_hw_err_cfg_laneerrsts_hw_err_expptmbar_g3frameerr_hw_err_msm_global_status_ctrl_reg_msm_pmsb_err_hw_err_msm_global_status_ctrl_reg_pcode_err_hw_err_msm_global_status_ctrl_reg_peci_err_hw_err_msm_mbx_error_...</v>
      </c>
      <c r="F456" s="2" t="str">
        <f>HYPERLINK("https://nga.laas.intel.com/#/nga_fv_gnr/planning/suites/832575ec-527e-4a0e-b34e-a408652564d6","SQ_GNR_X3_SV2PVC_SV8")</f>
        <v>SQ_GNR_X3_SV2PVC_SV8</v>
      </c>
      <c r="G456" s="2" t="str">
        <f>HYPERLINK("https://axonsv.app.intel.com/apps/record-viewer?id=3b164900-b4f0-4674-93c1-f116742b90b0","3b164900-b4f0-4674-93c1-f116742b90b0")</f>
        <v>3b164900-b4f0-4674-93c1-f116742b90b0</v>
      </c>
      <c r="I456" t="s">
        <v>573</v>
      </c>
      <c r="J456" t="s">
        <v>34</v>
      </c>
    </row>
    <row r="457" spans="1:10" ht="14.5" x14ac:dyDescent="0.35">
      <c r="A457" s="2" t="str">
        <f>HYPERLINK("https://nga.laas.intel.com/#/nga_fv_gnr/failureManagement/failures/1a5c9add-cffa-4755-a969-16d9a9a53760","1a5c9add")</f>
        <v>1a5c9add</v>
      </c>
      <c r="B457" t="s">
        <v>107</v>
      </c>
      <c r="C457" t="s">
        <v>22</v>
      </c>
      <c r="D457" t="s">
        <v>574</v>
      </c>
      <c r="E45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57" s="2" t="str">
        <f>HYPERLINK("https://nga.laas.intel.com/#/nga_fv_gnr/planning/suites/832575ec-527e-4a0e-b34e-a408652564d6","SQ_GNR_X3_SV2PVC_SV8")</f>
        <v>SQ_GNR_X3_SV2PVC_SV8</v>
      </c>
      <c r="G457" s="2" t="str">
        <f>HYPERLINK("https://axonsv.app.intel.com/apps/record-viewer?id=d4db9649-63bb-4881-9ab0-e69223ae6566","d4db9649-63bb-4881-9ab0-e69223ae6566")</f>
        <v>d4db9649-63bb-4881-9ab0-e69223ae6566</v>
      </c>
      <c r="I457" t="s">
        <v>575</v>
      </c>
      <c r="J457" t="s">
        <v>14</v>
      </c>
    </row>
    <row r="458" spans="1:10" ht="14.5" x14ac:dyDescent="0.35">
      <c r="A458" s="2" t="str">
        <f>HYPERLINK("https://nga.laas.intel.com/#/nga_fv_gnr/failureManagement/failures/848a74dc-fd2d-4ae2-a6da-02f53582bfea","848a74dc")</f>
        <v>848a74dc</v>
      </c>
      <c r="B458" t="s">
        <v>71</v>
      </c>
      <c r="C458" t="s">
        <v>22</v>
      </c>
      <c r="D458" t="s">
        <v>576</v>
      </c>
      <c r="E458" s="2" t="str">
        <f>HYPERLINK("https://nga.laas.intel.com/#/nga_fv_gnr/failureManagement/bucket/1ba8f679-25f8-49f8-a5a7-2febcd2a9294","hw_err_expptmbar_ltssmerrsts0_hw_err_msm_global_status_ctrl_reg_msm_pmsb_err_hw_err_msm_global_status_ctrl_reg_pcode_err_hw_err_msm_global_status_ctrl_reg_peci_err_hw_err_msm_mbx_error_sts_mbx_overflow_hw_err_rppiosts_cfgurc_hw_err_rppiosts_memurc_peer...")</f>
        <v>hw_err_expptmbar_ltssmerrsts0_hw_err_msm_global_status_ctrl_reg_msm_pmsb_err_hw_err_msm_global_status_ctrl_reg_pcode_err_hw_err_msm_global_status_ctrl_reg_peci_err_hw_err_msm_mbx_error_sts_mbx_overflow_hw_err_rppiosts_cfgurc_hw_err_rppiosts_memurc_peer...</v>
      </c>
      <c r="F458" s="2" t="str">
        <f>HYPERLINK("https://nga.laas.intel.com/#/nga_fv_gnr/planning/suites/832575ec-527e-4a0e-b34e-a408652564d6","SQ_GNR_X3_SV2PVC_SV8")</f>
        <v>SQ_GNR_X3_SV2PVC_SV8</v>
      </c>
      <c r="G458" s="2" t="str">
        <f>HYPERLINK("https://axonsv.app.intel.com/apps/record-viewer?id=f6e807b4-675c-4282-97ae-56b521176818","f6e807b4-675c-4282-97ae-56b521176818")</f>
        <v>f6e807b4-675c-4282-97ae-56b521176818</v>
      </c>
      <c r="I458" t="s">
        <v>577</v>
      </c>
      <c r="J458" t="s">
        <v>14</v>
      </c>
    </row>
    <row r="459" spans="1:10" ht="14.5" x14ac:dyDescent="0.35">
      <c r="A459" s="2" t="str">
        <f>HYPERLINK("https://nga.laas.intel.com/#/nga_fv_gnr/failureManagement/failures/e76e1995-89f5-443f-9ef6-1ad345631296","e76e1995")</f>
        <v>e76e1995</v>
      </c>
      <c r="B459" t="s">
        <v>71</v>
      </c>
      <c r="C459" t="s">
        <v>22</v>
      </c>
      <c r="D459" t="s">
        <v>94</v>
      </c>
      <c r="E459" s="2" t="str">
        <f>HYPERLINK("https://nga.laas.intel.com/#/nga_fv_gnr/failureManagement/bucket/00271b7d-8524-49ab-b52d-ab5cf4236609","hw_err_cfg_errcorsts_hw_err_cfg_ibsterrrcrvsts_hw_err_cfg_laneerrsts_hw_err_expptmbar_g3frameerr_hw_err_msm_global_status_ctrl_reg_msm_pmsb_err_hw_err_msm_global_status_ctrl_reg_pcode_err_hw_err_msm_global_status_ctrl_reg_peci_err_hw_err_msm_mbx_error_...")</f>
        <v>hw_err_cfg_errcorsts_hw_err_cfg_ibsterrrcrvsts_hw_err_cfg_laneerrsts_hw_err_expptmbar_g3frameerr_hw_err_msm_global_status_ctrl_reg_msm_pmsb_err_hw_err_msm_global_status_ctrl_reg_pcode_err_hw_err_msm_global_status_ctrl_reg_peci_err_hw_err_msm_mbx_error_...</v>
      </c>
      <c r="F459" s="2" t="str">
        <f>HYPERLINK("https://nga.laas.intel.com/#/nga_fv_gnr/planning/suites/832575ec-527e-4a0e-b34e-a408652564d6","SQ_GNR_X3_SV2PVC_SV8")</f>
        <v>SQ_GNR_X3_SV2PVC_SV8</v>
      </c>
      <c r="G459" s="2" t="str">
        <f>HYPERLINK("https://axonsv.app.intel.com/apps/record-viewer?id=d52f2272-bb3b-4734-a378-a14cc276c900","d52f2272-bb3b-4734-a378-a14cc276c900")</f>
        <v>d52f2272-bb3b-4734-a378-a14cc276c900</v>
      </c>
      <c r="H459" t="s">
        <v>578</v>
      </c>
      <c r="I459" t="s">
        <v>579</v>
      </c>
      <c r="J459" t="s">
        <v>51</v>
      </c>
    </row>
    <row r="460" spans="1:10" ht="14.5" x14ac:dyDescent="0.35">
      <c r="A460" s="2" t="str">
        <f>HYPERLINK("https://nga.laas.intel.com/#/nga_fv_gnr/failureManagement/failures/214245d2-2ca7-4ac7-981a-142964af5c44","214245d2")</f>
        <v>214245d2</v>
      </c>
      <c r="B460" t="s">
        <v>475</v>
      </c>
      <c r="C460" t="s">
        <v>22</v>
      </c>
      <c r="D460" t="s">
        <v>580</v>
      </c>
      <c r="E460" s="2" t="str">
        <f>HYPERLINK("https://nga.laas.intel.com/#/nga_fv_gnr/failureManagement/bucket/e880e2e6-4f98-4393-b4cb-d9c062597c5b","hw_err_msm_global_status_ctrl_reg_msm_pmsb_err_hw_err_msm_global_status_ctrl_reg_pcode_err_hw_err_msm_global_status_ctrl_reg_peci_err_hw_err_msm_mbx_error_sts_mbx_overflow_hw_err_rppiosts_cfgurc_x3_all_resets_cross_pm_solar_failed_exit_code_2_hw_err_ms...")</f>
        <v>hw_err_msm_global_status_ctrl_reg_msm_pmsb_err_hw_err_msm_global_status_ctrl_reg_pcode_err_hw_err_msm_global_status_ctrl_reg_peci_err_hw_err_msm_mbx_error_sts_mbx_overflow_hw_err_rppiosts_cfgurc_x3_all_resets_cross_pm_solar_failed_exit_code_2_hw_err_ms...</v>
      </c>
      <c r="F460" s="2" t="str">
        <f>HYPERLINK("https://nga.laas.intel.com/#/nga_fv_gnr/planning/suites/25302af5-84f8-4dd8-949a-f5bbd94962af","GNR-AP-X3_ES2_Reset-Matrix")</f>
        <v>GNR-AP-X3_ES2_Reset-Matrix</v>
      </c>
      <c r="G460" s="2" t="str">
        <f>HYPERLINK("https://axonsv.app.intel.com/apps/record-viewer?id=66386e1a-db4f-4391-bca4-37c7729985f1","66386e1a-db4f-4391-bca4-37c7729985f1")</f>
        <v>66386e1a-db4f-4391-bca4-37c7729985f1</v>
      </c>
      <c r="I460" t="s">
        <v>581</v>
      </c>
      <c r="J460" t="s">
        <v>352</v>
      </c>
    </row>
    <row r="461" spans="1:10" ht="14.5" x14ac:dyDescent="0.35">
      <c r="A461" s="2" t="str">
        <f>HYPERLINK("https://nga.laas.intel.com/#/nga_fv_gnr/failureManagement/failures/dfe4cbf9-4f07-43ff-925f-008a9e2c6d56","dfe4cbf9")</f>
        <v>dfe4cbf9</v>
      </c>
      <c r="B461" t="s">
        <v>71</v>
      </c>
      <c r="C461" t="s">
        <v>88</v>
      </c>
      <c r="D461" t="s">
        <v>89</v>
      </c>
      <c r="E461" s="2" t="str">
        <f>HYPERLINK("https://nga.laas.intel.com/#/nga_fv_gnr/failureManagement/bucket/8ab34dfa-23b8-4880-ae37-a9dc025aa6fc","nga_bucketname_field_limit_exceeded_unable_to_insert_bucketname_tpretest_projectcfg_failed_exit_code_1_hw_err_msm_global_status_ctrl_reg_crashlog_err_hw_err_msm_global_status_ctrl_reg_global_viral_hw_err_msm_global_status_ctrl_reg_ierr_hw_err_msm_globa...")</f>
        <v>nga_bucketname_field_limit_exceeded_unable_to_insert_bucketname_tpretest_projectcfg_failed_exit_code_1_hw_err_msm_global_status_ctrl_reg_crashlog_err_hw_err_msm_global_status_ctrl_reg_global_viral_hw_err_msm_global_status_ctrl_reg_ierr_hw_err_msm_globa...</v>
      </c>
      <c r="F461" s="2" t="str">
        <f>HYPERLINK("https://nga.laas.intel.com/#/nga_fv_gnr/planning/suites/832575ec-527e-4a0e-b34e-a408652564d6","SQ_GNR_X3_SV2PVC_SV8")</f>
        <v>SQ_GNR_X3_SV2PVC_SV8</v>
      </c>
      <c r="G461" s="2" t="str">
        <f>HYPERLINK("https://axonsv.app.intel.com/apps/record-viewer?id=3fd1a627-c70e-4bb7-b613-2b689006f6cb","3fd1a627-c70e-4bb7-b613-2b689006f6cb")</f>
        <v>3fd1a627-c70e-4bb7-b613-2b689006f6cb</v>
      </c>
      <c r="I461" t="s">
        <v>582</v>
      </c>
      <c r="J461" t="s">
        <v>34</v>
      </c>
    </row>
    <row r="462" spans="1:10" ht="14.5" x14ac:dyDescent="0.35">
      <c r="A462" s="2" t="str">
        <f>HYPERLINK("https://nga.laas.intel.com/#/nga_fv_gnr/failureManagement/failures/4460d5f3-cb0f-4c08-b459-1e6fc6779073","4460d5f3")</f>
        <v>4460d5f3</v>
      </c>
      <c r="B462" t="s">
        <v>71</v>
      </c>
      <c r="C462" t="s">
        <v>88</v>
      </c>
      <c r="D462" t="s">
        <v>89</v>
      </c>
      <c r="E462" s="2" t="str">
        <f>HYPERLINK("https://nga.laas.intel.com/#/nga_fv_gnr/failureManagement/bucket/e06da41f-8a77-4421-9fa7-40bfda77b0af","tpretest_projectcfg_failed_exit_code_1_nomatch_tpretest_projectcfg_failed_exit_code_1_hw_err_msm_global_status_ctrl_reg_crashlog_err_hw_err_msm_global_status_ctrl_reg_global_viral_hw_err_msm_global_status_ctrl_reg_ierr_hw_err_msm_global_status_ctrl_reg...")</f>
        <v>tpretest_projectcfg_failed_exit_code_1_nomatch_tpretest_projectcfg_failed_exit_code_1_hw_err_msm_global_status_ctrl_reg_crashlog_err_hw_err_msm_global_status_ctrl_reg_global_viral_hw_err_msm_global_status_ctrl_reg_ierr_hw_err_msm_global_status_ctrl_reg...</v>
      </c>
      <c r="F462" s="2" t="str">
        <f>HYPERLINK("https://nga.laas.intel.com/#/nga_fv_gnr/planning/suites/832575ec-527e-4a0e-b34e-a408652564d6","SQ_GNR_X3_SV2PVC_SV8")</f>
        <v>SQ_GNR_X3_SV2PVC_SV8</v>
      </c>
      <c r="G462" s="2" t="str">
        <f>HYPERLINK("https://axonsv.app.intel.com/apps/record-viewer?id=1c7bf453-8ece-4a02-af57-3386a99bd977","1c7bf453-8ece-4a02-af57-3386a99bd977")</f>
        <v>1c7bf453-8ece-4a02-af57-3386a99bd977</v>
      </c>
      <c r="I462" t="s">
        <v>582</v>
      </c>
      <c r="J462" t="s">
        <v>47</v>
      </c>
    </row>
    <row r="463" spans="1:10" ht="14.5" x14ac:dyDescent="0.35">
      <c r="A463" s="2" t="str">
        <f>HYPERLINK("https://nga.laas.intel.com/#/nga_fv_gnr/failureManagement/failures/341422fe-d697-4a66-92ed-22c24b39b3df","341422fe")</f>
        <v>341422fe</v>
      </c>
      <c r="B463" t="s">
        <v>475</v>
      </c>
      <c r="C463" t="s">
        <v>22</v>
      </c>
      <c r="D463" t="s">
        <v>549</v>
      </c>
      <c r="E463" s="2" t="str">
        <f>HYPERLINK("https://nga.laas.intel.com/#/nga_fv_gnr/failureManagement/bucket/ff3674cf-0ada-4d39-90c3-f45082bdd86d","hw_err_cfg_erruncsts_hw_err_msm_global_status_ctrl_reg_msm_pmsb_err_hw_err_msm_global_status_ctrl_reg_pcode_err_hw_err_msm_global_status_ctrl_reg_peci_err_hw_err_msm_mbx_error_sts_mbx_overflow_hw_err_pxp1_rp0_hw_err_pxp4_rp0_hw_err_rppiosts_cfgurc_x3_s...")</f>
        <v>hw_err_cfg_erruncsts_hw_err_msm_global_status_ctrl_reg_msm_pmsb_err_hw_err_msm_global_status_ctrl_reg_pcode_err_hw_err_msm_global_status_ctrl_reg_peci_err_hw_err_msm_mbx_error_sts_mbx_overflow_hw_err_pxp1_rp0_hw_err_pxp4_rp0_hw_err_rppiosts_cfgurc_x3_s...</v>
      </c>
      <c r="F463" s="2" t="str">
        <f t="shared" ref="F463:F468" si="27">HYPERLINK("https://nga.laas.intel.com/#/nga_fv_gnr/planning/suites/25302af5-84f8-4dd8-949a-f5bbd94962af","GNR-AP-X3_ES2_Reset-Matrix")</f>
        <v>GNR-AP-X3_ES2_Reset-Matrix</v>
      </c>
      <c r="G463" s="2" t="str">
        <f>HYPERLINK("https://axonsv.app.intel.com/apps/record-viewer?id=1a353088-5089-43a1-9d85-5301eceadb03","1a353088-5089-43a1-9d85-5301eceadb03")</f>
        <v>1a353088-5089-43a1-9d85-5301eceadb03</v>
      </c>
      <c r="I463" t="s">
        <v>583</v>
      </c>
      <c r="J463" t="s">
        <v>352</v>
      </c>
    </row>
    <row r="464" spans="1:10" ht="14.5" x14ac:dyDescent="0.35">
      <c r="A464" s="2" t="str">
        <f>HYPERLINK("https://nga.laas.intel.com/#/nga_fv_gnr/failureManagement/failures/9875cab0-809a-4420-93a1-1959e093907a","9875cab0")</f>
        <v>9875cab0</v>
      </c>
      <c r="B464" t="s">
        <v>475</v>
      </c>
      <c r="C464" t="s">
        <v>22</v>
      </c>
      <c r="D464" t="s">
        <v>584</v>
      </c>
      <c r="E464" s="2" t="str">
        <f>HYPERLINK("https://nga.laas.intel.com/#/nga_fv_gnr/failureManagement/bucket/c73461b8-8824-4cd7-b998-bf841ee659d3","hw_err_cfg_erruncsts_hw_err_msm_global_status_ctrl_reg_msm_pmsb_err_hw_err_msm_global_status_ctrl_reg_pcode_err_hw_err_msm_global_status_ctrl_reg_peci_err_hw_err_msm_mbx_error_sts_mbx_overflow_hw_err_pxp4_rp0_hw_err_pxp5_rp0_hw_err_rppiosts_cfgurc_x3_p...")</f>
        <v>hw_err_cfg_erruncsts_hw_err_msm_global_status_ctrl_reg_msm_pmsb_err_hw_err_msm_global_status_ctrl_reg_pcode_err_hw_err_msm_global_status_ctrl_reg_peci_err_hw_err_msm_mbx_error_sts_mbx_overflow_hw_err_pxp4_rp0_hw_err_pxp5_rp0_hw_err_rppiosts_cfgurc_x3_p...</v>
      </c>
      <c r="F464" s="2" t="str">
        <f t="shared" si="27"/>
        <v>GNR-AP-X3_ES2_Reset-Matrix</v>
      </c>
      <c r="G464" s="2" t="str">
        <f>HYPERLINK("https://axonsv.app.intel.com/apps/record-viewer?id=0b0f56bb-dfd1-4ade-b90e-aa0747baff35","0b0f56bb-dfd1-4ade-b90e-aa0747baff35")</f>
        <v>0b0f56bb-dfd1-4ade-b90e-aa0747baff35</v>
      </c>
      <c r="I464" t="s">
        <v>585</v>
      </c>
      <c r="J464" t="s">
        <v>352</v>
      </c>
    </row>
    <row r="465" spans="1:10" ht="14.5" x14ac:dyDescent="0.35">
      <c r="A465" s="2" t="str">
        <f>HYPERLINK("https://nga.laas.intel.com/#/nga_fv_gnr/failureManagement/failures/7c8d06f1-5b46-4b41-bd96-1e31198132ea","7c8d06f1")</f>
        <v>7c8d06f1</v>
      </c>
      <c r="B465" t="s">
        <v>475</v>
      </c>
      <c r="C465" t="s">
        <v>22</v>
      </c>
      <c r="D465" t="s">
        <v>564</v>
      </c>
      <c r="E465" s="2" t="str">
        <f>HYPERLINK("https://nga.laas.intel.com/#/nga_fv_gnr/failureManagement/bucket/9ffa3049-663d-4507-9b5d-88861d326739","hw_err_cfg_erruncsts_hw_err_msm_global_status_ctrl_reg_msm_pmsb_err_hw_err_msm_global_status_ctrl_reg_pcode_err_hw_err_msm_global_status_ctrl_reg_peci_err_hw_err_msm_mbx_error_sts_mbx_overflow_hw_err_pxp5_rp0_hw_err_rppiosts_cfgurc_x3_all_resets_solar_...")</f>
        <v>hw_err_cfg_erruncsts_hw_err_msm_global_status_ctrl_reg_msm_pmsb_err_hw_err_msm_global_status_ctrl_reg_pcode_err_hw_err_msm_global_status_ctrl_reg_peci_err_hw_err_msm_mbx_error_sts_mbx_overflow_hw_err_pxp5_rp0_hw_err_rppiosts_cfgurc_x3_all_resets_solar_...</v>
      </c>
      <c r="F465" s="2" t="str">
        <f t="shared" si="27"/>
        <v>GNR-AP-X3_ES2_Reset-Matrix</v>
      </c>
      <c r="G465" s="2" t="str">
        <f>HYPERLINK("https://axonsv.app.intel.com/apps/record-viewer?id=8dee3708-46ac-4ee5-9cf4-1d1d80314d57","8dee3708-46ac-4ee5-9cf4-1d1d80314d57")</f>
        <v>8dee3708-46ac-4ee5-9cf4-1d1d80314d57</v>
      </c>
      <c r="I465" t="s">
        <v>566</v>
      </c>
      <c r="J465" t="s">
        <v>352</v>
      </c>
    </row>
    <row r="466" spans="1:10" ht="14.5" x14ac:dyDescent="0.35">
      <c r="A466" s="2" t="str">
        <f>HYPERLINK("https://nga.laas.intel.com/#/nga_fv_gnr/failureManagement/failures/4a3c2d1f-1800-4862-8fe2-0eaa47028824","4a3c2d1f")</f>
        <v>4a3c2d1f</v>
      </c>
      <c r="B466" t="s">
        <v>475</v>
      </c>
      <c r="C466" t="s">
        <v>22</v>
      </c>
      <c r="D466" t="s">
        <v>564</v>
      </c>
      <c r="E466" s="2" t="str">
        <f>HYPERLINK("https://nga.laas.intel.com/#/nga_fv_gnr/failureManagement/bucket/0328ba0d-7d66-4a7f-95e4-58ce4e9b2fae","hw_err_msm_global_status_ctrl_reg_msm_pmsb_err,hw_err_msm_global_status_ctrl_reg_pcode_err,hw_err_msm_global_status_ctrl_reg_peci_err,hw_err_msm_mbx_error_sts_mbx_overflow,hw_err_rppiosts_cfgurc")</f>
        <v>hw_err_msm_global_status_ctrl_reg_msm_pmsb_err,hw_err_msm_global_status_ctrl_reg_pcode_err,hw_err_msm_global_status_ctrl_reg_peci_err,hw_err_msm_mbx_error_sts_mbx_overflow,hw_err_rppiosts_cfgurc</v>
      </c>
      <c r="F466" s="2" t="str">
        <f t="shared" si="27"/>
        <v>GNR-AP-X3_ES2_Reset-Matrix</v>
      </c>
      <c r="G466" s="2" t="str">
        <f>HYPERLINK("https://axonsv.app.intel.com/apps/record-viewer?id=9f858eba-2203-44fa-a7ed-a26ceaeeb4bf","9f858eba-2203-44fa-a7ed-a26ceaeeb4bf")</f>
        <v>9f858eba-2203-44fa-a7ed-a26ceaeeb4bf</v>
      </c>
      <c r="I466" t="s">
        <v>559</v>
      </c>
      <c r="J466" t="s">
        <v>352</v>
      </c>
    </row>
    <row r="467" spans="1:10" ht="14.5" x14ac:dyDescent="0.35">
      <c r="A467" s="2" t="str">
        <f>HYPERLINK("https://nga.laas.intel.com/#/nga_fv_gnr/failureManagement/failures/93716411-d6d6-47e3-bb2c-00bf9fdf1601","93716411")</f>
        <v>93716411</v>
      </c>
      <c r="B467" t="s">
        <v>475</v>
      </c>
      <c r="C467" t="s">
        <v>22</v>
      </c>
      <c r="D467" t="s">
        <v>564</v>
      </c>
      <c r="E467" s="2" t="str">
        <f>HYPERLINK("https://nga.laas.intel.com/#/nga_fv_gnr/failureManagement/bucket/deb35580-c621-4de4-9afd-df470166d727","hw_err_msm_global_status_ctrl_reg_msm_pmsb_err_hw_err_msm_global_status_ctrl_reg_pcode_err_hw_err_msm_global_status_ctrl_reg_peci_err_hw_err_msm_mbx_error_sts_mbx_overflow_hw_err_rppiosts_cfgurc_x3_all_resets_solar_failed_exit_code_8_hw_err_msm_global_...")</f>
        <v>hw_err_msm_global_status_ctrl_reg_msm_pmsb_err_hw_err_msm_global_status_ctrl_reg_pcode_err_hw_err_msm_global_status_ctrl_reg_peci_err_hw_err_msm_mbx_error_sts_mbx_overflow_hw_err_rppiosts_cfgurc_x3_all_resets_solar_failed_exit_code_8_hw_err_msm_global_...</v>
      </c>
      <c r="F467" s="2" t="str">
        <f t="shared" si="27"/>
        <v>GNR-AP-X3_ES2_Reset-Matrix</v>
      </c>
      <c r="G467" s="2" t="str">
        <f>HYPERLINK("https://axonsv.app.intel.com/apps/record-viewer?id=8a8a2b9f-9ea2-489e-856b-ac8536eec70a","8a8a2b9f-9ea2-489e-856b-ac8536eec70a")</f>
        <v>8a8a2b9f-9ea2-489e-856b-ac8536eec70a</v>
      </c>
      <c r="I467" t="s">
        <v>566</v>
      </c>
      <c r="J467" t="s">
        <v>352</v>
      </c>
    </row>
    <row r="468" spans="1:10" ht="14.5" x14ac:dyDescent="0.35">
      <c r="A468" s="2" t="str">
        <f>HYPERLINK("https://nga.laas.intel.com/#/nga_fv_gnr/failureManagement/failures/858d74c3-9c17-4cc3-add8-1d16a827f8fe","858d74c3")</f>
        <v>858d74c3</v>
      </c>
      <c r="B468" t="s">
        <v>475</v>
      </c>
      <c r="C468" t="s">
        <v>25</v>
      </c>
      <c r="D468" t="s">
        <v>45</v>
      </c>
      <c r="E468" s="2" t="str">
        <f>HYPERLINK("https://nga.laas.intel.com/#/nga_fv_gnr/failureManagement/bucket/9df62ca6-799a-43ab-ba39-9c791e7d1346","hw_err_cfg_erruncsts_hw_err_msm_global_status_ctrl_reg_msm_pmsb_err_hw_err_msm_global_status_ctrl_reg_pcode_err_hw_err_msm_global_status_ctrl_reg_peci_err_hw_err_msm_mbx_error_sts_mbx_overflow_hw_err_pxp4_rp0_hw_err_pxp5_rp0_hw_err_rppiosts_cfgurc_hpos...")</f>
        <v>hw_err_cfg_erruncsts_hw_err_msm_global_status_ctrl_reg_msm_pmsb_err_hw_err_msm_global_status_ctrl_reg_pcode_err_hw_err_msm_global_status_ctrl_reg_peci_err_hw_err_msm_mbx_error_sts_mbx_overflow_hw_err_pxp4_rp0_hw_err_pxp5_rp0_hw_err_rppiosts_cfgurc_hpos...</v>
      </c>
      <c r="F468" s="2" t="str">
        <f t="shared" si="27"/>
        <v>GNR-AP-X3_ES2_Reset-Matrix</v>
      </c>
      <c r="G468" s="2" t="str">
        <f>HYPERLINK("https://axonsv.app.intel.com/apps/record-viewer?id=1ebc7612-f27e-4a27-b62a-b2ac0941df36","1ebc7612-f27e-4a27-b62a-b2ac0941df36")</f>
        <v>1ebc7612-f27e-4a27-b62a-b2ac0941df36</v>
      </c>
      <c r="I468" t="s">
        <v>586</v>
      </c>
      <c r="J468" t="s">
        <v>352</v>
      </c>
    </row>
    <row r="469" spans="1:10" ht="14.5" x14ac:dyDescent="0.35">
      <c r="A469" s="2" t="str">
        <f>HYPERLINK("https://nga.laas.intel.com/#/nga_fv_gnr/failureManagement/failures/bc0d0705-2618-4bb7-9276-04a038ecbc41","bc0d0705")</f>
        <v>bc0d0705</v>
      </c>
      <c r="B469" t="s">
        <v>255</v>
      </c>
      <c r="C469" t="s">
        <v>22</v>
      </c>
      <c r="D469" t="s">
        <v>587</v>
      </c>
      <c r="E469" s="2" t="str">
        <f>HYPERLINK("https://nga.laas.intel.com/#/nga_fv_gnr/failureManagement/bucket/e00528b4-a802-4b78-817a-958747f9dba3","hw_err_cfg_ibsterrrcrvsts,hw_err_msm_global_status_ctrl_reg_msm_pmsb_err,hw_err_msm_global_status_ctrl_reg_pcode_err,hw_err_msm_global_status_ctrl_reg_peci_err,hw_err_msm_mbx_error_sts_mbx_overflow,hw_err_rppiosts_cfgurc,hw_mce_mlc_mcacod_internal_timer_m")</f>
        <v>hw_err_cfg_ibsterrrcrvsts,hw_err_msm_global_status_ctrl_reg_msm_pmsb_err,hw_err_msm_global_status_ctrl_reg_pcode_err,hw_err_msm_global_status_ctrl_reg_peci_err,hw_err_msm_mbx_error_sts_mbx_overflow,hw_err_rppiosts_cfgurc,hw_mce_mlc_mcacod_internal_timer_m</v>
      </c>
      <c r="F469" s="2" t="str">
        <f>HYPERLINK("https://nga.laas.intel.com/#/nga_fv_gnr/planning/suites/8bf04327-a6c7-4722-8d54-99b5768382ea","GNR-AP-X3_A2_VV_Cov")</f>
        <v>GNR-AP-X3_A2_VV_Cov</v>
      </c>
      <c r="G469" s="2" t="str">
        <f>HYPERLINK("https://axonsv.app.intel.com/apps/record-viewer?id=dbc5b343-3992-4e76-b5c4-47f87e5584bd","dbc5b343-3992-4e76-b5c4-47f87e5584bd")</f>
        <v>dbc5b343-3992-4e76-b5c4-47f87e5584bd</v>
      </c>
      <c r="I469" t="s">
        <v>588</v>
      </c>
      <c r="J469" t="s">
        <v>51</v>
      </c>
    </row>
    <row r="470" spans="1:10" ht="14.5" x14ac:dyDescent="0.35">
      <c r="A470" s="2" t="str">
        <f>HYPERLINK("https://nga.laas.intel.com/#/nga_fv_gnr/failureManagement/failures/7661bb2b-2a9b-4205-a552-00922b67773c","7661bb2b")</f>
        <v>7661bb2b</v>
      </c>
      <c r="B470" t="s">
        <v>589</v>
      </c>
      <c r="C470" t="s">
        <v>590</v>
      </c>
      <c r="D470" t="s">
        <v>591</v>
      </c>
      <c r="E47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70" s="2" t="str">
        <f>HYPERLINK("https://nga.laas.intel.com/#/nga_fv_gnr/planning/suites/832575ec-527e-4a0e-b34e-a408652564d6","SQ_GNR_X3_SV2PVC_SV8")</f>
        <v>SQ_GNR_X3_SV2PVC_SV8</v>
      </c>
      <c r="G470" s="2" t="str">
        <f>HYPERLINK("https://axonsv.app.intel.com/apps/record-viewer?id=60884576-45f2-19b2-1bd3-b1631232ed33","60884576-45f2-19b2-1bd3-b1631232ed33")</f>
        <v>60884576-45f2-19b2-1bd3-b1631232ed33</v>
      </c>
      <c r="I470" t="s">
        <v>592</v>
      </c>
      <c r="J470" t="s">
        <v>51</v>
      </c>
    </row>
    <row r="471" spans="1:10" ht="14.5" x14ac:dyDescent="0.35">
      <c r="A471" s="2" t="str">
        <f>HYPERLINK("https://nga.laas.intel.com/#/nga_fv_gnr/failureManagement/failures/2163a16a-e577-48d8-89b4-0d0b390d5b90","2163a16a")</f>
        <v>2163a16a</v>
      </c>
      <c r="B471" t="s">
        <v>109</v>
      </c>
      <c r="C471" t="s">
        <v>22</v>
      </c>
      <c r="D471" t="s">
        <v>593</v>
      </c>
      <c r="E471" s="2" t="str">
        <f>HYPERLINK("https://nga.laas.intel.com/#/nga_fv_gnr/failureManagement/bucket/f63ba802-2e6b-4d43-b4b4-06de0a3e56c7","hw_err_msm_global_status_ctrl_reg_msm_pmsb_err_hw_err_msm_global_status_ctrl_reg_pcode_err_hw_err_msm_global_status_ctrl_reg_peci_err_hw_err_msm_mbx_error_sts_mbx_overflow_x3_soc_ip_disable_failed_targetreboottimeout_hw_err_msm_global_status_ctrl_reg_m...")</f>
        <v>hw_err_msm_global_status_ctrl_reg_msm_pmsb_err_hw_err_msm_global_status_ctrl_reg_pcode_err_hw_err_msm_global_status_ctrl_reg_peci_err_hw_err_msm_mbx_error_sts_mbx_overflow_x3_soc_ip_disable_failed_targetreboottimeout_hw_err_msm_global_status_ctrl_reg_m...</v>
      </c>
      <c r="F471" s="2" t="str">
        <f>HYPERLINK("https://nga.laas.intel.com/#/nga_fv_gnr/planning/suites/6d122e2b-2991-4243-82e7-7e9590f6a0a8","GNR-AP-X3_PRE_B0_MOCK_PHASE-1")</f>
        <v>GNR-AP-X3_PRE_B0_MOCK_PHASE-1</v>
      </c>
      <c r="G471" s="2" t="str">
        <f>HYPERLINK("https://axonsv.app.intel.com/apps/record-viewer?id=221c24ab-5d39-46f1-9bee-779962d27b5d","221c24ab-5d39-46f1-9bee-779962d27b5d")</f>
        <v>221c24ab-5d39-46f1-9bee-779962d27b5d</v>
      </c>
      <c r="I471" t="s">
        <v>594</v>
      </c>
      <c r="J471" t="s">
        <v>34</v>
      </c>
    </row>
    <row r="472" spans="1:10" ht="14.5" x14ac:dyDescent="0.35">
      <c r="A472" s="2" t="str">
        <f>HYPERLINK("https://nga.laas.intel.com/#/nga_fv_gnr/failureManagement/failures/eb35c134-4d88-4b71-a80b-23bcd5094208","eb35c134")</f>
        <v>eb35c134</v>
      </c>
      <c r="B472" t="s">
        <v>71</v>
      </c>
      <c r="C472" t="s">
        <v>22</v>
      </c>
      <c r="D472" t="s">
        <v>593</v>
      </c>
      <c r="E472" s="2" t="str">
        <f>HYPERLINK("https://nga.laas.intel.com/#/nga_fv_gnr/failureManagement/bucket/d64f128c-8570-41f0-8128-9d68cf9b4627","hw_err_msm_global_status_ctrl_reg_msm_pmsb_err_hw_err_msm_global_status_ctrl_reg_pcode_err_hw_err_msm_global_status_ctrl_reg_peci_err_hw_err_msm_mbx_error_sts_mbx_overflow_x3_soc_ip_disable_failed_targetreboottimeout_hw_err_msm_global_status_ctrl_reg_m...")</f>
        <v>hw_err_msm_global_status_ctrl_reg_msm_pmsb_err_hw_err_msm_global_status_ctrl_reg_pcode_err_hw_err_msm_global_status_ctrl_reg_peci_err_hw_err_msm_mbx_error_sts_mbx_overflow_x3_soc_ip_disable_failed_targetreboottimeout_hw_err_msm_global_status_ctrl_reg_m...</v>
      </c>
      <c r="F472" s="2" t="str">
        <f>HYPERLINK("https://nga.laas.intel.com/#/nga_fv_gnr/planning/suites/6d122e2b-2991-4243-82e7-7e9590f6a0a8","GNR-AP-X3_PRE_B0_MOCK_PHASE-1")</f>
        <v>GNR-AP-X3_PRE_B0_MOCK_PHASE-1</v>
      </c>
      <c r="G472" s="2" t="str">
        <f>HYPERLINK("https://axonsv.app.intel.com/apps/record-viewer?id=b8be47d8-49cf-4dc9-847b-dd9cc4e6148a","b8be47d8-49cf-4dc9-847b-dd9cc4e6148a")</f>
        <v>b8be47d8-49cf-4dc9-847b-dd9cc4e6148a</v>
      </c>
      <c r="I472" t="s">
        <v>594</v>
      </c>
      <c r="J472" t="s">
        <v>34</v>
      </c>
    </row>
    <row r="473" spans="1:10" ht="14.5" x14ac:dyDescent="0.35">
      <c r="A473" s="2" t="str">
        <f>HYPERLINK("https://nga.laas.intel.com/#/nga_fv_gnr/failureManagement/failures/1180fecc-107a-48f1-8783-1df87845bdbc","1180fecc")</f>
        <v>1180fecc</v>
      </c>
      <c r="B473" t="s">
        <v>595</v>
      </c>
      <c r="C473" t="s">
        <v>22</v>
      </c>
      <c r="D473" t="s">
        <v>596</v>
      </c>
      <c r="E473" s="2" t="str">
        <f>HYPERLINK("https://nga.laas.intel.com/#/nga_fv_gnr/failureManagement/bucket/c9e2a5f5-8aa8-4a54-920b-77ac665df28d","hw_err_cfg_ibsterrrcrvsts_hw_err_expptmbar_ltssmerrsts0_hw_err_msm_global_status_ctrl_reg_msm_pmsb_err_hw_err_msm_global_status_ctrl_reg_pcode_err_hw_err_msm_global_status_ctrl_reg_peci_err_hw_err_msm_mbx_error_sts_mbx_overflow_hw_err_pxp1_rp0_hw_err_r...")</f>
        <v>hw_err_cfg_ibsterrrcrvsts_hw_err_expptmbar_ltssmerrsts0_hw_err_msm_global_status_ctrl_reg_msm_pmsb_err_hw_err_msm_global_status_ctrl_reg_pcode_err_hw_err_msm_global_status_ctrl_reg_peci_err_hw_err_msm_mbx_error_sts_mbx_overflow_hw_err_pxp1_rp0_hw_err_r...</v>
      </c>
      <c r="F473" s="2" t="str">
        <f>HYPERLINK("https://nga.laas.intel.com/#/nga_fv_gnr/planning/suites/6d122e2b-2991-4243-82e7-7e9590f6a0a8","GNR-AP-X3_PRE_B0_MOCK_PHASE-1")</f>
        <v>GNR-AP-X3_PRE_B0_MOCK_PHASE-1</v>
      </c>
      <c r="G473" s="2" t="str">
        <f>HYPERLINK("https://axonsv.app.intel.com/apps/record-viewer?id=1c91d8fc-0976-4b5b-ab8c-7f2dddcd0f2a","1c91d8fc-0976-4b5b-ab8c-7f2dddcd0f2a")</f>
        <v>1c91d8fc-0976-4b5b-ab8c-7f2dddcd0f2a</v>
      </c>
      <c r="I473" t="s">
        <v>597</v>
      </c>
      <c r="J473" t="s">
        <v>34</v>
      </c>
    </row>
    <row r="474" spans="1:10" ht="14.5" x14ac:dyDescent="0.35">
      <c r="A474" s="2" t="str">
        <f>HYPERLINK("https://nga.laas.intel.com/#/nga_fv_gnr/failureManagement/failures/b86ab5d2-8b53-4885-8d9f-13de68b12505","b86ab5d2")</f>
        <v>b86ab5d2</v>
      </c>
      <c r="B474" t="s">
        <v>91</v>
      </c>
      <c r="C474" t="s">
        <v>22</v>
      </c>
      <c r="D474" t="s">
        <v>598</v>
      </c>
      <c r="E474" s="2" t="str">
        <f>HYPERLINK("https://nga.laas.intel.com/#/nga_fv_gnr/failureManagement/bucket/84ff140c-b072-4f0e-95fd-48e923468305","hw_err_cfg_ibsterrrcrvsts_hw_err_msm_global_status_ctrl_reg_msm_pmsb_err_hw_err_msm_global_status_ctrl_reg_pcode_err_hw_err_msm_global_status_ctrl_reg_peci_err_hw_err_msm_mbx_error_sts_mbx_overflow_hw_err_rppiosts_cfgurc_lock_stress_novms_failed_timedo...")</f>
        <v>hw_err_cfg_ibsterrrcrvsts_hw_err_msm_global_status_ctrl_reg_msm_pmsb_err_hw_err_msm_global_status_ctrl_reg_pcode_err_hw_err_msm_global_status_ctrl_reg_peci_err_hw_err_msm_mbx_error_sts_mbx_overflow_hw_err_rppiosts_cfgurc_lock_stress_novms_failed_timedo...</v>
      </c>
      <c r="F474" s="2" t="str">
        <f>HYPERLINK("https://nga.laas.intel.com/#/nga_fv_gnr/planning/suites/6d122e2b-2991-4243-82e7-7e9590f6a0a8","GNR-AP-X3_PRE_B0_MOCK_PHASE-1")</f>
        <v>GNR-AP-X3_PRE_B0_MOCK_PHASE-1</v>
      </c>
      <c r="G474" s="2" t="str">
        <f>HYPERLINK("https://axonsv.app.intel.com/apps/record-viewer?id=1d947483-aaae-4500-9d10-3bbcf2b1db22","1d947483-aaae-4500-9d10-3bbcf2b1db22")</f>
        <v>1d947483-aaae-4500-9d10-3bbcf2b1db22</v>
      </c>
      <c r="I474" t="s">
        <v>599</v>
      </c>
      <c r="J474" t="s">
        <v>14</v>
      </c>
    </row>
    <row r="475" spans="1:10" ht="14.5" x14ac:dyDescent="0.35">
      <c r="A475" s="2" t="str">
        <f>HYPERLINK("https://nga.laas.intel.com/#/nga_fv_gnr/failureManagement/failures/806c7ada-4478-4021-8c7a-1230335ac264","806c7ada")</f>
        <v>806c7ada</v>
      </c>
      <c r="B475" t="s">
        <v>255</v>
      </c>
      <c r="C475" t="s">
        <v>22</v>
      </c>
      <c r="D475" t="s">
        <v>600</v>
      </c>
      <c r="E475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75" s="2" t="str">
        <f>HYPERLINK("https://nga.laas.intel.com/#/nga_fv_gnr/planning/suites/6d122e2b-2991-4243-82e7-7e9590f6a0a8","GNR-AP-X3_PRE_B0_MOCK_PHASE-1")</f>
        <v>GNR-AP-X3_PRE_B0_MOCK_PHASE-1</v>
      </c>
      <c r="G475" s="2" t="str">
        <f>HYPERLINK("https://axonsv.app.intel.com/apps/record-viewer?id=caaaaa6c-2753-4ce7-bb46-00bf256fe0e7","caaaaa6c-2753-4ce7-bb46-00bf256fe0e7")</f>
        <v>caaaaa6c-2753-4ce7-bb46-00bf256fe0e7</v>
      </c>
      <c r="I475" t="s">
        <v>601</v>
      </c>
      <c r="J475" t="s">
        <v>61</v>
      </c>
    </row>
    <row r="476" spans="1:10" ht="14.5" x14ac:dyDescent="0.35">
      <c r="A476" s="2" t="str">
        <f>HYPERLINK("https://nga.laas.intel.com/#/nga_fv_gnr/failureManagement/failures/bcaf63a6-e34e-44b8-8f7e-053b2f03d6f9","bcaf63a6")</f>
        <v>bcaf63a6</v>
      </c>
      <c r="B476" t="s">
        <v>602</v>
      </c>
      <c r="C476" t="s">
        <v>22</v>
      </c>
      <c r="D476" t="s">
        <v>603</v>
      </c>
      <c r="E476" s="2" t="str">
        <f>HYPERLINK("https://nga.laas.intel.com/#/nga_fv_gnr/failureManagement/bucket/c15e5725-58d5-44a7-9444-a4b4f8fb8701","hw_err_cfg_errcorsts_hw_err_cfg_erruncsts_hw_err_cfg_ibsterrrcrvsts_hw_err_cfg_laneerrsts_hw_err_expptmbar_deskewsts_hw_err_expptmbar_g3frameerr_hw_err_expptmbar_ltssmerrsts0_hw_err_msm_mbx_error_sts_mbx_overflow_hw_err_pxp2_rp0_hw_err_pxp2_rp2_hw_err_...")</f>
        <v>hw_err_cfg_errcorsts_hw_err_cfg_erruncsts_hw_err_cfg_ibsterrrcrvsts_hw_err_cfg_laneerrsts_hw_err_expptmbar_deskewsts_hw_err_expptmbar_g3frameerr_hw_err_expptmbar_ltssmerrsts0_hw_err_msm_mbx_error_sts_mbx_overflow_hw_err_pxp2_rp0_hw_err_pxp2_rp2_hw_err_...</v>
      </c>
      <c r="F476" s="2" t="str">
        <f>HYPERLINK("https://nga.laas.intel.com/#/nga_fv_gnr/planning/suites/832575ec-527e-4a0e-b34e-a408652564d6","SQ_GNR_X3_SV2PVC_SV8")</f>
        <v>SQ_GNR_X3_SV2PVC_SV8</v>
      </c>
      <c r="G476" s="2" t="str">
        <f>HYPERLINK("https://axonsv.app.intel.com/apps/record-viewer?id=a47f6751-a4b7-44e7-ae81-37783302976e","a47f6751-a4b7-44e7-ae81-37783302976e")</f>
        <v>a47f6751-a4b7-44e7-ae81-37783302976e</v>
      </c>
      <c r="I476" t="s">
        <v>604</v>
      </c>
      <c r="J476" t="s">
        <v>14</v>
      </c>
    </row>
    <row r="477" spans="1:10" ht="14.5" x14ac:dyDescent="0.35">
      <c r="A477" s="2" t="str">
        <f>HYPERLINK("https://nga.laas.intel.com/#/nga_fv_gnr/failureManagement/failures/b24c89ef-8110-43fb-b6ca-23be01f4cef6","b24c89ef")</f>
        <v>b24c89ef</v>
      </c>
      <c r="B477" t="s">
        <v>81</v>
      </c>
      <c r="C477" t="s">
        <v>22</v>
      </c>
      <c r="D477" t="s">
        <v>605</v>
      </c>
      <c r="E477" s="2" t="str">
        <f>HYPERLINK("https://nga.laas.intel.com/#/nga_fv_gnr/failureManagement/bucket/0328ba0d-7d66-4a7f-95e4-58ce4e9b2fae","hw_err_msm_global_status_ctrl_reg_msm_pmsb_err,hw_err_msm_global_status_ctrl_reg_pcode_err,hw_err_msm_global_status_ctrl_reg_peci_err,hw_err_msm_mbx_error_sts_mbx_overflow,hw_err_rppiosts_cfgurc")</f>
        <v>hw_err_msm_global_status_ctrl_reg_msm_pmsb_err,hw_err_msm_global_status_ctrl_reg_pcode_err,hw_err_msm_global_status_ctrl_reg_peci_err,hw_err_msm_mbx_error_sts_mbx_overflow,hw_err_rppiosts_cfgurc</v>
      </c>
      <c r="F477" s="2" t="str">
        <f t="shared" ref="F477:F479" si="28">HYPERLINK("https://nga.laas.intel.com/#/nga_fv_gnr/planning/suites/6d122e2b-2991-4243-82e7-7e9590f6a0a8","GNR-AP-X3_PRE_B0_MOCK_PHASE-1")</f>
        <v>GNR-AP-X3_PRE_B0_MOCK_PHASE-1</v>
      </c>
      <c r="G477" s="2" t="str">
        <f>HYPERLINK("https://axonsv.app.intel.com/apps/record-viewer?id=955ca81a-2a15-4c74-af15-3a507ac6735a","955ca81a-2a15-4c74-af15-3a507ac6735a")</f>
        <v>955ca81a-2a15-4c74-af15-3a507ac6735a</v>
      </c>
      <c r="I477" t="s">
        <v>559</v>
      </c>
      <c r="J477" t="s">
        <v>34</v>
      </c>
    </row>
    <row r="478" spans="1:10" ht="14.5" x14ac:dyDescent="0.35">
      <c r="A478" s="2" t="str">
        <f>HYPERLINK("https://nga.laas.intel.com/#/nga_fv_gnr/failureManagement/failures/6c99e67c-4279-4ae1-a048-0a4d1e914e63","6c99e67c")</f>
        <v>6c99e67c</v>
      </c>
      <c r="B478" t="s">
        <v>91</v>
      </c>
      <c r="C478" t="s">
        <v>22</v>
      </c>
      <c r="D478" t="s">
        <v>596</v>
      </c>
      <c r="E478" s="2" t="str">
        <f>HYPERLINK("https://nga.laas.intel.com/#/nga_fv_gnr/failureManagement/bucket/58dc52d3-4b6a-4494-a667-700bf3f9d1bf","x3_all_resets_nogrsr_cross_pm_solar_failed_targetreboottimeout_x3_all_resets_nogrsr_cross_pm_solar_failed_targetreboottimeout_x3_all_resets_nogrsr_cross_pm_solar_failed_targetreboottimeout_hw_err_cfg_ibsterrrcrvsts_hw_err_msm_global_status_ctrl_reg_msm...")</f>
        <v>x3_all_resets_nogrsr_cross_pm_solar_failed_targetreboottimeout_x3_all_resets_nogrsr_cross_pm_solar_failed_targetreboottimeout_x3_all_resets_nogrsr_cross_pm_solar_failed_targetreboottimeout_hw_err_cfg_ibsterrrcrvsts_hw_err_msm_global_status_ctrl_reg_msm...</v>
      </c>
      <c r="F478" s="2" t="str">
        <f t="shared" si="28"/>
        <v>GNR-AP-X3_PRE_B0_MOCK_PHASE-1</v>
      </c>
      <c r="G478" s="2" t="str">
        <f>HYPERLINK("https://axonsv.app.intel.com/apps/record-viewer?id=a7446e3f-91a2-4c13-982f-90faaad7f2bf","a7446e3f-91a2-4c13-982f-90faaad7f2bf")</f>
        <v>a7446e3f-91a2-4c13-982f-90faaad7f2bf</v>
      </c>
      <c r="I478" t="s">
        <v>606</v>
      </c>
      <c r="J478" t="s">
        <v>34</v>
      </c>
    </row>
    <row r="479" spans="1:10" ht="14.5" x14ac:dyDescent="0.35">
      <c r="A479" s="2" t="str">
        <f>HYPERLINK("https://nga.laas.intel.com/#/nga_fv_gnr/failureManagement/failures/24cefb4f-575b-428a-844a-1bf9fb0459a5","24cefb4f")</f>
        <v>24cefb4f</v>
      </c>
      <c r="B479" t="s">
        <v>107</v>
      </c>
      <c r="C479" t="s">
        <v>22</v>
      </c>
      <c r="D479" t="s">
        <v>607</v>
      </c>
      <c r="E479" s="2" t="str">
        <f>HYPERLINK("https://nga.laas.intel.com/#/nga_fv_gnr/failureManagement/bucket/19581a8b-0984-4c25-ad23-beb449928b16","hw_err_msm_global_status_ctrl_reg_msm_pmsb_err_hw_err_msm_global_status_ctrl_reg_pcode_err_hw_err_msm_global_status_ctrl_reg_peci_err_hw_err_msm_mbx_error_sts_mbx_overflow_hw_err_rppiosts_cfgurc_x3_g3_cycle_solar_delay_failed_exit_code_8_hw_err_msm_glo...")</f>
        <v>hw_err_msm_global_status_ctrl_reg_msm_pmsb_err_hw_err_msm_global_status_ctrl_reg_pcode_err_hw_err_msm_global_status_ctrl_reg_peci_err_hw_err_msm_mbx_error_sts_mbx_overflow_hw_err_rppiosts_cfgurc_x3_g3_cycle_solar_delay_failed_exit_code_8_hw_err_msm_glo...</v>
      </c>
      <c r="F479" s="2" t="str">
        <f t="shared" si="28"/>
        <v>GNR-AP-X3_PRE_B0_MOCK_PHASE-1</v>
      </c>
      <c r="G479" s="2" t="str">
        <f>HYPERLINK("https://axonsv.app.intel.com/apps/record-viewer?id=5ca4dcf0-47d3-4dee-93fc-7360f531efa6","5ca4dcf0-47d3-4dee-93fc-7360f531efa6")</f>
        <v>5ca4dcf0-47d3-4dee-93fc-7360f531efa6</v>
      </c>
      <c r="I479" t="s">
        <v>608</v>
      </c>
      <c r="J479" t="s">
        <v>34</v>
      </c>
    </row>
    <row r="480" spans="1:10" ht="14.5" x14ac:dyDescent="0.35">
      <c r="A480" s="2" t="str">
        <f>HYPERLINK("https://nga.laas.intel.com/#/nga_fv_gnr/failureManagement/failures/9940c68a-63a5-4289-9e7e-14c63a38e9e9","9940c68a")</f>
        <v>9940c68a</v>
      </c>
      <c r="B480" t="s">
        <v>609</v>
      </c>
      <c r="C480" t="s">
        <v>22</v>
      </c>
      <c r="D480" t="s">
        <v>610</v>
      </c>
      <c r="E480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0" s="2" t="str">
        <f>HYPERLINK("https://nga.laas.intel.com/#/nga_fv_gnr/planning/suites/40cce7b4-8ad1-4120-a1c9-8a7a866796c1","GNR-AP-X3_B0_VV")</f>
        <v>GNR-AP-X3_B0_VV</v>
      </c>
      <c r="G480" s="2" t="str">
        <f>HYPERLINK("https://axonsv.app.intel.com/apps/record-viewer?id=c092d667-7ee4-b170-4492-332ffbc0470f","c092d667-7ee4-b170-4492-332ffbc0470f")</f>
        <v>c092d667-7ee4-b170-4492-332ffbc0470f</v>
      </c>
      <c r="I480" t="s">
        <v>611</v>
      </c>
      <c r="J480" t="s">
        <v>38</v>
      </c>
    </row>
    <row r="481" spans="1:10" ht="14.5" x14ac:dyDescent="0.35">
      <c r="A481" s="2" t="str">
        <f>HYPERLINK("https://nga.laas.intel.com/#/nga_fv_gnr/failureManagement/failures/2bed4851-2336-4ccf-abb1-14e4a5a1a925","2bed4851")</f>
        <v>2bed4851</v>
      </c>
      <c r="B481" t="s">
        <v>589</v>
      </c>
      <c r="C481" t="s">
        <v>22</v>
      </c>
      <c r="D481" t="s">
        <v>49</v>
      </c>
      <c r="E48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1" s="2" t="str">
        <f>HYPERLINK("https://nga.laas.intel.com/#/nga_fv_gnr/planning/suites/832575ec-527e-4a0e-b34e-a408652564d6","SQ_GNR_X3_SV2PVC_SV8")</f>
        <v>SQ_GNR_X3_SV2PVC_SV8</v>
      </c>
      <c r="G481" s="2" t="str">
        <f>HYPERLINK("https://axonsv.app.intel.com/apps/record-viewer?id=276a09bf-a8cd-a5b1-67d5-a213eae57492","276a09bf-a8cd-a5b1-67d5-a213eae57492")</f>
        <v>276a09bf-a8cd-a5b1-67d5-a213eae57492</v>
      </c>
      <c r="I481" t="s">
        <v>612</v>
      </c>
      <c r="J481" t="s">
        <v>14</v>
      </c>
    </row>
    <row r="482" spans="1:10" ht="14.5" x14ac:dyDescent="0.35">
      <c r="A482" s="2" t="str">
        <f>HYPERLINK("https://nga.laas.intel.com/#/nga_fv_gnr/failureManagement/failures/bdd7cfd7-ce92-4988-938e-0d8205561207","bdd7cfd7")</f>
        <v>bdd7cfd7</v>
      </c>
      <c r="B482" t="s">
        <v>602</v>
      </c>
      <c r="C482" t="s">
        <v>30</v>
      </c>
      <c r="D482" t="s">
        <v>613</v>
      </c>
      <c r="E48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2" s="2" t="str">
        <f>HYPERLINK("https://nga.laas.intel.com/#/nga_fv_gnr/planning/suites/832575ec-527e-4a0e-b34e-a408652564d6","SQ_GNR_X3_SV2PVC_SV8")</f>
        <v>SQ_GNR_X3_SV2PVC_SV8</v>
      </c>
      <c r="G482" s="2" t="str">
        <f>HYPERLINK("https://axonsv.app.intel.com/apps/record-viewer?id=79a91728-f744-42f6-9bac-3d4162af9584","79a91728-f744-42f6-9bac-3d4162af9584")</f>
        <v>79a91728-f744-42f6-9bac-3d4162af9584</v>
      </c>
      <c r="I482" t="s">
        <v>614</v>
      </c>
      <c r="J482" t="s">
        <v>74</v>
      </c>
    </row>
    <row r="483" spans="1:10" ht="14.5" x14ac:dyDescent="0.35">
      <c r="A483" s="2" t="str">
        <f>HYPERLINK("https://nga.laas.intel.com/#/nga_fv_gnr/failureManagement/failures/de1d5b3b-831b-410a-ba65-179790ba53fd","de1d5b3b")</f>
        <v>de1d5b3b</v>
      </c>
      <c r="B483" t="s">
        <v>615</v>
      </c>
      <c r="C483" t="s">
        <v>22</v>
      </c>
      <c r="D483" t="s">
        <v>616</v>
      </c>
      <c r="E48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3" s="2" t="str">
        <f t="shared" ref="F483:F486" si="29">HYPERLINK("https://nga.laas.intel.com/#/nga_fv_gnr/planning/suites/40cce7b4-8ad1-4120-a1c9-8a7a866796c1","GNR-AP-X3_B0_VV")</f>
        <v>GNR-AP-X3_B0_VV</v>
      </c>
      <c r="G483" s="2" t="str">
        <f>HYPERLINK("https://axonsv.app.intel.com/apps/record-viewer?id=8e150cc6-46e2-4ca6-aa13-389d0f03c268","8e150cc6-46e2-4ca6-aa13-389d0f03c268")</f>
        <v>8e150cc6-46e2-4ca6-aa13-389d0f03c268</v>
      </c>
      <c r="H483" t="s">
        <v>617</v>
      </c>
      <c r="I483" t="s">
        <v>618</v>
      </c>
      <c r="J483" t="s">
        <v>51</v>
      </c>
    </row>
    <row r="484" spans="1:10" ht="14.5" x14ac:dyDescent="0.35">
      <c r="A484" s="2" t="str">
        <f>HYPERLINK("https://nga.laas.intel.com/#/nga_fv_gnr/failureManagement/failures/450c9f4b-e375-47d7-89ee-1b760a9509f5","450c9f4b")</f>
        <v>450c9f4b</v>
      </c>
      <c r="B484" t="s">
        <v>217</v>
      </c>
      <c r="C484" t="s">
        <v>22</v>
      </c>
      <c r="D484" t="s">
        <v>194</v>
      </c>
      <c r="E484" s="2" t="str">
        <f>HYPERLINK("https://nga.laas.intel.com/#/nga_fv_gnr/failureManagement/bucket/1ce237f2-a68d-408e-8346-e149e7688eb5","hw_mce_imc_mcacod_imc_err_rd_ch0_mscod_unknown_mscod_80h_mc_gnreccharasser_cecc_only_failed_exit_code_8_hw_mce_imc_mcacod_imc_err_rd_ch0_mscod_unknown_mscod_80h_mc_gnreccharasser_cecc_only_failed_exit_code_8_hw_mce_imc_mcacod_imc_err_rd_ch0_mscod_unkno...")</f>
        <v>hw_mce_imc_mcacod_imc_err_rd_ch0_mscod_unknown_mscod_80h_mc_gnreccharasser_cecc_only_failed_exit_code_8_hw_mce_imc_mcacod_imc_err_rd_ch0_mscod_unknown_mscod_80h_mc_gnreccharasser_cecc_only_failed_exit_code_8_hw_mce_imc_mcacod_imc_err_rd_ch0_mscod_unkno...</v>
      </c>
      <c r="F484" s="2" t="str">
        <f t="shared" si="29"/>
        <v>GNR-AP-X3_B0_VV</v>
      </c>
      <c r="G484" s="2" t="str">
        <f>HYPERLINK("https://axonsv.app.intel.com/apps/record-viewer?id=477a1a72-139b-0136-e031-662550a81f92","477a1a72-139b-0136-e031-662550a81f92")</f>
        <v>477a1a72-139b-0136-e031-662550a81f92</v>
      </c>
      <c r="I484" t="s">
        <v>620</v>
      </c>
      <c r="J484" t="s">
        <v>20</v>
      </c>
    </row>
    <row r="485" spans="1:10" ht="14.5" x14ac:dyDescent="0.35">
      <c r="A485" s="2" t="str">
        <f>HYPERLINK("https://nga.laas.intel.com/#/nga_fv_gnr/failureManagement/failures/165cb20f-05d1-4ef5-a1ae-0c4c83c1eaf7","165cb20f")</f>
        <v>165cb20f</v>
      </c>
      <c r="B485" t="s">
        <v>83</v>
      </c>
      <c r="C485" t="s">
        <v>22</v>
      </c>
      <c r="D485" t="s">
        <v>621</v>
      </c>
      <c r="E485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5" s="2" t="str">
        <f t="shared" si="29"/>
        <v>GNR-AP-X3_B0_VV</v>
      </c>
      <c r="G485" s="2" t="str">
        <f>HYPERLINK("https://axonsv.app.intel.com/apps/record-viewer?id=703c731b-32a1-479f-89b2-6e6378b44e51","703c731b-32a1-479f-89b2-6e6378b44e51")</f>
        <v>703c731b-32a1-479f-89b2-6e6378b44e51</v>
      </c>
      <c r="I485" t="s">
        <v>622</v>
      </c>
      <c r="J485" t="s">
        <v>47</v>
      </c>
    </row>
    <row r="486" spans="1:10" ht="14.5" x14ac:dyDescent="0.35">
      <c r="A486" s="2" t="str">
        <f>HYPERLINK("https://nga.laas.intel.com/#/nga_fv_gnr/failureManagement/failures/02b38266-906d-4caa-8345-21ec19e288d2","02b38266")</f>
        <v>02b38266</v>
      </c>
      <c r="B486" t="s">
        <v>623</v>
      </c>
      <c r="C486" t="s">
        <v>25</v>
      </c>
      <c r="D486" t="s">
        <v>26</v>
      </c>
      <c r="E48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6" s="2" t="str">
        <f t="shared" si="29"/>
        <v>GNR-AP-X3_B0_VV</v>
      </c>
      <c r="G486" s="2" t="str">
        <f>HYPERLINK("https://axonsv.app.intel.com/apps/record-viewer?id=95bca579-61e0-2ca9-6816-8449629ce85e","95bca579-61e0-2ca9-6816-8449629ce85e")</f>
        <v>95bca579-61e0-2ca9-6816-8449629ce85e</v>
      </c>
      <c r="H486" t="s">
        <v>624</v>
      </c>
      <c r="I486" t="s">
        <v>625</v>
      </c>
      <c r="J486" t="s">
        <v>51</v>
      </c>
    </row>
    <row r="487" spans="1:10" ht="14.5" x14ac:dyDescent="0.35">
      <c r="A487" s="2" t="str">
        <f>HYPERLINK("https://nga.laas.intel.com/#/nga_fv_gnr/failureManagement/failures/8170d632-6ce6-4465-928e-13f1945bae72","8170d632")</f>
        <v>8170d632</v>
      </c>
      <c r="B487" t="s">
        <v>623</v>
      </c>
      <c r="C487" t="s">
        <v>30</v>
      </c>
      <c r="D487" t="s">
        <v>626</v>
      </c>
      <c r="E487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7" s="2" t="str">
        <f t="shared" ref="F487:F496" si="30">HYPERLINK("https://nga.laas.intel.com/#/nga_fv_gnr/planning/suites/40cce7b4-8ad1-4120-a1c9-8a7a866796c1","GNR-AP-X3_B0_VV")</f>
        <v>GNR-AP-X3_B0_VV</v>
      </c>
      <c r="G487" s="2" t="str">
        <f>HYPERLINK("https://axonsv.app.intel.com/apps/record-viewer?id=fb3c0e7f-52d3-43d0-a51d-fcfdab6b074a","fb3c0e7f-52d3-43d0-a51d-fcfdab6b074a")</f>
        <v>fb3c0e7f-52d3-43d0-a51d-fcfdab6b074a</v>
      </c>
      <c r="I487" t="s">
        <v>627</v>
      </c>
      <c r="J487" t="s">
        <v>74</v>
      </c>
    </row>
    <row r="488" spans="1:10" ht="14.5" x14ac:dyDescent="0.35">
      <c r="A488" s="2" t="str">
        <f>HYPERLINK("https://nga.laas.intel.com/#/nga_fv_gnr/failureManagement/failures/be8c2d86-4a20-4fe2-a9c4-163eb42a2f5a","be8c2d86")</f>
        <v>be8c2d86</v>
      </c>
      <c r="B488" t="s">
        <v>628</v>
      </c>
      <c r="C488" t="s">
        <v>25</v>
      </c>
      <c r="D488" t="s">
        <v>45</v>
      </c>
      <c r="E488" s="2" t="str">
        <f t="shared" ref="E488:E489" si="31"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88" s="2" t="str">
        <f t="shared" si="30"/>
        <v>GNR-AP-X3_B0_VV</v>
      </c>
      <c r="G488" s="2" t="str">
        <f>HYPERLINK("https://axonsv.app.intel.com/apps/record-viewer?id=f2a7431d-8952-3f51-8e44-6f1e942da22a","f2a7431d-8952-3f51-8e44-6f1e942da22a")</f>
        <v>f2a7431d-8952-3f51-8e44-6f1e942da22a</v>
      </c>
      <c r="I488" t="s">
        <v>629</v>
      </c>
      <c r="J488" t="s">
        <v>74</v>
      </c>
    </row>
    <row r="489" spans="1:10" ht="14.5" x14ac:dyDescent="0.35">
      <c r="A489" s="2" t="str">
        <f>HYPERLINK("https://nga.laas.intel.com/#/nga_fv_gnr/failureManagement/failures/23557fdf-d007-4466-ad0e-1c508325fbae","23557fdf")</f>
        <v>23557fdf</v>
      </c>
      <c r="B489" t="s">
        <v>623</v>
      </c>
      <c r="C489" t="s">
        <v>25</v>
      </c>
      <c r="D489" t="s">
        <v>45</v>
      </c>
      <c r="E489" s="2" t="str">
        <f t="shared" si="31"/>
        <v>nga_bucketname_field_limit_exceeded_unable_to_insert_bucketname</v>
      </c>
      <c r="F489" s="2" t="str">
        <f t="shared" si="30"/>
        <v>GNR-AP-X3_B0_VV</v>
      </c>
      <c r="G489" s="2" t="str">
        <f>HYPERLINK("https://axonsv.app.intel.com/apps/record-viewer?id=4f875520-6e41-4025-b107-8a4c2aef114a","4f875520-6e41-4025-b107-8a4c2aef114a")</f>
        <v>4f875520-6e41-4025-b107-8a4c2aef114a</v>
      </c>
      <c r="I489" t="s">
        <v>630</v>
      </c>
      <c r="J489" t="s">
        <v>20</v>
      </c>
    </row>
    <row r="490" spans="1:10" ht="14.5" x14ac:dyDescent="0.35">
      <c r="A490" s="2" t="str">
        <f>HYPERLINK("https://nga.laas.intel.com/#/nga_fv_gnr/failureManagement/failures/0b4af870-fd86-48a7-82b1-13b5afab4558","0b4af870")</f>
        <v>0b4af870</v>
      </c>
      <c r="B490" t="s">
        <v>623</v>
      </c>
      <c r="C490" t="s">
        <v>22</v>
      </c>
      <c r="D490" t="s">
        <v>631</v>
      </c>
      <c r="E490" s="2" t="str">
        <f>HYPERLINK("https://nga.laas.intel.com/#/nga_fv_gnr/failureManagement/bucket/1c3e94fa-8308-48ff-bb32-1197b3b2b60d","nga_bucketname_field_limit_exceeded_unable_to_insert_bucketname_mc_sandstone_170_failed_targethang_hw_err_cfg_errcorsts_hw_err_cfg_erruncsts_hw_err_cfg_ibsterrrcrvsts_hw_err_cfg_laneerrsts_hw_err_expptmbar_deskewsts_hw_err_expptmbar_g3frameerr_hw_err_e...")</f>
        <v>nga_bucketname_field_limit_exceeded_unable_to_insert_bucketname_mc_sandstone_170_failed_targethang_hw_err_cfg_errcorsts_hw_err_cfg_erruncsts_hw_err_cfg_ibsterrrcrvsts_hw_err_cfg_laneerrsts_hw_err_expptmbar_deskewsts_hw_err_expptmbar_g3frameerr_hw_err_e...</v>
      </c>
      <c r="F490" s="2" t="str">
        <f t="shared" si="30"/>
        <v>GNR-AP-X3_B0_VV</v>
      </c>
      <c r="G490" s="2" t="str">
        <f>HYPERLINK("https://axonsv.app.intel.com/apps/record-viewer?id=39f2dc9f-996f-4dd7-b327-a590a9c37a82","39f2dc9f-996f-4dd7-b327-a590a9c37a82")</f>
        <v>39f2dc9f-996f-4dd7-b327-a590a9c37a82</v>
      </c>
      <c r="I490" t="s">
        <v>632</v>
      </c>
      <c r="J490" t="s">
        <v>20</v>
      </c>
    </row>
    <row r="491" spans="1:10" ht="14.5" x14ac:dyDescent="0.35">
      <c r="A491" s="2" t="str">
        <f>HYPERLINK("https://nga.laas.intel.com/#/nga_fv_gnr/failureManagement/failures/4fdfce6b-8443-4e4b-910d-0b24375275a8","4fdfce6b")</f>
        <v>4fdfce6b</v>
      </c>
      <c r="B491" t="s">
        <v>623</v>
      </c>
      <c r="C491" t="s">
        <v>22</v>
      </c>
      <c r="D491" t="s">
        <v>633</v>
      </c>
      <c r="E491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91" s="2" t="str">
        <f t="shared" si="30"/>
        <v>GNR-AP-X3_B0_VV</v>
      </c>
      <c r="G491" s="2" t="str">
        <f>HYPERLINK("https://axonsv.app.intel.com/apps/record-viewer?id=110496e1-84ff-b34c-194d-bde5d3b46ee9","110496e1-84ff-b34c-194d-bde5d3b46ee9")</f>
        <v>110496e1-84ff-b34c-194d-bde5d3b46ee9</v>
      </c>
      <c r="I491" t="s">
        <v>634</v>
      </c>
      <c r="J491" t="s">
        <v>74</v>
      </c>
    </row>
    <row r="492" spans="1:10" ht="14.5" x14ac:dyDescent="0.35">
      <c r="A492" s="2" t="str">
        <f>HYPERLINK("https://nga.laas.intel.com/#/nga_fv_gnr/failureManagement/failures/978fcadd-c236-4f2e-970b-0d74fa636c29","978fcadd")</f>
        <v>978fcadd</v>
      </c>
      <c r="B492" t="s">
        <v>589</v>
      </c>
      <c r="C492" t="s">
        <v>22</v>
      </c>
      <c r="D492" t="s">
        <v>635</v>
      </c>
      <c r="F492" s="2" t="str">
        <f t="shared" si="30"/>
        <v>GNR-AP-X3_B0_VV</v>
      </c>
      <c r="G492" s="2" t="str">
        <f>HYPERLINK("https://axonsv.app.intel.com/apps/record-viewer?id=9629aa3d-f1f2-f3d7-62e1-797a045c3d3b","9629aa3d-f1f2-f3d7-62e1-797a045c3d3b")</f>
        <v>9629aa3d-f1f2-f3d7-62e1-797a045c3d3b</v>
      </c>
      <c r="H492" t="s">
        <v>636</v>
      </c>
      <c r="I492" t="s">
        <v>637</v>
      </c>
      <c r="J492" t="s">
        <v>51</v>
      </c>
    </row>
    <row r="493" spans="1:10" ht="14.5" x14ac:dyDescent="0.35">
      <c r="A493" s="2" t="str">
        <f>HYPERLINK("https://nga.laas.intel.com/#/nga_fv_gnr/failureManagement/failures/d7364ba3-f305-4f2c-a3a4-23a8bf45bcef","d7364ba3")</f>
        <v>d7364ba3</v>
      </c>
      <c r="B493" t="s">
        <v>623</v>
      </c>
      <c r="C493" t="s">
        <v>22</v>
      </c>
      <c r="D493" t="s">
        <v>638</v>
      </c>
      <c r="E49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93" s="2" t="str">
        <f t="shared" si="30"/>
        <v>GNR-AP-X3_B0_VV</v>
      </c>
      <c r="G493" s="2" t="str">
        <f>HYPERLINK("https://axonsv.app.intel.com/apps/record-viewer?id=c2d9d4ac-5fc5-4999-b30b-456c3e839df7","c2d9d4ac-5fc5-4999-b30b-456c3e839df7")</f>
        <v>c2d9d4ac-5fc5-4999-b30b-456c3e839df7</v>
      </c>
      <c r="I493" t="s">
        <v>639</v>
      </c>
      <c r="J493" t="s">
        <v>74</v>
      </c>
    </row>
    <row r="494" spans="1:10" ht="14.5" x14ac:dyDescent="0.35">
      <c r="A494" s="2" t="str">
        <f>HYPERLINK("https://nga.laas.intel.com/#/nga_fv_gnr/failureManagement/failures/4f417614-e294-4ea3-8134-17adc1540a91","4f417614")</f>
        <v>4f417614</v>
      </c>
      <c r="B494" t="s">
        <v>41</v>
      </c>
      <c r="C494" t="s">
        <v>22</v>
      </c>
      <c r="D494" t="s">
        <v>640</v>
      </c>
      <c r="E49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494" s="2" t="str">
        <f t="shared" si="30"/>
        <v>GNR-AP-X3_B0_VV</v>
      </c>
      <c r="G494" s="2" t="str">
        <f>HYPERLINK("https://axonsv.app.intel.com/apps/record-viewer?id=900d029e-cf58-4432-bfdd-58fba5a0af4c","900d029e-cf58-4432-bfdd-58fba5a0af4c")</f>
        <v>900d029e-cf58-4432-bfdd-58fba5a0af4c</v>
      </c>
      <c r="I494" t="s">
        <v>641</v>
      </c>
      <c r="J494" t="s">
        <v>74</v>
      </c>
    </row>
    <row r="495" spans="1:10" ht="14.5" x14ac:dyDescent="0.35">
      <c r="A495" s="2" t="str">
        <f>HYPERLINK("https://nga.laas.intel.com/#/nga_fv_gnr/failureManagement/failures/2fd6aed8-2c8f-418d-8440-02a0bf0f41dc","2fd6aed8")</f>
        <v>2fd6aed8</v>
      </c>
      <c r="B495" t="s">
        <v>41</v>
      </c>
      <c r="C495" t="s">
        <v>22</v>
      </c>
      <c r="D495" t="s">
        <v>631</v>
      </c>
      <c r="E495" s="2" t="str">
        <f>HYPERLINK("https://nga.laas.intel.com/#/nga_fv_gnr/failureManagement/bucket/8b389c7e-53a8-4cfa-9f9d-23f930260d44","nga_bucketname_field_limit_exceeded_unable_to_insert_bucketname_mc_sandstone_170_failed_targethang_hw_err_cfg_errcorsts_hw_err_cfg_erruncsts_hw_err_cfg_ibsterrrcrvsts_hw_err_cfg_laneerrsts_hw_err_expptmbar_deskewsts_hw_err_expptmbar_g3frameerr_hw_err_e...")</f>
        <v>nga_bucketname_field_limit_exceeded_unable_to_insert_bucketname_mc_sandstone_170_failed_targethang_hw_err_cfg_errcorsts_hw_err_cfg_erruncsts_hw_err_cfg_ibsterrrcrvsts_hw_err_cfg_laneerrsts_hw_err_expptmbar_deskewsts_hw_err_expptmbar_g3frameerr_hw_err_e...</v>
      </c>
      <c r="F495" s="2" t="str">
        <f t="shared" si="30"/>
        <v>GNR-AP-X3_B0_VV</v>
      </c>
      <c r="G495" s="2" t="str">
        <f>HYPERLINK("https://axonsv.app.intel.com/apps/record-viewer?id=6c2c46b8-78a6-44ce-813c-bfae71a3db56","6c2c46b8-78a6-44ce-813c-bfae71a3db56")</f>
        <v>6c2c46b8-78a6-44ce-813c-bfae71a3db56</v>
      </c>
      <c r="I495" t="s">
        <v>632</v>
      </c>
      <c r="J495" t="s">
        <v>20</v>
      </c>
    </row>
    <row r="496" spans="1:10" ht="14.5" x14ac:dyDescent="0.35">
      <c r="A496" s="2" t="str">
        <f>HYPERLINK("https://nga.laas.intel.com/#/nga_fv_gnr/failureManagement/failures/e32ad3b6-b93f-437d-8d97-21dcfba1ee56","e32ad3b6")</f>
        <v>e32ad3b6</v>
      </c>
      <c r="B496" t="s">
        <v>81</v>
      </c>
      <c r="C496" t="s">
        <v>22</v>
      </c>
      <c r="D496" t="s">
        <v>642</v>
      </c>
      <c r="E496" s="2" t="str">
        <f>HYPERLINK("https://nga.laas.intel.com/#/nga_fv_gnr/failureManagement/bucket/4afdf613-8e1c-4c67-a777-e39137e9f3c8","hw_err_expptmbar_ltssmerrsts0_hw_err_msm_mbx_error_sts_mbx_overflow_hw_err_rppiosts_cfgurc_x3_all_resets_nogrsr_solar_failed_targetreboottimeout_hw_err_expptmbar_ltssmerrsts0_hw_err_msm_mbx_error_sts_mbx_overflow_hw_err_rppiosts_cfgurc_target_reboot_ti...")</f>
        <v>hw_err_expptmbar_ltssmerrsts0_hw_err_msm_mbx_error_sts_mbx_overflow_hw_err_rppiosts_cfgurc_x3_all_resets_nogrsr_solar_failed_targetreboottimeout_hw_err_expptmbar_ltssmerrsts0_hw_err_msm_mbx_error_sts_mbx_overflow_hw_err_rppiosts_cfgurc_target_reboot_ti...</v>
      </c>
      <c r="F496" s="2" t="str">
        <f t="shared" si="30"/>
        <v>GNR-AP-X3_B0_VV</v>
      </c>
      <c r="G496" s="2" t="str">
        <f>HYPERLINK("https://axonsv.app.intel.com/apps/record-viewer?id=2238a18d-ee01-4f1e-b0a3-a9fa2763d315","2238a18d-ee01-4f1e-b0a3-a9fa2763d315")</f>
        <v>2238a18d-ee01-4f1e-b0a3-a9fa2763d315</v>
      </c>
      <c r="I496" t="s">
        <v>643</v>
      </c>
      <c r="J496" t="s">
        <v>34</v>
      </c>
    </row>
    <row r="497" spans="1:10" ht="14.5" x14ac:dyDescent="0.35">
      <c r="A497" s="2" t="str">
        <f>HYPERLINK("https://nga.laas.intel.com/#/nga_fv_gnr/failureManagement/failures/0bd1be96-e2f6-4577-8574-0cb15a4d107f","0bd1be96")</f>
        <v>0bd1be96</v>
      </c>
      <c r="B497" t="s">
        <v>644</v>
      </c>
      <c r="C497" t="s">
        <v>22</v>
      </c>
      <c r="D497" t="s">
        <v>596</v>
      </c>
      <c r="E497" s="2" t="str">
        <f>HYPERLINK("https://nga.laas.intel.com/#/nga_fv_gnr/failureManagement/bucket/434d0a48-48bc-4f9e-8af7-0c4a9342a2e5","x3_all_resets_nogrsr_cross_pm_solar_failed_targetreboottimeout_x3_all_resets_nogrsr_cross_pm_solar_failed_targetreboottimeout_hw_err_expptmbar_ltssmerrsts0_hw_err_msm_global_status_ctrl_reg_global_viral_hw_err_msm_global_status_ctrl_reg_ierr_hw_err_msm...")</f>
        <v>x3_all_resets_nogrsr_cross_pm_solar_failed_targetreboottimeout_x3_all_resets_nogrsr_cross_pm_solar_failed_targetreboottimeout_hw_err_expptmbar_ltssmerrsts0_hw_err_msm_global_status_ctrl_reg_global_viral_hw_err_msm_global_status_ctrl_reg_ierr_hw_err_msm...</v>
      </c>
      <c r="F497" s="2" t="str">
        <f>HYPERLINK("https://nga.laas.intel.com/#/nga_fv_gnr/planning/suites/b81e9ec8-7791-40ea-9f59-4fa0ca3fa2bd","GNR-AP-X3_B0_VV_AC")</f>
        <v>GNR-AP-X3_B0_VV_AC</v>
      </c>
      <c r="G497" s="2" t="str">
        <f>HYPERLINK("https://axonsv.app.intel.com/apps/record-viewer?id=9409993b-0bf7-4002-83c3-ddd4e7489f88","9409993b-0bf7-4002-83c3-ddd4e7489f88")</f>
        <v>9409993b-0bf7-4002-83c3-ddd4e7489f88</v>
      </c>
      <c r="I497" t="s">
        <v>645</v>
      </c>
      <c r="J497" t="s">
        <v>34</v>
      </c>
    </row>
    <row r="498" spans="1:10" ht="14.5" x14ac:dyDescent="0.35">
      <c r="A498" s="2" t="str">
        <f>HYPERLINK("https://nga.laas.intel.com/#/nga_fv_gnr/failureManagement/failures/58b0081f-f48b-4985-a301-1e47209f570e","58b0081f")</f>
        <v>58b0081f</v>
      </c>
      <c r="B498" t="s">
        <v>646</v>
      </c>
      <c r="C498" t="s">
        <v>88</v>
      </c>
      <c r="D498" t="s">
        <v>647</v>
      </c>
      <c r="E498" s="2" t="str">
        <f>HYPERLINK("https://nga.laas.intel.com/#/nga_fv_gnr/failureManagement/bucket/458780f2-e1ec-4110-9156-616b2a41dac6","nga_bucketname_field_limit_exceeded_unable_to_insert_bucketname_tpretest_projectcfg_nofail_failed_targethang_hw_err_cfg_erruncsts_hw_err_msm_corecrashlog_ctrl_haderror_hw_err_msm_global_status_ctrl_reg_crashlog_err_hw_err_msm_global_status_ctrl_reg_gen...")</f>
        <v>nga_bucketname_field_limit_exceeded_unable_to_insert_bucketname_tpretest_projectcfg_nofail_failed_targethang_hw_err_cfg_erruncsts_hw_err_msm_corecrashlog_ctrl_haderror_hw_err_msm_global_status_ctrl_reg_crashlog_err_hw_err_msm_global_status_ctrl_reg_gen...</v>
      </c>
      <c r="F498" s="2" t="str">
        <f>HYPERLINK("https://nga.laas.intel.com/#/nga_fv_gnr/planning/suites/9429570a-0877-4939-9c2c-59a47d0f3e79","GNR-AP-X3_B0_Reset-Matrix")</f>
        <v>GNR-AP-X3_B0_Reset-Matrix</v>
      </c>
      <c r="G498" s="2" t="str">
        <f>HYPERLINK("https://axonsv.app.intel.com/apps/record-viewer?id=3e3e6760-9190-cea4-30fd-821921d7badf","3e3e6760-9190-cea4-30fd-821921d7badf")</f>
        <v>3e3e6760-9190-cea4-30fd-821921d7badf</v>
      </c>
      <c r="I498" t="s">
        <v>648</v>
      </c>
      <c r="J498" t="s">
        <v>352</v>
      </c>
    </row>
    <row r="499" spans="1:10" ht="14.5" x14ac:dyDescent="0.35">
      <c r="A499" s="2" t="str">
        <f>HYPERLINK("https://nga.laas.intel.com/#/nga_fv_gnr/failureManagement/failures/35d77ace-ec38-44bd-8af0-026d5653fd13","35d77ace")</f>
        <v>35d77ace</v>
      </c>
      <c r="B499" t="s">
        <v>649</v>
      </c>
      <c r="C499" t="s">
        <v>22</v>
      </c>
      <c r="D499" t="s">
        <v>596</v>
      </c>
      <c r="E499" s="2" t="str">
        <f>HYPERLINK("https://nga.laas.intel.com/#/nga_fv_gnr/failureManagement/bucket/21eddde4-2d6e-4765-bcde-b2662a06b3ed","nga_bucketname_field_limit_exceeded_unable_to_insert_bucketname_x3_all_resets_nogrsr_cross_pm_solar_failed_targetreboottimeout_hw_err_msm_corecrashlog_ctrl_haderror_hw_err_msm_global_status_ctrl_reg_crashlog_err_hw_err_msm_global_status_ctrl_reg_genera...")</f>
        <v>nga_bucketname_field_limit_exceeded_unable_to_insert_bucketname_x3_all_resets_nogrsr_cross_pm_solar_failed_targetreboottimeout_hw_err_msm_corecrashlog_ctrl_haderror_hw_err_msm_global_status_ctrl_reg_crashlog_err_hw_err_msm_global_status_ctrl_reg_genera...</v>
      </c>
      <c r="F499" s="2" t="str">
        <f>HYPERLINK("https://nga.laas.intel.com/#/nga_fv_gnr/planning/suites/40cce7b4-8ad1-4120-a1c9-8a7a866796c1","GNR-AP-X3_B0_VV")</f>
        <v>GNR-AP-X3_B0_VV</v>
      </c>
      <c r="G499" s="2" t="str">
        <f>HYPERLINK("https://axonsv.app.intel.com/apps/record-viewer?id=db77243a-0a02-4b6b-813a-d0a938aa0573","db77243a-0a02-4b6b-813a-d0a938aa0573")</f>
        <v>db77243a-0a02-4b6b-813a-d0a938aa0573</v>
      </c>
      <c r="I499" t="s">
        <v>650</v>
      </c>
      <c r="J499" t="s">
        <v>34</v>
      </c>
    </row>
    <row r="500" spans="1:10" ht="14.5" x14ac:dyDescent="0.35">
      <c r="A500" s="2" t="str">
        <f>HYPERLINK("https://nga.laas.intel.com/#/nga_fv_gnr/failureManagement/failures/775e0802-49b7-4e47-9bdd-09641738d1fd","775e0802")</f>
        <v>775e0802</v>
      </c>
      <c r="B500" t="s">
        <v>615</v>
      </c>
      <c r="C500" t="s">
        <v>22</v>
      </c>
      <c r="D500" t="s">
        <v>651</v>
      </c>
      <c r="E500" s="2" t="str">
        <f>HYPERLINK("https://nga.laas.intel.com/#/nga_fv_gnr/failureManagement/bucket/70098774-2265-4357-8857-47975f80873b","nga_bucketname_field_limit_exceeded_unable_to_insert_bucketname_iommu_table_read_priority_silicon_failed_timedout_hw_err_msm_corecrashlog_ctrl_haderror_hw_err_msm_global_status_ctrl_reg_crashlog_err_hw_err_msm_global_status_ctrl_reg_general_mca_hw_err_...")</f>
        <v>nga_bucketname_field_limit_exceeded_unable_to_insert_bucketname_iommu_table_read_priority_silicon_failed_timedout_hw_err_msm_corecrashlog_ctrl_haderror_hw_err_msm_global_status_ctrl_reg_crashlog_err_hw_err_msm_global_status_ctrl_reg_general_mca_hw_err_...</v>
      </c>
      <c r="F500" s="2" t="str">
        <f>HYPERLINK("https://nga.laas.intel.com/#/nga_fv_gnr/planning/suites/7c2bf7c5-7ca5-4a3b-9347-1ddeb7ddc013","GNR-AP-X3_B0_VV_TQ")</f>
        <v>GNR-AP-X3_B0_VV_TQ</v>
      </c>
      <c r="G500" s="2" t="str">
        <f>HYPERLINK("https://axonsv.app.intel.com/apps/record-viewer?id=9518a3c4-3b8b-13c6-d2e8-eb3f61c3b182","9518a3c4-3b8b-13c6-d2e8-eb3f61c3b182")</f>
        <v>9518a3c4-3b8b-13c6-d2e8-eb3f61c3b182</v>
      </c>
      <c r="I500" t="s">
        <v>652</v>
      </c>
      <c r="J500" t="s">
        <v>14</v>
      </c>
    </row>
    <row r="501" spans="1:10" ht="14.5" x14ac:dyDescent="0.35">
      <c r="A501" s="2" t="str">
        <f>HYPERLINK("https://nga.laas.intel.com/#/nga_fv_gnr/failureManagement/failures/a618a8ee-91ce-43d7-9b8c-0d974f1e887c","a618a8ee")</f>
        <v>a618a8ee</v>
      </c>
      <c r="B501" t="s">
        <v>65</v>
      </c>
      <c r="C501" t="s">
        <v>22</v>
      </c>
      <c r="D501" t="s">
        <v>653</v>
      </c>
      <c r="E501" s="2" t="str">
        <f>HYPERLINK("https://nga.laas.intel.com/#/nga_fv_gnr/failureManagement/bucket/e4c35332-0500-4378-b223-91019dc2cc65","nga_bucketname_field_limit_exceeded_unable_to_insert_bucketname_sc_mc_multwrite_failed_targethang_hw_err_msm_corecrashlog_ctrl_haderror_hw_err_msm_global_status_ctrl_reg_crashlog_err_hw_err_msm_global_status_ctrl_reg_general_mca_hw_err_msm_global_statu...")</f>
        <v>nga_bucketname_field_limit_exceeded_unable_to_insert_bucketname_sc_mc_multwrite_failed_targethang_hw_err_msm_corecrashlog_ctrl_haderror_hw_err_msm_global_status_ctrl_reg_crashlog_err_hw_err_msm_global_status_ctrl_reg_general_mca_hw_err_msm_global_statu...</v>
      </c>
      <c r="F501" s="2" t="str">
        <f>HYPERLINK("https://nga.laas.intel.com/#/nga_fv_gnr/planning/suites/40cce7b4-8ad1-4120-a1c9-8a7a866796c1","GNR-AP-X3_B0_VV")</f>
        <v>GNR-AP-X3_B0_VV</v>
      </c>
      <c r="G501" s="2" t="str">
        <f>HYPERLINK("https://axonsv.app.intel.com/apps/record-viewer?id=4d706350-bb9b-4d51-a641-94f0eaede136","4d706350-bb9b-4d51-a641-94f0eaede136")</f>
        <v>4d706350-bb9b-4d51-a641-94f0eaede136</v>
      </c>
      <c r="H501" t="s">
        <v>654</v>
      </c>
      <c r="I501" t="s">
        <v>655</v>
      </c>
      <c r="J501" t="s">
        <v>51</v>
      </c>
    </row>
    <row r="502" spans="1:10" ht="14.5" x14ac:dyDescent="0.35">
      <c r="A502" s="2" t="str">
        <f>HYPERLINK("https://nga.laas.intel.com/#/nga_fv_gnr/failureManagement/failures/0328ce94-4f0a-4c55-b89c-1ff341d351a8","0328ce94")</f>
        <v>0328ce94</v>
      </c>
      <c r="B502" t="s">
        <v>65</v>
      </c>
      <c r="C502" t="s">
        <v>22</v>
      </c>
      <c r="D502" t="s">
        <v>656</v>
      </c>
      <c r="E502" s="2" t="str">
        <f>HYPERLINK("https://nga.laas.intel.com/#/nga_fv_gnr/failureManagement/bucket/d9019416-916d-45f6-ab53-eccb9bb7b48e","nga_bucketname_field_limit_exceeded_unable_to_insert_bucketname_sc_rand_stress13_longrun_failed_targethang_s_hw_known_hsd_16019933053_hw_err_msm_global_status_ctrl_reg_general_mca_hw_err_msm_global_status_ctrl_reg_global_viral_hw_err_msm_global_status_...")</f>
        <v>nga_bucketname_field_limit_exceeded_unable_to_insert_bucketname_sc_rand_stress13_longrun_failed_targethang_s_hw_known_hsd_16019933053_hw_err_msm_global_status_ctrl_reg_general_mca_hw_err_msm_global_status_ctrl_reg_global_viral_hw_err_msm_global_status_...</v>
      </c>
      <c r="F502" s="2" t="str">
        <f>HYPERLINK("https://nga.laas.intel.com/#/nga_fv_gnr/planning/suites/40cce7b4-8ad1-4120-a1c9-8a7a866796c1","GNR-AP-X3_B0_VV")</f>
        <v>GNR-AP-X3_B0_VV</v>
      </c>
      <c r="G502" s="2" t="str">
        <f>HYPERLINK("https://axonsv.app.intel.com/apps/record-viewer?id=e8317d02-e120-43e4-befa-bbc24be5fc15","e8317d02-e120-43e4-befa-bbc24be5fc15")</f>
        <v>e8317d02-e120-43e4-befa-bbc24be5fc15</v>
      </c>
      <c r="H502" t="s">
        <v>657</v>
      </c>
      <c r="I502" t="s">
        <v>658</v>
      </c>
      <c r="J502" t="s">
        <v>51</v>
      </c>
    </row>
    <row r="503" spans="1:10" ht="14.5" x14ac:dyDescent="0.35">
      <c r="A503" s="2" t="str">
        <f>HYPERLINK("https://nga.laas.intel.com/#/nga_fv_gnr/failureManagement/failures/3a48b8d2-7a9c-4da4-ae6f-0165aedf1ec7","3a48b8d2")</f>
        <v>3a48b8d2</v>
      </c>
      <c r="B503" t="s">
        <v>41</v>
      </c>
      <c r="C503" t="s">
        <v>22</v>
      </c>
      <c r="D503" t="s">
        <v>631</v>
      </c>
      <c r="E503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3" s="2" t="str">
        <f>HYPERLINK("https://nga.laas.intel.com/#/nga_fv_gnr/planning/suites/40cce7b4-8ad1-4120-a1c9-8a7a866796c1","GNR-AP-X3_B0_VV")</f>
        <v>GNR-AP-X3_B0_VV</v>
      </c>
      <c r="G503" s="2" t="str">
        <f>HYPERLINK("https://axonsv.app.intel.com/apps/record-viewer?id=5516d263-2adb-4b89-a601-c82b64a4f1f2","5516d263-2adb-4b89-a601-c82b64a4f1f2")</f>
        <v>5516d263-2adb-4b89-a601-c82b64a4f1f2</v>
      </c>
      <c r="I503" t="s">
        <v>659</v>
      </c>
      <c r="J503" t="s">
        <v>20</v>
      </c>
    </row>
    <row r="504" spans="1:10" ht="14.5" x14ac:dyDescent="0.35">
      <c r="A504" s="2" t="str">
        <f>HYPERLINK("https://nga.laas.intel.com/#/nga_fv_gnr/failureManagement/failures/1e9af4b1-f53e-48a0-8ad8-1042957b22e0","1e9af4b1")</f>
        <v>1e9af4b1</v>
      </c>
      <c r="B504" t="s">
        <v>475</v>
      </c>
      <c r="C504" t="s">
        <v>22</v>
      </c>
      <c r="D504" t="s">
        <v>660</v>
      </c>
      <c r="E50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4" s="2" t="str">
        <f>HYPERLINK("https://nga.laas.intel.com/#/nga_fv_gnr/planning/suites/9429570a-0877-4939-9c2c-59a47d0f3e79","GNR-AP-X3_B0_Reset-Matrix")</f>
        <v>GNR-AP-X3_B0_Reset-Matrix</v>
      </c>
      <c r="G504" s="2" t="str">
        <f>HYPERLINK("https://axonsv.app.intel.com/apps/record-viewer?id=e3a369d4-7ca9-4eef-bb85-7e9ce600a4b0","e3a369d4-7ca9-4eef-bb85-7e9ce600a4b0")</f>
        <v>e3a369d4-7ca9-4eef-bb85-7e9ce600a4b0</v>
      </c>
      <c r="I504" t="s">
        <v>661</v>
      </c>
      <c r="J504" t="s">
        <v>352</v>
      </c>
    </row>
    <row r="505" spans="1:10" ht="14.5" x14ac:dyDescent="0.35">
      <c r="A505" s="2" t="str">
        <f>HYPERLINK("https://nga.laas.intel.com/#/nga_fv_gnr/failureManagement/failures/27903c96-c435-4cae-a2c1-0ce94aabaa8d","27903c96")</f>
        <v>27903c96</v>
      </c>
      <c r="B505" t="s">
        <v>662</v>
      </c>
      <c r="C505" t="s">
        <v>22</v>
      </c>
      <c r="D505" t="s">
        <v>663</v>
      </c>
      <c r="E505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5" s="2" t="str">
        <f>HYPERLINK("https://nga.laas.intel.com/#/nga_fv_gnr/planning/suites/40cce7b4-8ad1-4120-a1c9-8a7a866796c1","GNR-AP-X3_B0_VV")</f>
        <v>GNR-AP-X3_B0_VV</v>
      </c>
      <c r="G505" s="2" t="str">
        <f>HYPERLINK("https://axonsv.app.intel.com/apps/record-viewer?id=41a8b287-8f13-46fd-bdba-92527fc49043","41a8b287-8f13-46fd-bdba-92527fc49043")</f>
        <v>41a8b287-8f13-46fd-bdba-92527fc49043</v>
      </c>
      <c r="I505" t="s">
        <v>664</v>
      </c>
      <c r="J505" t="s">
        <v>112</v>
      </c>
    </row>
    <row r="506" spans="1:10" ht="14.5" x14ac:dyDescent="0.35">
      <c r="A506" s="2" t="str">
        <f>HYPERLINK("https://nga.laas.intel.com/#/nga_fv_gnr/failureManagement/failures/57b3bbc9-7846-405b-b9c3-16f4a73ffe42","57b3bbc9")</f>
        <v>57b3bbc9</v>
      </c>
      <c r="B506" t="s">
        <v>646</v>
      </c>
      <c r="C506" t="s">
        <v>22</v>
      </c>
      <c r="D506" t="s">
        <v>564</v>
      </c>
      <c r="E506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6" s="2" t="str">
        <f>HYPERLINK("https://nga.laas.intel.com/#/nga_fv_gnr/planning/suites/9429570a-0877-4939-9c2c-59a47d0f3e79","GNR-AP-X3_B0_Reset-Matrix")</f>
        <v>GNR-AP-X3_B0_Reset-Matrix</v>
      </c>
      <c r="G506" s="2" t="str">
        <f>HYPERLINK("https://axonsv.app.intel.com/apps/record-viewer?id=16671a09-f336-43a4-87b1-eafe8f1d4b45","16671a09-f336-43a4-87b1-eafe8f1d4b45")</f>
        <v>16671a09-f336-43a4-87b1-eafe8f1d4b45</v>
      </c>
      <c r="I506" t="s">
        <v>665</v>
      </c>
      <c r="J506" t="s">
        <v>352</v>
      </c>
    </row>
    <row r="507" spans="1:10" ht="14.5" x14ac:dyDescent="0.35">
      <c r="A507" s="2" t="str">
        <f>HYPERLINK("https://nga.laas.intel.com/#/nga_fv_gnr/failureManagement/failures/4a4e3784-f2f2-424c-990e-0fa9e9ac13d7","4a4e3784")</f>
        <v>4a4e3784</v>
      </c>
      <c r="B507" t="s">
        <v>662</v>
      </c>
      <c r="C507" t="s">
        <v>22</v>
      </c>
      <c r="D507" t="s">
        <v>666</v>
      </c>
      <c r="E507" s="2" t="str">
        <f>HYPERLINK("https://nga.laas.intel.com/#/nga_fv_gnr/failureManagement/bucket/b532ebb9-5a99-45bf-8689-d9a4af195458","cxl_python_cxl_f2lm_traffic_pkgc_checker_for_reset_failed_targethang_cxl_python_cxl_f2lm_traffic_pkgc_checker_for_reset_failed_targethang_hw_err_cfg_ibsterrrcrvsts_hw_err_msm_corecrashlog_ctrl_haderror_hw_err_msm_global_status_ctrl_reg_crashlog_err_hw_...")</f>
        <v>cxl_python_cxl_f2lm_traffic_pkgc_checker_for_reset_failed_targethang_cxl_python_cxl_f2lm_traffic_pkgc_checker_for_reset_failed_targethang_hw_err_cfg_ibsterrrcrvsts_hw_err_msm_corecrashlog_ctrl_haderror_hw_err_msm_global_status_ctrl_reg_crashlog_err_hw_...</v>
      </c>
      <c r="F507" s="2" t="str">
        <f>HYPERLINK("https://nga.laas.intel.com/#/nga_fv_gnr/planning/suites/40cce7b4-8ad1-4120-a1c9-8a7a866796c1","GNR-AP-X3_B0_VV")</f>
        <v>GNR-AP-X3_B0_VV</v>
      </c>
      <c r="G507" s="2" t="str">
        <f>HYPERLINK("https://axonsv.app.intel.com/apps/record-viewer?id=867a766d-d8fb-416a-aa4c-ea4911b6818b","867a766d-d8fb-416a-aa4c-ea4911b6818b")</f>
        <v>867a766d-d8fb-416a-aa4c-ea4911b6818b</v>
      </c>
      <c r="I507" t="s">
        <v>667</v>
      </c>
      <c r="J507" t="s">
        <v>112</v>
      </c>
    </row>
    <row r="508" spans="1:10" ht="14.5" x14ac:dyDescent="0.35">
      <c r="A508" s="2" t="str">
        <f>HYPERLINK("https://nga.laas.intel.com/#/nga_fv_gnr/failureManagement/failures/f6c6afc2-2fc0-4119-9435-1c0c88c9e2df","f6c6afc2")</f>
        <v>f6c6afc2</v>
      </c>
      <c r="B508" t="s">
        <v>65</v>
      </c>
      <c r="C508" t="s">
        <v>22</v>
      </c>
      <c r="D508" t="s">
        <v>135</v>
      </c>
      <c r="E508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8" s="2" t="str">
        <f>HYPERLINK("https://nga.laas.intel.com/#/nga_fv_gnr/planning/suites/7c2bf7c5-7ca5-4a3b-9347-1ddeb7ddc013","GNR-AP-X3_B0_VV_TQ")</f>
        <v>GNR-AP-X3_B0_VV_TQ</v>
      </c>
      <c r="G508" s="2" t="str">
        <f>HYPERLINK("https://axonsv.app.intel.com/apps/record-viewer?id=ae33ddee-0a9e-4732-9cc0-bb7017468998","ae33ddee-0a9e-4732-9cc0-bb7017468998")</f>
        <v>ae33ddee-0a9e-4732-9cc0-bb7017468998</v>
      </c>
      <c r="H508" t="s">
        <v>668</v>
      </c>
      <c r="I508" t="s">
        <v>669</v>
      </c>
      <c r="J508" t="s">
        <v>51</v>
      </c>
    </row>
    <row r="509" spans="1:10" ht="14.5" x14ac:dyDescent="0.35">
      <c r="A509" s="2" t="str">
        <f>HYPERLINK("https://nga.laas.intel.com/#/nga_fv_gnr/failureManagement/failures/115e7743-7175-43f3-936e-0f8dd3553521","115e7743")</f>
        <v>115e7743</v>
      </c>
      <c r="B509" t="s">
        <v>65</v>
      </c>
      <c r="C509" t="s">
        <v>22</v>
      </c>
      <c r="D509" t="s">
        <v>384</v>
      </c>
      <c r="E509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09" s="2" t="str">
        <f>HYPERLINK("https://nga.laas.intel.com/#/nga_fv_gnr/planning/suites/7c2bf7c5-7ca5-4a3b-9347-1ddeb7ddc013","GNR-AP-X3_B0_VV_TQ")</f>
        <v>GNR-AP-X3_B0_VV_TQ</v>
      </c>
      <c r="G509" s="2" t="str">
        <f>HYPERLINK("https://axonsv.app.intel.com/apps/record-viewer?id=e4b7515e-7344-4001-9500-fbbfec877212","e4b7515e-7344-4001-9500-fbbfec877212")</f>
        <v>e4b7515e-7344-4001-9500-fbbfec877212</v>
      </c>
      <c r="H509" t="s">
        <v>670</v>
      </c>
      <c r="I509" t="s">
        <v>671</v>
      </c>
      <c r="J509" t="s">
        <v>51</v>
      </c>
    </row>
    <row r="510" spans="1:10" ht="14.5" x14ac:dyDescent="0.35">
      <c r="A510" s="2" t="str">
        <f>HYPERLINK("https://nga.laas.intel.com/#/nga_fv_gnr/failureManagement/failures/47047f2b-da2b-4a25-b1da-0295cb83e5a6","47047f2b")</f>
        <v>47047f2b</v>
      </c>
      <c r="B510" t="s">
        <v>109</v>
      </c>
      <c r="C510" t="s">
        <v>22</v>
      </c>
      <c r="D510" t="s">
        <v>484</v>
      </c>
      <c r="E510" s="2" t="str">
        <f>HYPERLINK("https://nga.laas.intel.com/#/nga_fv_gnr/failureManagement/bucket/b4ad3e0e-1acf-4009-bbe3-db01738967f9","nga_bucketname_field_limit_exceeded_unable_to_insert_bucketname_sc_pm_monitor_stress_failed_targethang_hw_err_msm_global_status_ctrl_reg_global_viral_hw_err_msm_global_status_ctrl_reg_ierr_hw_err_msm_global_status_ctrl_reg_msm_pmsb_err_hw_err_msm_globa...")</f>
        <v>nga_bucketname_field_limit_exceeded_unable_to_insert_bucketname_sc_pm_monitor_stress_failed_targethang_hw_err_msm_global_status_ctrl_reg_global_viral_hw_err_msm_global_status_ctrl_reg_ierr_hw_err_msm_global_status_ctrl_reg_msm_pmsb_err_hw_err_msm_globa...</v>
      </c>
      <c r="F510" s="2" t="str">
        <f>HYPERLINK("https://nga.laas.intel.com/#/nga_fv_gnr/planning/suites/7c2bf7c5-7ca5-4a3b-9347-1ddeb7ddc013","GNR-AP-X3_B0_VV_TQ")</f>
        <v>GNR-AP-X3_B0_VV_TQ</v>
      </c>
      <c r="G510" s="2" t="str">
        <f>HYPERLINK("https://axonsv.app.intel.com/apps/record-viewer?id=5a9fb788-9e5e-4e23-8705-0773faa746ab","5a9fb788-9e5e-4e23-8705-0773faa746ab")</f>
        <v>5a9fb788-9e5e-4e23-8705-0773faa746ab</v>
      </c>
      <c r="H510" t="s">
        <v>672</v>
      </c>
      <c r="I510" t="s">
        <v>673</v>
      </c>
      <c r="J510" t="s">
        <v>51</v>
      </c>
    </row>
    <row r="511" spans="1:10" ht="14.5" x14ac:dyDescent="0.35">
      <c r="A511" s="2" t="str">
        <f>HYPERLINK("https://nga.laas.intel.com/#/nga_fv_gnr/failureManagement/failures/a1820b7c-4831-477d-98fe-1aae0ed0d049","a1820b7c")</f>
        <v>a1820b7c</v>
      </c>
      <c r="B511" t="s">
        <v>595</v>
      </c>
      <c r="C511" t="s">
        <v>22</v>
      </c>
      <c r="D511" t="s">
        <v>593</v>
      </c>
      <c r="E511" s="2" t="str">
        <f>HYPERLINK("https://nga.laas.intel.com/#/nga_fv_gnr/failureManagement/bucket/4a684950-34e2-476e-a009-556806ee8a02","hw_err_cfg_errcorsts_hw_err_cfg_ibsterrrcrvsts_hw_err_cfg_laneerrsts_hw_err_expptmbar_g3frameerr_hw_err_msm_mbx_error_sts_mbx_overflow_hw_err_rppiosts_cfgurc_x3_soc_ip_disable_failed_targetreboottimeout_hw_err_cfg_errcorsts_hw_err_cfg_ibsterrrcrvsts_hw...")</f>
        <v>hw_err_cfg_errcorsts_hw_err_cfg_ibsterrrcrvsts_hw_err_cfg_laneerrsts_hw_err_expptmbar_g3frameerr_hw_err_msm_mbx_error_sts_mbx_overflow_hw_err_rppiosts_cfgurc_x3_soc_ip_disable_failed_targetreboottimeout_hw_err_cfg_errcorsts_hw_err_cfg_ibsterrrcrvsts_hw...</v>
      </c>
      <c r="F511" s="2" t="str">
        <f>HYPERLINK("https://nga.laas.intel.com/#/nga_fv_gnr/planning/suites/40cce7b4-8ad1-4120-a1c9-8a7a866796c1","GNR-AP-X3_B0_VV")</f>
        <v>GNR-AP-X3_B0_VV</v>
      </c>
      <c r="G511" s="2" t="str">
        <f>HYPERLINK("https://axonsv.app.intel.com/apps/record-viewer?id=59b107ac-33ca-4a06-b6ab-cc31bbc44f22","59b107ac-33ca-4a06-b6ab-cc31bbc44f22")</f>
        <v>59b107ac-33ca-4a06-b6ab-cc31bbc44f22</v>
      </c>
      <c r="I511" t="s">
        <v>594</v>
      </c>
      <c r="J511" t="s">
        <v>34</v>
      </c>
    </row>
    <row r="512" spans="1:10" ht="14.5" x14ac:dyDescent="0.35">
      <c r="A512" s="2" t="str">
        <f>HYPERLINK("https://nga.laas.intel.com/#/nga_fv_gnr/failureManagement/failures/9b1f7eb5-5b4c-45e3-a8d0-00659a47081a","9b1f7eb5")</f>
        <v>9b1f7eb5</v>
      </c>
      <c r="B512" t="s">
        <v>109</v>
      </c>
      <c r="C512" t="s">
        <v>22</v>
      </c>
      <c r="D512" t="s">
        <v>656</v>
      </c>
      <c r="E512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12" s="2" t="str">
        <f>HYPERLINK("https://nga.laas.intel.com/#/nga_fv_gnr/planning/suites/7c2bf7c5-7ca5-4a3b-9347-1ddeb7ddc013","GNR-AP-X3_B0_VV_TQ")</f>
        <v>GNR-AP-X3_B0_VV_TQ</v>
      </c>
      <c r="G512" s="2" t="str">
        <f>HYPERLINK("https://axonsv.app.intel.com/apps/record-viewer?id=18da2d54-3fc5-4032-9489-f1723bcb9a06","18da2d54-3fc5-4032-9489-f1723bcb9a06")</f>
        <v>18da2d54-3fc5-4032-9489-f1723bcb9a06</v>
      </c>
      <c r="H512" t="s">
        <v>674</v>
      </c>
      <c r="I512" t="s">
        <v>675</v>
      </c>
      <c r="J512" t="s">
        <v>51</v>
      </c>
    </row>
    <row r="513" spans="1:10" ht="14.5" x14ac:dyDescent="0.35">
      <c r="A513" s="2" t="str">
        <f>HYPERLINK("https://nga.laas.intel.com/#/nga_fv_gnr/failureManagement/failures/7ead4442-2114-43ed-ae93-0600e03e7075","7ead4442")</f>
        <v>7ead4442</v>
      </c>
      <c r="B513" t="s">
        <v>589</v>
      </c>
      <c r="C513" t="s">
        <v>30</v>
      </c>
      <c r="D513" t="s">
        <v>66</v>
      </c>
      <c r="E513" s="2" t="str">
        <f>HYPERLINK("https://nga.laas.intel.com/#/nga_fv_gnr/failureManagement/bucket/4d8b02b8-0a60-4cff-baa9-a6a7e783f4b0","nga_bucketname_field_limit_exceeded_unable_to_insert_bucketname_hrebootstation_gracefulreboot_overrides_failed_exit_code_1_hw_err_cfg_errcorsts_hw_err_expptmbar_ltssmerrsts0_hw_err_msm_global_status_ctrl_reg_global_viral_hw_err_msm_global_status_ctrl_r...")</f>
        <v>nga_bucketname_field_limit_exceeded_unable_to_insert_bucketname_hrebootstation_gracefulreboot_overrides_failed_exit_code_1_hw_err_cfg_errcorsts_hw_err_expptmbar_ltssmerrsts0_hw_err_msm_global_status_ctrl_reg_global_viral_hw_err_msm_global_status_ctrl_r...</v>
      </c>
      <c r="F513" s="2" t="str">
        <f>HYPERLINK("https://nga.laas.intel.com/#/nga_fv_gnr/planning/suites/40cce7b4-8ad1-4120-a1c9-8a7a866796c1","GNR-AP-X3_B0_VV")</f>
        <v>GNR-AP-X3_B0_VV</v>
      </c>
      <c r="G513" s="2" t="str">
        <f>HYPERLINK("https://axonsv.app.intel.com/apps/record-viewer?id=253bbf3a-ad3a-46a7-ba45-befda935bd53","253bbf3a-ad3a-46a7-ba45-befda935bd53")</f>
        <v>253bbf3a-ad3a-46a7-ba45-befda935bd53</v>
      </c>
      <c r="I513" t="s">
        <v>676</v>
      </c>
      <c r="J513" t="s">
        <v>34</v>
      </c>
    </row>
    <row r="514" spans="1:10" ht="14.5" x14ac:dyDescent="0.35">
      <c r="A514" s="2" t="str">
        <f>HYPERLINK("https://nga.laas.intel.com/#/nga_fv_gnr/failureManagement/failures/509b3cbc-a6a7-4cd6-aa08-04682fc3be44","509b3cbc")</f>
        <v>509b3cbc</v>
      </c>
      <c r="B514" t="s">
        <v>255</v>
      </c>
      <c r="C514" t="s">
        <v>22</v>
      </c>
      <c r="D514" t="s">
        <v>600</v>
      </c>
      <c r="E514" s="2" t="str">
        <f>HYPERLINK("https://nga.laas.intel.com/#/nga_fv_gnr/failureManagement/bucket/f6a0258b-04c1-4600-a84d-47691bc95207","nga_bucketname_field_limit_exceeded_unable_to_insert_bucketname")</f>
        <v>nga_bucketname_field_limit_exceeded_unable_to_insert_bucketname</v>
      </c>
      <c r="F514" s="2" t="str">
        <f>HYPERLINK("https://nga.laas.intel.com/#/nga_fv_gnr/planning/suites/7c2bf7c5-7ca5-4a3b-9347-1ddeb7ddc013","GNR-AP-X3_B0_VV_TQ")</f>
        <v>GNR-AP-X3_B0_VV_TQ</v>
      </c>
      <c r="G514" s="2" t="str">
        <f>HYPERLINK("https://axonsv.app.intel.com/apps/record-viewer?id=beb4a1d5-dcbd-0833-dc2b-06a9f861c0ff","beb4a1d5-dcbd-0833-dc2b-06a9f861c0ff")</f>
        <v>beb4a1d5-dcbd-0833-dc2b-06a9f861c0ff</v>
      </c>
      <c r="I514" t="s">
        <v>677</v>
      </c>
      <c r="J514" t="s">
        <v>61</v>
      </c>
    </row>
    <row r="515" spans="1:10" ht="14.5" x14ac:dyDescent="0.35">
      <c r="A515" s="2" t="str">
        <f>HYPERLINK("https://nga.laas.intel.com/#/nga_fv_gnr/failureManagement/failures/7e610637-8efb-41d7-8d00-0d717463c15f","7e610637")</f>
        <v>7e610637</v>
      </c>
      <c r="B515" t="s">
        <v>589</v>
      </c>
      <c r="C515" t="s">
        <v>22</v>
      </c>
      <c r="D515" t="s">
        <v>678</v>
      </c>
      <c r="E515" s="2" t="str">
        <f>HYPERLINK("https://nga.laas.intel.com/#/nga_fv_gnr/failureManagement/bucket/655507b9-ffd5-415a-b572-474156c81ed3","hw_err_cfg_errcorsts,hw_err_cfg_erruncsts,hw_err_cfg_ibsterrrcrvsts,hw_err_cfg_laneerrsts,hw_err_expptmbar_deskewsts,hw_err_expptmbar_g3frameerr,hw_err_expptmbar_ltssmerrsts0,hw_err_msm_corecrashlog_ctrl_haderror,hw_err_msm_global_status_ctrl_reg_crashlog")</f>
        <v>hw_err_cfg_errcorsts,hw_err_cfg_erruncsts,hw_err_cfg_ibsterrrcrvsts,hw_err_cfg_laneerrsts,hw_err_expptmbar_deskewsts,hw_err_expptmbar_g3frameerr,hw_err_expptmbar_ltssmerrsts0,hw_err_msm_corecrashlog_ctrl_haderror,hw_err_msm_global_status_ctrl_reg_crashlog</v>
      </c>
      <c r="F515" s="2" t="str">
        <f>HYPERLINK("https://nga.laas.intel.com/#/nga_fv_gnr/planning/suites/1e95381d-b617-4b8d-9434-a4315477c87b","SQ_X3_SVOS_2423_Image")</f>
        <v>SQ_X3_SVOS_2423_Image</v>
      </c>
      <c r="G515" s="2" t="str">
        <f>HYPERLINK("https://axonsv.app.intel.com/apps/record-viewer?id=e4d4a632-e810-7957-b18c-9ec77621b4d1","e4d4a632-e810-7957-b18c-9ec77621b4d1")</f>
        <v>e4d4a632-e810-7957-b18c-9ec77621b4d1</v>
      </c>
      <c r="I515" t="s">
        <v>559</v>
      </c>
      <c r="J515" t="s">
        <v>34</v>
      </c>
    </row>
    <row r="516" spans="1:10" ht="14.5" x14ac:dyDescent="0.35">
      <c r="A516" s="2" t="str">
        <f>HYPERLINK("https://nga.laas.intel.com/#/nga_fv_gnr/failureManagement/failures/0fddb6fa-4bbe-4e51-9bed-18b66af93699","0fddb6fa")</f>
        <v>0fddb6fa</v>
      </c>
      <c r="B516" t="s">
        <v>679</v>
      </c>
      <c r="C516" t="s">
        <v>22</v>
      </c>
      <c r="D516" t="s">
        <v>457</v>
      </c>
      <c r="E516" s="2" t="str">
        <f>HYPERLINK("https://nga.laas.intel.com/#/nga_fv_gnr/failureManagement/bucket/5e2d0849-aa0b-43b3-b85e-0d48b39d84fe","hw_err_cfg_ibsterrrcrvsts,hw_err_msm_global_status_ctrl_reg_global_viral,hw_err_msm_global_status_ctrl_reg_ierr,hw_err_msm_global_status_ctrl_reg_msm_pmsb_err,hw_err_msm_global_status_ctrl_reg_pcode_err,hw_err_msm_global_status_ctrl_reg_peci_err,hw_err_ms")</f>
        <v>hw_err_cfg_ibsterrrcrvsts,hw_err_msm_global_status_ctrl_reg_global_viral,hw_err_msm_global_status_ctrl_reg_ierr,hw_err_msm_global_status_ctrl_reg_msm_pmsb_err,hw_err_msm_global_status_ctrl_reg_pcode_err,hw_err_msm_global_status_ctrl_reg_peci_err,hw_err_ms</v>
      </c>
      <c r="F516" s="2" t="str">
        <f>HYPERLINK("https://nga.laas.intel.com/#/nga_fv_gnr/planning/suites/9c6d1e47-19bd-4890-8943-83233d43fe6b","SQ_GNR_AP_X3_B3_SB")</f>
        <v>SQ_GNR_AP_X3_B3_SB</v>
      </c>
      <c r="G516" s="2" t="str">
        <f>HYPERLINK("https://axonsv.app.intel.com/apps/record-viewer?id=26542200-8d0f-4eed-a879-a551dcb904ae","26542200-8d0f-4eed-a879-a551dcb904ae")</f>
        <v>26542200-8d0f-4eed-a879-a551dcb904ae</v>
      </c>
      <c r="I516" t="s">
        <v>680</v>
      </c>
      <c r="J516" t="s">
        <v>14</v>
      </c>
    </row>
    <row r="517" spans="1:10" ht="14.5" x14ac:dyDescent="0.35">
      <c r="A517" s="2" t="str">
        <f>HYPERLINK("https://nga.laas.intel.com/#/nga_fv_gnr/failureManagement/failures/63520c4a-feed-4edd-9d12-134048aef5cf","63520c4a")</f>
        <v>63520c4a</v>
      </c>
      <c r="B517" t="s">
        <v>276</v>
      </c>
      <c r="C517" t="s">
        <v>22</v>
      </c>
      <c r="D517" t="s">
        <v>681</v>
      </c>
      <c r="E517" s="2" t="str">
        <f>HYPERLINK("https://nga.laas.intel.com/#/nga_fv_gnr/failureManagement/bucket/6d762793-7f98-44e6-b9d4-138ea0e17bde","hw_err_cfg_ibsterrrcrvsts,hw_err_msm_mbx_error_sts_mbx_overflow")</f>
        <v>hw_err_cfg_ibsterrrcrvsts,hw_err_msm_mbx_error_sts_mbx_overflow</v>
      </c>
      <c r="F517" s="2" t="str">
        <f>HYPERLINK("https://nga.laas.intel.com/#/nga_fv_gnr/planning/suites/9c6d1e47-19bd-4890-8943-83233d43fe6b","SQ_GNR_AP_X3_B3_SB")</f>
        <v>SQ_GNR_AP_X3_B3_SB</v>
      </c>
      <c r="G517" s="2" t="str">
        <f>HYPERLINK("https://axonsv.app.intel.com/apps/record-viewer?id=88889040-d99c-417e-9e28-559cfaac6a07","88889040-d99c-417e-9e28-559cfaac6a07")</f>
        <v>88889040-d99c-417e-9e28-559cfaac6a07</v>
      </c>
      <c r="I517" t="s">
        <v>559</v>
      </c>
      <c r="J517" t="s">
        <v>20</v>
      </c>
    </row>
    <row r="518" spans="1:10" ht="14.5" x14ac:dyDescent="0.35">
      <c r="A518" s="2" t="str">
        <f>HYPERLINK("https://nga.laas.intel.com/#/nga_fv_gnr/failureManagement/failures/ccf7d086-d0e8-4fd5-867b-153c1b7f369a","ccf7d086")</f>
        <v>ccf7d086</v>
      </c>
      <c r="B518" t="s">
        <v>266</v>
      </c>
      <c r="C518" t="s">
        <v>22</v>
      </c>
      <c r="D518" t="s">
        <v>682</v>
      </c>
      <c r="E518" s="2" t="str">
        <f>HYPERLINK("https://nga.laas.intel.com/#/nga_fv_gnr/failureManagement/bucket/78dee10d-8f6c-4dc1-9133-a9be4b6297a6","hw_err_msm_global_status_ctrl_reg_msm_pmsb_err,hw_err_msm_global_status_ctrl_reg_pcode_err,hw_err_msm_global_status_ctrl_reg_peci_err,hw_err_msm_mbx_error_sts_mbx_general_error,hw_err_msm_mbx_error_sts_mbx_overflow")</f>
        <v>hw_err_msm_global_status_ctrl_reg_msm_pmsb_err,hw_err_msm_global_status_ctrl_reg_pcode_err,hw_err_msm_global_status_ctrl_reg_peci_err,hw_err_msm_mbx_error_sts_mbx_general_error,hw_err_msm_mbx_error_sts_mbx_overflow</v>
      </c>
      <c r="F518" s="2" t="str">
        <f>HYPERLINK("https://nga.laas.intel.com/#/nga_fv_gnr/planning/suites/9c6d1e47-19bd-4890-8943-83233d43fe6b","SQ_GNR_AP_X3_B3_SB")</f>
        <v>SQ_GNR_AP_X3_B3_SB</v>
      </c>
      <c r="G518" s="2" t="str">
        <f>HYPERLINK("https://axonsv.app.intel.com/apps/record-viewer?id=006bd099-40e4-4de3-b4db-0a637f2d1a39","006bd099-40e4-4de3-b4db-0a637f2d1a39")</f>
        <v>006bd099-40e4-4de3-b4db-0a637f2d1a39</v>
      </c>
      <c r="I518" t="s">
        <v>559</v>
      </c>
      <c r="J518" t="s">
        <v>20</v>
      </c>
    </row>
    <row r="519" spans="1:10" ht="14.5" x14ac:dyDescent="0.35">
      <c r="A519" s="2" t="str">
        <f>HYPERLINK("https://nga.laas.intel.com/#/nga_fv_gnr/failureManagement/failures/634f3be8-c40e-4534-a3b4-018872977350","634f3be8")</f>
        <v>634f3be8</v>
      </c>
      <c r="B519" t="s">
        <v>276</v>
      </c>
      <c r="C519" t="s">
        <v>22</v>
      </c>
      <c r="D519" t="s">
        <v>683</v>
      </c>
      <c r="E519" s="2" t="str">
        <f>HYPERLINK("https://nga.laas.intel.com/#/nga_fv_gnr/failureManagement/bucket/702475e3-7c2a-4417-b4d5-e9ad6b9f11a3","hw_err_cfg_ibsterrrcrvsts,hw_err_msm_mbx_error_sts_mbx_overflow,hw_err_pxp0_rp0,hw_err_pxp0_rp2,hw_err_pxp1_rp0,hw_err_pxp2_rp0,hw_err_pxp2_rp2")</f>
        <v>hw_err_cfg_ibsterrrcrvsts,hw_err_msm_mbx_error_sts_mbx_overflow,hw_err_pxp0_rp0,hw_err_pxp0_rp2,hw_err_pxp1_rp0,hw_err_pxp2_rp0,hw_err_pxp2_rp2</v>
      </c>
      <c r="F519" s="2" t="str">
        <f>HYPERLINK("https://nga.laas.intel.com/#/nga_fv_gnr/planning/suites/9c6d1e47-19bd-4890-8943-83233d43fe6b","SQ_GNR_AP_X3_B3_SB")</f>
        <v>SQ_GNR_AP_X3_B3_SB</v>
      </c>
      <c r="G519" s="2" t="str">
        <f>HYPERLINK("https://axonsv.app.intel.com/apps/record-viewer?id=9e6813d4-5c78-49b5-be80-5b28e3014c1e","9e6813d4-5c78-49b5-be80-5b28e3014c1e")</f>
        <v>9e6813d4-5c78-49b5-be80-5b28e3014c1e</v>
      </c>
      <c r="I519" t="s">
        <v>559</v>
      </c>
      <c r="J519" t="s">
        <v>20</v>
      </c>
    </row>
    <row r="520" spans="1:10" ht="14.5" x14ac:dyDescent="0.35">
      <c r="A520" s="2" t="str">
        <f>HYPERLINK("https://nga.laas.intel.com/#/nga_fv_gnr/failureManagement/failures/db2de286-3431-4c5f-9649-09ae1c55a92b","db2de286")</f>
        <v>db2de286</v>
      </c>
      <c r="B520" t="s">
        <v>684</v>
      </c>
      <c r="C520" t="s">
        <v>22</v>
      </c>
      <c r="D520" t="s">
        <v>460</v>
      </c>
      <c r="E520" s="2" t="str">
        <f>HYPERLINK("https://nga.laas.intel.com/#/nga_fv_gnr/failureManagement/bucket/cda7060e-4789-4d49-aab9-9f4bb6af7dd2","hw_err_rppiosts_cfgurc")</f>
        <v>hw_err_rppiosts_cfgurc</v>
      </c>
      <c r="F520" s="2" t="str">
        <f>HYPERLINK("https://nga.laas.intel.com/#/nga_fv_gnr/planning/suites/98275156-634f-4c92-8938-cd96b482526c","GNR-AP-X3_B3_Reset-Matrix")</f>
        <v>GNR-AP-X3_B3_Reset-Matrix</v>
      </c>
      <c r="G520" s="2" t="str">
        <f>HYPERLINK("https://axonsv.app.intel.com/apps/record-viewer?id=9f166c5b-aa0d-4a40-8fce-ca0fe9320cda","9f166c5b-aa0d-4a40-8fce-ca0fe9320cda")</f>
        <v>9f166c5b-aa0d-4a40-8fce-ca0fe9320cda</v>
      </c>
      <c r="I520" t="s">
        <v>559</v>
      </c>
      <c r="J520" t="s">
        <v>352</v>
      </c>
    </row>
    <row r="521" spans="1:10" ht="14.5" x14ac:dyDescent="0.35">
      <c r="A521" s="2" t="str">
        <f>HYPERLINK("https://nga.laas.intel.com/#/nga_fv_gnr/failureManagement/failures/e5e897b9-2d3b-4c2a-bfc1-213e8a7a020a","e5e897b9")</f>
        <v>e5e897b9</v>
      </c>
      <c r="B521" t="s">
        <v>479</v>
      </c>
      <c r="C521" t="s">
        <v>22</v>
      </c>
      <c r="D521" t="s">
        <v>685</v>
      </c>
      <c r="E521" s="2" t="str">
        <f>HYPERLINK("https://nga.laas.intel.com/#/nga_fv_gnr/failureManagement/bucket/1c470701-ca6b-432c-948d-f9936d6dbc1f","hw_err_msm_global_status_ctrl_reg_msm_pmsb_err,hw_err_msm_global_status_ctrl_reg_pcode_err,hw_err_msm_global_status_ctrl_reg_peci_err,hw_err_msm_mbx_error_sts_mbx_overflow")</f>
        <v>hw_err_msm_global_status_ctrl_reg_msm_pmsb_err,hw_err_msm_global_status_ctrl_reg_pcode_err,hw_err_msm_global_status_ctrl_reg_peci_err,hw_err_msm_mbx_error_sts_mbx_overflow</v>
      </c>
      <c r="F521" s="2" t="str">
        <f>HYPERLINK("https://nga.laas.intel.com/#/nga_fv_gnr/planning/suites/7b87fcd7-b198-45be-8299-5fa9685a8970","SQ_GNR_AP_X3_B3_Reset")</f>
        <v>SQ_GNR_AP_X3_B3_Reset</v>
      </c>
      <c r="G521" s="2" t="str">
        <f>HYPERLINK("https://axonsv.app.intel.com/apps/record-viewer?id=c71d5c9a-e7d6-413a-a8e4-c0884600e5c8","c71d5c9a-e7d6-413a-a8e4-c0884600e5c8")</f>
        <v>c71d5c9a-e7d6-413a-a8e4-c0884600e5c8</v>
      </c>
      <c r="I521" t="s">
        <v>559</v>
      </c>
      <c r="J521" t="s">
        <v>34</v>
      </c>
    </row>
    <row r="522" spans="1:10" ht="14.5" x14ac:dyDescent="0.35">
      <c r="A522" s="2" t="str">
        <f>HYPERLINK("https://nga.laas.intel.com/#/nga_fv_gnr/failureManagement/failures/8da33019-7aaf-47d3-8cc9-0a1412eb6393","8da33019")</f>
        <v>8da33019</v>
      </c>
      <c r="B522" t="s">
        <v>337</v>
      </c>
      <c r="C522" t="s">
        <v>11</v>
      </c>
      <c r="D522" t="s">
        <v>686</v>
      </c>
      <c r="E522" s="2" t="str">
        <f>HYPERLINK("https://nga.laas.intel.com/#/nga_fv_gnr/failureManagement/bucket/3115dda3-7906-497c-9a35-dad6b8c8b421","hw_err_cfg_ibsterrrcrvsts,hw_err_msm_global_status_ctrl_reg_msm_pmsb_err,hw_err_msm_global_status_ctrl_reg_pcode_err,hw_err_msm_global_status_ctrl_reg_peci_err,hw_err_msm_mbx_error_sts_mbx_general_error,hw_err_msm_mbx_error_sts_mbx_overflow,hw_err_uncerst")</f>
        <v>hw_err_cfg_ibsterrrcrvsts,hw_err_msm_global_status_ctrl_reg_msm_pmsb_err,hw_err_msm_global_status_ctrl_reg_pcode_err,hw_err_msm_global_status_ctrl_reg_peci_err,hw_err_msm_mbx_error_sts_mbx_general_error,hw_err_msm_mbx_error_sts_mbx_overflow,hw_err_uncerst</v>
      </c>
      <c r="F522" s="2" t="str">
        <f>HYPERLINK("https://nga.laas.intel.com/#/nga_fv_gnr/planning/suites/9c6d1e47-19bd-4890-8943-83233d43fe6b","SQ_GNR_AP_X3_B3_SB")</f>
        <v>SQ_GNR_AP_X3_B3_SB</v>
      </c>
      <c r="G522" s="2" t="str">
        <f>HYPERLINK("https://axonsv.app.intel.com/apps/record-viewer?id=589940a3-812e-462b-a75b-34760deb3c20","589940a3-812e-462b-a75b-34760deb3c20")</f>
        <v>589940a3-812e-462b-a75b-34760deb3c20</v>
      </c>
      <c r="I522" t="s">
        <v>687</v>
      </c>
      <c r="J522" t="s">
        <v>20</v>
      </c>
    </row>
    <row r="523" spans="1:10" ht="14.5" x14ac:dyDescent="0.35">
      <c r="A523" s="2" t="str">
        <f>HYPERLINK("https://nga.laas.intel.com/#/nga_fv_gnr/failureManagement/failures/3e8b652a-b7a5-4333-833a-088df63337c9","3e8b652a")</f>
        <v>3e8b652a</v>
      </c>
      <c r="B523" t="s">
        <v>276</v>
      </c>
      <c r="C523" t="s">
        <v>22</v>
      </c>
      <c r="D523" t="s">
        <v>688</v>
      </c>
      <c r="E523" s="2" t="str">
        <f>HYPERLINK("https://nga.laas.intel.com/#/nga_fv_gnr/failureManagement/bucket/0a3a7608-3f67-4e01-bdec-ecfc4ddfa6c2","hw_err_cfg_ibsterrrcrvsts,hw_err_msm_corecrashlog_ctrl_haderror,hw_err_msm_global_status_ctrl_reg_crashlog_err,hw_err_msm_global_status_ctrl_reg_global_viral,hw_err_msm_global_status_ctrl_reg_ierr,hw_err_msm_mbx_error_sts_mbx_overflow,hw_err_ubox_ncevents")</f>
        <v>hw_err_cfg_ibsterrrcrvsts,hw_err_msm_corecrashlog_ctrl_haderror,hw_err_msm_global_status_ctrl_reg_crashlog_err,hw_err_msm_global_status_ctrl_reg_global_viral,hw_err_msm_global_status_ctrl_reg_ierr,hw_err_msm_mbx_error_sts_mbx_overflow,hw_err_ubox_ncevents</v>
      </c>
      <c r="F523" s="2" t="str">
        <f>HYPERLINK("https://nga.laas.intel.com/#/nga_fv_gnr/planning/suites/9c6d1e47-19bd-4890-8943-83233d43fe6b","SQ_GNR_AP_X3_B3_SB")</f>
        <v>SQ_GNR_AP_X3_B3_SB</v>
      </c>
      <c r="G523" s="2" t="str">
        <f>HYPERLINK("https://axonsv.app.intel.com/apps/record-viewer?id=d5242e5b-7f3a-d45d-03bc-ed657a6ee9d4","d5242e5b-7f3a-d45d-03bc-ed657a6ee9d4")</f>
        <v>d5242e5b-7f3a-d45d-03bc-ed657a6ee9d4</v>
      </c>
      <c r="I523" t="s">
        <v>689</v>
      </c>
      <c r="J523" t="s">
        <v>20</v>
      </c>
    </row>
    <row r="524" spans="1:10" ht="14.5" x14ac:dyDescent="0.35">
      <c r="A524" s="2" t="str">
        <f>HYPERLINK("https://nga.laas.intel.com/#/nga_fv_gnr/failureManagement/failures/69632112-fc2c-44cf-b7a5-203698c4c16e","69632112")</f>
        <v>69632112</v>
      </c>
      <c r="B524" t="s">
        <v>455</v>
      </c>
      <c r="C524" t="s">
        <v>11</v>
      </c>
      <c r="D524" t="s">
        <v>686</v>
      </c>
      <c r="E524" s="2" t="str">
        <f>HYPERLINK("https://nga.laas.intel.com/#/nga_fv_gnr/failureManagement/bucket/2208336f-5b8b-437f-a10e-c1ab9d27b97c","hw_err_expptmbar_ltssmerrsts0,hw_err_msm_global_status_ctrl_reg_msm_pmsb_err,hw_err_msm_global_status_ctrl_reg_pcode_err,hw_err_msm_global_status_ctrl_reg_peci_err,hw_err_msm_mbx_error_sts_mbx_overflow")</f>
        <v>hw_err_expptmbar_ltssmerrsts0,hw_err_msm_global_status_ctrl_reg_msm_pmsb_err,hw_err_msm_global_status_ctrl_reg_pcode_err,hw_err_msm_global_status_ctrl_reg_peci_err,hw_err_msm_mbx_error_sts_mbx_overflow</v>
      </c>
      <c r="F524" s="2" t="str">
        <f>HYPERLINK("https://nga.laas.intel.com/#/nga_fv_gnr/planning/suites/9c6d1e47-19bd-4890-8943-83233d43fe6b","SQ_GNR_AP_X3_B3_SB")</f>
        <v>SQ_GNR_AP_X3_B3_SB</v>
      </c>
      <c r="G524" s="2" t="str">
        <f>HYPERLINK("https://axonsv.app.intel.com/apps/record-viewer?id=f77b1c14-99c5-4107-9c7d-f601c53f00e8","f77b1c14-99c5-4107-9c7d-f601c53f00e8")</f>
        <v>f77b1c14-99c5-4107-9c7d-f601c53f00e8</v>
      </c>
      <c r="I524" t="s">
        <v>559</v>
      </c>
      <c r="J524" t="s">
        <v>20</v>
      </c>
    </row>
    <row r="525" spans="1:10" ht="14.5" x14ac:dyDescent="0.35">
      <c r="A525" s="2" t="str">
        <f>HYPERLINK("https://nga.laas.intel.com/#/nga_fv_gnr/failureManagement/failures/1b2d69a4-699d-4d28-89e0-16bcfbd26d95","1b2d69a4")</f>
        <v>1b2d69a4</v>
      </c>
      <c r="B525" t="s">
        <v>690</v>
      </c>
      <c r="C525" t="s">
        <v>22</v>
      </c>
      <c r="D525" t="s">
        <v>691</v>
      </c>
      <c r="E525" s="2" t="str">
        <f>HYPERLINK("https://nga.laas.intel.com/#/nga_fv_gnr/failureManagement/bucket/c27c8eef-3d6e-4768-8087-e3baac33f67a","hw_err_cfg_errcorsts,hw_err_cfg_ibsterrrcrvsts,hw_err_cfg_laneerrsts,hw_err_expptmbar_g3frameerr,hw_err_msm_global_status_ctrl_reg_global_viral,hw_err_msm_global_status_ctrl_reg_ierr,hw_err_msm_global_status_ctrl_reg_msm_pmsb_err,hw_err_msm_global_status_")</f>
        <v>hw_err_cfg_errcorsts,hw_err_cfg_ibsterrrcrvsts,hw_err_cfg_laneerrsts,hw_err_expptmbar_g3frameerr,hw_err_msm_global_status_ctrl_reg_global_viral,hw_err_msm_global_status_ctrl_reg_ierr,hw_err_msm_global_status_ctrl_reg_msm_pmsb_err,hw_err_msm_global_status_</v>
      </c>
      <c r="F525" s="2" t="str">
        <f>HYPERLINK("https://nga.laas.intel.com/#/nga_fv_gnr/planning/suites/9429570a-0877-4939-9c2c-59a47d0f3e79","GNR-AP-X3_B0_Reset-Matrix")</f>
        <v>GNR-AP-X3_B0_Reset-Matrix</v>
      </c>
      <c r="G525" s="2" t="str">
        <f>HYPERLINK("https://axonsv.app.intel.com/apps/record-viewer?id=d89cecfe-c4dc-477d-5faf-d4eea0f983ba","d89cecfe-c4dc-477d-5faf-d4eea0f983ba")</f>
        <v>d89cecfe-c4dc-477d-5faf-d4eea0f983ba</v>
      </c>
      <c r="I525" t="s">
        <v>560</v>
      </c>
      <c r="J525" t="s">
        <v>352</v>
      </c>
    </row>
    <row r="526" spans="1:10" ht="14.5" x14ac:dyDescent="0.35">
      <c r="A526" s="2" t="str">
        <f>HYPERLINK("https://nga.laas.intel.com/#/nga_fv_gnr/failureManagement/failures/b8ead558-e40f-4f80-8d90-22c52b6bb9da","b8ead558")</f>
        <v>b8ead558</v>
      </c>
      <c r="B526" t="s">
        <v>479</v>
      </c>
      <c r="C526" t="s">
        <v>22</v>
      </c>
      <c r="D526" t="s">
        <v>692</v>
      </c>
      <c r="E526" s="2" t="str">
        <f>HYPERLINK("https://nga.laas.intel.com/#/nga_fv_gnr/failureManagement/bucket/d5b127cf-ba43-4842-a7f4-e6921e11a52b","hw_err_msm_corecrashlog_ctrl_haderror,hw_err_msm_global_status_ctrl_reg_crashlog_err,hw_err_msm_global_status_ctrl_reg_global_viral,hw_err_msm_global_status_ctrl_reg_ierr,hw_err_msm_global_status_ctrl_reg_msm_pmsb_err,hw_err_msm_global_status_ctrl_reg_pco")</f>
        <v>hw_err_msm_corecrashlog_ctrl_haderror,hw_err_msm_global_status_ctrl_reg_crashlog_err,hw_err_msm_global_status_ctrl_reg_global_viral,hw_err_msm_global_status_ctrl_reg_ierr,hw_err_msm_global_status_ctrl_reg_msm_pmsb_err,hw_err_msm_global_status_ctrl_reg_pco</v>
      </c>
      <c r="F526" s="2" t="str">
        <f>HYPERLINK("https://nga.laas.intel.com/#/nga_fv_gnr/planning/suites/7b87fcd7-b198-45be-8299-5fa9685a8970","SQ_GNR_AP_X3_B3_Reset")</f>
        <v>SQ_GNR_AP_X3_B3_Reset</v>
      </c>
      <c r="G526" s="2" t="str">
        <f>HYPERLINK("https://axonsv.app.intel.com/apps/record-viewer?id=09060041-daba-49d8-9f06-f27f4de07e62","09060041-daba-49d8-9f06-f27f4de07e62")</f>
        <v>09060041-daba-49d8-9f06-f27f4de07e62</v>
      </c>
      <c r="I526" t="s">
        <v>693</v>
      </c>
      <c r="J526" t="s">
        <v>34</v>
      </c>
    </row>
    <row r="527" spans="1:10" ht="14.5" x14ac:dyDescent="0.35">
      <c r="A527" s="2" t="str">
        <f>HYPERLINK("https://nga.laas.intel.com/#/nga_fv_gnr/failureManagement/failures/984f4c75-80d9-425d-a16c-1f6de5aa7402","984f4c75")</f>
        <v>984f4c75</v>
      </c>
      <c r="B527" t="s">
        <v>475</v>
      </c>
      <c r="C527" t="s">
        <v>22</v>
      </c>
      <c r="D527" t="s">
        <v>564</v>
      </c>
      <c r="E527" s="2" t="str">
        <f>HYPERLINK("https://nga.laas.intel.com/#/nga_fv_gnr/failureManagement/bucket/4754fd25-1130-4259-8603-fad0e125c2a7","hw_err_expptmbar_ltssmerrsts0,hw_err_msm_corecrashlog_ctrl_haderror,hw_err_msm_global_status_ctrl_reg_crashlog_err,hw_err_msm_global_status_ctrl_reg_general_mca,hw_err_msm_global_status_ctrl_reg_global_viral,hw_err_msm_global_status_ctrl_reg_ierr,hw_err_m")</f>
        <v>hw_err_expptmbar_ltssmerrsts0,hw_err_msm_corecrashlog_ctrl_haderror,hw_err_msm_global_status_ctrl_reg_crashlog_err,hw_err_msm_global_status_ctrl_reg_general_mca,hw_err_msm_global_status_ctrl_reg_global_viral,hw_err_msm_global_status_ctrl_reg_ierr,hw_err_m</v>
      </c>
      <c r="F527" s="2" t="str">
        <f>HYPERLINK("https://nga.laas.intel.com/#/nga_fv_gnr/planning/suites/98275156-634f-4c92-8938-cd96b482526c","GNR-AP-X3_B3_Reset-Matrix")</f>
        <v>GNR-AP-X3_B3_Reset-Matrix</v>
      </c>
      <c r="G527" s="2" t="str">
        <f>HYPERLINK("https://axonsv.app.intel.com/apps/record-viewer?id=03a32d69-0a4c-4f6f-8755-e558d0517c89","03a32d69-0a4c-4f6f-8755-e558d0517c89")</f>
        <v>03a32d69-0a4c-4f6f-8755-e558d0517c89</v>
      </c>
      <c r="I527" t="s">
        <v>559</v>
      </c>
      <c r="J527" t="s">
        <v>352</v>
      </c>
    </row>
    <row r="528" spans="1:10" ht="14.5" x14ac:dyDescent="0.35">
      <c r="A528" s="2" t="str">
        <f>HYPERLINK("https://nga.laas.intel.com/#/nga_fv_gnr/failureManagement/failures/e0369c17-9edc-4513-b922-0700ea20b21b","e0369c17")</f>
        <v>e0369c17</v>
      </c>
      <c r="B528" t="s">
        <v>185</v>
      </c>
      <c r="C528" t="s">
        <v>22</v>
      </c>
      <c r="D528" t="s">
        <v>457</v>
      </c>
      <c r="E528" s="2" t="str">
        <f>HYPERLINK("https://nga.laas.intel.com/#/nga_fv_gnr/failureManagement/bucket/17297b27-ec6c-4272-aedc-05c4ba222f08","hw_err_cfg_ibsterrrcrvsts,hw_err_expptmbar_ltssmerrsts0,hw_err_msm_global_status_ctrl_reg_msm_pmsb_err,hw_err_msm_global_status_ctrl_reg_pcode_err,hw_err_msm_global_status_ctrl_reg_peci_err,hw_err_msm_mbx_error_sts_mbx_overflow,hw_err_rppiosts_cfgurc,hw_e")</f>
        <v>hw_err_cfg_ibsterrrcrvsts,hw_err_expptmbar_ltssmerrsts0,hw_err_msm_global_status_ctrl_reg_msm_pmsb_err,hw_err_msm_global_status_ctrl_reg_pcode_err,hw_err_msm_global_status_ctrl_reg_peci_err,hw_err_msm_mbx_error_sts_mbx_overflow,hw_err_rppiosts_cfgurc,hw_e</v>
      </c>
      <c r="F528" s="2" t="str">
        <f t="shared" ref="F528:F531" si="32">HYPERLINK("https://nga.laas.intel.com/#/nga_fv_gnr/planning/suites/9c6d1e47-19bd-4890-8943-83233d43fe6b","SQ_GNR_AP_X3_B3_SB")</f>
        <v>SQ_GNR_AP_X3_B3_SB</v>
      </c>
      <c r="G528" s="2" t="str">
        <f>HYPERLINK("https://axonsv.app.intel.com/apps/record-viewer?id=6cfff395-8e00-49c5-8346-3529eb831a2c","6cfff395-8e00-49c5-8346-3529eb831a2c")</f>
        <v>6cfff395-8e00-49c5-8346-3529eb831a2c</v>
      </c>
      <c r="I528" t="s">
        <v>559</v>
      </c>
      <c r="J528" t="s">
        <v>14</v>
      </c>
    </row>
    <row r="529" spans="1:10" ht="14.5" x14ac:dyDescent="0.35">
      <c r="A529" s="2" t="str">
        <f>HYPERLINK("https://nga.laas.intel.com/#/nga_fv_gnr/failureManagement/failures/a2a6ac3d-7d7b-45cd-a0f1-097a71398a4f","a2a6ac3d")</f>
        <v>a2a6ac3d</v>
      </c>
      <c r="B529" t="s">
        <v>185</v>
      </c>
      <c r="C529" t="s">
        <v>22</v>
      </c>
      <c r="D529" t="s">
        <v>77</v>
      </c>
      <c r="E529" s="2" t="str">
        <f>HYPERLINK("https://nga.laas.intel.com/#/nga_fv_gnr/failureManagement/bucket/9e53d275-8877-43a2-8edd-c7a1e0a0987c","hw_err_msm_corecrashlog_ctrl_haderror,hw_err_msm_global_status_ctrl_reg_crashlog_err,hw_err_msm_global_status_ctrl_reg_general_mca,hw_err_msm_global_status_ctrl_reg_global_viral,hw_err_msm_global_status_ctrl_reg_ierr,hw_err_msm_global_status_ctrl_reg_msm_")</f>
        <v>hw_err_msm_corecrashlog_ctrl_haderror,hw_err_msm_global_status_ctrl_reg_crashlog_err,hw_err_msm_global_status_ctrl_reg_general_mca,hw_err_msm_global_status_ctrl_reg_global_viral,hw_err_msm_global_status_ctrl_reg_ierr,hw_err_msm_global_status_ctrl_reg_msm_</v>
      </c>
      <c r="F529" s="2" t="str">
        <f t="shared" si="32"/>
        <v>SQ_GNR_AP_X3_B3_SB</v>
      </c>
      <c r="G529" s="2" t="str">
        <f>HYPERLINK("https://axonsv.app.intel.com/apps/record-viewer?id=0e12a0d0-7c2e-0720-4edb-912827bdb61b","0e12a0d0-7c2e-0720-4edb-912827bdb61b")</f>
        <v>0e12a0d0-7c2e-0720-4edb-912827bdb61b</v>
      </c>
      <c r="I529" t="s">
        <v>694</v>
      </c>
      <c r="J529" t="s">
        <v>14</v>
      </c>
    </row>
    <row r="530" spans="1:10" ht="14.5" x14ac:dyDescent="0.35">
      <c r="A530" s="2" t="str">
        <f>HYPERLINK("https://nga.laas.intel.com/#/nga_fv_gnr/failureManagement/failures/de666558-586d-4b41-914f-0e6189aa0211","de666558")</f>
        <v>de666558</v>
      </c>
      <c r="B530" t="s">
        <v>337</v>
      </c>
      <c r="C530" t="s">
        <v>22</v>
      </c>
      <c r="D530" t="s">
        <v>695</v>
      </c>
      <c r="E530" s="2" t="str">
        <f>HYPERLINK("https://nga.laas.intel.com/#/nga_fv_gnr/failureManagement/bucket/06bbbdf8-8c3c-4c84-a856-f08c1eac9643","hw_err_cfg_ibsterrrcrvsts,hw_err_msm_global_status_ctrl_reg_msm_pmsb_err,hw_err_msm_global_status_ctrl_reg_pcode_err,hw_err_msm_global_status_ctrl_reg_peci_err,hw_err_msm_mbx_error_sts_mbx_overflow,hw_err_pxp0_rp0,hw_err_pxp0_rp2,hw_err_pxp1_rp0,hw_err_px")</f>
        <v>hw_err_cfg_ibsterrrcrvsts,hw_err_msm_global_status_ctrl_reg_msm_pmsb_err,hw_err_msm_global_status_ctrl_reg_pcode_err,hw_err_msm_global_status_ctrl_reg_peci_err,hw_err_msm_mbx_error_sts_mbx_overflow,hw_err_pxp0_rp0,hw_err_pxp0_rp2,hw_err_pxp1_rp0,hw_err_px</v>
      </c>
      <c r="F530" s="2" t="str">
        <f t="shared" si="32"/>
        <v>SQ_GNR_AP_X3_B3_SB</v>
      </c>
      <c r="G530" s="2" t="str">
        <f>HYPERLINK("https://axonsv.app.intel.com/apps/record-viewer?id=0d414b87-7141-4cb5-bd24-8e1f46bab36d","0d414b87-7141-4cb5-bd24-8e1f46bab36d")</f>
        <v>0d414b87-7141-4cb5-bd24-8e1f46bab36d</v>
      </c>
      <c r="I530" t="s">
        <v>559</v>
      </c>
      <c r="J530" t="s">
        <v>20</v>
      </c>
    </row>
    <row r="531" spans="1:10" ht="14.5" x14ac:dyDescent="0.35">
      <c r="A531" s="2" t="str">
        <f>HYPERLINK("https://nga.laas.intel.com/#/nga_fv_gnr/failureManagement/failures/5876fdd8-c0c9-42c4-a9e4-03f313cea002","5876fdd8")</f>
        <v>5876fdd8</v>
      </c>
      <c r="B531" t="s">
        <v>455</v>
      </c>
      <c r="C531" t="s">
        <v>22</v>
      </c>
      <c r="D531" t="s">
        <v>486</v>
      </c>
      <c r="E531" s="2" t="str">
        <f>HYPERLINK("https://nga.laas.intel.com/#/nga_fv_gnr/failureManagement/bucket/2208336f-5b8b-437f-a10e-c1ab9d27b97c","hw_err_expptmbar_ltssmerrsts0,hw_err_msm_global_status_ctrl_reg_msm_pmsb_err,hw_err_msm_global_status_ctrl_reg_pcode_err,hw_err_msm_global_status_ctrl_reg_peci_err,hw_err_msm_mbx_error_sts_mbx_overflow")</f>
        <v>hw_err_expptmbar_ltssmerrsts0,hw_err_msm_global_status_ctrl_reg_msm_pmsb_err,hw_err_msm_global_status_ctrl_reg_pcode_err,hw_err_msm_global_status_ctrl_reg_peci_err,hw_err_msm_mbx_error_sts_mbx_overflow</v>
      </c>
      <c r="F531" s="2" t="str">
        <f t="shared" si="32"/>
        <v>SQ_GNR_AP_X3_B3_SB</v>
      </c>
      <c r="G531" s="2" t="str">
        <f>HYPERLINK("https://axonsv.app.intel.com/apps/record-viewer?id=e0eb83f1-88f7-4480-b7a0-842e330bb97f","e0eb83f1-88f7-4480-b7a0-842e330bb97f")</f>
        <v>e0eb83f1-88f7-4480-b7a0-842e330bb97f</v>
      </c>
      <c r="I531" t="s">
        <v>559</v>
      </c>
      <c r="J531" t="s">
        <v>14</v>
      </c>
    </row>
    <row r="532" spans="1:10" ht="14.5" x14ac:dyDescent="0.35">
      <c r="A532" s="2" t="str">
        <f>HYPERLINK("https://nga.laas.intel.com/#/nga_fv_gnr/failureManagement/failures/f927ce79-7c0e-4d21-9463-15bb31927aaa","f927ce79")</f>
        <v>f927ce79</v>
      </c>
      <c r="B532" t="s">
        <v>696</v>
      </c>
      <c r="C532" t="s">
        <v>22</v>
      </c>
      <c r="D532" t="s">
        <v>593</v>
      </c>
      <c r="E532" s="2" t="str">
        <f>HYPERLINK("https://nga.laas.intel.com/#/nga_fv_gnr/failureManagement/bucket/9e74a742-b0c2-4451-bf2f-24b265e63110","hw_err_msm_mbx_error_sts_mbx_overflow")</f>
        <v>hw_err_msm_mbx_error_sts_mbx_overflow</v>
      </c>
      <c r="F532" s="2" t="str">
        <f>HYPERLINK("https://nga.laas.intel.com/#/nga_fv_gnr/planning/suites/7b87fcd7-b198-45be-8299-5fa9685a8970","SQ_GNR_AP_X3_B3_Reset")</f>
        <v>SQ_GNR_AP_X3_B3_Reset</v>
      </c>
      <c r="G532" s="2" t="str">
        <f>HYPERLINK("https://axonsv.app.intel.com/apps/record-viewer?id=e766e04f-bc2f-4ae6-b046-d1b36e7d5677","e766e04f-bc2f-4ae6-b046-d1b36e7d5677")</f>
        <v>e766e04f-bc2f-4ae6-b046-d1b36e7d5677</v>
      </c>
      <c r="I532" t="s">
        <v>559</v>
      </c>
      <c r="J532" t="s">
        <v>34</v>
      </c>
    </row>
    <row r="533" spans="1:10" ht="14.5" x14ac:dyDescent="0.35">
      <c r="A533" s="2" t="str">
        <f>HYPERLINK("https://nga.laas.intel.com/#/nga_fv_gnr/failureManagement/failures/efb81c9d-fc54-440a-bc00-152a6005c47f","efb81c9d")</f>
        <v>efb81c9d</v>
      </c>
      <c r="B533" t="s">
        <v>276</v>
      </c>
      <c r="C533" t="s">
        <v>22</v>
      </c>
      <c r="D533" t="s">
        <v>619</v>
      </c>
      <c r="E533" s="2" t="str">
        <f>HYPERLINK("https://nga.laas.intel.com/#/nga_fv_gnr/failureManagement/bucket/5e2d0849-aa0b-43b3-b85e-0d48b39d84fe","hw_err_cfg_ibsterrrcrvsts,hw_err_msm_global_status_ctrl_reg_global_viral,hw_err_msm_global_status_ctrl_reg_ierr,hw_err_msm_global_status_ctrl_reg_msm_pmsb_err,hw_err_msm_global_status_ctrl_reg_pcode_err,hw_err_msm_global_status_ctrl_reg_peci_err,hw_err_ms")</f>
        <v>hw_err_cfg_ibsterrrcrvsts,hw_err_msm_global_status_ctrl_reg_global_viral,hw_err_msm_global_status_ctrl_reg_ierr,hw_err_msm_global_status_ctrl_reg_msm_pmsb_err,hw_err_msm_global_status_ctrl_reg_pcode_err,hw_err_msm_global_status_ctrl_reg_peci_err,hw_err_ms</v>
      </c>
      <c r="F533" s="2" t="str">
        <f t="shared" ref="F533:F541" si="33">HYPERLINK("https://nga.laas.intel.com/#/nga_fv_gnr/planning/suites/9c6d1e47-19bd-4890-8943-83233d43fe6b","SQ_GNR_AP_X3_B3_SB")</f>
        <v>SQ_GNR_AP_X3_B3_SB</v>
      </c>
      <c r="G533" s="2" t="str">
        <f>HYPERLINK("https://axonsv.app.intel.com/apps/record-viewer?id=fca8725f-0292-45c7-a7e2-4b1d8a228cd8","fca8725f-0292-45c7-a7e2-4b1d8a228cd8")</f>
        <v>fca8725f-0292-45c7-a7e2-4b1d8a228cd8</v>
      </c>
      <c r="I533" t="s">
        <v>697</v>
      </c>
      <c r="J533" t="s">
        <v>20</v>
      </c>
    </row>
    <row r="534" spans="1:10" ht="14.5" x14ac:dyDescent="0.35">
      <c r="A534" s="2" t="str">
        <f>HYPERLINK("https://nga.laas.intel.com/#/nga_fv_gnr/failureManagement/failures/75a10133-39ce-49f0-b0aa-17711895a478","75a10133")</f>
        <v>75a10133</v>
      </c>
      <c r="B534" t="s">
        <v>185</v>
      </c>
      <c r="C534" t="s">
        <v>22</v>
      </c>
      <c r="D534" t="s">
        <v>698</v>
      </c>
      <c r="E534" s="2" t="str">
        <f>HYPERLINK("https://nga.laas.intel.com/#/nga_fv_gnr/failureManagement/bucket/a3120847-62c1-42f0-aa1c-30d6b88aebf0","hw_err_cfg_ibsterrrcrvsts,hw_err_expptmbar_ltssmerrsts0,hw_err_msm_global_status_ctrl_reg_msm_pmsb_err,hw_err_msm_global_status_ctrl_reg_pcode_err,hw_err_msm_global_status_ctrl_reg_peci_err,hw_err_msm_mbx_error_sts_mbx_overflow,hw_err_uncersts_oob_receive")</f>
        <v>hw_err_cfg_ibsterrrcrvsts,hw_err_expptmbar_ltssmerrsts0,hw_err_msm_global_status_ctrl_reg_msm_pmsb_err,hw_err_msm_global_status_ctrl_reg_pcode_err,hw_err_msm_global_status_ctrl_reg_peci_err,hw_err_msm_mbx_error_sts_mbx_overflow,hw_err_uncersts_oob_receive</v>
      </c>
      <c r="F534" s="2" t="str">
        <f t="shared" si="33"/>
        <v>SQ_GNR_AP_X3_B3_SB</v>
      </c>
      <c r="G534" s="2" t="str">
        <f>HYPERLINK("https://axonsv.app.intel.com/apps/record-viewer?id=3b8f64ac-bcb4-41ff-9638-cf2fa823cc64","3b8f64ac-bcb4-41ff-9638-cf2fa823cc64")</f>
        <v>3b8f64ac-bcb4-41ff-9638-cf2fa823cc64</v>
      </c>
      <c r="I534" t="s">
        <v>687</v>
      </c>
      <c r="J534" t="s">
        <v>14</v>
      </c>
    </row>
    <row r="535" spans="1:10" ht="14.5" x14ac:dyDescent="0.35">
      <c r="A535" s="2" t="str">
        <f>HYPERLINK("https://nga.laas.intel.com/#/nga_fv_gnr/failureManagement/failures/e037ab3e-2826-4bdb-ad2b-204d3f4c6f16","e037ab3e")</f>
        <v>e037ab3e</v>
      </c>
      <c r="B535" t="s">
        <v>185</v>
      </c>
      <c r="C535" t="s">
        <v>22</v>
      </c>
      <c r="D535" t="s">
        <v>698</v>
      </c>
      <c r="E535" s="2" t="str">
        <f>HYPERLINK("https://nga.laas.intel.com/#/nga_fv_gnr/failureManagement/bucket/399fb388-b20e-41d5-8432-9f645d2540e4","hw_err_msm_global_status_ctrl_reg_msm_pmsb_err,hw_err_msm_global_status_ctrl_reg_pcode_err,hw_err_msm_global_status_ctrl_reg_peci_err,hw_err_msm_mbx_error_sts_mbx_overflow,hw_err_uncersts_oob_received_an_unsupported_request")</f>
        <v>hw_err_msm_global_status_ctrl_reg_msm_pmsb_err,hw_err_msm_global_status_ctrl_reg_pcode_err,hw_err_msm_global_status_ctrl_reg_peci_err,hw_err_msm_mbx_error_sts_mbx_overflow,hw_err_uncersts_oob_received_an_unsupported_request</v>
      </c>
      <c r="F535" s="2" t="str">
        <f t="shared" si="33"/>
        <v>SQ_GNR_AP_X3_B3_SB</v>
      </c>
      <c r="G535" s="2" t="str">
        <f>HYPERLINK("https://axonsv.app.intel.com/apps/record-viewer?id=f9db27ce-e35c-4e59-a388-f2639a3f1475","f9db27ce-e35c-4e59-a388-f2639a3f1475")</f>
        <v>f9db27ce-e35c-4e59-a388-f2639a3f1475</v>
      </c>
      <c r="I535" t="s">
        <v>559</v>
      </c>
      <c r="J535" t="s">
        <v>14</v>
      </c>
    </row>
    <row r="536" spans="1:10" ht="14.5" x14ac:dyDescent="0.35">
      <c r="A536" s="2" t="str">
        <f>HYPERLINK("https://nga.laas.intel.com/#/nga_fv_gnr/failureManagement/failures/182a491b-ec81-4b74-bf18-238e613154d7","182a491b")</f>
        <v>182a491b</v>
      </c>
      <c r="B536" t="s">
        <v>533</v>
      </c>
      <c r="C536" t="s">
        <v>22</v>
      </c>
      <c r="D536" t="s">
        <v>142</v>
      </c>
      <c r="E536" s="2" t="str">
        <f>HYPERLINK("https://nga.laas.intel.com/#/nga_fv_gnr/failureManagement/bucket/1c470701-ca6b-432c-948d-f9936d6dbc1f","hw_err_msm_global_status_ctrl_reg_msm_pmsb_err,hw_err_msm_global_status_ctrl_reg_pcode_err,hw_err_msm_global_status_ctrl_reg_peci_err,hw_err_msm_mbx_error_sts_mbx_overflow")</f>
        <v>hw_err_msm_global_status_ctrl_reg_msm_pmsb_err,hw_err_msm_global_status_ctrl_reg_pcode_err,hw_err_msm_global_status_ctrl_reg_peci_err,hw_err_msm_mbx_error_sts_mbx_overflow</v>
      </c>
      <c r="F536" s="2" t="str">
        <f t="shared" si="33"/>
        <v>SQ_GNR_AP_X3_B3_SB</v>
      </c>
      <c r="G536" s="2" t="str">
        <f>HYPERLINK("https://axonsv.app.intel.com/apps/record-viewer?id=654e51c9-ae3b-4276-bc43-9399b5e4f7bf","654e51c9-ae3b-4276-bc43-9399b5e4f7bf")</f>
        <v>654e51c9-ae3b-4276-bc43-9399b5e4f7bf</v>
      </c>
      <c r="I536" t="s">
        <v>559</v>
      </c>
      <c r="J536" t="s">
        <v>14</v>
      </c>
    </row>
    <row r="537" spans="1:10" ht="14.5" x14ac:dyDescent="0.35">
      <c r="A537" s="2" t="str">
        <f>HYPERLINK("https://nga.laas.intel.com/#/nga_fv_gnr/failureManagement/failures/fb557d2d-e4f1-415e-9542-1c7b56667d60","fb557d2d")</f>
        <v>fb557d2d</v>
      </c>
      <c r="B537" t="s">
        <v>679</v>
      </c>
      <c r="C537" t="s">
        <v>11</v>
      </c>
      <c r="D537" t="s">
        <v>686</v>
      </c>
      <c r="E537" s="2" t="str">
        <f>HYPERLINK("https://nga.laas.intel.com/#/nga_fv_gnr/failureManagement/bucket/6c2fc35f-ba28-4bdb-a60b-2520ad8cfc23","hw_err_cfg_ibsterrrcrvsts,hw_err_msm_corecrashlog_ctrl_haderror,hw_err_msm_global_status_ctrl_reg_crashlog_err,hw_err_msm_global_status_ctrl_reg_general_mca,hw_err_msm_global_status_ctrl_reg_global_viral,hw_err_msm_global_status_ctrl_reg_ierr,hw_err_msm_g")</f>
        <v>hw_err_cfg_ibsterrrcrvsts,hw_err_msm_corecrashlog_ctrl_haderror,hw_err_msm_global_status_ctrl_reg_crashlog_err,hw_err_msm_global_status_ctrl_reg_general_mca,hw_err_msm_global_status_ctrl_reg_global_viral,hw_err_msm_global_status_ctrl_reg_ierr,hw_err_msm_g</v>
      </c>
      <c r="F537" s="2" t="str">
        <f t="shared" si="33"/>
        <v>SQ_GNR_AP_X3_B3_SB</v>
      </c>
      <c r="G537" s="2" t="str">
        <f>HYPERLINK("https://axonsv.app.intel.com/apps/record-viewer?id=c40733d4-9571-403d-b1c7-9bf3e29d62c6","c40733d4-9571-403d-b1c7-9bf3e29d62c6")</f>
        <v>c40733d4-9571-403d-b1c7-9bf3e29d62c6</v>
      </c>
      <c r="I537" t="s">
        <v>699</v>
      </c>
      <c r="J537" t="s">
        <v>20</v>
      </c>
    </row>
    <row r="538" spans="1:10" ht="14.5" x14ac:dyDescent="0.35">
      <c r="A538" s="2" t="str">
        <f>HYPERLINK("https://nga.laas.intel.com/#/nga_fv_gnr/failureManagement/failures/c464d63b-d6e9-46b5-9f64-2276f24d6fcd","c464d63b")</f>
        <v>c464d63b</v>
      </c>
      <c r="B538" t="s">
        <v>455</v>
      </c>
      <c r="C538" t="s">
        <v>11</v>
      </c>
      <c r="D538" t="s">
        <v>686</v>
      </c>
      <c r="E538" s="2" t="str">
        <f>HYPERLINK("https://nga.laas.intel.com/#/nga_fv_gnr/failureManagement/bucket/1c470701-ca6b-432c-948d-f9936d6dbc1f","hw_err_msm_global_status_ctrl_reg_msm_pmsb_err,hw_err_msm_global_status_ctrl_reg_pcode_err,hw_err_msm_global_status_ctrl_reg_peci_err,hw_err_msm_mbx_error_sts_mbx_overflow")</f>
        <v>hw_err_msm_global_status_ctrl_reg_msm_pmsb_err,hw_err_msm_global_status_ctrl_reg_pcode_err,hw_err_msm_global_status_ctrl_reg_peci_err,hw_err_msm_mbx_error_sts_mbx_overflow</v>
      </c>
      <c r="F538" s="2" t="str">
        <f t="shared" si="33"/>
        <v>SQ_GNR_AP_X3_B3_SB</v>
      </c>
      <c r="G538" s="2" t="str">
        <f>HYPERLINK("https://axonsv.app.intel.com/apps/record-viewer?id=0bb00c6d-7937-4adc-8e42-016712ec9d9c","0bb00c6d-7937-4adc-8e42-016712ec9d9c")</f>
        <v>0bb00c6d-7937-4adc-8e42-016712ec9d9c</v>
      </c>
      <c r="I538" t="s">
        <v>559</v>
      </c>
      <c r="J538" t="s">
        <v>14</v>
      </c>
    </row>
    <row r="539" spans="1:10" ht="14.5" x14ac:dyDescent="0.35">
      <c r="A539" s="2" t="str">
        <f>HYPERLINK("https://nga.laas.intel.com/#/nga_fv_gnr/failureManagement/failures/3c3a6505-c012-4ced-8590-21132291fb4c","3c3a6505")</f>
        <v>3c3a6505</v>
      </c>
      <c r="B539" t="s">
        <v>533</v>
      </c>
      <c r="C539" t="s">
        <v>22</v>
      </c>
      <c r="D539" t="s">
        <v>486</v>
      </c>
      <c r="E539" s="2" t="str">
        <f>HYPERLINK("https://nga.laas.intel.com/#/nga_fv_gnr/failureManagement/bucket/1c470701-ca6b-432c-948d-f9936d6dbc1f","hw_err_msm_global_status_ctrl_reg_msm_pmsb_err,hw_err_msm_global_status_ctrl_reg_pcode_err,hw_err_msm_global_status_ctrl_reg_peci_err,hw_err_msm_mbx_error_sts_mbx_overflow")</f>
        <v>hw_err_msm_global_status_ctrl_reg_msm_pmsb_err,hw_err_msm_global_status_ctrl_reg_pcode_err,hw_err_msm_global_status_ctrl_reg_peci_err,hw_err_msm_mbx_error_sts_mbx_overflow</v>
      </c>
      <c r="F539" s="2" t="str">
        <f t="shared" si="33"/>
        <v>SQ_GNR_AP_X3_B3_SB</v>
      </c>
      <c r="G539" s="2" t="str">
        <f>HYPERLINK("https://axonsv.app.intel.com/apps/record-viewer?id=448a38b6-17c8-4f99-a54c-7a85933390d0","448a38b6-17c8-4f99-a54c-7a85933390d0")</f>
        <v>448a38b6-17c8-4f99-a54c-7a85933390d0</v>
      </c>
      <c r="I539" t="s">
        <v>559</v>
      </c>
      <c r="J539" t="s">
        <v>14</v>
      </c>
    </row>
    <row r="540" spans="1:10" ht="14.5" x14ac:dyDescent="0.35">
      <c r="A540" s="2" t="str">
        <f>HYPERLINK("https://nga.laas.intel.com/#/nga_fv_gnr/failureManagement/failures/63eff6f0-2aef-4718-b888-0a405fff029c","63eff6f0")</f>
        <v>63eff6f0</v>
      </c>
      <c r="B540" t="s">
        <v>679</v>
      </c>
      <c r="C540" t="s">
        <v>22</v>
      </c>
      <c r="D540" t="s">
        <v>700</v>
      </c>
      <c r="E540" s="2" t="str">
        <f>HYPERLINK("https://nga.laas.intel.com/#/nga_fv_gnr/failureManagement/bucket/51d2d3ca-d6f7-4789-8d7f-83b1bc469276","hw_err_cfg_ibsterrrcrvsts,hw_err_msm_global_status_ctrl_reg_msm_pmsb_err,hw_err_msm_global_status_ctrl_reg_pcode_err,hw_err_msm_global_status_ctrl_reg_peci_err,hw_err_msm_mbx_error_sts_mbx_overflow")</f>
        <v>hw_err_cfg_ibsterrrcrvsts,hw_err_msm_global_status_ctrl_reg_msm_pmsb_err,hw_err_msm_global_status_ctrl_reg_pcode_err,hw_err_msm_global_status_ctrl_reg_peci_err,hw_err_msm_mbx_error_sts_mbx_overflow</v>
      </c>
      <c r="F540" s="2" t="str">
        <f t="shared" si="33"/>
        <v>SQ_GNR_AP_X3_B3_SB</v>
      </c>
      <c r="G540" s="2" t="str">
        <f>HYPERLINK("https://axonsv.app.intel.com/apps/record-viewer?id=fb18c5d9-98f7-4f71-b538-468083c24f5e","fb18c5d9-98f7-4f71-b538-468083c24f5e")</f>
        <v>fb18c5d9-98f7-4f71-b538-468083c24f5e</v>
      </c>
      <c r="I540" t="s">
        <v>559</v>
      </c>
      <c r="J540" t="s">
        <v>14</v>
      </c>
    </row>
    <row r="541" spans="1:10" ht="14.5" x14ac:dyDescent="0.35">
      <c r="A541" s="2" t="str">
        <f>HYPERLINK("https://nga.laas.intel.com/#/nga_fv_gnr/failureManagement/failures/d2a90e72-2e50-4ff0-bb61-0391ba432a45","d2a90e72")</f>
        <v>d2a90e72</v>
      </c>
      <c r="B541" t="s">
        <v>679</v>
      </c>
      <c r="C541" t="s">
        <v>22</v>
      </c>
      <c r="D541" t="s">
        <v>695</v>
      </c>
      <c r="E541" s="2" t="str">
        <f>HYPERLINK("https://nga.laas.intel.com/#/nga_fv_gnr/failureManagement/bucket/51d2d3ca-d6f7-4789-8d7f-83b1bc469276","hw_err_cfg_ibsterrrcrvsts,hw_err_msm_global_status_ctrl_reg_msm_pmsb_err,hw_err_msm_global_status_ctrl_reg_pcode_err,hw_err_msm_global_status_ctrl_reg_peci_err,hw_err_msm_mbx_error_sts_mbx_overflow")</f>
        <v>hw_err_cfg_ibsterrrcrvsts,hw_err_msm_global_status_ctrl_reg_msm_pmsb_err,hw_err_msm_global_status_ctrl_reg_pcode_err,hw_err_msm_global_status_ctrl_reg_peci_err,hw_err_msm_mbx_error_sts_mbx_overflow</v>
      </c>
      <c r="F541" s="2" t="str">
        <f t="shared" si="33"/>
        <v>SQ_GNR_AP_X3_B3_SB</v>
      </c>
      <c r="G541" s="2" t="str">
        <f>HYPERLINK("https://axonsv.app.intel.com/apps/record-viewer?id=3440dd55-226a-48ae-8453-cb0fc0bfee77","3440dd55-226a-48ae-8453-cb0fc0bfee77")</f>
        <v>3440dd55-226a-48ae-8453-cb0fc0bfee77</v>
      </c>
      <c r="I541" t="s">
        <v>559</v>
      </c>
      <c r="J541" t="s">
        <v>20</v>
      </c>
    </row>
    <row r="542" spans="1:10" ht="14.5" x14ac:dyDescent="0.35">
      <c r="A542" s="2" t="str">
        <f>HYPERLINK("https://nga.laas.intel.com/#/nga_fv_gnr/failureManagement/failures/02974b3e-689c-4b81-b1d0-0df59cff6890","02974b3e")</f>
        <v>02974b3e</v>
      </c>
      <c r="B542" t="s">
        <v>90</v>
      </c>
      <c r="C542" t="s">
        <v>22</v>
      </c>
      <c r="D542" t="s">
        <v>701</v>
      </c>
      <c r="E542" s="2" t="str">
        <f>HYPERLINK("https://nga.laas.intel.com/#/nga_fv_gnr/failureManagement/bucket/cda7060e-4789-4d49-aab9-9f4bb6af7dd2","hw_err_rppiosts_cfgurc")</f>
        <v>hw_err_rppiosts_cfgurc</v>
      </c>
      <c r="F542" s="2" t="str">
        <f>HYPERLINK("https://nga.laas.intel.com/#/nga_fv_gnr/planning/suites/19071fd0-ce37-4381-bd21-7f133022b5cc","GNR-AP-X3_B3_VV")</f>
        <v>GNR-AP-X3_B3_VV</v>
      </c>
      <c r="G542" s="2" t="str">
        <f>HYPERLINK("https://axonsv.app.intel.com/apps/record-viewer?id=9a929dba-9e74-4908-b7f0-7ce8ad565e33","9a929dba-9e74-4908-b7f0-7ce8ad565e33")</f>
        <v>9a929dba-9e74-4908-b7f0-7ce8ad565e33</v>
      </c>
      <c r="H542" t="s">
        <v>702</v>
      </c>
      <c r="I542" t="s">
        <v>559</v>
      </c>
      <c r="J542" t="s">
        <v>14</v>
      </c>
    </row>
    <row r="543" spans="1:10" ht="14.5" x14ac:dyDescent="0.35">
      <c r="A543" s="2" t="str">
        <f>HYPERLINK("https://nga.laas.intel.com/#/nga_fv_gnr/failureManagement/failures/033673ab-798b-4d60-8c8c-157cf8550fac","033673ab")</f>
        <v>033673ab</v>
      </c>
      <c r="B543" t="s">
        <v>679</v>
      </c>
      <c r="C543" t="s">
        <v>11</v>
      </c>
      <c r="D543" t="s">
        <v>686</v>
      </c>
      <c r="E543" s="2" t="str">
        <f>HYPERLINK("https://nga.laas.intel.com/#/nga_fv_gnr/failureManagement/bucket/f10756fc-09aa-449b-92e7-152c16ccd8a7","hw_err_cfg_ibsterrrcrvsts,hw_err_msm_mbx_error_sts_mbx_overflow,hw_err_pxp2_rp0,hw_err_pxp5_rp0,hw_mce_mse_mcacod_0444h_mscod_keyrdcorecc")</f>
        <v>hw_err_cfg_ibsterrrcrvsts,hw_err_msm_mbx_error_sts_mbx_overflow,hw_err_pxp2_rp0,hw_err_pxp5_rp0,hw_mce_mse_mcacod_0444h_mscod_keyrdcorecc</v>
      </c>
      <c r="F543" s="2" t="str">
        <f>HYPERLINK("https://nga.laas.intel.com/#/nga_fv_gnr/planning/suites/9c6d1e47-19bd-4890-8943-83233d43fe6b","SQ_GNR_AP_X3_B3_SB")</f>
        <v>SQ_GNR_AP_X3_B3_SB</v>
      </c>
      <c r="G543" s="2" t="str">
        <f>HYPERLINK("https://axonsv.app.intel.com/apps/record-viewer?id=3b21c565-ac6d-4793-9555-f43c629724a2","3b21c565-ac6d-4793-9555-f43c629724a2")</f>
        <v>3b21c565-ac6d-4793-9555-f43c629724a2</v>
      </c>
      <c r="I543" t="s">
        <v>687</v>
      </c>
      <c r="J543" t="s">
        <v>14</v>
      </c>
    </row>
    <row r="544" spans="1:10" ht="14.5" x14ac:dyDescent="0.35">
      <c r="A544" s="2" t="str">
        <f>HYPERLINK("https://nga.laas.intel.com/#/nga_fv_gnr/failureManagement/failures/8c2e712a-9923-4296-91ab-0d9cce8247cd","8c2e712a")</f>
        <v>8c2e712a</v>
      </c>
      <c r="B544" t="s">
        <v>337</v>
      </c>
      <c r="C544" t="s">
        <v>22</v>
      </c>
      <c r="D544" t="s">
        <v>49</v>
      </c>
      <c r="E544" s="2" t="str">
        <f>HYPERLINK("https://nga.laas.intel.com/#/nga_fv_gnr/failureManagement/bucket/51d2d3ca-d6f7-4789-8d7f-83b1bc469276","hw_err_cfg_ibsterrrcrvsts,hw_err_msm_global_status_ctrl_reg_msm_pmsb_err,hw_err_msm_global_status_ctrl_reg_pcode_err,hw_err_msm_global_status_ctrl_reg_peci_err,hw_err_msm_mbx_error_sts_mbx_overflow")</f>
        <v>hw_err_cfg_ibsterrrcrvsts,hw_err_msm_global_status_ctrl_reg_msm_pmsb_err,hw_err_msm_global_status_ctrl_reg_pcode_err,hw_err_msm_global_status_ctrl_reg_peci_err,hw_err_msm_mbx_error_sts_mbx_overflow</v>
      </c>
      <c r="F544" s="2" t="str">
        <f>HYPERLINK("https://nga.laas.intel.com/#/nga_fv_gnr/planning/suites/9c6d1e47-19bd-4890-8943-83233d43fe6b","SQ_GNR_AP_X3_B3_SB")</f>
        <v>SQ_GNR_AP_X3_B3_SB</v>
      </c>
      <c r="G544" s="2" t="str">
        <f>HYPERLINK("https://axonsv.app.intel.com/apps/record-viewer?id=acfd16f7-cac4-45aa-b053-50411a600b07","acfd16f7-cac4-45aa-b053-50411a600b07")</f>
        <v>acfd16f7-cac4-45aa-b053-50411a600b07</v>
      </c>
      <c r="I544" t="s">
        <v>559</v>
      </c>
      <c r="J544" t="s">
        <v>14</v>
      </c>
    </row>
    <row r="545" spans="1:10" ht="14.5" x14ac:dyDescent="0.35">
      <c r="A545" s="2" t="str">
        <f>HYPERLINK("https://nga.laas.intel.com/#/nga_fv_gnr/failureManagement/failures/01a6dfe5-4376-4920-b871-14f5caddb14c","01a6dfe5")</f>
        <v>01a6dfe5</v>
      </c>
      <c r="B545" t="s">
        <v>475</v>
      </c>
      <c r="C545" t="s">
        <v>22</v>
      </c>
      <c r="D545" t="s">
        <v>564</v>
      </c>
      <c r="E545" s="2" t="str">
        <f>HYPERLINK("https://nga.laas.intel.com/#/nga_fv_gnr/failureManagement/bucket/4754fd25-1130-4259-8603-fad0e125c2a7","hw_err_expptmbar_ltssmerrsts0,hw_err_msm_corecrashlog_ctrl_haderror,hw_err_msm_global_status_ctrl_reg_crashlog_err,hw_err_msm_global_status_ctrl_reg_general_mca,hw_err_msm_global_status_ctrl_reg_global_viral,hw_err_msm_global_status_ctrl_reg_ierr,hw_err_m")</f>
        <v>hw_err_expptmbar_ltssmerrsts0,hw_err_msm_corecrashlog_ctrl_haderror,hw_err_msm_global_status_ctrl_reg_crashlog_err,hw_err_msm_global_status_ctrl_reg_general_mca,hw_err_msm_global_status_ctrl_reg_global_viral,hw_err_msm_global_status_ctrl_reg_ierr,hw_err_m</v>
      </c>
      <c r="F545" s="2" t="str">
        <f>HYPERLINK("https://nga.laas.intel.com/#/nga_fv_gnr/planning/suites/98275156-634f-4c92-8938-cd96b482526c","GNR-AP-X3_B3_Reset-Matrix")</f>
        <v>GNR-AP-X3_B3_Reset-Matrix</v>
      </c>
      <c r="G545" s="2" t="str">
        <f>HYPERLINK("https://axonsv.app.intel.com/apps/record-viewer?id=62ab160c-a42a-500f-dfb1-e4dbebb0cdcb","62ab160c-a42a-500f-dfb1-e4dbebb0cdcb")</f>
        <v>62ab160c-a42a-500f-dfb1-e4dbebb0cdcb</v>
      </c>
      <c r="I545" t="s">
        <v>559</v>
      </c>
      <c r="J545" t="s">
        <v>352</v>
      </c>
    </row>
    <row r="546" spans="1:10" ht="14.5" x14ac:dyDescent="0.35">
      <c r="A546" s="2" t="str">
        <f>HYPERLINK("https://nga.laas.intel.com/#/nga_fv_gnr/failureManagement/failures/540e1a2c-82d9-4502-bfa8-15b9ca504fa2","540e1a2c")</f>
        <v>540e1a2c</v>
      </c>
      <c r="B546" t="s">
        <v>41</v>
      </c>
      <c r="C546" t="s">
        <v>22</v>
      </c>
      <c r="D546" t="s">
        <v>642</v>
      </c>
      <c r="E546" s="2" t="str">
        <f>HYPERLINK("https://nga.laas.intel.com/#/nga_fv_gnr/failureManagement/bucket/54cf728b-31d4-4089-ab74-3cff78058e3e","hw_err_cfg_errcorsts,hw_err_rppiosts_cfgurc,hw_err_rppiosts_memcac")</f>
        <v>hw_err_cfg_errcorsts,hw_err_rppiosts_cfgurc,hw_err_rppiosts_memcac</v>
      </c>
      <c r="F546" s="2" t="str">
        <f>HYPERLINK("https://nga.laas.intel.com/#/nga_fv_gnr/planning/suites/19071fd0-ce37-4381-bd21-7f133022b5cc","GNR-AP-X3_B3_VV")</f>
        <v>GNR-AP-X3_B3_VV</v>
      </c>
      <c r="G546" s="2" t="str">
        <f>HYPERLINK("https://axonsv.app.intel.com/apps/record-viewer?id=5322c22f-204a-4a48-b4d0-91eec0d2c7ff","5322c22f-204a-4a48-b4d0-91eec0d2c7ff")</f>
        <v>5322c22f-204a-4a48-b4d0-91eec0d2c7ff</v>
      </c>
      <c r="I546" t="s">
        <v>559</v>
      </c>
      <c r="J546" t="s">
        <v>34</v>
      </c>
    </row>
    <row r="547" spans="1:10" ht="14.5" x14ac:dyDescent="0.35">
      <c r="A547" s="2" t="str">
        <f>HYPERLINK("https://nga.laas.intel.com/#/nga_fv_gnr/failureManagement/failures/cb2a2ea1-eca5-4735-aa81-012258c13293","cb2a2ea1")</f>
        <v>cb2a2ea1</v>
      </c>
      <c r="B547" t="s">
        <v>589</v>
      </c>
      <c r="C547" t="s">
        <v>22</v>
      </c>
      <c r="D547" t="s">
        <v>703</v>
      </c>
      <c r="E547" s="2" t="str">
        <f>HYPERLINK("https://nga.laas.intel.com/#/nga_fv_gnr/failureManagement/bucket/16275643-20eb-4a22-8fbb-60e8a8bd0ab4","hw_err_cfg_errcorsts,hw_err_msm_global_status_ctrl_reg_global_viral,hw_err_msm_global_status_ctrl_reg_ierr,hw_err_msm_global_status_ctrl_reg_msm_pmsb_err,hw_err_msm_global_status_ctrl_reg_pcode_err,hw_err_msm_global_status_ctrl_reg_peci_err,hw_err_rppiost")</f>
        <v>hw_err_cfg_errcorsts,hw_err_msm_global_status_ctrl_reg_global_viral,hw_err_msm_global_status_ctrl_reg_ierr,hw_err_msm_global_status_ctrl_reg_msm_pmsb_err,hw_err_msm_global_status_ctrl_reg_pcode_err,hw_err_msm_global_status_ctrl_reg_peci_err,hw_err_rppiost</v>
      </c>
      <c r="F547" s="2" t="str">
        <f>HYPERLINK("https://nga.laas.intel.com/#/nga_fv_gnr/planning/suites/1e95381d-b617-4b8d-9434-a4315477c87b","SQ_X3_SVOS_2423_Image")</f>
        <v>SQ_X3_SVOS_2423_Image</v>
      </c>
      <c r="G547" s="2" t="str">
        <f>HYPERLINK("https://axonsv.app.intel.com/apps/record-viewer?id=d7af96f4-badc-4f2b-bcaa-0b2223bb2edc","d7af96f4-badc-4f2b-bcaa-0b2223bb2edc")</f>
        <v>d7af96f4-badc-4f2b-bcaa-0b2223bb2edc</v>
      </c>
      <c r="I547" t="s">
        <v>704</v>
      </c>
      <c r="J547" t="s">
        <v>51</v>
      </c>
    </row>
    <row r="548" spans="1:10" ht="14.5" x14ac:dyDescent="0.35">
      <c r="A548" s="2" t="str">
        <f>HYPERLINK("https://nga.laas.intel.com/#/nga_fv_gnr/failureManagement/failures/1d385644-bbd9-4af8-803f-07c450095554","1d385644")</f>
        <v>1d385644</v>
      </c>
      <c r="B548" t="s">
        <v>41</v>
      </c>
      <c r="C548" t="s">
        <v>22</v>
      </c>
      <c r="D548" t="s">
        <v>642</v>
      </c>
      <c r="E548" s="2" t="str">
        <f>HYPERLINK("https://nga.laas.intel.com/#/nga_fv_gnr/failureManagement/bucket/54cf728b-31d4-4089-ab74-3cff78058e3e","hw_err_cfg_errcorsts,hw_err_rppiosts_cfgurc,hw_err_rppiosts_memcac")</f>
        <v>hw_err_cfg_errcorsts,hw_err_rppiosts_cfgurc,hw_err_rppiosts_memcac</v>
      </c>
      <c r="F548" s="2" t="str">
        <f>HYPERLINK("https://nga.laas.intel.com/#/nga_fv_gnr/planning/suites/19071fd0-ce37-4381-bd21-7f133022b5cc","GNR-AP-X3_B3_VV")</f>
        <v>GNR-AP-X3_B3_VV</v>
      </c>
      <c r="G548" s="2" t="str">
        <f>HYPERLINK("https://axonsv.app.intel.com/apps/record-viewer?id=50b0eef9-8d30-4b9a-bd22-82df25996e99","50b0eef9-8d30-4b9a-bd22-82df25996e99")</f>
        <v>50b0eef9-8d30-4b9a-bd22-82df25996e99</v>
      </c>
      <c r="I548" t="s">
        <v>559</v>
      </c>
      <c r="J548" t="s">
        <v>34</v>
      </c>
    </row>
    <row r="549" spans="1:10" ht="14.5" x14ac:dyDescent="0.35">
      <c r="A549" s="2" t="str">
        <f>HYPERLINK("https://nga.laas.intel.com/#/nga_fv_gnr/failureManagement/failures/d6e78eb1-37f3-434b-a6a9-16df59765abe","d6e78eb1")</f>
        <v>d6e78eb1</v>
      </c>
      <c r="B549" t="s">
        <v>41</v>
      </c>
      <c r="C549" t="s">
        <v>22</v>
      </c>
      <c r="D549" t="s">
        <v>691</v>
      </c>
      <c r="E549" s="2" t="str">
        <f>HYPERLINK("https://nga.laas.intel.com/#/nga_fv_gnr/failureManagement/bucket/706cd1de-8c64-4479-9882-8d987e9f68ca","hw_err_msm_global_status_ctrl_reg_msm_pmsb_err,hw_err_msm_global_status_ctrl_reg_pcode_err,hw_err_msm_global_status_ctrl_reg_peci_err,hw_err_rppiosts_cfgurc")</f>
        <v>hw_err_msm_global_status_ctrl_reg_msm_pmsb_err,hw_err_msm_global_status_ctrl_reg_pcode_err,hw_err_msm_global_status_ctrl_reg_peci_err,hw_err_rppiosts_cfgurc</v>
      </c>
      <c r="F549" s="2" t="str">
        <f>HYPERLINK("https://nga.laas.intel.com/#/nga_fv_gnr/planning/suites/19071fd0-ce37-4381-bd21-7f133022b5cc","GNR-AP-X3_B3_VV")</f>
        <v>GNR-AP-X3_B3_VV</v>
      </c>
      <c r="G549" s="2" t="str">
        <f>HYPERLINK("https://axonsv.app.intel.com/apps/record-viewer?id=4bc6d0db-8397-4275-bec1-7f28f69db884","4bc6d0db-8397-4275-bec1-7f28f69db884")</f>
        <v>4bc6d0db-8397-4275-bec1-7f28f69db884</v>
      </c>
      <c r="I549" t="s">
        <v>559</v>
      </c>
      <c r="J549" t="s">
        <v>34</v>
      </c>
    </row>
    <row r="550" spans="1:10" ht="14.5" x14ac:dyDescent="0.35">
      <c r="A550" s="2" t="str">
        <f>HYPERLINK("https://nga.laas.intel.com/#/nga_fv_gnr/failureManagement/failures/6416f90c-e495-423f-9d0f-0253d6445ee4","6416f90c")</f>
        <v>6416f90c</v>
      </c>
      <c r="B550" t="s">
        <v>41</v>
      </c>
      <c r="C550" t="s">
        <v>22</v>
      </c>
      <c r="D550" t="s">
        <v>642</v>
      </c>
      <c r="E550" s="2" t="str">
        <f>HYPERLINK("https://nga.laas.intel.com/#/nga_fv_gnr/failureManagement/bucket/cda7060e-4789-4d49-aab9-9f4bb6af7dd2","hw_err_rppiosts_cfgurc")</f>
        <v>hw_err_rppiosts_cfgurc</v>
      </c>
      <c r="F550" s="2" t="str">
        <f>HYPERLINK("https://nga.laas.intel.com/#/nga_fv_gnr/planning/suites/19071fd0-ce37-4381-bd21-7f133022b5cc","GNR-AP-X3_B3_VV")</f>
        <v>GNR-AP-X3_B3_VV</v>
      </c>
      <c r="G550" s="2" t="str">
        <f>HYPERLINK("https://axonsv.app.intel.com/apps/record-viewer?id=25a5d4ea-a3ac-46a8-a83f-5cb710032dec","25a5d4ea-a3ac-46a8-a83f-5cb710032dec")</f>
        <v>25a5d4ea-a3ac-46a8-a83f-5cb710032dec</v>
      </c>
      <c r="I550" t="s">
        <v>559</v>
      </c>
      <c r="J550" t="s">
        <v>34</v>
      </c>
    </row>
    <row r="551" spans="1:10" ht="14.5" x14ac:dyDescent="0.35">
      <c r="A551" s="2" t="str">
        <f>HYPERLINK("https://nga.laas.intel.com/#/nga_fv_gnr/failureManagement/failures/4f9e6854-d282-4e60-8a7e-0bb283fa7b68","4f9e6854")</f>
        <v>4f9e6854</v>
      </c>
      <c r="B551" t="s">
        <v>41</v>
      </c>
      <c r="C551" t="s">
        <v>22</v>
      </c>
      <c r="D551" t="s">
        <v>705</v>
      </c>
      <c r="E551" s="2" t="str">
        <f>HYPERLINK("https://nga.laas.intel.com/#/nga_fv_gnr/failureManagement/bucket/0ccd7217-7e8c-4a90-bedd-eb426f04aa78","hw_err_cfg_ibsterrrcrvsts,hw_err_rppiosts_cfgurc,hw_err_upi_upi0_flit_mismatch,hw_err_upi_upi1_flit_mismatch")</f>
        <v>hw_err_cfg_ibsterrrcrvsts,hw_err_rppiosts_cfgurc,hw_err_upi_upi0_flit_mismatch,hw_err_upi_upi1_flit_mismatch</v>
      </c>
      <c r="F551" s="2" t="str">
        <f>HYPERLINK("https://nga.laas.intel.com/#/nga_fv_gnr/planning/suites/19071fd0-ce37-4381-bd21-7f133022b5cc","GNR-AP-X3_B3_VV")</f>
        <v>GNR-AP-X3_B3_VV</v>
      </c>
      <c r="G551" s="2" t="str">
        <f>HYPERLINK("https://axonsv.app.intel.com/apps/record-viewer?id=8bd5ed75-e736-4211-ac66-7b7c4bda8cdb","8bd5ed75-e736-4211-ac66-7b7c4bda8cdb")</f>
        <v>8bd5ed75-e736-4211-ac66-7b7c4bda8cdb</v>
      </c>
      <c r="I551" t="s">
        <v>559</v>
      </c>
      <c r="J551" t="s">
        <v>34</v>
      </c>
    </row>
    <row r="552" spans="1:10" ht="14.5" x14ac:dyDescent="0.35">
      <c r="A552" s="2" t="str">
        <f>HYPERLINK("https://nga.laas.intel.com/#/nga_fv_gnr/failureManagement/failures/6b6ee786-19e7-435d-8dfb-17a568f09201","6b6ee786")</f>
        <v>6b6ee786</v>
      </c>
      <c r="B552" t="s">
        <v>684</v>
      </c>
      <c r="C552" t="s">
        <v>22</v>
      </c>
      <c r="D552" t="s">
        <v>564</v>
      </c>
      <c r="E552" s="2" t="str">
        <f>HYPERLINK("https://nga.laas.intel.com/#/nga_fv_gnr/failureManagement/bucket/e371b646-5f47-4097-9d5d-20af7735b762","hw_err_expptmbar_ltssmerrsts0,hw_err_pxp4_rp0,hw_err_pxp4_rp1,hw_err_pxp4_rp2,hw_err_pxp4_rp3,hw_err_rppiosts_cfgurc")</f>
        <v>hw_err_expptmbar_ltssmerrsts0,hw_err_pxp4_rp0,hw_err_pxp4_rp1,hw_err_pxp4_rp2,hw_err_pxp4_rp3,hw_err_rppiosts_cfgurc</v>
      </c>
      <c r="F552" s="2" t="str">
        <f>HYPERLINK("https://nga.laas.intel.com/#/nga_fv_gnr/planning/suites/5445a66c-97d3-4505-9734-da2d81a498c0","GNR-AP-X3_B3_Reset-Regression")</f>
        <v>GNR-AP-X3_B3_Reset-Regression</v>
      </c>
      <c r="G552" s="2" t="str">
        <f>HYPERLINK("https://axonsv.app.intel.com/apps/record-viewer?id=2f2a496e-f87d-4e24-9ea2-1c2082ce41ef","2f2a496e-f87d-4e24-9ea2-1c2082ce41ef")</f>
        <v>2f2a496e-f87d-4e24-9ea2-1c2082ce41ef</v>
      </c>
      <c r="I552" t="s">
        <v>559</v>
      </c>
      <c r="J552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Choudhari, Nakul</cp:lastModifiedBy>
  <dcterms:created xsi:type="dcterms:W3CDTF">2024-10-21T10:03:11Z</dcterms:created>
  <dcterms:modified xsi:type="dcterms:W3CDTF">2024-11-11T05:23:59Z</dcterms:modified>
</cp:coreProperties>
</file>