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mwa/Documents/++My IS🌈🌻🎄🦩/IS_Files/"/>
    </mc:Choice>
  </mc:AlternateContent>
  <xr:revisionPtr revIDLastSave="0" documentId="13_ncr:1_{E294C7E6-A2F8-F14F-9598-9A4D16DB0746}" xr6:coauthVersionLast="47" xr6:coauthVersionMax="47" xr10:uidLastSave="{00000000-0000-0000-0000-000000000000}"/>
  <bookViews>
    <workbookView xWindow="0" yWindow="500" windowWidth="28800" windowHeight="15980" activeTab="18" xr2:uid="{00000000-000D-0000-FFFF-FFFF00000000}"/>
  </bookViews>
  <sheets>
    <sheet name="16 Days_sales_fc" sheetId="116" r:id="rId1"/>
    <sheet name="16 Days_cost raw mat" sheetId="120" r:id="rId2"/>
    <sheet name="16 Days_sales_expected" sheetId="119" r:id="rId3"/>
    <sheet name="16" sheetId="187" state="hidden" r:id="rId4"/>
    <sheet name="13" sheetId="188" state="hidden" r:id="rId5"/>
    <sheet name="12" sheetId="185" state="hidden" r:id="rId6"/>
    <sheet name="10" sheetId="186" state="hidden" r:id="rId7"/>
    <sheet name="9" sheetId="184" state="hidden" r:id="rId8"/>
    <sheet name="8" sheetId="183" state="hidden" r:id="rId9"/>
    <sheet name="15" sheetId="178" state="hidden" r:id="rId10"/>
    <sheet name="14" sheetId="179" state="hidden" r:id="rId11"/>
    <sheet name="11" sheetId="172" state="hidden" r:id="rId12"/>
    <sheet name="7" sheetId="176" state="hidden" r:id="rId13"/>
    <sheet name="6" sheetId="177" state="hidden" r:id="rId14"/>
    <sheet name="5" sheetId="169" state="hidden" r:id="rId15"/>
    <sheet name="4" sheetId="170" state="hidden" r:id="rId16"/>
    <sheet name="3" sheetId="171" state="hidden" r:id="rId17"/>
    <sheet name="2" sheetId="168" state="hidden" r:id="rId18"/>
    <sheet name="16 Days_profit" sheetId="112" r:id="rId19"/>
    <sheet name="1" sheetId="166" r:id="rId20"/>
    <sheet name="Actual Sales" sheetId="114" r:id="rId21"/>
    <sheet name="order" sheetId="30" r:id="rId22"/>
    <sheet name="daily_demand" sheetId="28" r:id="rId23"/>
    <sheet name="cost" sheetId="22" r:id="rId24"/>
    <sheet name="Evaluate by product" sheetId="118" r:id="rId25"/>
    <sheet name="original" sheetId="125" r:id="rId26"/>
  </sheets>
  <definedNames>
    <definedName name="solver_adj" localSheetId="19" hidden="1">'1'!$J$28:$AF$28</definedName>
    <definedName name="solver_adj" localSheetId="6" hidden="1">'10'!$J$28:$AF$28</definedName>
    <definedName name="solver_adj" localSheetId="11" hidden="1">'11'!$J$28:$AF$28</definedName>
    <definedName name="solver_adj" localSheetId="5" hidden="1">'12'!$J$28:$AF$28</definedName>
    <definedName name="solver_adj" localSheetId="4" hidden="1">'13'!$J$28:$AF$28</definedName>
    <definedName name="solver_adj" localSheetId="10" hidden="1">'14'!$J$28:$AF$28</definedName>
    <definedName name="solver_adj" localSheetId="9" hidden="1">'15'!$J$28:$AF$28</definedName>
    <definedName name="solver_adj" localSheetId="3" hidden="1">'16'!$J$28:$AF$28</definedName>
    <definedName name="solver_adj" localSheetId="17" hidden="1">'2'!$J$28:$AF$28</definedName>
    <definedName name="solver_adj" localSheetId="16" hidden="1">'3'!$J$28:$AF$28</definedName>
    <definedName name="solver_adj" localSheetId="15" hidden="1">'4'!$J$28:$AF$28</definedName>
    <definedName name="solver_adj" localSheetId="14" hidden="1">'5'!$J$28:$AF$28</definedName>
    <definedName name="solver_adj" localSheetId="13" hidden="1">'6'!$J$28:$AF$28</definedName>
    <definedName name="solver_adj" localSheetId="12" hidden="1">'7'!$J$28:$AF$28</definedName>
    <definedName name="solver_adj" localSheetId="8" hidden="1">'8'!$J$28:$AF$28</definedName>
    <definedName name="solver_adj" localSheetId="7" hidden="1">'9'!$J$28:$AF$28</definedName>
    <definedName name="solver_adj" localSheetId="25" hidden="1">original!$J$28:$AF$28</definedName>
    <definedName name="solver_cvg" localSheetId="19" hidden="1">0.0001</definedName>
    <definedName name="solver_cvg" localSheetId="6" hidden="1">0.0001</definedName>
    <definedName name="solver_cvg" localSheetId="11" hidden="1">0.0001</definedName>
    <definedName name="solver_cvg" localSheetId="5" hidden="1">0.0001</definedName>
    <definedName name="solver_cvg" localSheetId="4" hidden="1">0.0001</definedName>
    <definedName name="solver_cvg" localSheetId="10" hidden="1">0.0001</definedName>
    <definedName name="solver_cvg" localSheetId="9" hidden="1">0.0001</definedName>
    <definedName name="solver_cvg" localSheetId="3" hidden="1">0.0001</definedName>
    <definedName name="solver_cvg" localSheetId="17" hidden="1">0.0001</definedName>
    <definedName name="solver_cvg" localSheetId="16" hidden="1">0.0001</definedName>
    <definedName name="solver_cvg" localSheetId="15" hidden="1">0.0001</definedName>
    <definedName name="solver_cvg" localSheetId="14" hidden="1">0.0001</definedName>
    <definedName name="solver_cvg" localSheetId="13" hidden="1">0.0001</definedName>
    <definedName name="solver_cvg" localSheetId="12" hidden="1">0.0001</definedName>
    <definedName name="solver_cvg" localSheetId="8" hidden="1">0.0001</definedName>
    <definedName name="solver_cvg" localSheetId="7" hidden="1">0.0001</definedName>
    <definedName name="solver_cvg" localSheetId="25" hidden="1">0.0001</definedName>
    <definedName name="solver_drv" localSheetId="19" hidden="1">1</definedName>
    <definedName name="solver_drv" localSheetId="6" hidden="1">1</definedName>
    <definedName name="solver_drv" localSheetId="11" hidden="1">1</definedName>
    <definedName name="solver_drv" localSheetId="5" hidden="1">1</definedName>
    <definedName name="solver_drv" localSheetId="4" hidden="1">1</definedName>
    <definedName name="solver_drv" localSheetId="10" hidden="1">1</definedName>
    <definedName name="solver_drv" localSheetId="9" hidden="1">1</definedName>
    <definedName name="solver_drv" localSheetId="3" hidden="1">1</definedName>
    <definedName name="solver_drv" localSheetId="17" hidden="1">1</definedName>
    <definedName name="solver_drv" localSheetId="16" hidden="1">1</definedName>
    <definedName name="solver_drv" localSheetId="15" hidden="1">1</definedName>
    <definedName name="solver_drv" localSheetId="14" hidden="1">1</definedName>
    <definedName name="solver_drv" localSheetId="13" hidden="1">1</definedName>
    <definedName name="solver_drv" localSheetId="12" hidden="1">1</definedName>
    <definedName name="solver_drv" localSheetId="8" hidden="1">1</definedName>
    <definedName name="solver_drv" localSheetId="7" hidden="1">1</definedName>
    <definedName name="solver_drv" localSheetId="25" hidden="1">1</definedName>
    <definedName name="solver_eng" localSheetId="19" hidden="1">1</definedName>
    <definedName name="solver_eng" localSheetId="6" hidden="1">1</definedName>
    <definedName name="solver_eng" localSheetId="11" hidden="1">1</definedName>
    <definedName name="solver_eng" localSheetId="5" hidden="1">1</definedName>
    <definedName name="solver_eng" localSheetId="4" hidden="1">1</definedName>
    <definedName name="solver_eng" localSheetId="10" hidden="1">1</definedName>
    <definedName name="solver_eng" localSheetId="9" hidden="1">1</definedName>
    <definedName name="solver_eng" localSheetId="3" hidden="1">1</definedName>
    <definedName name="solver_eng" localSheetId="17" hidden="1">1</definedName>
    <definedName name="solver_eng" localSheetId="16" hidden="1">1</definedName>
    <definedName name="solver_eng" localSheetId="15" hidden="1">1</definedName>
    <definedName name="solver_eng" localSheetId="14" hidden="1">1</definedName>
    <definedName name="solver_eng" localSheetId="13" hidden="1">1</definedName>
    <definedName name="solver_eng" localSheetId="12" hidden="1">1</definedName>
    <definedName name="solver_eng" localSheetId="8" hidden="1">1</definedName>
    <definedName name="solver_eng" localSheetId="7" hidden="1">1</definedName>
    <definedName name="solver_eng" localSheetId="25" hidden="1">1</definedName>
    <definedName name="solver_est" localSheetId="19" hidden="1">1</definedName>
    <definedName name="solver_est" localSheetId="6" hidden="1">1</definedName>
    <definedName name="solver_est" localSheetId="11" hidden="1">1</definedName>
    <definedName name="solver_est" localSheetId="5" hidden="1">1</definedName>
    <definedName name="solver_est" localSheetId="4" hidden="1">1</definedName>
    <definedName name="solver_est" localSheetId="10" hidden="1">1</definedName>
    <definedName name="solver_est" localSheetId="9" hidden="1">1</definedName>
    <definedName name="solver_est" localSheetId="3" hidden="1">1</definedName>
    <definedName name="solver_est" localSheetId="17" hidden="1">1</definedName>
    <definedName name="solver_est" localSheetId="16" hidden="1">1</definedName>
    <definedName name="solver_est" localSheetId="15" hidden="1">1</definedName>
    <definedName name="solver_est" localSheetId="14" hidden="1">1</definedName>
    <definedName name="solver_est" localSheetId="13" hidden="1">1</definedName>
    <definedName name="solver_est" localSheetId="12" hidden="1">1</definedName>
    <definedName name="solver_est" localSheetId="8" hidden="1">1</definedName>
    <definedName name="solver_est" localSheetId="7" hidden="1">1</definedName>
    <definedName name="solver_est" localSheetId="25" hidden="1">1</definedName>
    <definedName name="solver_itr" localSheetId="19" hidden="1">2147483647</definedName>
    <definedName name="solver_itr" localSheetId="6" hidden="1">2147483647</definedName>
    <definedName name="solver_itr" localSheetId="11" hidden="1">2147483647</definedName>
    <definedName name="solver_itr" localSheetId="5" hidden="1">2147483647</definedName>
    <definedName name="solver_itr" localSheetId="4" hidden="1">2147483647</definedName>
    <definedName name="solver_itr" localSheetId="10" hidden="1">2147483647</definedName>
    <definedName name="solver_itr" localSheetId="9" hidden="1">2147483647</definedName>
    <definedName name="solver_itr" localSheetId="3" hidden="1">2147483647</definedName>
    <definedName name="solver_itr" localSheetId="17" hidden="1">2147483647</definedName>
    <definedName name="solver_itr" localSheetId="16" hidden="1">2147483647</definedName>
    <definedName name="solver_itr" localSheetId="15" hidden="1">2147483647</definedName>
    <definedName name="solver_itr" localSheetId="14" hidden="1">2147483647</definedName>
    <definedName name="solver_itr" localSheetId="13" hidden="1">2147483647</definedName>
    <definedName name="solver_itr" localSheetId="12" hidden="1">2147483647</definedName>
    <definedName name="solver_itr" localSheetId="8" hidden="1">2147483647</definedName>
    <definedName name="solver_itr" localSheetId="7" hidden="1">2147483647</definedName>
    <definedName name="solver_itr" localSheetId="25" hidden="1">2147483647</definedName>
    <definedName name="solver_lhs1" localSheetId="19" hidden="1">'1'!$BH$4:$BH$20</definedName>
    <definedName name="solver_lhs1" localSheetId="6" hidden="1">'10'!$BH$4:$BH$20</definedName>
    <definedName name="solver_lhs1" localSheetId="11" hidden="1">'11'!$BH$4:$BH$20</definedName>
    <definedName name="solver_lhs1" localSheetId="5" hidden="1">'12'!$BH$4:$BH$20</definedName>
    <definedName name="solver_lhs1" localSheetId="4" hidden="1">'13'!$BH$4:$BH$20</definedName>
    <definedName name="solver_lhs1" localSheetId="10" hidden="1">'14'!$BH$4:$BH$20</definedName>
    <definedName name="solver_lhs1" localSheetId="9" hidden="1">'15'!$BH$4:$BH$20</definedName>
    <definedName name="solver_lhs1" localSheetId="3" hidden="1">'16'!$BH$4:$BH$20</definedName>
    <definedName name="solver_lhs1" localSheetId="17" hidden="1">'2'!$BH$4:$BH$20</definedName>
    <definedName name="solver_lhs1" localSheetId="16" hidden="1">'3'!$BH$4:$BH$20</definedName>
    <definedName name="solver_lhs1" localSheetId="15" hidden="1">'4'!$BH$4:$BH$20</definedName>
    <definedName name="solver_lhs1" localSheetId="14" hidden="1">'5'!$BH$4:$BH$20</definedName>
    <definedName name="solver_lhs1" localSheetId="13" hidden="1">'6'!$BH$4:$BH$20</definedName>
    <definedName name="solver_lhs1" localSheetId="12" hidden="1">'7'!$BH$4:$BH$20</definedName>
    <definedName name="solver_lhs1" localSheetId="8" hidden="1">'8'!$BH$4:$BH$20</definedName>
    <definedName name="solver_lhs1" localSheetId="7" hidden="1">'9'!$BH$4:$BH$20</definedName>
    <definedName name="solver_lhs1" localSheetId="25" hidden="1">original!$BH$4:$BH$20</definedName>
    <definedName name="solver_lhs2" localSheetId="19" hidden="1">'1'!$BH$4:$BH$20</definedName>
    <definedName name="solver_lhs2" localSheetId="6" hidden="1">'10'!$BH$4:$BH$20</definedName>
    <definedName name="solver_lhs2" localSheetId="11" hidden="1">'11'!$BH$4:$BH$20</definedName>
    <definedName name="solver_lhs2" localSheetId="5" hidden="1">'12'!$BH$4:$BH$20</definedName>
    <definedName name="solver_lhs2" localSheetId="4" hidden="1">'13'!$BH$4:$BH$20</definedName>
    <definedName name="solver_lhs2" localSheetId="10" hidden="1">'14'!$BH$4:$BH$20</definedName>
    <definedName name="solver_lhs2" localSheetId="9" hidden="1">'15'!$BH$4:$BH$20</definedName>
    <definedName name="solver_lhs2" localSheetId="3" hidden="1">'16'!$BH$4:$BH$20</definedName>
    <definedName name="solver_lhs2" localSheetId="17" hidden="1">'2'!$BH$4:$BH$20</definedName>
    <definedName name="solver_lhs2" localSheetId="16" hidden="1">'3'!$BH$4:$BH$20</definedName>
    <definedName name="solver_lhs2" localSheetId="15" hidden="1">'4'!$BH$4:$BH$20</definedName>
    <definedName name="solver_lhs2" localSheetId="14" hidden="1">'5'!$BH$4:$BH$20</definedName>
    <definedName name="solver_lhs2" localSheetId="13" hidden="1">'6'!$BH$4:$BH$20</definedName>
    <definedName name="solver_lhs2" localSheetId="12" hidden="1">'7'!$BH$4:$BH$20</definedName>
    <definedName name="solver_lhs2" localSheetId="8" hidden="1">'8'!$BH$4:$BH$20</definedName>
    <definedName name="solver_lhs2" localSheetId="7" hidden="1">'9'!$BH$4:$BH$20</definedName>
    <definedName name="solver_lhs2" localSheetId="25" hidden="1">original!$BH$4:$BH$20</definedName>
    <definedName name="solver_lhs3" localSheetId="19" hidden="1">'1'!$J$28:$AF$28</definedName>
    <definedName name="solver_lhs3" localSheetId="6" hidden="1">'10'!$J$28:$AF$28</definedName>
    <definedName name="solver_lhs3" localSheetId="11" hidden="1">'11'!$J$28:$AF$28</definedName>
    <definedName name="solver_lhs3" localSheetId="5" hidden="1">'12'!$J$28:$AF$28</definedName>
    <definedName name="solver_lhs3" localSheetId="4" hidden="1">'13'!$J$28:$AF$28</definedName>
    <definedName name="solver_lhs3" localSheetId="10" hidden="1">'14'!$J$28:$AF$28</definedName>
    <definedName name="solver_lhs3" localSheetId="9" hidden="1">'15'!$J$28:$AF$28</definedName>
    <definedName name="solver_lhs3" localSheetId="3" hidden="1">'16'!$J$28:$AF$28</definedName>
    <definedName name="solver_lhs3" localSheetId="17" hidden="1">'2'!$J$28:$AF$28</definedName>
    <definedName name="solver_lhs3" localSheetId="16" hidden="1">'3'!$J$28:$AF$28</definedName>
    <definedName name="solver_lhs3" localSheetId="15" hidden="1">'4'!$J$28:$AF$28</definedName>
    <definedName name="solver_lhs3" localSheetId="14" hidden="1">'5'!$J$28:$AF$28</definedName>
    <definedName name="solver_lhs3" localSheetId="13" hidden="1">'6'!$J$28:$AF$28</definedName>
    <definedName name="solver_lhs3" localSheetId="12" hidden="1">'7'!$J$28:$AF$28</definedName>
    <definedName name="solver_lhs3" localSheetId="8" hidden="1">'8'!$J$28:$AF$28</definedName>
    <definedName name="solver_lhs3" localSheetId="7" hidden="1">'9'!$J$28:$AF$28</definedName>
    <definedName name="solver_lhs3" localSheetId="25" hidden="1">original!$J$28:$AF$28</definedName>
    <definedName name="solver_lhs4" localSheetId="19" hidden="1">'1'!$BH$4:$BH$7</definedName>
    <definedName name="solver_lhs4" localSheetId="6" hidden="1">'10'!$BH$4:$BH$7</definedName>
    <definedName name="solver_lhs4" localSheetId="11" hidden="1">'11'!$BH$4:$BH$7</definedName>
    <definedName name="solver_lhs4" localSheetId="5" hidden="1">'12'!$BH$4:$BH$7</definedName>
    <definedName name="solver_lhs4" localSheetId="4" hidden="1">'13'!$BH$4:$BH$7</definedName>
    <definedName name="solver_lhs4" localSheetId="10" hidden="1">'14'!$BH$4:$BH$7</definedName>
    <definedName name="solver_lhs4" localSheetId="9" hidden="1">'15'!$BH$4:$BH$7</definedName>
    <definedName name="solver_lhs4" localSheetId="3" hidden="1">'16'!$BH$4:$BH$7</definedName>
    <definedName name="solver_lhs4" localSheetId="17" hidden="1">'2'!$BH$4:$BH$7</definedName>
    <definedName name="solver_lhs4" localSheetId="16" hidden="1">'3'!$BH$4:$BH$7</definedName>
    <definedName name="solver_lhs4" localSheetId="15" hidden="1">'4'!$BH$4:$BH$7</definedName>
    <definedName name="solver_lhs4" localSheetId="14" hidden="1">'5'!$BH$4:$BH$7</definedName>
    <definedName name="solver_lhs4" localSheetId="13" hidden="1">'6'!$BH$4:$BH$7</definedName>
    <definedName name="solver_lhs4" localSheetId="12" hidden="1">'7'!$BH$4:$BH$7</definedName>
    <definedName name="solver_lhs4" localSheetId="8" hidden="1">'8'!$BH$4:$BH$7</definedName>
    <definedName name="solver_lhs4" localSheetId="7" hidden="1">'9'!$BH$4:$BH$7</definedName>
    <definedName name="solver_lhs4" localSheetId="25" hidden="1">original!$BH$4:$BH$7</definedName>
    <definedName name="solver_lin" localSheetId="19" hidden="1">2</definedName>
    <definedName name="solver_lin" localSheetId="6" hidden="1">2</definedName>
    <definedName name="solver_lin" localSheetId="11" hidden="1">2</definedName>
    <definedName name="solver_lin" localSheetId="5" hidden="1">2</definedName>
    <definedName name="solver_lin" localSheetId="4" hidden="1">2</definedName>
    <definedName name="solver_lin" localSheetId="10" hidden="1">2</definedName>
    <definedName name="solver_lin" localSheetId="9" hidden="1">2</definedName>
    <definedName name="solver_lin" localSheetId="3" hidden="1">2</definedName>
    <definedName name="solver_lin" localSheetId="17" hidden="1">2</definedName>
    <definedName name="solver_lin" localSheetId="16" hidden="1">2</definedName>
    <definedName name="solver_lin" localSheetId="15" hidden="1">2</definedName>
    <definedName name="solver_lin" localSheetId="14" hidden="1">2</definedName>
    <definedName name="solver_lin" localSheetId="13" hidden="1">2</definedName>
    <definedName name="solver_lin" localSheetId="12" hidden="1">2</definedName>
    <definedName name="solver_lin" localSheetId="8" hidden="1">2</definedName>
    <definedName name="solver_lin" localSheetId="7" hidden="1">2</definedName>
    <definedName name="solver_lin" localSheetId="25" hidden="1">2</definedName>
    <definedName name="solver_mip" localSheetId="19" hidden="1">2147483647</definedName>
    <definedName name="solver_mip" localSheetId="6" hidden="1">2147483647</definedName>
    <definedName name="solver_mip" localSheetId="11" hidden="1">2147483647</definedName>
    <definedName name="solver_mip" localSheetId="5" hidden="1">2147483647</definedName>
    <definedName name="solver_mip" localSheetId="4" hidden="1">2147483647</definedName>
    <definedName name="solver_mip" localSheetId="10" hidden="1">2147483647</definedName>
    <definedName name="solver_mip" localSheetId="9" hidden="1">2147483647</definedName>
    <definedName name="solver_mip" localSheetId="3" hidden="1">2147483647</definedName>
    <definedName name="solver_mip" localSheetId="17" hidden="1">2147483647</definedName>
    <definedName name="solver_mip" localSheetId="16" hidden="1">2147483647</definedName>
    <definedName name="solver_mip" localSheetId="15" hidden="1">2147483647</definedName>
    <definedName name="solver_mip" localSheetId="14" hidden="1">2147483647</definedName>
    <definedName name="solver_mip" localSheetId="13" hidden="1">2147483647</definedName>
    <definedName name="solver_mip" localSheetId="12" hidden="1">2147483647</definedName>
    <definedName name="solver_mip" localSheetId="8" hidden="1">2147483647</definedName>
    <definedName name="solver_mip" localSheetId="7" hidden="1">2147483647</definedName>
    <definedName name="solver_mip" localSheetId="25" hidden="1">2147483647</definedName>
    <definedName name="solver_mni" localSheetId="19" hidden="1">100</definedName>
    <definedName name="solver_mni" localSheetId="6" hidden="1">100</definedName>
    <definedName name="solver_mni" localSheetId="11" hidden="1">100</definedName>
    <definedName name="solver_mni" localSheetId="5" hidden="1">100</definedName>
    <definedName name="solver_mni" localSheetId="4" hidden="1">100</definedName>
    <definedName name="solver_mni" localSheetId="10" hidden="1">100</definedName>
    <definedName name="solver_mni" localSheetId="9" hidden="1">100</definedName>
    <definedName name="solver_mni" localSheetId="3" hidden="1">100</definedName>
    <definedName name="solver_mni" localSheetId="17" hidden="1">100</definedName>
    <definedName name="solver_mni" localSheetId="16" hidden="1">100</definedName>
    <definedName name="solver_mni" localSheetId="15" hidden="1">100</definedName>
    <definedName name="solver_mni" localSheetId="14" hidden="1">100</definedName>
    <definedName name="solver_mni" localSheetId="13" hidden="1">100</definedName>
    <definedName name="solver_mni" localSheetId="12" hidden="1">100</definedName>
    <definedName name="solver_mni" localSheetId="8" hidden="1">100</definedName>
    <definedName name="solver_mni" localSheetId="7" hidden="1">100</definedName>
    <definedName name="solver_mni" localSheetId="25" hidden="1">100</definedName>
    <definedName name="solver_mrt" localSheetId="19" hidden="1">0.1</definedName>
    <definedName name="solver_mrt" localSheetId="6" hidden="1">0.1</definedName>
    <definedName name="solver_mrt" localSheetId="11" hidden="1">0.1</definedName>
    <definedName name="solver_mrt" localSheetId="5" hidden="1">0.1</definedName>
    <definedName name="solver_mrt" localSheetId="4" hidden="1">0.1</definedName>
    <definedName name="solver_mrt" localSheetId="10" hidden="1">0.1</definedName>
    <definedName name="solver_mrt" localSheetId="9" hidden="1">0.1</definedName>
    <definedName name="solver_mrt" localSheetId="3" hidden="1">0.1</definedName>
    <definedName name="solver_mrt" localSheetId="17" hidden="1">0.1</definedName>
    <definedName name="solver_mrt" localSheetId="16" hidden="1">0.1</definedName>
    <definedName name="solver_mrt" localSheetId="15" hidden="1">0.1</definedName>
    <definedName name="solver_mrt" localSheetId="14" hidden="1">0.1</definedName>
    <definedName name="solver_mrt" localSheetId="13" hidden="1">0.1</definedName>
    <definedName name="solver_mrt" localSheetId="12" hidden="1">0.1</definedName>
    <definedName name="solver_mrt" localSheetId="8" hidden="1">0.1</definedName>
    <definedName name="solver_mrt" localSheetId="7" hidden="1">0.1</definedName>
    <definedName name="solver_mrt" localSheetId="25" hidden="1">0.1</definedName>
    <definedName name="solver_msl" localSheetId="19" hidden="1">1</definedName>
    <definedName name="solver_msl" localSheetId="6" hidden="1">1</definedName>
    <definedName name="solver_msl" localSheetId="11" hidden="1">1</definedName>
    <definedName name="solver_msl" localSheetId="5" hidden="1">1</definedName>
    <definedName name="solver_msl" localSheetId="4" hidden="1">1</definedName>
    <definedName name="solver_msl" localSheetId="10" hidden="1">1</definedName>
    <definedName name="solver_msl" localSheetId="9" hidden="1">1</definedName>
    <definedName name="solver_msl" localSheetId="3" hidden="1">1</definedName>
    <definedName name="solver_msl" localSheetId="17" hidden="1">1</definedName>
    <definedName name="solver_msl" localSheetId="16" hidden="1">1</definedName>
    <definedName name="solver_msl" localSheetId="15" hidden="1">1</definedName>
    <definedName name="solver_msl" localSheetId="14" hidden="1">1</definedName>
    <definedName name="solver_msl" localSheetId="13" hidden="1">1</definedName>
    <definedName name="solver_msl" localSheetId="12" hidden="1">1</definedName>
    <definedName name="solver_msl" localSheetId="8" hidden="1">1</definedName>
    <definedName name="solver_msl" localSheetId="7" hidden="1">1</definedName>
    <definedName name="solver_msl" localSheetId="25" hidden="1">1</definedName>
    <definedName name="solver_neg" localSheetId="19" hidden="1">2</definedName>
    <definedName name="solver_neg" localSheetId="6" hidden="1">2</definedName>
    <definedName name="solver_neg" localSheetId="11" hidden="1">2</definedName>
    <definedName name="solver_neg" localSheetId="5" hidden="1">2</definedName>
    <definedName name="solver_neg" localSheetId="4" hidden="1">2</definedName>
    <definedName name="solver_neg" localSheetId="10" hidden="1">2</definedName>
    <definedName name="solver_neg" localSheetId="9" hidden="1">2</definedName>
    <definedName name="solver_neg" localSheetId="3" hidden="1">2</definedName>
    <definedName name="solver_neg" localSheetId="17" hidden="1">2</definedName>
    <definedName name="solver_neg" localSheetId="16" hidden="1">2</definedName>
    <definedName name="solver_neg" localSheetId="15" hidden="1">2</definedName>
    <definedName name="solver_neg" localSheetId="14" hidden="1">2</definedName>
    <definedName name="solver_neg" localSheetId="13" hidden="1">2</definedName>
    <definedName name="solver_neg" localSheetId="12" hidden="1">2</definedName>
    <definedName name="solver_neg" localSheetId="8" hidden="1">2</definedName>
    <definedName name="solver_neg" localSheetId="7" hidden="1">2</definedName>
    <definedName name="solver_neg" localSheetId="25" hidden="1">2</definedName>
    <definedName name="solver_nod" localSheetId="19" hidden="1">2147483647</definedName>
    <definedName name="solver_nod" localSheetId="6" hidden="1">2147483647</definedName>
    <definedName name="solver_nod" localSheetId="11" hidden="1">2147483647</definedName>
    <definedName name="solver_nod" localSheetId="5" hidden="1">2147483647</definedName>
    <definedName name="solver_nod" localSheetId="4" hidden="1">2147483647</definedName>
    <definedName name="solver_nod" localSheetId="10" hidden="1">2147483647</definedName>
    <definedName name="solver_nod" localSheetId="9" hidden="1">2147483647</definedName>
    <definedName name="solver_nod" localSheetId="3" hidden="1">2147483647</definedName>
    <definedName name="solver_nod" localSheetId="17" hidden="1">2147483647</definedName>
    <definedName name="solver_nod" localSheetId="16" hidden="1">2147483647</definedName>
    <definedName name="solver_nod" localSheetId="15" hidden="1">2147483647</definedName>
    <definedName name="solver_nod" localSheetId="14" hidden="1">2147483647</definedName>
    <definedName name="solver_nod" localSheetId="13" hidden="1">2147483647</definedName>
    <definedName name="solver_nod" localSheetId="12" hidden="1">2147483647</definedName>
    <definedName name="solver_nod" localSheetId="8" hidden="1">2147483647</definedName>
    <definedName name="solver_nod" localSheetId="7" hidden="1">2147483647</definedName>
    <definedName name="solver_nod" localSheetId="25" hidden="1">2147483647</definedName>
    <definedName name="solver_num" localSheetId="19" hidden="1">3</definedName>
    <definedName name="solver_num" localSheetId="6" hidden="1">3</definedName>
    <definedName name="solver_num" localSheetId="11" hidden="1">3</definedName>
    <definedName name="solver_num" localSheetId="5" hidden="1">3</definedName>
    <definedName name="solver_num" localSheetId="4" hidden="1">3</definedName>
    <definedName name="solver_num" localSheetId="10" hidden="1">3</definedName>
    <definedName name="solver_num" localSheetId="9" hidden="1">3</definedName>
    <definedName name="solver_num" localSheetId="3" hidden="1">3</definedName>
    <definedName name="solver_num" localSheetId="17" hidden="1">3</definedName>
    <definedName name="solver_num" localSheetId="16" hidden="1">3</definedName>
    <definedName name="solver_num" localSheetId="15" hidden="1">3</definedName>
    <definedName name="solver_num" localSheetId="14" hidden="1">3</definedName>
    <definedName name="solver_num" localSheetId="13" hidden="1">3</definedName>
    <definedName name="solver_num" localSheetId="12" hidden="1">3</definedName>
    <definedName name="solver_num" localSheetId="8" hidden="1">3</definedName>
    <definedName name="solver_num" localSheetId="7" hidden="1">3</definedName>
    <definedName name="solver_num" localSheetId="25" hidden="1">3</definedName>
    <definedName name="solver_nwt" localSheetId="19" hidden="1">1</definedName>
    <definedName name="solver_nwt" localSheetId="6" hidden="1">1</definedName>
    <definedName name="solver_nwt" localSheetId="11" hidden="1">1</definedName>
    <definedName name="solver_nwt" localSheetId="5" hidden="1">1</definedName>
    <definedName name="solver_nwt" localSheetId="4" hidden="1">1</definedName>
    <definedName name="solver_nwt" localSheetId="10" hidden="1">1</definedName>
    <definedName name="solver_nwt" localSheetId="9" hidden="1">1</definedName>
    <definedName name="solver_nwt" localSheetId="3" hidden="1">1</definedName>
    <definedName name="solver_nwt" localSheetId="17" hidden="1">1</definedName>
    <definedName name="solver_nwt" localSheetId="16" hidden="1">1</definedName>
    <definedName name="solver_nwt" localSheetId="15" hidden="1">1</definedName>
    <definedName name="solver_nwt" localSheetId="14" hidden="1">1</definedName>
    <definedName name="solver_nwt" localSheetId="13" hidden="1">1</definedName>
    <definedName name="solver_nwt" localSheetId="12" hidden="1">1</definedName>
    <definedName name="solver_nwt" localSheetId="8" hidden="1">1</definedName>
    <definedName name="solver_nwt" localSheetId="7" hidden="1">1</definedName>
    <definedName name="solver_nwt" localSheetId="25" hidden="1">1</definedName>
    <definedName name="solver_opt" localSheetId="19" hidden="1">'1'!$BH$25</definedName>
    <definedName name="solver_opt" localSheetId="6" hidden="1">'10'!$BH$25</definedName>
    <definedName name="solver_opt" localSheetId="11" hidden="1">'11'!$BH$25</definedName>
    <definedName name="solver_opt" localSheetId="5" hidden="1">'12'!$BH$25</definedName>
    <definedName name="solver_opt" localSheetId="4" hidden="1">'13'!$BH$25</definedName>
    <definedName name="solver_opt" localSheetId="10" hidden="1">'14'!$BH$25</definedName>
    <definedName name="solver_opt" localSheetId="9" hidden="1">'15'!$BH$25</definedName>
    <definedName name="solver_opt" localSheetId="3" hidden="1">'16'!$BH$25</definedName>
    <definedName name="solver_opt" localSheetId="17" hidden="1">'2'!$BH$25</definedName>
    <definedName name="solver_opt" localSheetId="16" hidden="1">'3'!$BH$25</definedName>
    <definedName name="solver_opt" localSheetId="15" hidden="1">'4'!$BH$25</definedName>
    <definedName name="solver_opt" localSheetId="14" hidden="1">'5'!$BH$25</definedName>
    <definedName name="solver_opt" localSheetId="13" hidden="1">'6'!$BH$25</definedName>
    <definedName name="solver_opt" localSheetId="12" hidden="1">'7'!$BH$25</definedName>
    <definedName name="solver_opt" localSheetId="8" hidden="1">'8'!$BH$25</definedName>
    <definedName name="solver_opt" localSheetId="7" hidden="1">'9'!$BH$25</definedName>
    <definedName name="solver_opt" localSheetId="25" hidden="1">original!$BH$25</definedName>
    <definedName name="solver_pre" localSheetId="19" hidden="1">0.000001</definedName>
    <definedName name="solver_pre" localSheetId="6" hidden="1">0.000001</definedName>
    <definedName name="solver_pre" localSheetId="11" hidden="1">0.000001</definedName>
    <definedName name="solver_pre" localSheetId="5" hidden="1">0.000001</definedName>
    <definedName name="solver_pre" localSheetId="4" hidden="1">0.000001</definedName>
    <definedName name="solver_pre" localSheetId="10" hidden="1">0.000001</definedName>
    <definedName name="solver_pre" localSheetId="9" hidden="1">0.000001</definedName>
    <definedName name="solver_pre" localSheetId="3" hidden="1">0.000001</definedName>
    <definedName name="solver_pre" localSheetId="17" hidden="1">0.000001</definedName>
    <definedName name="solver_pre" localSheetId="16" hidden="1">0.000001</definedName>
    <definedName name="solver_pre" localSheetId="15" hidden="1">0.000001</definedName>
    <definedName name="solver_pre" localSheetId="14" hidden="1">0.000001</definedName>
    <definedName name="solver_pre" localSheetId="13" hidden="1">0.000001</definedName>
    <definedName name="solver_pre" localSheetId="12" hidden="1">0.000001</definedName>
    <definedName name="solver_pre" localSheetId="8" hidden="1">0.000001</definedName>
    <definedName name="solver_pre" localSheetId="7" hidden="1">0.000001</definedName>
    <definedName name="solver_pre" localSheetId="25" hidden="1">0.000001</definedName>
    <definedName name="solver_rbv" localSheetId="19" hidden="1">2</definedName>
    <definedName name="solver_rbv" localSheetId="6" hidden="1">2</definedName>
    <definedName name="solver_rbv" localSheetId="11" hidden="1">2</definedName>
    <definedName name="solver_rbv" localSheetId="5" hidden="1">2</definedName>
    <definedName name="solver_rbv" localSheetId="4" hidden="1">2</definedName>
    <definedName name="solver_rbv" localSheetId="10" hidden="1">2</definedName>
    <definedName name="solver_rbv" localSheetId="9" hidden="1">2</definedName>
    <definedName name="solver_rbv" localSheetId="3" hidden="1">2</definedName>
    <definedName name="solver_rbv" localSheetId="17" hidden="1">2</definedName>
    <definedName name="solver_rbv" localSheetId="16" hidden="1">2</definedName>
    <definedName name="solver_rbv" localSheetId="15" hidden="1">2</definedName>
    <definedName name="solver_rbv" localSheetId="14" hidden="1">2</definedName>
    <definedName name="solver_rbv" localSheetId="13" hidden="1">2</definedName>
    <definedName name="solver_rbv" localSheetId="12" hidden="1">2</definedName>
    <definedName name="solver_rbv" localSheetId="8" hidden="1">2</definedName>
    <definedName name="solver_rbv" localSheetId="7" hidden="1">2</definedName>
    <definedName name="solver_rbv" localSheetId="25" hidden="1">2</definedName>
    <definedName name="solver_rel1" localSheetId="19" hidden="1">1</definedName>
    <definedName name="solver_rel1" localSheetId="6" hidden="1">1</definedName>
    <definedName name="solver_rel1" localSheetId="11" hidden="1">1</definedName>
    <definedName name="solver_rel1" localSheetId="5" hidden="1">1</definedName>
    <definedName name="solver_rel1" localSheetId="4" hidden="1">1</definedName>
    <definedName name="solver_rel1" localSheetId="10" hidden="1">1</definedName>
    <definedName name="solver_rel1" localSheetId="9" hidden="1">1</definedName>
    <definedName name="solver_rel1" localSheetId="3" hidden="1">1</definedName>
    <definedName name="solver_rel1" localSheetId="17" hidden="1">1</definedName>
    <definedName name="solver_rel1" localSheetId="16" hidden="1">1</definedName>
    <definedName name="solver_rel1" localSheetId="15" hidden="1">1</definedName>
    <definedName name="solver_rel1" localSheetId="14" hidden="1">1</definedName>
    <definedName name="solver_rel1" localSheetId="13" hidden="1">1</definedName>
    <definedName name="solver_rel1" localSheetId="12" hidden="1">1</definedName>
    <definedName name="solver_rel1" localSheetId="8" hidden="1">1</definedName>
    <definedName name="solver_rel1" localSheetId="7" hidden="1">1</definedName>
    <definedName name="solver_rel1" localSheetId="25" hidden="1">1</definedName>
    <definedName name="solver_rel2" localSheetId="19" hidden="1">3</definedName>
    <definedName name="solver_rel2" localSheetId="6" hidden="1">3</definedName>
    <definedName name="solver_rel2" localSheetId="11" hidden="1">3</definedName>
    <definedName name="solver_rel2" localSheetId="5" hidden="1">3</definedName>
    <definedName name="solver_rel2" localSheetId="4" hidden="1">3</definedName>
    <definedName name="solver_rel2" localSheetId="10" hidden="1">3</definedName>
    <definedName name="solver_rel2" localSheetId="9" hidden="1">3</definedName>
    <definedName name="solver_rel2" localSheetId="3" hidden="1">3</definedName>
    <definedName name="solver_rel2" localSheetId="17" hidden="1">3</definedName>
    <definedName name="solver_rel2" localSheetId="16" hidden="1">3</definedName>
    <definedName name="solver_rel2" localSheetId="15" hidden="1">3</definedName>
    <definedName name="solver_rel2" localSheetId="14" hidden="1">3</definedName>
    <definedName name="solver_rel2" localSheetId="13" hidden="1">3</definedName>
    <definedName name="solver_rel2" localSheetId="12" hidden="1">3</definedName>
    <definedName name="solver_rel2" localSheetId="8" hidden="1">3</definedName>
    <definedName name="solver_rel2" localSheetId="7" hidden="1">3</definedName>
    <definedName name="solver_rel2" localSheetId="25" hidden="1">3</definedName>
    <definedName name="solver_rel3" localSheetId="19" hidden="1">3</definedName>
    <definedName name="solver_rel3" localSheetId="6" hidden="1">3</definedName>
    <definedName name="solver_rel3" localSheetId="11" hidden="1">3</definedName>
    <definedName name="solver_rel3" localSheetId="5" hidden="1">3</definedName>
    <definedName name="solver_rel3" localSheetId="4" hidden="1">3</definedName>
    <definedName name="solver_rel3" localSheetId="10" hidden="1">3</definedName>
    <definedName name="solver_rel3" localSheetId="9" hidden="1">3</definedName>
    <definedName name="solver_rel3" localSheetId="3" hidden="1">3</definedName>
    <definedName name="solver_rel3" localSheetId="17" hidden="1">3</definedName>
    <definedName name="solver_rel3" localSheetId="16" hidden="1">3</definedName>
    <definedName name="solver_rel3" localSheetId="15" hidden="1">3</definedName>
    <definedName name="solver_rel3" localSheetId="14" hidden="1">3</definedName>
    <definedName name="solver_rel3" localSheetId="13" hidden="1">3</definedName>
    <definedName name="solver_rel3" localSheetId="12" hidden="1">3</definedName>
    <definedName name="solver_rel3" localSheetId="8" hidden="1">3</definedName>
    <definedName name="solver_rel3" localSheetId="7" hidden="1">3</definedName>
    <definedName name="solver_rel3" localSheetId="25" hidden="1">3</definedName>
    <definedName name="solver_rel4" localSheetId="19" hidden="1">3</definedName>
    <definedName name="solver_rel4" localSheetId="6" hidden="1">3</definedName>
    <definedName name="solver_rel4" localSheetId="11" hidden="1">3</definedName>
    <definedName name="solver_rel4" localSheetId="5" hidden="1">3</definedName>
    <definedName name="solver_rel4" localSheetId="4" hidden="1">3</definedName>
    <definedName name="solver_rel4" localSheetId="10" hidden="1">3</definedName>
    <definedName name="solver_rel4" localSheetId="9" hidden="1">3</definedName>
    <definedName name="solver_rel4" localSheetId="3" hidden="1">3</definedName>
    <definedName name="solver_rel4" localSheetId="17" hidden="1">3</definedName>
    <definedName name="solver_rel4" localSheetId="16" hidden="1">3</definedName>
    <definedName name="solver_rel4" localSheetId="15" hidden="1">3</definedName>
    <definedName name="solver_rel4" localSheetId="14" hidden="1">3</definedName>
    <definedName name="solver_rel4" localSheetId="13" hidden="1">3</definedName>
    <definedName name="solver_rel4" localSheetId="12" hidden="1">3</definedName>
    <definedName name="solver_rel4" localSheetId="8" hidden="1">3</definedName>
    <definedName name="solver_rel4" localSheetId="7" hidden="1">3</definedName>
    <definedName name="solver_rel4" localSheetId="25" hidden="1">3</definedName>
    <definedName name="solver_rhs1" localSheetId="19" hidden="1">'1'!$G$4:$G$20</definedName>
    <definedName name="solver_rhs1" localSheetId="6" hidden="1">'10'!$G$4:$G$20</definedName>
    <definedName name="solver_rhs1" localSheetId="11" hidden="1">'11'!$G$4:$G$20</definedName>
    <definedName name="solver_rhs1" localSheetId="5" hidden="1">'12'!$G$4:$G$20</definedName>
    <definedName name="solver_rhs1" localSheetId="4" hidden="1">'13'!$G$4:$G$20</definedName>
    <definedName name="solver_rhs1" localSheetId="10" hidden="1">'14'!$G$4:$G$20</definedName>
    <definedName name="solver_rhs1" localSheetId="9" hidden="1">'15'!$G$4:$G$20</definedName>
    <definedName name="solver_rhs1" localSheetId="3" hidden="1">'16'!$G$4:$G$20</definedName>
    <definedName name="solver_rhs1" localSheetId="17" hidden="1">'2'!$G$4:$G$20</definedName>
    <definedName name="solver_rhs1" localSheetId="16" hidden="1">'3'!$G$4:$G$20</definedName>
    <definedName name="solver_rhs1" localSheetId="15" hidden="1">'4'!$G$4:$G$20</definedName>
    <definedName name="solver_rhs1" localSheetId="14" hidden="1">'5'!$G$4:$G$20</definedName>
    <definedName name="solver_rhs1" localSheetId="13" hidden="1">'6'!$G$4:$G$20</definedName>
    <definedName name="solver_rhs1" localSheetId="12" hidden="1">'7'!$G$4:$G$20</definedName>
    <definedName name="solver_rhs1" localSheetId="8" hidden="1">'8'!$G$4:$G$20</definedName>
    <definedName name="solver_rhs1" localSheetId="7" hidden="1">'9'!$G$4:$G$20</definedName>
    <definedName name="solver_rhs1" localSheetId="25" hidden="1">original!$G$4:$G$20</definedName>
    <definedName name="solver_rhs2" localSheetId="19" hidden="1">'1'!$BF$4:$BF$20</definedName>
    <definedName name="solver_rhs2" localSheetId="6" hidden="1">'10'!$BF$4:$BF$20</definedName>
    <definedName name="solver_rhs2" localSheetId="11" hidden="1">'11'!$BF$4:$BF$20</definedName>
    <definedName name="solver_rhs2" localSheetId="5" hidden="1">'12'!$BF$4:$BF$20</definedName>
    <definedName name="solver_rhs2" localSheetId="4" hidden="1">'13'!$BF$4:$BF$20</definedName>
    <definedName name="solver_rhs2" localSheetId="10" hidden="1">'14'!$BF$4:$BF$20</definedName>
    <definedName name="solver_rhs2" localSheetId="9" hidden="1">'15'!$BF$4:$BF$20</definedName>
    <definedName name="solver_rhs2" localSheetId="3" hidden="1">'16'!$BF$4:$BF$20</definedName>
    <definedName name="solver_rhs2" localSheetId="17" hidden="1">'2'!$BF$4:$BF$20</definedName>
    <definedName name="solver_rhs2" localSheetId="16" hidden="1">'3'!$BF$4:$BF$20</definedName>
    <definedName name="solver_rhs2" localSheetId="15" hidden="1">'4'!$BF$4:$BF$20</definedName>
    <definedName name="solver_rhs2" localSheetId="14" hidden="1">'5'!$BF$4:$BF$20</definedName>
    <definedName name="solver_rhs2" localSheetId="13" hidden="1">'6'!$BF$4:$BF$20</definedName>
    <definedName name="solver_rhs2" localSheetId="12" hidden="1">'7'!$BF$4:$BF$20</definedName>
    <definedName name="solver_rhs2" localSheetId="8" hidden="1">'8'!$BF$4:$BF$20</definedName>
    <definedName name="solver_rhs2" localSheetId="7" hidden="1">'9'!$BF$4:$BF$20</definedName>
    <definedName name="solver_rhs2" localSheetId="25" hidden="1">original!$BF$4:$BF$20</definedName>
    <definedName name="solver_rhs3" localSheetId="19" hidden="1">0</definedName>
    <definedName name="solver_rhs3" localSheetId="6" hidden="1">0</definedName>
    <definedName name="solver_rhs3" localSheetId="11" hidden="1">0</definedName>
    <definedName name="solver_rhs3" localSheetId="5" hidden="1">0</definedName>
    <definedName name="solver_rhs3" localSheetId="4" hidden="1">0</definedName>
    <definedName name="solver_rhs3" localSheetId="10" hidden="1">0</definedName>
    <definedName name="solver_rhs3" localSheetId="9" hidden="1">0</definedName>
    <definedName name="solver_rhs3" localSheetId="3" hidden="1">0</definedName>
    <definedName name="solver_rhs3" localSheetId="17" hidden="1">0</definedName>
    <definedName name="solver_rhs3" localSheetId="16" hidden="1">0</definedName>
    <definedName name="solver_rhs3" localSheetId="15" hidden="1">0</definedName>
    <definedName name="solver_rhs3" localSheetId="14" hidden="1">0</definedName>
    <definedName name="solver_rhs3" localSheetId="13" hidden="1">0</definedName>
    <definedName name="solver_rhs3" localSheetId="12" hidden="1">0</definedName>
    <definedName name="solver_rhs3" localSheetId="8" hidden="1">0</definedName>
    <definedName name="solver_rhs3" localSheetId="7" hidden="1">0</definedName>
    <definedName name="solver_rhs3" localSheetId="25" hidden="1">0</definedName>
    <definedName name="solver_rhs4" localSheetId="19" hidden="1">'1'!$BF$4:$BF$7</definedName>
    <definedName name="solver_rhs4" localSheetId="6" hidden="1">'10'!$BF$4:$BF$7</definedName>
    <definedName name="solver_rhs4" localSheetId="11" hidden="1">'11'!$BF$4:$BF$7</definedName>
    <definedName name="solver_rhs4" localSheetId="5" hidden="1">'12'!$BF$4:$BF$7</definedName>
    <definedName name="solver_rhs4" localSheetId="4" hidden="1">'13'!$BF$4:$BF$7</definedName>
    <definedName name="solver_rhs4" localSheetId="10" hidden="1">'14'!$BF$4:$BF$7</definedName>
    <definedName name="solver_rhs4" localSheetId="9" hidden="1">'15'!$BF$4:$BF$7</definedName>
    <definedName name="solver_rhs4" localSheetId="3" hidden="1">'16'!$BF$4:$BF$7</definedName>
    <definedName name="solver_rhs4" localSheetId="17" hidden="1">'2'!$BF$4:$BF$7</definedName>
    <definedName name="solver_rhs4" localSheetId="16" hidden="1">'3'!$BF$4:$BF$7</definedName>
    <definedName name="solver_rhs4" localSheetId="15" hidden="1">'4'!$BF$4:$BF$7</definedName>
    <definedName name="solver_rhs4" localSheetId="14" hidden="1">'5'!$BF$4:$BF$7</definedName>
    <definedName name="solver_rhs4" localSheetId="13" hidden="1">'6'!$BF$4:$BF$7</definedName>
    <definedName name="solver_rhs4" localSheetId="12" hidden="1">'7'!$BF$4:$BF$7</definedName>
    <definedName name="solver_rhs4" localSheetId="8" hidden="1">'8'!$BF$4:$BF$7</definedName>
    <definedName name="solver_rhs4" localSheetId="7" hidden="1">'9'!$BF$4:$BF$7</definedName>
    <definedName name="solver_rhs4" localSheetId="25" hidden="1">original!$BF$4:$BF$7</definedName>
    <definedName name="solver_rlx" localSheetId="19" hidden="1">2</definedName>
    <definedName name="solver_rlx" localSheetId="6" hidden="1">2</definedName>
    <definedName name="solver_rlx" localSheetId="11" hidden="1">2</definedName>
    <definedName name="solver_rlx" localSheetId="5" hidden="1">2</definedName>
    <definedName name="solver_rlx" localSheetId="4" hidden="1">2</definedName>
    <definedName name="solver_rlx" localSheetId="10" hidden="1">2</definedName>
    <definedName name="solver_rlx" localSheetId="9" hidden="1">2</definedName>
    <definedName name="solver_rlx" localSheetId="3" hidden="1">2</definedName>
    <definedName name="solver_rlx" localSheetId="17" hidden="1">2</definedName>
    <definedName name="solver_rlx" localSheetId="16" hidden="1">2</definedName>
    <definedName name="solver_rlx" localSheetId="15" hidden="1">2</definedName>
    <definedName name="solver_rlx" localSheetId="14" hidden="1">2</definedName>
    <definedName name="solver_rlx" localSheetId="13" hidden="1">2</definedName>
    <definedName name="solver_rlx" localSheetId="12" hidden="1">2</definedName>
    <definedName name="solver_rlx" localSheetId="8" hidden="1">2</definedName>
    <definedName name="solver_rlx" localSheetId="7" hidden="1">2</definedName>
    <definedName name="solver_rlx" localSheetId="25" hidden="1">2</definedName>
    <definedName name="solver_rsd" localSheetId="19" hidden="1">0</definedName>
    <definedName name="solver_rsd" localSheetId="6" hidden="1">0</definedName>
    <definedName name="solver_rsd" localSheetId="11" hidden="1">0</definedName>
    <definedName name="solver_rsd" localSheetId="5" hidden="1">0</definedName>
    <definedName name="solver_rsd" localSheetId="4" hidden="1">0</definedName>
    <definedName name="solver_rsd" localSheetId="10" hidden="1">0</definedName>
    <definedName name="solver_rsd" localSheetId="9" hidden="1">0</definedName>
    <definedName name="solver_rsd" localSheetId="3" hidden="1">0</definedName>
    <definedName name="solver_rsd" localSheetId="17" hidden="1">0</definedName>
    <definedName name="solver_rsd" localSheetId="16" hidden="1">0</definedName>
    <definedName name="solver_rsd" localSheetId="15" hidden="1">0</definedName>
    <definedName name="solver_rsd" localSheetId="14" hidden="1">0</definedName>
    <definedName name="solver_rsd" localSheetId="13" hidden="1">0</definedName>
    <definedName name="solver_rsd" localSheetId="12" hidden="1">0</definedName>
    <definedName name="solver_rsd" localSheetId="8" hidden="1">0</definedName>
    <definedName name="solver_rsd" localSheetId="7" hidden="1">0</definedName>
    <definedName name="solver_rsd" localSheetId="25" hidden="1">0</definedName>
    <definedName name="solver_scl" localSheetId="19" hidden="1">2</definedName>
    <definedName name="solver_scl" localSheetId="6" hidden="1">2</definedName>
    <definedName name="solver_scl" localSheetId="11" hidden="1">2</definedName>
    <definedName name="solver_scl" localSheetId="5" hidden="1">2</definedName>
    <definedName name="solver_scl" localSheetId="4" hidden="1">2</definedName>
    <definedName name="solver_scl" localSheetId="10" hidden="1">2</definedName>
    <definedName name="solver_scl" localSheetId="9" hidden="1">2</definedName>
    <definedName name="solver_scl" localSheetId="3" hidden="1">2</definedName>
    <definedName name="solver_scl" localSheetId="17" hidden="1">2</definedName>
    <definedName name="solver_scl" localSheetId="16" hidden="1">2</definedName>
    <definedName name="solver_scl" localSheetId="15" hidden="1">2</definedName>
    <definedName name="solver_scl" localSheetId="14" hidden="1">2</definedName>
    <definedName name="solver_scl" localSheetId="13" hidden="1">2</definedName>
    <definedName name="solver_scl" localSheetId="12" hidden="1">2</definedName>
    <definedName name="solver_scl" localSheetId="8" hidden="1">2</definedName>
    <definedName name="solver_scl" localSheetId="7" hidden="1">2</definedName>
    <definedName name="solver_scl" localSheetId="25" hidden="1">2</definedName>
    <definedName name="solver_sho" localSheetId="19" hidden="1">2</definedName>
    <definedName name="solver_sho" localSheetId="6" hidden="1">2</definedName>
    <definedName name="solver_sho" localSheetId="11" hidden="1">2</definedName>
    <definedName name="solver_sho" localSheetId="5" hidden="1">2</definedName>
    <definedName name="solver_sho" localSheetId="4" hidden="1">2</definedName>
    <definedName name="solver_sho" localSheetId="10" hidden="1">2</definedName>
    <definedName name="solver_sho" localSheetId="9" hidden="1">2</definedName>
    <definedName name="solver_sho" localSheetId="3" hidden="1">2</definedName>
    <definedName name="solver_sho" localSheetId="17" hidden="1">2</definedName>
    <definedName name="solver_sho" localSheetId="16" hidden="1">2</definedName>
    <definedName name="solver_sho" localSheetId="15" hidden="1">2</definedName>
    <definedName name="solver_sho" localSheetId="14" hidden="1">2</definedName>
    <definedName name="solver_sho" localSheetId="13" hidden="1">2</definedName>
    <definedName name="solver_sho" localSheetId="12" hidden="1">2</definedName>
    <definedName name="solver_sho" localSheetId="8" hidden="1">2</definedName>
    <definedName name="solver_sho" localSheetId="7" hidden="1">2</definedName>
    <definedName name="solver_sho" localSheetId="25" hidden="1">2</definedName>
    <definedName name="solver_ssz" localSheetId="19" hidden="1">1000</definedName>
    <definedName name="solver_ssz" localSheetId="6" hidden="1">1000</definedName>
    <definedName name="solver_ssz" localSheetId="11" hidden="1">1000</definedName>
    <definedName name="solver_ssz" localSheetId="5" hidden="1">1000</definedName>
    <definedName name="solver_ssz" localSheetId="4" hidden="1">1000</definedName>
    <definedName name="solver_ssz" localSheetId="10" hidden="1">1000</definedName>
    <definedName name="solver_ssz" localSheetId="9" hidden="1">1000</definedName>
    <definedName name="solver_ssz" localSheetId="3" hidden="1">1000</definedName>
    <definedName name="solver_ssz" localSheetId="17" hidden="1">1000</definedName>
    <definedName name="solver_ssz" localSheetId="16" hidden="1">1000</definedName>
    <definedName name="solver_ssz" localSheetId="15" hidden="1">1000</definedName>
    <definedName name="solver_ssz" localSheetId="14" hidden="1">1000</definedName>
    <definedName name="solver_ssz" localSheetId="13" hidden="1">1000</definedName>
    <definedName name="solver_ssz" localSheetId="12" hidden="1">1000</definedName>
    <definedName name="solver_ssz" localSheetId="8" hidden="1">1000</definedName>
    <definedName name="solver_ssz" localSheetId="7" hidden="1">1000</definedName>
    <definedName name="solver_ssz" localSheetId="25" hidden="1">1000</definedName>
    <definedName name="solver_tim" localSheetId="19" hidden="1">2147483647</definedName>
    <definedName name="solver_tim" localSheetId="6" hidden="1">2147483647</definedName>
    <definedName name="solver_tim" localSheetId="11" hidden="1">2147483647</definedName>
    <definedName name="solver_tim" localSheetId="5" hidden="1">2147483647</definedName>
    <definedName name="solver_tim" localSheetId="4" hidden="1">2147483647</definedName>
    <definedName name="solver_tim" localSheetId="10" hidden="1">2147483647</definedName>
    <definedName name="solver_tim" localSheetId="9" hidden="1">2147483647</definedName>
    <definedName name="solver_tim" localSheetId="3" hidden="1">2147483647</definedName>
    <definedName name="solver_tim" localSheetId="17" hidden="1">2147483647</definedName>
    <definedName name="solver_tim" localSheetId="16" hidden="1">2147483647</definedName>
    <definedName name="solver_tim" localSheetId="15" hidden="1">2147483647</definedName>
    <definedName name="solver_tim" localSheetId="14" hidden="1">2147483647</definedName>
    <definedName name="solver_tim" localSheetId="13" hidden="1">2147483647</definedName>
    <definedName name="solver_tim" localSheetId="12" hidden="1">2147483647</definedName>
    <definedName name="solver_tim" localSheetId="8" hidden="1">2147483647</definedName>
    <definedName name="solver_tim" localSheetId="7" hidden="1">2147483647</definedName>
    <definedName name="solver_tim" localSheetId="25" hidden="1">2147483647</definedName>
    <definedName name="solver_tol" localSheetId="19" hidden="1">0.01</definedName>
    <definedName name="solver_tol" localSheetId="6" hidden="1">0.01</definedName>
    <definedName name="solver_tol" localSheetId="11" hidden="1">0.01</definedName>
    <definedName name="solver_tol" localSheetId="5" hidden="1">0.01</definedName>
    <definedName name="solver_tol" localSheetId="4" hidden="1">0.01</definedName>
    <definedName name="solver_tol" localSheetId="10" hidden="1">0.01</definedName>
    <definedName name="solver_tol" localSheetId="9" hidden="1">0.01</definedName>
    <definedName name="solver_tol" localSheetId="3" hidden="1">0.01</definedName>
    <definedName name="solver_tol" localSheetId="17" hidden="1">0.01</definedName>
    <definedName name="solver_tol" localSheetId="16" hidden="1">0.01</definedName>
    <definedName name="solver_tol" localSheetId="15" hidden="1">0.01</definedName>
    <definedName name="solver_tol" localSheetId="14" hidden="1">0.01</definedName>
    <definedName name="solver_tol" localSheetId="13" hidden="1">0.01</definedName>
    <definedName name="solver_tol" localSheetId="12" hidden="1">0.01</definedName>
    <definedName name="solver_tol" localSheetId="8" hidden="1">0.01</definedName>
    <definedName name="solver_tol" localSheetId="7" hidden="1">0.01</definedName>
    <definedName name="solver_tol" localSheetId="25" hidden="1">0.01</definedName>
    <definedName name="solver_typ" localSheetId="19" hidden="1">1</definedName>
    <definedName name="solver_typ" localSheetId="6" hidden="1">1</definedName>
    <definedName name="solver_typ" localSheetId="11" hidden="1">1</definedName>
    <definedName name="solver_typ" localSheetId="5" hidden="1">1</definedName>
    <definedName name="solver_typ" localSheetId="4" hidden="1">1</definedName>
    <definedName name="solver_typ" localSheetId="10" hidden="1">1</definedName>
    <definedName name="solver_typ" localSheetId="9" hidden="1">1</definedName>
    <definedName name="solver_typ" localSheetId="3" hidden="1">1</definedName>
    <definedName name="solver_typ" localSheetId="17" hidden="1">1</definedName>
    <definedName name="solver_typ" localSheetId="16" hidden="1">1</definedName>
    <definedName name="solver_typ" localSheetId="15" hidden="1">1</definedName>
    <definedName name="solver_typ" localSheetId="14" hidden="1">1</definedName>
    <definedName name="solver_typ" localSheetId="13" hidden="1">1</definedName>
    <definedName name="solver_typ" localSheetId="12" hidden="1">1</definedName>
    <definedName name="solver_typ" localSheetId="8" hidden="1">1</definedName>
    <definedName name="solver_typ" localSheetId="7" hidden="1">1</definedName>
    <definedName name="solver_typ" localSheetId="25" hidden="1">1</definedName>
    <definedName name="solver_val" localSheetId="19" hidden="1">0</definedName>
    <definedName name="solver_val" localSheetId="6" hidden="1">0</definedName>
    <definedName name="solver_val" localSheetId="11" hidden="1">0</definedName>
    <definedName name="solver_val" localSheetId="5" hidden="1">0</definedName>
    <definedName name="solver_val" localSheetId="4" hidden="1">0</definedName>
    <definedName name="solver_val" localSheetId="10" hidden="1">0</definedName>
    <definedName name="solver_val" localSheetId="9" hidden="1">0</definedName>
    <definedName name="solver_val" localSheetId="3" hidden="1">0</definedName>
    <definedName name="solver_val" localSheetId="17" hidden="1">0</definedName>
    <definedName name="solver_val" localSheetId="16" hidden="1">0</definedName>
    <definedName name="solver_val" localSheetId="15" hidden="1">0</definedName>
    <definedName name="solver_val" localSheetId="14" hidden="1">0</definedName>
    <definedName name="solver_val" localSheetId="13" hidden="1">0</definedName>
    <definedName name="solver_val" localSheetId="12" hidden="1">0</definedName>
    <definedName name="solver_val" localSheetId="8" hidden="1">0</definedName>
    <definedName name="solver_val" localSheetId="7" hidden="1">0</definedName>
    <definedName name="solver_val" localSheetId="25" hidden="1">0</definedName>
    <definedName name="solver_ver" localSheetId="19" hidden="1">2</definedName>
    <definedName name="solver_ver" localSheetId="6" hidden="1">2</definedName>
    <definedName name="solver_ver" localSheetId="11" hidden="1">2</definedName>
    <definedName name="solver_ver" localSheetId="5" hidden="1">2</definedName>
    <definedName name="solver_ver" localSheetId="4" hidden="1">2</definedName>
    <definedName name="solver_ver" localSheetId="10" hidden="1">2</definedName>
    <definedName name="solver_ver" localSheetId="9" hidden="1">2</definedName>
    <definedName name="solver_ver" localSheetId="3" hidden="1">2</definedName>
    <definedName name="solver_ver" localSheetId="17" hidden="1">2</definedName>
    <definedName name="solver_ver" localSheetId="16" hidden="1">2</definedName>
    <definedName name="solver_ver" localSheetId="15" hidden="1">2</definedName>
    <definedName name="solver_ver" localSheetId="14" hidden="1">2</definedName>
    <definedName name="solver_ver" localSheetId="13" hidden="1">2</definedName>
    <definedName name="solver_ver" localSheetId="12" hidden="1">2</definedName>
    <definedName name="solver_ver" localSheetId="8" hidden="1">2</definedName>
    <definedName name="solver_ver" localSheetId="7" hidden="1">2</definedName>
    <definedName name="solver_ver" localSheetId="25" hidden="1">2</definedName>
  </definedNames>
  <calcPr calcId="191029"/>
  <pivotCaches>
    <pivotCache cacheId="1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X8" i="114" l="1"/>
  <c r="K20" i="112"/>
  <c r="K19" i="112"/>
  <c r="K18" i="112"/>
  <c r="K17" i="112"/>
  <c r="K16" i="112"/>
  <c r="K15" i="112"/>
  <c r="K14" i="112"/>
  <c r="K13" i="112"/>
  <c r="K12" i="112"/>
  <c r="K11" i="112"/>
  <c r="K10" i="112"/>
  <c r="K9" i="112"/>
  <c r="K8" i="112"/>
  <c r="K7" i="112"/>
  <c r="K6" i="112"/>
  <c r="K5" i="112"/>
  <c r="C20" i="120"/>
  <c r="C19" i="120"/>
  <c r="C18" i="120"/>
  <c r="C17" i="120"/>
  <c r="C16" i="120"/>
  <c r="C15" i="120"/>
  <c r="C14" i="120"/>
  <c r="C13" i="120"/>
  <c r="C12" i="120"/>
  <c r="C11" i="120"/>
  <c r="C10" i="120"/>
  <c r="C9" i="120"/>
  <c r="C8" i="120"/>
  <c r="C7" i="120"/>
  <c r="C6" i="120"/>
  <c r="C6" i="116"/>
  <c r="C7" i="116"/>
  <c r="C8" i="116"/>
  <c r="C9" i="116"/>
  <c r="C10" i="116"/>
  <c r="C11" i="116"/>
  <c r="C12" i="116"/>
  <c r="C13" i="116"/>
  <c r="C14" i="116"/>
  <c r="C15" i="116"/>
  <c r="C16" i="116"/>
  <c r="C17" i="116"/>
  <c r="C18" i="116"/>
  <c r="C19" i="116"/>
  <c r="C20" i="116"/>
  <c r="C5" i="116"/>
  <c r="B6" i="116"/>
  <c r="B7" i="116"/>
  <c r="B8" i="116"/>
  <c r="B9" i="116"/>
  <c r="B10" i="116"/>
  <c r="B11" i="116"/>
  <c r="B12" i="116"/>
  <c r="B13" i="116"/>
  <c r="B14" i="116"/>
  <c r="B15" i="116"/>
  <c r="B16" i="116"/>
  <c r="B17" i="116"/>
  <c r="B18" i="116"/>
  <c r="B19" i="116"/>
  <c r="B20" i="116"/>
  <c r="B5" i="116"/>
  <c r="AF23" i="188"/>
  <c r="AE23" i="188"/>
  <c r="AD23" i="188"/>
  <c r="AC23" i="188"/>
  <c r="AB23" i="188"/>
  <c r="AA23" i="188"/>
  <c r="Z23" i="188"/>
  <c r="Y23" i="188"/>
  <c r="X23" i="188"/>
  <c r="W23" i="188"/>
  <c r="V23" i="188"/>
  <c r="U23" i="188"/>
  <c r="T23" i="188"/>
  <c r="S23" i="188"/>
  <c r="R23" i="188"/>
  <c r="Q23" i="188"/>
  <c r="P23" i="188"/>
  <c r="O23" i="188"/>
  <c r="N23" i="188"/>
  <c r="M23" i="188"/>
  <c r="L23" i="188"/>
  <c r="K23" i="188"/>
  <c r="J23" i="188"/>
  <c r="F19" i="188"/>
  <c r="X29" i="188" s="1"/>
  <c r="E19" i="188"/>
  <c r="B19" i="188"/>
  <c r="C19" i="188" s="1"/>
  <c r="F18" i="188"/>
  <c r="M29" i="188" s="1"/>
  <c r="E18" i="188"/>
  <c r="B18" i="188"/>
  <c r="C18" i="188" s="1"/>
  <c r="F17" i="188"/>
  <c r="E17" i="188"/>
  <c r="B17" i="188"/>
  <c r="C17" i="188" s="1"/>
  <c r="F16" i="188"/>
  <c r="E16" i="188"/>
  <c r="B16" i="188"/>
  <c r="C16" i="188" s="1"/>
  <c r="F15" i="188"/>
  <c r="AA29" i="188" s="1"/>
  <c r="E15" i="188"/>
  <c r="B15" i="188"/>
  <c r="C15" i="188" s="1"/>
  <c r="F14" i="188"/>
  <c r="AD29" i="188" s="1"/>
  <c r="E14" i="188"/>
  <c r="B14" i="188"/>
  <c r="F13" i="188"/>
  <c r="E13" i="188"/>
  <c r="B13" i="188"/>
  <c r="C13" i="188" s="1"/>
  <c r="F12" i="188"/>
  <c r="L29" i="188" s="1"/>
  <c r="E12" i="188"/>
  <c r="B12" i="188"/>
  <c r="C12" i="188" s="1"/>
  <c r="F11" i="188"/>
  <c r="N29" i="188" s="1"/>
  <c r="E11" i="188"/>
  <c r="B11" i="188"/>
  <c r="C11" i="188" s="1"/>
  <c r="F10" i="188"/>
  <c r="E10" i="188"/>
  <c r="B10" i="188"/>
  <c r="C10" i="188" s="1"/>
  <c r="F9" i="188"/>
  <c r="O29" i="188" s="1"/>
  <c r="E9" i="188"/>
  <c r="B9" i="188"/>
  <c r="C9" i="188" s="1"/>
  <c r="F8" i="188"/>
  <c r="E8" i="188"/>
  <c r="B8" i="188"/>
  <c r="C8" i="188" s="1"/>
  <c r="F7" i="188"/>
  <c r="E7" i="188"/>
  <c r="B7" i="188"/>
  <c r="C7" i="188" s="1"/>
  <c r="F6" i="188"/>
  <c r="P29" i="188" s="1"/>
  <c r="E6" i="188"/>
  <c r="B6" i="188"/>
  <c r="C6" i="188" s="1"/>
  <c r="F5" i="188"/>
  <c r="J29" i="188" s="1"/>
  <c r="E5" i="188"/>
  <c r="B5" i="188"/>
  <c r="F4" i="188"/>
  <c r="E4" i="188"/>
  <c r="B4" i="188"/>
  <c r="V21" i="188" s="1"/>
  <c r="AF3" i="188"/>
  <c r="AE3" i="188"/>
  <c r="AD3" i="188"/>
  <c r="AC3" i="188"/>
  <c r="AB3" i="188"/>
  <c r="AA3" i="188"/>
  <c r="Z3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AF2" i="188"/>
  <c r="AE2" i="188"/>
  <c r="AD2" i="188"/>
  <c r="AC2" i="188"/>
  <c r="AB2" i="188"/>
  <c r="AA2" i="188"/>
  <c r="Z2" i="188"/>
  <c r="Y2" i="188"/>
  <c r="X2" i="188"/>
  <c r="W2" i="188"/>
  <c r="V2" i="188"/>
  <c r="U2" i="188"/>
  <c r="T2" i="188"/>
  <c r="S2" i="188" a="1"/>
  <c r="S2" i="188" s="1"/>
  <c r="R2" i="188"/>
  <c r="Q2" i="188"/>
  <c r="P2" i="188"/>
  <c r="O2" i="188"/>
  <c r="N2" i="188"/>
  <c r="M2" i="188"/>
  <c r="L2" i="188"/>
  <c r="K2" i="188"/>
  <c r="J2" i="188"/>
  <c r="W29" i="187"/>
  <c r="AF23" i="187"/>
  <c r="AE23" i="187"/>
  <c r="AD23" i="187"/>
  <c r="AC23" i="187"/>
  <c r="AB23" i="187"/>
  <c r="AA23" i="187"/>
  <c r="Z23" i="187"/>
  <c r="Y23" i="187"/>
  <c r="X23" i="187"/>
  <c r="W23" i="187"/>
  <c r="V23" i="187"/>
  <c r="U23" i="187"/>
  <c r="T23" i="187"/>
  <c r="S23" i="187"/>
  <c r="R23" i="187"/>
  <c r="Q23" i="187"/>
  <c r="P23" i="187"/>
  <c r="O23" i="187"/>
  <c r="N23" i="187"/>
  <c r="M23" i="187"/>
  <c r="L23" i="187"/>
  <c r="K23" i="187"/>
  <c r="J23" i="187"/>
  <c r="F19" i="187"/>
  <c r="X29" i="187" s="1"/>
  <c r="E19" i="187"/>
  <c r="B19" i="187"/>
  <c r="C19" i="187" s="1"/>
  <c r="F18" i="187"/>
  <c r="M29" i="187" s="1"/>
  <c r="E18" i="187"/>
  <c r="B18" i="187"/>
  <c r="C18" i="187" s="1"/>
  <c r="F17" i="187"/>
  <c r="E17" i="187"/>
  <c r="B17" i="187"/>
  <c r="C17" i="187" s="1"/>
  <c r="F16" i="187"/>
  <c r="Z29" i="187" s="1"/>
  <c r="E16" i="187"/>
  <c r="B16" i="187"/>
  <c r="C16" i="187" s="1"/>
  <c r="F15" i="187"/>
  <c r="AA29" i="187" s="1"/>
  <c r="E15" i="187"/>
  <c r="B15" i="187"/>
  <c r="C15" i="187" s="1"/>
  <c r="F14" i="187"/>
  <c r="AD29" i="187" s="1"/>
  <c r="E14" i="187"/>
  <c r="B14" i="187"/>
  <c r="C14" i="187" s="1"/>
  <c r="F13" i="187"/>
  <c r="R29" i="187" s="1"/>
  <c r="E13" i="187"/>
  <c r="B13" i="187"/>
  <c r="C13" i="187" s="1"/>
  <c r="F12" i="187"/>
  <c r="L29" i="187" s="1"/>
  <c r="E12" i="187"/>
  <c r="B12" i="187"/>
  <c r="C12" i="187" s="1"/>
  <c r="F11" i="187"/>
  <c r="N29" i="187" s="1"/>
  <c r="E11" i="187"/>
  <c r="B11" i="187"/>
  <c r="C11" i="187" s="1"/>
  <c r="F10" i="187"/>
  <c r="E10" i="187"/>
  <c r="B10" i="187"/>
  <c r="F9" i="187"/>
  <c r="O29" i="187" s="1"/>
  <c r="E9" i="187"/>
  <c r="B9" i="187"/>
  <c r="F8" i="187"/>
  <c r="E8" i="187"/>
  <c r="B8" i="187"/>
  <c r="C8" i="187" s="1"/>
  <c r="F7" i="187"/>
  <c r="AB29" i="187" s="1"/>
  <c r="E7" i="187"/>
  <c r="B7" i="187"/>
  <c r="C7" i="187" s="1"/>
  <c r="F6" i="187"/>
  <c r="E6" i="187"/>
  <c r="B6" i="187"/>
  <c r="C6" i="187" s="1"/>
  <c r="F5" i="187"/>
  <c r="J29" i="187" s="1"/>
  <c r="E5" i="187"/>
  <c r="B5" i="187"/>
  <c r="C5" i="187" s="1"/>
  <c r="F4" i="187"/>
  <c r="E4" i="187"/>
  <c r="C4" i="187"/>
  <c r="B4" i="187"/>
  <c r="AF3" i="187"/>
  <c r="AE3" i="187"/>
  <c r="AD3" i="187"/>
  <c r="AC3" i="187"/>
  <c r="AB3" i="187"/>
  <c r="AA3" i="187"/>
  <c r="Z3" i="187"/>
  <c r="Y3" i="187"/>
  <c r="X3" i="187"/>
  <c r="W3" i="187"/>
  <c r="V3" i="187"/>
  <c r="U3" i="187"/>
  <c r="T3" i="187"/>
  <c r="S3" i="187"/>
  <c r="R3" i="187"/>
  <c r="Q3" i="187"/>
  <c r="P3" i="187"/>
  <c r="O3" i="187"/>
  <c r="N3" i="187"/>
  <c r="M3" i="187"/>
  <c r="L3" i="187"/>
  <c r="K3" i="187"/>
  <c r="J3" i="187"/>
  <c r="AF2" i="187"/>
  <c r="AE2" i="187"/>
  <c r="AD2" i="187"/>
  <c r="AC2" i="187"/>
  <c r="AB2" i="187"/>
  <c r="AA2" i="187"/>
  <c r="Z2" i="187"/>
  <c r="Y2" i="187"/>
  <c r="X2" i="187"/>
  <c r="W2" i="187"/>
  <c r="V2" i="187"/>
  <c r="U2" i="187"/>
  <c r="T2" i="187"/>
  <c r="S2" i="187" a="1"/>
  <c r="S2" i="187" s="1"/>
  <c r="R2" i="187"/>
  <c r="Q2" i="187"/>
  <c r="P2" i="187"/>
  <c r="O2" i="187"/>
  <c r="N2" i="187"/>
  <c r="M2" i="187"/>
  <c r="L2" i="187"/>
  <c r="K2" i="187"/>
  <c r="J2" i="187"/>
  <c r="AF23" i="186"/>
  <c r="AE23" i="186"/>
  <c r="AD23" i="186"/>
  <c r="AC23" i="186"/>
  <c r="AB23" i="186"/>
  <c r="AA23" i="186"/>
  <c r="Z23" i="186"/>
  <c r="Y23" i="186"/>
  <c r="X23" i="186"/>
  <c r="W23" i="186"/>
  <c r="V23" i="186"/>
  <c r="U23" i="186"/>
  <c r="T23" i="186"/>
  <c r="S23" i="186"/>
  <c r="R23" i="186"/>
  <c r="Q23" i="186"/>
  <c r="P23" i="186"/>
  <c r="O23" i="186"/>
  <c r="N23" i="186"/>
  <c r="M23" i="186"/>
  <c r="L23" i="186"/>
  <c r="K23" i="186"/>
  <c r="J23" i="186"/>
  <c r="F19" i="186"/>
  <c r="E19" i="186"/>
  <c r="B19" i="186"/>
  <c r="C19" i="186" s="1"/>
  <c r="F18" i="186"/>
  <c r="M29" i="186" s="1"/>
  <c r="E18" i="186"/>
  <c r="B18" i="186"/>
  <c r="C18" i="186" s="1"/>
  <c r="F17" i="186"/>
  <c r="E17" i="186"/>
  <c r="B17" i="186"/>
  <c r="C17" i="186" s="1"/>
  <c r="F16" i="186"/>
  <c r="Z29" i="186" s="1"/>
  <c r="E16" i="186"/>
  <c r="B16" i="186"/>
  <c r="C16" i="186" s="1"/>
  <c r="F15" i="186"/>
  <c r="AA29" i="186" s="1"/>
  <c r="E15" i="186"/>
  <c r="B15" i="186"/>
  <c r="C15" i="186" s="1"/>
  <c r="F14" i="186"/>
  <c r="AD29" i="186" s="1"/>
  <c r="E14" i="186"/>
  <c r="B14" i="186"/>
  <c r="C14" i="186" s="1"/>
  <c r="F13" i="186"/>
  <c r="E13" i="186"/>
  <c r="B13" i="186"/>
  <c r="C13" i="186" s="1"/>
  <c r="F12" i="186"/>
  <c r="L29" i="186" s="1"/>
  <c r="E12" i="186"/>
  <c r="B12" i="186"/>
  <c r="C12" i="186" s="1"/>
  <c r="F11" i="186"/>
  <c r="N29" i="186" s="1"/>
  <c r="E11" i="186"/>
  <c r="C11" i="186"/>
  <c r="B11" i="186"/>
  <c r="F10" i="186"/>
  <c r="E10" i="186"/>
  <c r="B10" i="186"/>
  <c r="C10" i="186" s="1"/>
  <c r="F9" i="186"/>
  <c r="O29" i="186" s="1"/>
  <c r="E9" i="186"/>
  <c r="C9" i="186"/>
  <c r="B9" i="186"/>
  <c r="F8" i="186"/>
  <c r="E8" i="186"/>
  <c r="B8" i="186"/>
  <c r="C8" i="186" s="1"/>
  <c r="F7" i="186"/>
  <c r="E7" i="186"/>
  <c r="B7" i="186"/>
  <c r="F6" i="186"/>
  <c r="E6" i="186"/>
  <c r="B6" i="186"/>
  <c r="F5" i="186"/>
  <c r="E5" i="186"/>
  <c r="B5" i="186"/>
  <c r="C5" i="186" s="1"/>
  <c r="F4" i="186"/>
  <c r="E4" i="186"/>
  <c r="B4" i="186"/>
  <c r="C4" i="186" s="1"/>
  <c r="AF3" i="186"/>
  <c r="AE3" i="186"/>
  <c r="AD3" i="186"/>
  <c r="AC3" i="186"/>
  <c r="AB3" i="186"/>
  <c r="AA3" i="186"/>
  <c r="Z3" i="186"/>
  <c r="Y3" i="186"/>
  <c r="X3" i="186"/>
  <c r="W3" i="186"/>
  <c r="V3" i="186"/>
  <c r="U3" i="186"/>
  <c r="T3" i="186"/>
  <c r="S3" i="186"/>
  <c r="R3" i="186"/>
  <c r="Q3" i="186"/>
  <c r="P3" i="186"/>
  <c r="O3" i="186"/>
  <c r="N3" i="186"/>
  <c r="M3" i="186"/>
  <c r="L3" i="186"/>
  <c r="K3" i="186"/>
  <c r="J3" i="186"/>
  <c r="AF2" i="186"/>
  <c r="AE2" i="186"/>
  <c r="AD2" i="186"/>
  <c r="AC2" i="186"/>
  <c r="AB2" i="186"/>
  <c r="AA2" i="186"/>
  <c r="Z2" i="186"/>
  <c r="Y2" i="186"/>
  <c r="X2" i="186"/>
  <c r="W2" i="186"/>
  <c r="V2" i="186"/>
  <c r="U2" i="186"/>
  <c r="T2" i="186"/>
  <c r="S2" i="186" a="1"/>
  <c r="S2" i="186" s="1"/>
  <c r="R2" i="186"/>
  <c r="Q2" i="186"/>
  <c r="P2" i="186"/>
  <c r="O2" i="186"/>
  <c r="N2" i="186"/>
  <c r="M2" i="186"/>
  <c r="L2" i="186"/>
  <c r="K2" i="186"/>
  <c r="J2" i="186"/>
  <c r="AF23" i="185"/>
  <c r="AE23" i="185"/>
  <c r="AD23" i="185"/>
  <c r="AC23" i="185"/>
  <c r="AB23" i="185"/>
  <c r="AA23" i="185"/>
  <c r="Z23" i="185"/>
  <c r="Y23" i="185"/>
  <c r="X23" i="185"/>
  <c r="W23" i="185"/>
  <c r="V23" i="185"/>
  <c r="U23" i="185"/>
  <c r="T23" i="185"/>
  <c r="S23" i="185"/>
  <c r="R23" i="185"/>
  <c r="Q23" i="185"/>
  <c r="P23" i="185"/>
  <c r="O23" i="185"/>
  <c r="N23" i="185"/>
  <c r="M23" i="185"/>
  <c r="L23" i="185"/>
  <c r="K23" i="185"/>
  <c r="J23" i="185"/>
  <c r="F19" i="185"/>
  <c r="X29" i="185" s="1"/>
  <c r="E19" i="185"/>
  <c r="B19" i="185"/>
  <c r="C19" i="185" s="1"/>
  <c r="F18" i="185"/>
  <c r="M29" i="185" s="1"/>
  <c r="E18" i="185"/>
  <c r="B18" i="185"/>
  <c r="C18" i="185" s="1"/>
  <c r="F17" i="185"/>
  <c r="E17" i="185"/>
  <c r="B17" i="185"/>
  <c r="C17" i="185" s="1"/>
  <c r="F16" i="185"/>
  <c r="K29" i="185" s="1"/>
  <c r="E16" i="185"/>
  <c r="B16" i="185"/>
  <c r="C16" i="185" s="1"/>
  <c r="F15" i="185"/>
  <c r="AA29" i="185" s="1"/>
  <c r="E15" i="185"/>
  <c r="B15" i="185"/>
  <c r="C15" i="185" s="1"/>
  <c r="F14" i="185"/>
  <c r="AD29" i="185" s="1"/>
  <c r="E14" i="185"/>
  <c r="C14" i="185"/>
  <c r="B14" i="185"/>
  <c r="F13" i="185"/>
  <c r="T29" i="185" s="1"/>
  <c r="E13" i="185"/>
  <c r="B13" i="185"/>
  <c r="C13" i="185" s="1"/>
  <c r="F12" i="185"/>
  <c r="L29" i="185" s="1"/>
  <c r="E12" i="185"/>
  <c r="B12" i="185"/>
  <c r="C12" i="185" s="1"/>
  <c r="F11" i="185"/>
  <c r="N29" i="185" s="1"/>
  <c r="E11" i="185"/>
  <c r="C11" i="185"/>
  <c r="B11" i="185"/>
  <c r="F10" i="185"/>
  <c r="E10" i="185"/>
  <c r="B10" i="185"/>
  <c r="C10" i="185" s="1"/>
  <c r="F9" i="185"/>
  <c r="O29" i="185" s="1"/>
  <c r="E9" i="185"/>
  <c r="B9" i="185"/>
  <c r="C9" i="185" s="1"/>
  <c r="F8" i="185"/>
  <c r="E8" i="185"/>
  <c r="B8" i="185"/>
  <c r="C8" i="185" s="1"/>
  <c r="F7" i="185"/>
  <c r="E7" i="185"/>
  <c r="B7" i="185"/>
  <c r="C7" i="185" s="1"/>
  <c r="F6" i="185"/>
  <c r="P29" i="185" s="1"/>
  <c r="E6" i="185"/>
  <c r="C6" i="185"/>
  <c r="B6" i="185"/>
  <c r="F5" i="185"/>
  <c r="AF29" i="185" s="1"/>
  <c r="E5" i="185"/>
  <c r="B5" i="185"/>
  <c r="F4" i="185"/>
  <c r="F20" i="185" s="1"/>
  <c r="E4" i="185"/>
  <c r="B4" i="185"/>
  <c r="W21" i="185" s="1"/>
  <c r="AF3" i="185"/>
  <c r="AE3" i="185"/>
  <c r="AD3" i="185"/>
  <c r="AC3" i="185"/>
  <c r="AB3" i="185"/>
  <c r="AA3" i="185"/>
  <c r="Z3" i="185"/>
  <c r="Y3" i="185"/>
  <c r="X3" i="185"/>
  <c r="W3" i="185"/>
  <c r="V3" i="185"/>
  <c r="U3" i="185"/>
  <c r="T3" i="185"/>
  <c r="S3" i="185"/>
  <c r="R3" i="185"/>
  <c r="Q3" i="185"/>
  <c r="P3" i="185"/>
  <c r="O3" i="185"/>
  <c r="N3" i="185"/>
  <c r="M3" i="185"/>
  <c r="L3" i="185"/>
  <c r="K3" i="185"/>
  <c r="J3" i="185"/>
  <c r="AF2" i="185"/>
  <c r="AE2" i="185"/>
  <c r="AD2" i="185"/>
  <c r="AC2" i="185"/>
  <c r="AB2" i="185"/>
  <c r="AA2" i="185"/>
  <c r="Z2" i="185"/>
  <c r="Y2" i="185"/>
  <c r="X2" i="185"/>
  <c r="W2" i="185"/>
  <c r="V2" i="185"/>
  <c r="U2" i="185"/>
  <c r="T2" i="185"/>
  <c r="S2" i="185" a="1"/>
  <c r="S2" i="185" s="1"/>
  <c r="R2" i="185"/>
  <c r="Q2" i="185"/>
  <c r="P2" i="185"/>
  <c r="O2" i="185"/>
  <c r="N2" i="185"/>
  <c r="M2" i="185"/>
  <c r="L2" i="185"/>
  <c r="K2" i="185"/>
  <c r="J2" i="185"/>
  <c r="AF23" i="184"/>
  <c r="AE23" i="184"/>
  <c r="AD23" i="184"/>
  <c r="AC23" i="184"/>
  <c r="AB23" i="184"/>
  <c r="AA23" i="184"/>
  <c r="Z23" i="184"/>
  <c r="Y23" i="184"/>
  <c r="X23" i="184"/>
  <c r="W23" i="184"/>
  <c r="V23" i="184"/>
  <c r="U23" i="184"/>
  <c r="T23" i="184"/>
  <c r="S23" i="184"/>
  <c r="R23" i="184"/>
  <c r="Q23" i="184"/>
  <c r="P23" i="184"/>
  <c r="O23" i="184"/>
  <c r="N23" i="184"/>
  <c r="M23" i="184"/>
  <c r="L23" i="184"/>
  <c r="K23" i="184"/>
  <c r="J23" i="184"/>
  <c r="F19" i="184"/>
  <c r="X29" i="184" s="1"/>
  <c r="E19" i="184"/>
  <c r="B19" i="184"/>
  <c r="C19" i="184" s="1"/>
  <c r="F18" i="184"/>
  <c r="M29" i="184" s="1"/>
  <c r="E18" i="184"/>
  <c r="B18" i="184"/>
  <c r="C18" i="184" s="1"/>
  <c r="F17" i="184"/>
  <c r="E17" i="184"/>
  <c r="C17" i="184"/>
  <c r="B17" i="184"/>
  <c r="F16" i="184"/>
  <c r="E16" i="184"/>
  <c r="B16" i="184"/>
  <c r="C16" i="184" s="1"/>
  <c r="F15" i="184"/>
  <c r="AA29" i="184" s="1"/>
  <c r="E15" i="184"/>
  <c r="B15" i="184"/>
  <c r="C15" i="184" s="1"/>
  <c r="F14" i="184"/>
  <c r="AD29" i="184" s="1"/>
  <c r="E14" i="184"/>
  <c r="B14" i="184"/>
  <c r="C14" i="184" s="1"/>
  <c r="F13" i="184"/>
  <c r="R29" i="184" s="1"/>
  <c r="E13" i="184"/>
  <c r="B13" i="184"/>
  <c r="C13" i="184" s="1"/>
  <c r="F12" i="184"/>
  <c r="L29" i="184" s="1"/>
  <c r="E12" i="184"/>
  <c r="B12" i="184"/>
  <c r="C12" i="184" s="1"/>
  <c r="F11" i="184"/>
  <c r="N29" i="184" s="1"/>
  <c r="E11" i="184"/>
  <c r="B11" i="184"/>
  <c r="C11" i="184" s="1"/>
  <c r="F10" i="184"/>
  <c r="E10" i="184"/>
  <c r="B10" i="184"/>
  <c r="C10" i="184" s="1"/>
  <c r="F9" i="184"/>
  <c r="O29" i="184" s="1"/>
  <c r="E9" i="184"/>
  <c r="B9" i="184"/>
  <c r="C9" i="184" s="1"/>
  <c r="F8" i="184"/>
  <c r="E8" i="184"/>
  <c r="B8" i="184"/>
  <c r="C8" i="184" s="1"/>
  <c r="F7" i="184"/>
  <c r="E7" i="184"/>
  <c r="B7" i="184"/>
  <c r="C7" i="184" s="1"/>
  <c r="F6" i="184"/>
  <c r="S29" i="184" s="1"/>
  <c r="E6" i="184"/>
  <c r="B6" i="184"/>
  <c r="C6" i="184" s="1"/>
  <c r="F5" i="184"/>
  <c r="E5" i="184"/>
  <c r="B5" i="184"/>
  <c r="P21" i="184" s="1"/>
  <c r="F4" i="184"/>
  <c r="E4" i="184"/>
  <c r="B4" i="184"/>
  <c r="C4" i="184" s="1"/>
  <c r="AF3" i="184"/>
  <c r="AE3" i="184"/>
  <c r="AD3" i="184"/>
  <c r="AC3" i="184"/>
  <c r="AB3" i="184"/>
  <c r="AA3" i="184"/>
  <c r="Z3" i="184"/>
  <c r="Y3" i="184"/>
  <c r="X3" i="184"/>
  <c r="W3" i="184"/>
  <c r="V3" i="184"/>
  <c r="U3" i="184"/>
  <c r="T3" i="184"/>
  <c r="S3" i="184"/>
  <c r="R3" i="184"/>
  <c r="Q3" i="184"/>
  <c r="P3" i="184"/>
  <c r="O3" i="184"/>
  <c r="N3" i="184"/>
  <c r="M3" i="184"/>
  <c r="L3" i="184"/>
  <c r="K3" i="184"/>
  <c r="J3" i="184"/>
  <c r="AF2" i="184"/>
  <c r="AE2" i="184"/>
  <c r="AD2" i="184"/>
  <c r="AC2" i="184"/>
  <c r="AB2" i="184"/>
  <c r="AA2" i="184"/>
  <c r="Z2" i="184"/>
  <c r="Y2" i="184"/>
  <c r="X2" i="184"/>
  <c r="W2" i="184"/>
  <c r="V2" i="184"/>
  <c r="U2" i="184"/>
  <c r="T2" i="184"/>
  <c r="S2" i="184" a="1"/>
  <c r="S2" i="184" s="1"/>
  <c r="R2" i="184"/>
  <c r="Q2" i="184"/>
  <c r="P2" i="184"/>
  <c r="O2" i="184"/>
  <c r="N2" i="184"/>
  <c r="M2" i="184"/>
  <c r="L2" i="184"/>
  <c r="K2" i="184"/>
  <c r="J2" i="184"/>
  <c r="Y29" i="183"/>
  <c r="AF23" i="183"/>
  <c r="AE23" i="183"/>
  <c r="AD23" i="183"/>
  <c r="AC23" i="183"/>
  <c r="AB23" i="183"/>
  <c r="AA23" i="183"/>
  <c r="Z23" i="183"/>
  <c r="Y23" i="183"/>
  <c r="X23" i="183"/>
  <c r="W23" i="183"/>
  <c r="V23" i="183"/>
  <c r="U23" i="183"/>
  <c r="T23" i="183"/>
  <c r="S23" i="183"/>
  <c r="R23" i="183"/>
  <c r="Q23" i="183"/>
  <c r="P23" i="183"/>
  <c r="O23" i="183"/>
  <c r="N23" i="183"/>
  <c r="M23" i="183"/>
  <c r="L23" i="183"/>
  <c r="K23" i="183"/>
  <c r="J23" i="183"/>
  <c r="F19" i="183"/>
  <c r="AE29" i="183" s="1"/>
  <c r="E19" i="183"/>
  <c r="B19" i="183"/>
  <c r="C19" i="183" s="1"/>
  <c r="F18" i="183"/>
  <c r="M29" i="183" s="1"/>
  <c r="E18" i="183"/>
  <c r="B18" i="183"/>
  <c r="C18" i="183" s="1"/>
  <c r="F17" i="183"/>
  <c r="E17" i="183"/>
  <c r="B17" i="183"/>
  <c r="C17" i="183" s="1"/>
  <c r="F16" i="183"/>
  <c r="E16" i="183"/>
  <c r="B16" i="183"/>
  <c r="C16" i="183" s="1"/>
  <c r="F15" i="183"/>
  <c r="AA29" i="183" s="1"/>
  <c r="E15" i="183"/>
  <c r="C15" i="183"/>
  <c r="B15" i="183"/>
  <c r="F14" i="183"/>
  <c r="AD29" i="183" s="1"/>
  <c r="E14" i="183"/>
  <c r="B14" i="183"/>
  <c r="C14" i="183" s="1"/>
  <c r="F13" i="183"/>
  <c r="E13" i="183"/>
  <c r="B13" i="183"/>
  <c r="C13" i="183" s="1"/>
  <c r="F12" i="183"/>
  <c r="L29" i="183" s="1"/>
  <c r="E12" i="183"/>
  <c r="B12" i="183"/>
  <c r="C12" i="183" s="1"/>
  <c r="F11" i="183"/>
  <c r="N29" i="183" s="1"/>
  <c r="E11" i="183"/>
  <c r="C11" i="183"/>
  <c r="B11" i="183"/>
  <c r="F10" i="183"/>
  <c r="E10" i="183"/>
  <c r="B10" i="183"/>
  <c r="C10" i="183" s="1"/>
  <c r="F9" i="183"/>
  <c r="O29" i="183" s="1"/>
  <c r="E9" i="183"/>
  <c r="C9" i="183"/>
  <c r="B9" i="183"/>
  <c r="F8" i="183"/>
  <c r="E8" i="183"/>
  <c r="B8" i="183"/>
  <c r="C8" i="183" s="1"/>
  <c r="F7" i="183"/>
  <c r="E7" i="183"/>
  <c r="B7" i="183"/>
  <c r="C7" i="183" s="1"/>
  <c r="F6" i="183"/>
  <c r="E6" i="183"/>
  <c r="B6" i="183"/>
  <c r="C6" i="183" s="1"/>
  <c r="F5" i="183"/>
  <c r="J29" i="183" s="1"/>
  <c r="E5" i="183"/>
  <c r="B5" i="183"/>
  <c r="C5" i="183" s="1"/>
  <c r="F4" i="183"/>
  <c r="E4" i="183"/>
  <c r="B4" i="183"/>
  <c r="AF3" i="183"/>
  <c r="AE3" i="183"/>
  <c r="AD3" i="183"/>
  <c r="AC3" i="183"/>
  <c r="AB3" i="183"/>
  <c r="AA3" i="183"/>
  <c r="Z3" i="183"/>
  <c r="Y3" i="183"/>
  <c r="X3" i="183"/>
  <c r="W3" i="183"/>
  <c r="V3" i="183"/>
  <c r="U3" i="183"/>
  <c r="T3" i="183"/>
  <c r="S3" i="183"/>
  <c r="R3" i="183"/>
  <c r="Q3" i="183"/>
  <c r="P3" i="183"/>
  <c r="O3" i="183"/>
  <c r="N3" i="183"/>
  <c r="M3" i="183"/>
  <c r="L3" i="183"/>
  <c r="K3" i="183"/>
  <c r="J3" i="183"/>
  <c r="AF2" i="183"/>
  <c r="AE2" i="183"/>
  <c r="AD2" i="183"/>
  <c r="AC2" i="183"/>
  <c r="AB2" i="183"/>
  <c r="AA2" i="183"/>
  <c r="Z2" i="183"/>
  <c r="Y2" i="183"/>
  <c r="X2" i="183"/>
  <c r="W2" i="183"/>
  <c r="V2" i="183"/>
  <c r="U2" i="183"/>
  <c r="T2" i="183"/>
  <c r="S2" i="183" a="1"/>
  <c r="S2" i="183" s="1"/>
  <c r="R2" i="183"/>
  <c r="Q2" i="183"/>
  <c r="P2" i="183"/>
  <c r="O2" i="183"/>
  <c r="N2" i="183"/>
  <c r="M2" i="183"/>
  <c r="L2" i="183"/>
  <c r="K2" i="183"/>
  <c r="J2" i="183"/>
  <c r="I6" i="119"/>
  <c r="I7" i="119"/>
  <c r="I8" i="119"/>
  <c r="I9" i="119"/>
  <c r="I10" i="119"/>
  <c r="I11" i="119"/>
  <c r="I12" i="119"/>
  <c r="I13" i="119"/>
  <c r="I14" i="119"/>
  <c r="I15" i="119"/>
  <c r="I16" i="119"/>
  <c r="I17" i="119"/>
  <c r="I18" i="119"/>
  <c r="I19" i="119"/>
  <c r="I20" i="119"/>
  <c r="I5" i="119"/>
  <c r="B6" i="119"/>
  <c r="B7" i="119"/>
  <c r="B8" i="119"/>
  <c r="B9" i="119"/>
  <c r="B10" i="119"/>
  <c r="B11" i="119"/>
  <c r="B12" i="119"/>
  <c r="B13" i="119"/>
  <c r="B14" i="119"/>
  <c r="B15" i="119"/>
  <c r="B16" i="119"/>
  <c r="B17" i="119"/>
  <c r="B18" i="119"/>
  <c r="B19" i="119"/>
  <c r="B20" i="119"/>
  <c r="B5" i="119"/>
  <c r="F4" i="168"/>
  <c r="B4" i="166"/>
  <c r="AF23" i="179"/>
  <c r="AE23" i="179"/>
  <c r="AD23" i="179"/>
  <c r="AC23" i="179"/>
  <c r="AB23" i="179"/>
  <c r="AA23" i="179"/>
  <c r="Z23" i="179"/>
  <c r="Y23" i="179"/>
  <c r="X23" i="179"/>
  <c r="W23" i="179"/>
  <c r="V23" i="179"/>
  <c r="U23" i="179"/>
  <c r="T23" i="179"/>
  <c r="S23" i="179"/>
  <c r="R23" i="179"/>
  <c r="Q23" i="179"/>
  <c r="P23" i="179"/>
  <c r="O23" i="179"/>
  <c r="N23" i="179"/>
  <c r="M23" i="179"/>
  <c r="L23" i="179"/>
  <c r="K23" i="179"/>
  <c r="J23" i="179"/>
  <c r="F19" i="179"/>
  <c r="X29" i="179" s="1"/>
  <c r="E19" i="179"/>
  <c r="C19" i="179"/>
  <c r="B19" i="179"/>
  <c r="F18" i="179"/>
  <c r="M29" i="179" s="1"/>
  <c r="E18" i="179"/>
  <c r="B18" i="179"/>
  <c r="C18" i="179" s="1"/>
  <c r="F17" i="179"/>
  <c r="E17" i="179"/>
  <c r="B17" i="179"/>
  <c r="C17" i="179" s="1"/>
  <c r="F16" i="179"/>
  <c r="E16" i="179"/>
  <c r="B16" i="179"/>
  <c r="C16" i="179" s="1"/>
  <c r="F15" i="179"/>
  <c r="AA29" i="179" s="1"/>
  <c r="E15" i="179"/>
  <c r="B15" i="179"/>
  <c r="C15" i="179" s="1"/>
  <c r="F14" i="179"/>
  <c r="AD29" i="179" s="1"/>
  <c r="E14" i="179"/>
  <c r="B14" i="179"/>
  <c r="C14" i="179" s="1"/>
  <c r="F13" i="179"/>
  <c r="E13" i="179"/>
  <c r="B13" i="179"/>
  <c r="C13" i="179" s="1"/>
  <c r="F12" i="179"/>
  <c r="L29" i="179" s="1"/>
  <c r="E12" i="179"/>
  <c r="B12" i="179"/>
  <c r="C12" i="179" s="1"/>
  <c r="F11" i="179"/>
  <c r="N29" i="179" s="1"/>
  <c r="E11" i="179"/>
  <c r="B11" i="179"/>
  <c r="C11" i="179" s="1"/>
  <c r="F10" i="179"/>
  <c r="E10" i="179"/>
  <c r="B10" i="179"/>
  <c r="C10" i="179" s="1"/>
  <c r="F9" i="179"/>
  <c r="O29" i="179" s="1"/>
  <c r="E9" i="179"/>
  <c r="B9" i="179"/>
  <c r="C9" i="179" s="1"/>
  <c r="F8" i="179"/>
  <c r="E8" i="179"/>
  <c r="B8" i="179"/>
  <c r="F7" i="179"/>
  <c r="E7" i="179"/>
  <c r="B7" i="179"/>
  <c r="C7" i="179" s="1"/>
  <c r="F6" i="179"/>
  <c r="E6" i="179"/>
  <c r="B6" i="179"/>
  <c r="C6" i="179" s="1"/>
  <c r="F5" i="179"/>
  <c r="E5" i="179"/>
  <c r="B5" i="179"/>
  <c r="C5" i="179" s="1"/>
  <c r="F4" i="179"/>
  <c r="E4" i="179"/>
  <c r="B4" i="179"/>
  <c r="Q21" i="179" s="1"/>
  <c r="AF3" i="179"/>
  <c r="AE3" i="179"/>
  <c r="AD3" i="179"/>
  <c r="AC3" i="179"/>
  <c r="AB3" i="179"/>
  <c r="AA3" i="179"/>
  <c r="Z3" i="179"/>
  <c r="Y3" i="179"/>
  <c r="X3" i="179"/>
  <c r="W3" i="179"/>
  <c r="V3" i="179"/>
  <c r="U3" i="179"/>
  <c r="T3" i="179"/>
  <c r="S3" i="179"/>
  <c r="R3" i="179"/>
  <c r="Q3" i="179"/>
  <c r="P3" i="179"/>
  <c r="O3" i="179"/>
  <c r="N3" i="179"/>
  <c r="M3" i="179"/>
  <c r="L3" i="179"/>
  <c r="K3" i="179"/>
  <c r="J3" i="179"/>
  <c r="AF2" i="179"/>
  <c r="AE2" i="179"/>
  <c r="AD2" i="179"/>
  <c r="AC2" i="179"/>
  <c r="AB2" i="179"/>
  <c r="AA2" i="179"/>
  <c r="Z2" i="179"/>
  <c r="Y2" i="179"/>
  <c r="X2" i="179"/>
  <c r="W2" i="179"/>
  <c r="V2" i="179"/>
  <c r="U2" i="179"/>
  <c r="T2" i="179"/>
  <c r="S2" i="179" a="1"/>
  <c r="S2" i="179" s="1"/>
  <c r="R2" i="179"/>
  <c r="Q2" i="179"/>
  <c r="P2" i="179"/>
  <c r="O2" i="179"/>
  <c r="N2" i="179"/>
  <c r="M2" i="179"/>
  <c r="L2" i="179"/>
  <c r="K2" i="179"/>
  <c r="J2" i="179"/>
  <c r="AF23" i="178"/>
  <c r="AE23" i="178"/>
  <c r="AD23" i="178"/>
  <c r="AC23" i="178"/>
  <c r="AB23" i="178"/>
  <c r="AA23" i="178"/>
  <c r="Z23" i="178"/>
  <c r="Y23" i="178"/>
  <c r="X23" i="178"/>
  <c r="W23" i="178"/>
  <c r="V23" i="178"/>
  <c r="U23" i="178"/>
  <c r="T23" i="178"/>
  <c r="S23" i="178"/>
  <c r="R23" i="178"/>
  <c r="Q23" i="178"/>
  <c r="P23" i="178"/>
  <c r="O23" i="178"/>
  <c r="N23" i="178"/>
  <c r="M23" i="178"/>
  <c r="L23" i="178"/>
  <c r="K23" i="178"/>
  <c r="J23" i="178"/>
  <c r="F19" i="178"/>
  <c r="AE29" i="178" s="1"/>
  <c r="E19" i="178"/>
  <c r="B19" i="178"/>
  <c r="C19" i="178" s="1"/>
  <c r="F18" i="178"/>
  <c r="M29" i="178" s="1"/>
  <c r="E18" i="178"/>
  <c r="B18" i="178"/>
  <c r="C18" i="178" s="1"/>
  <c r="F17" i="178"/>
  <c r="E17" i="178"/>
  <c r="B17" i="178"/>
  <c r="C17" i="178" s="1"/>
  <c r="F16" i="178"/>
  <c r="E16" i="178"/>
  <c r="B16" i="178"/>
  <c r="C16" i="178" s="1"/>
  <c r="F15" i="178"/>
  <c r="AA29" i="178" s="1"/>
  <c r="E15" i="178"/>
  <c r="B15" i="178"/>
  <c r="C15" i="178" s="1"/>
  <c r="F14" i="178"/>
  <c r="AD29" i="178" s="1"/>
  <c r="E14" i="178"/>
  <c r="B14" i="178"/>
  <c r="C14" i="178" s="1"/>
  <c r="F13" i="178"/>
  <c r="R29" i="178" s="1"/>
  <c r="E13" i="178"/>
  <c r="B13" i="178"/>
  <c r="C13" i="178" s="1"/>
  <c r="F12" i="178"/>
  <c r="L29" i="178" s="1"/>
  <c r="E12" i="178"/>
  <c r="B12" i="178"/>
  <c r="C12" i="178" s="1"/>
  <c r="F11" i="178"/>
  <c r="N29" i="178" s="1"/>
  <c r="E11" i="178"/>
  <c r="C11" i="178"/>
  <c r="B11" i="178"/>
  <c r="F10" i="178"/>
  <c r="E10" i="178"/>
  <c r="B10" i="178"/>
  <c r="C10" i="178" s="1"/>
  <c r="F9" i="178"/>
  <c r="O29" i="178" s="1"/>
  <c r="E9" i="178"/>
  <c r="B9" i="178"/>
  <c r="C9" i="178" s="1"/>
  <c r="F8" i="178"/>
  <c r="E8" i="178"/>
  <c r="B8" i="178"/>
  <c r="C8" i="178" s="1"/>
  <c r="F7" i="178"/>
  <c r="U29" i="178" s="1"/>
  <c r="E7" i="178"/>
  <c r="B7" i="178"/>
  <c r="C7" i="178" s="1"/>
  <c r="F6" i="178"/>
  <c r="E6" i="178"/>
  <c r="B6" i="178"/>
  <c r="C6" i="178" s="1"/>
  <c r="F5" i="178"/>
  <c r="E5" i="178"/>
  <c r="B5" i="178"/>
  <c r="C5" i="178" s="1"/>
  <c r="F4" i="178"/>
  <c r="E4" i="178"/>
  <c r="B4" i="178"/>
  <c r="AF3" i="178"/>
  <c r="AE3" i="178"/>
  <c r="AD3" i="178"/>
  <c r="AC3" i="178"/>
  <c r="AB3" i="178"/>
  <c r="AA3" i="178"/>
  <c r="Z3" i="178"/>
  <c r="Y3" i="178"/>
  <c r="X3" i="178"/>
  <c r="W3" i="178"/>
  <c r="V3" i="178"/>
  <c r="U3" i="178"/>
  <c r="T3" i="178"/>
  <c r="S3" i="178"/>
  <c r="R3" i="178"/>
  <c r="Q3" i="178"/>
  <c r="P3" i="178"/>
  <c r="O3" i="178"/>
  <c r="N3" i="178"/>
  <c r="M3" i="178"/>
  <c r="L3" i="178"/>
  <c r="K3" i="178"/>
  <c r="J3" i="178"/>
  <c r="AF2" i="178"/>
  <c r="AE2" i="178"/>
  <c r="AD2" i="178"/>
  <c r="AC2" i="178"/>
  <c r="AB2" i="178"/>
  <c r="AA2" i="178"/>
  <c r="Z2" i="178"/>
  <c r="Y2" i="178"/>
  <c r="X2" i="178"/>
  <c r="W2" i="178"/>
  <c r="V2" i="178"/>
  <c r="U2" i="178"/>
  <c r="T2" i="178"/>
  <c r="S2" i="178" a="1"/>
  <c r="S2" i="178" s="1"/>
  <c r="R2" i="178"/>
  <c r="Q2" i="178"/>
  <c r="P2" i="178"/>
  <c r="O2" i="178"/>
  <c r="N2" i="178"/>
  <c r="M2" i="178"/>
  <c r="L2" i="178"/>
  <c r="K2" i="178"/>
  <c r="J2" i="178"/>
  <c r="AF23" i="177"/>
  <c r="AE23" i="177"/>
  <c r="AD23" i="177"/>
  <c r="AC23" i="177"/>
  <c r="AB23" i="177"/>
  <c r="AA23" i="177"/>
  <c r="Z23" i="177"/>
  <c r="Y23" i="177"/>
  <c r="X23" i="177"/>
  <c r="W23" i="177"/>
  <c r="V23" i="177"/>
  <c r="U23" i="177"/>
  <c r="T23" i="177"/>
  <c r="S23" i="177"/>
  <c r="R23" i="177"/>
  <c r="Q23" i="177"/>
  <c r="P23" i="177"/>
  <c r="O23" i="177"/>
  <c r="N23" i="177"/>
  <c r="M23" i="177"/>
  <c r="L23" i="177"/>
  <c r="K23" i="177"/>
  <c r="J23" i="177"/>
  <c r="F19" i="177"/>
  <c r="X29" i="177" s="1"/>
  <c r="E19" i="177"/>
  <c r="B19" i="177"/>
  <c r="C19" i="177" s="1"/>
  <c r="F18" i="177"/>
  <c r="M29" i="177" s="1"/>
  <c r="E18" i="177"/>
  <c r="B18" i="177"/>
  <c r="C18" i="177" s="1"/>
  <c r="F17" i="177"/>
  <c r="E17" i="177"/>
  <c r="B17" i="177"/>
  <c r="C17" i="177" s="1"/>
  <c r="F16" i="177"/>
  <c r="E16" i="177"/>
  <c r="B16" i="177"/>
  <c r="C16" i="177" s="1"/>
  <c r="F15" i="177"/>
  <c r="AA29" i="177" s="1"/>
  <c r="E15" i="177"/>
  <c r="B15" i="177"/>
  <c r="C15" i="177" s="1"/>
  <c r="F14" i="177"/>
  <c r="AD29" i="177" s="1"/>
  <c r="E14" i="177"/>
  <c r="C14" i="177"/>
  <c r="B14" i="177"/>
  <c r="F13" i="177"/>
  <c r="E13" i="177"/>
  <c r="B13" i="177"/>
  <c r="C13" i="177" s="1"/>
  <c r="F12" i="177"/>
  <c r="L29" i="177" s="1"/>
  <c r="E12" i="177"/>
  <c r="B12" i="177"/>
  <c r="C12" i="177" s="1"/>
  <c r="F11" i="177"/>
  <c r="N29" i="177" s="1"/>
  <c r="E11" i="177"/>
  <c r="B11" i="177"/>
  <c r="C11" i="177" s="1"/>
  <c r="F10" i="177"/>
  <c r="E10" i="177"/>
  <c r="B10" i="177"/>
  <c r="C10" i="177" s="1"/>
  <c r="F9" i="177"/>
  <c r="O29" i="177" s="1"/>
  <c r="E9" i="177"/>
  <c r="C9" i="177"/>
  <c r="B9" i="177"/>
  <c r="F8" i="177"/>
  <c r="E8" i="177"/>
  <c r="B8" i="177"/>
  <c r="C8" i="177" s="1"/>
  <c r="F7" i="177"/>
  <c r="V29" i="177" s="1"/>
  <c r="E7" i="177"/>
  <c r="B7" i="177"/>
  <c r="C7" i="177" s="1"/>
  <c r="F6" i="177"/>
  <c r="E6" i="177"/>
  <c r="B6" i="177"/>
  <c r="F5" i="177"/>
  <c r="E5" i="177"/>
  <c r="B5" i="177"/>
  <c r="C5" i="177" s="1"/>
  <c r="F4" i="177"/>
  <c r="E4" i="177"/>
  <c r="B4" i="177"/>
  <c r="AF3" i="177"/>
  <c r="AE3" i="177"/>
  <c r="AD3" i="177"/>
  <c r="AC3" i="177"/>
  <c r="AB3" i="177"/>
  <c r="AA3" i="177"/>
  <c r="Z3" i="177"/>
  <c r="Y3" i="177"/>
  <c r="X3" i="177"/>
  <c r="W3" i="177"/>
  <c r="V3" i="177"/>
  <c r="U3" i="177"/>
  <c r="T3" i="177"/>
  <c r="S3" i="177"/>
  <c r="R3" i="177"/>
  <c r="Q3" i="177"/>
  <c r="P3" i="177"/>
  <c r="O3" i="177"/>
  <c r="N3" i="177"/>
  <c r="M3" i="177"/>
  <c r="L3" i="177"/>
  <c r="K3" i="177"/>
  <c r="J3" i="177"/>
  <c r="AF2" i="177"/>
  <c r="AE2" i="177"/>
  <c r="AD2" i="177"/>
  <c r="AC2" i="177"/>
  <c r="AB2" i="177"/>
  <c r="AA2" i="177"/>
  <c r="Z2" i="177"/>
  <c r="Y2" i="177"/>
  <c r="X2" i="177"/>
  <c r="W2" i="177"/>
  <c r="V2" i="177"/>
  <c r="U2" i="177"/>
  <c r="T2" i="177"/>
  <c r="S2" i="177" a="1"/>
  <c r="S2" i="177" s="1"/>
  <c r="R2" i="177"/>
  <c r="Q2" i="177"/>
  <c r="P2" i="177"/>
  <c r="O2" i="177"/>
  <c r="N2" i="177"/>
  <c r="M2" i="177"/>
  <c r="L2" i="177"/>
  <c r="K2" i="177"/>
  <c r="J2" i="177"/>
  <c r="AF23" i="176"/>
  <c r="AE23" i="176"/>
  <c r="AD23" i="176"/>
  <c r="AC23" i="176"/>
  <c r="AB23" i="176"/>
  <c r="AA23" i="176"/>
  <c r="Z23" i="176"/>
  <c r="Y23" i="176"/>
  <c r="X23" i="176"/>
  <c r="W23" i="176"/>
  <c r="V23" i="176"/>
  <c r="U23" i="176"/>
  <c r="T23" i="176"/>
  <c r="S23" i="176"/>
  <c r="R23" i="176"/>
  <c r="Q23" i="176"/>
  <c r="P23" i="176"/>
  <c r="O23" i="176"/>
  <c r="N23" i="176"/>
  <c r="M23" i="176"/>
  <c r="L23" i="176"/>
  <c r="K23" i="176"/>
  <c r="J23" i="176"/>
  <c r="F19" i="176"/>
  <c r="AE29" i="176" s="1"/>
  <c r="E19" i="176"/>
  <c r="B19" i="176"/>
  <c r="C19" i="176" s="1"/>
  <c r="F18" i="176"/>
  <c r="M29" i="176" s="1"/>
  <c r="E18" i="176"/>
  <c r="B18" i="176"/>
  <c r="C18" i="176" s="1"/>
  <c r="F17" i="176"/>
  <c r="E17" i="176"/>
  <c r="B17" i="176"/>
  <c r="C17" i="176" s="1"/>
  <c r="F16" i="176"/>
  <c r="K29" i="176" s="1"/>
  <c r="E16" i="176"/>
  <c r="B16" i="176"/>
  <c r="C16" i="176" s="1"/>
  <c r="F15" i="176"/>
  <c r="AA29" i="176" s="1"/>
  <c r="E15" i="176"/>
  <c r="B15" i="176"/>
  <c r="C15" i="176" s="1"/>
  <c r="F14" i="176"/>
  <c r="AD29" i="176" s="1"/>
  <c r="E14" i="176"/>
  <c r="B14" i="176"/>
  <c r="C14" i="176" s="1"/>
  <c r="F13" i="176"/>
  <c r="T29" i="176" s="1"/>
  <c r="E13" i="176"/>
  <c r="B13" i="176"/>
  <c r="C13" i="176" s="1"/>
  <c r="F12" i="176"/>
  <c r="L29" i="176" s="1"/>
  <c r="E12" i="176"/>
  <c r="B12" i="176"/>
  <c r="C12" i="176" s="1"/>
  <c r="F11" i="176"/>
  <c r="N29" i="176" s="1"/>
  <c r="E11" i="176"/>
  <c r="B11" i="176"/>
  <c r="C11" i="176" s="1"/>
  <c r="F10" i="176"/>
  <c r="E10" i="176"/>
  <c r="B10" i="176"/>
  <c r="C10" i="176" s="1"/>
  <c r="F9" i="176"/>
  <c r="O29" i="176" s="1"/>
  <c r="E9" i="176"/>
  <c r="B9" i="176"/>
  <c r="C9" i="176" s="1"/>
  <c r="F8" i="176"/>
  <c r="E8" i="176"/>
  <c r="B8" i="176"/>
  <c r="C8" i="176" s="1"/>
  <c r="F7" i="176"/>
  <c r="E7" i="176"/>
  <c r="B7" i="176"/>
  <c r="C7" i="176" s="1"/>
  <c r="F6" i="176"/>
  <c r="AC29" i="176" s="1"/>
  <c r="E6" i="176"/>
  <c r="B6" i="176"/>
  <c r="F5" i="176"/>
  <c r="AF29" i="176" s="1"/>
  <c r="E5" i="176"/>
  <c r="B5" i="176"/>
  <c r="F4" i="176"/>
  <c r="E4" i="176"/>
  <c r="B4" i="176"/>
  <c r="AF3" i="176"/>
  <c r="AE3" i="176"/>
  <c r="AD3" i="176"/>
  <c r="AC3" i="176"/>
  <c r="AB3" i="176"/>
  <c r="AA3" i="176"/>
  <c r="Z3" i="176"/>
  <c r="Y3" i="176"/>
  <c r="X3" i="176"/>
  <c r="W3" i="176"/>
  <c r="V3" i="176"/>
  <c r="U3" i="176"/>
  <c r="T3" i="176"/>
  <c r="S3" i="176"/>
  <c r="R3" i="176"/>
  <c r="Q3" i="176"/>
  <c r="P3" i="176"/>
  <c r="O3" i="176"/>
  <c r="N3" i="176"/>
  <c r="M3" i="176"/>
  <c r="L3" i="176"/>
  <c r="K3" i="176"/>
  <c r="J3" i="176"/>
  <c r="AF2" i="176"/>
  <c r="AE2" i="176"/>
  <c r="AD2" i="176"/>
  <c r="AC2" i="176"/>
  <c r="AB2" i="176"/>
  <c r="AA2" i="176"/>
  <c r="Z2" i="176"/>
  <c r="Y2" i="176"/>
  <c r="X2" i="176"/>
  <c r="W2" i="176"/>
  <c r="V2" i="176"/>
  <c r="U2" i="176"/>
  <c r="T2" i="176"/>
  <c r="S2" i="176" a="1"/>
  <c r="S2" i="176" s="1"/>
  <c r="R2" i="176"/>
  <c r="Q2" i="176"/>
  <c r="P2" i="176"/>
  <c r="O2" i="176"/>
  <c r="N2" i="176"/>
  <c r="M2" i="176"/>
  <c r="L2" i="176"/>
  <c r="K2" i="176"/>
  <c r="J2" i="176"/>
  <c r="AF23" i="172"/>
  <c r="AE23" i="172"/>
  <c r="AD23" i="172"/>
  <c r="AC23" i="172"/>
  <c r="AB23" i="172"/>
  <c r="AA23" i="172"/>
  <c r="Z23" i="172"/>
  <c r="Y23" i="172"/>
  <c r="X23" i="172"/>
  <c r="W23" i="172"/>
  <c r="V23" i="172"/>
  <c r="U23" i="172"/>
  <c r="T23" i="172"/>
  <c r="S23" i="172"/>
  <c r="R23" i="172"/>
  <c r="Q23" i="172"/>
  <c r="P23" i="172"/>
  <c r="O23" i="172"/>
  <c r="N23" i="172"/>
  <c r="M23" i="172"/>
  <c r="L23" i="172"/>
  <c r="K23" i="172"/>
  <c r="J23" i="172"/>
  <c r="F19" i="172"/>
  <c r="AE29" i="172" s="1"/>
  <c r="E19" i="172"/>
  <c r="B19" i="172"/>
  <c r="C19" i="172" s="1"/>
  <c r="F18" i="172"/>
  <c r="M29" i="172" s="1"/>
  <c r="E18" i="172"/>
  <c r="B18" i="172"/>
  <c r="C18" i="172" s="1"/>
  <c r="F17" i="172"/>
  <c r="E17" i="172"/>
  <c r="B17" i="172"/>
  <c r="C17" i="172" s="1"/>
  <c r="F16" i="172"/>
  <c r="K29" i="172" s="1"/>
  <c r="E16" i="172"/>
  <c r="B16" i="172"/>
  <c r="C16" i="172" s="1"/>
  <c r="F15" i="172"/>
  <c r="AA29" i="172" s="1"/>
  <c r="E15" i="172"/>
  <c r="B15" i="172"/>
  <c r="C15" i="172" s="1"/>
  <c r="F14" i="172"/>
  <c r="AD29" i="172" s="1"/>
  <c r="E14" i="172"/>
  <c r="B14" i="172"/>
  <c r="C14" i="172" s="1"/>
  <c r="F13" i="172"/>
  <c r="T29" i="172" s="1"/>
  <c r="E13" i="172"/>
  <c r="B13" i="172"/>
  <c r="C13" i="172" s="1"/>
  <c r="F12" i="172"/>
  <c r="L29" i="172" s="1"/>
  <c r="E12" i="172"/>
  <c r="B12" i="172"/>
  <c r="C12" i="172" s="1"/>
  <c r="F11" i="172"/>
  <c r="N29" i="172" s="1"/>
  <c r="E11" i="172"/>
  <c r="B11" i="172"/>
  <c r="C11" i="172" s="1"/>
  <c r="F10" i="172"/>
  <c r="E10" i="172"/>
  <c r="B10" i="172"/>
  <c r="C10" i="172" s="1"/>
  <c r="F9" i="172"/>
  <c r="O29" i="172" s="1"/>
  <c r="E9" i="172"/>
  <c r="B9" i="172"/>
  <c r="C9" i="172" s="1"/>
  <c r="F8" i="172"/>
  <c r="E8" i="172"/>
  <c r="B8" i="172"/>
  <c r="F7" i="172"/>
  <c r="U29" i="172" s="1"/>
  <c r="E7" i="172"/>
  <c r="B7" i="172"/>
  <c r="C7" i="172" s="1"/>
  <c r="F6" i="172"/>
  <c r="AC29" i="172" s="1"/>
  <c r="E6" i="172"/>
  <c r="B6" i="172"/>
  <c r="C6" i="172" s="1"/>
  <c r="F5" i="172"/>
  <c r="J29" i="172" s="1"/>
  <c r="E5" i="172"/>
  <c r="B5" i="172"/>
  <c r="F4" i="172"/>
  <c r="E4" i="172"/>
  <c r="B4" i="172"/>
  <c r="C4" i="172" s="1"/>
  <c r="AF3" i="172"/>
  <c r="AE3" i="172"/>
  <c r="AD3" i="172"/>
  <c r="AC3" i="172"/>
  <c r="AB3" i="172"/>
  <c r="AA3" i="172"/>
  <c r="Z3" i="172"/>
  <c r="Y3" i="172"/>
  <c r="X3" i="172"/>
  <c r="W3" i="172"/>
  <c r="V3" i="172"/>
  <c r="U3" i="172"/>
  <c r="T3" i="172"/>
  <c r="S3" i="172"/>
  <c r="R3" i="172"/>
  <c r="Q3" i="172"/>
  <c r="P3" i="172"/>
  <c r="O3" i="172"/>
  <c r="N3" i="172"/>
  <c r="M3" i="172"/>
  <c r="L3" i="172"/>
  <c r="K3" i="172"/>
  <c r="J3" i="172"/>
  <c r="AF2" i="172"/>
  <c r="AE2" i="172"/>
  <c r="AD2" i="172"/>
  <c r="AC2" i="172"/>
  <c r="AB2" i="172"/>
  <c r="AA2" i="172"/>
  <c r="Z2" i="172"/>
  <c r="Y2" i="172"/>
  <c r="X2" i="172"/>
  <c r="W2" i="172"/>
  <c r="V2" i="172"/>
  <c r="U2" i="172"/>
  <c r="T2" i="172"/>
  <c r="S2" i="172" a="1"/>
  <c r="S2" i="172" s="1"/>
  <c r="R2" i="172"/>
  <c r="Q2" i="172"/>
  <c r="P2" i="172"/>
  <c r="O2" i="172"/>
  <c r="N2" i="172"/>
  <c r="M2" i="172"/>
  <c r="L2" i="172"/>
  <c r="K2" i="172"/>
  <c r="J2" i="172"/>
  <c r="AF23" i="171"/>
  <c r="AE23" i="171"/>
  <c r="AD23" i="171"/>
  <c r="AC23" i="171"/>
  <c r="AB23" i="171"/>
  <c r="AA23" i="171"/>
  <c r="Z23" i="171"/>
  <c r="Y23" i="171"/>
  <c r="X23" i="171"/>
  <c r="W23" i="171"/>
  <c r="V23" i="171"/>
  <c r="U23" i="171"/>
  <c r="T23" i="171"/>
  <c r="S23" i="171"/>
  <c r="R23" i="171"/>
  <c r="Q23" i="171"/>
  <c r="P23" i="171"/>
  <c r="O23" i="171"/>
  <c r="N23" i="171"/>
  <c r="M23" i="171"/>
  <c r="L23" i="171"/>
  <c r="K23" i="171"/>
  <c r="J23" i="171"/>
  <c r="F19" i="171"/>
  <c r="E19" i="171"/>
  <c r="B19" i="171"/>
  <c r="C19" i="171" s="1"/>
  <c r="F18" i="171"/>
  <c r="M29" i="171" s="1"/>
  <c r="E18" i="171"/>
  <c r="B18" i="171"/>
  <c r="C18" i="171" s="1"/>
  <c r="F17" i="171"/>
  <c r="E17" i="171"/>
  <c r="B17" i="171"/>
  <c r="C17" i="171" s="1"/>
  <c r="F16" i="171"/>
  <c r="E16" i="171"/>
  <c r="B16" i="171"/>
  <c r="C16" i="171" s="1"/>
  <c r="F15" i="171"/>
  <c r="AA29" i="171" s="1"/>
  <c r="E15" i="171"/>
  <c r="C15" i="171"/>
  <c r="B15" i="171"/>
  <c r="F14" i="171"/>
  <c r="AD29" i="171" s="1"/>
  <c r="E14" i="171"/>
  <c r="B14" i="171"/>
  <c r="C14" i="171" s="1"/>
  <c r="F13" i="171"/>
  <c r="W29" i="171" s="1"/>
  <c r="E13" i="171"/>
  <c r="B13" i="171"/>
  <c r="C13" i="171" s="1"/>
  <c r="F12" i="171"/>
  <c r="L29" i="171" s="1"/>
  <c r="E12" i="171"/>
  <c r="B12" i="171"/>
  <c r="C12" i="171" s="1"/>
  <c r="F11" i="171"/>
  <c r="N29" i="171" s="1"/>
  <c r="E11" i="171"/>
  <c r="B11" i="171"/>
  <c r="C11" i="171" s="1"/>
  <c r="F10" i="171"/>
  <c r="E10" i="171"/>
  <c r="B10" i="171"/>
  <c r="C10" i="171" s="1"/>
  <c r="F9" i="171"/>
  <c r="O29" i="171" s="1"/>
  <c r="E9" i="171"/>
  <c r="B9" i="171"/>
  <c r="C9" i="171" s="1"/>
  <c r="F8" i="171"/>
  <c r="E8" i="171"/>
  <c r="B8" i="171"/>
  <c r="F7" i="171"/>
  <c r="E7" i="171"/>
  <c r="B7" i="171"/>
  <c r="C7" i="171" s="1"/>
  <c r="F6" i="171"/>
  <c r="E6" i="171"/>
  <c r="B6" i="171"/>
  <c r="C6" i="171" s="1"/>
  <c r="F5" i="171"/>
  <c r="E5" i="171"/>
  <c r="B5" i="171"/>
  <c r="C5" i="171" s="1"/>
  <c r="F4" i="171"/>
  <c r="E4" i="171"/>
  <c r="B4" i="171"/>
  <c r="AF3" i="171"/>
  <c r="AE3" i="171"/>
  <c r="AD3" i="171"/>
  <c r="AC3" i="171"/>
  <c r="AB3" i="171"/>
  <c r="AA3" i="171"/>
  <c r="Z3" i="171"/>
  <c r="Y3" i="171"/>
  <c r="X3" i="171"/>
  <c r="W3" i="171"/>
  <c r="V3" i="171"/>
  <c r="U3" i="171"/>
  <c r="T3" i="171"/>
  <c r="S3" i="171"/>
  <c r="R3" i="171"/>
  <c r="Q3" i="171"/>
  <c r="P3" i="171"/>
  <c r="O3" i="171"/>
  <c r="N3" i="171"/>
  <c r="M3" i="171"/>
  <c r="L3" i="171"/>
  <c r="K3" i="171"/>
  <c r="J3" i="171"/>
  <c r="AF2" i="171"/>
  <c r="AE2" i="171"/>
  <c r="AD2" i="171"/>
  <c r="AC2" i="171"/>
  <c r="AB2" i="171"/>
  <c r="AA2" i="171"/>
  <c r="Z2" i="171"/>
  <c r="Y2" i="171"/>
  <c r="X2" i="171"/>
  <c r="W2" i="171"/>
  <c r="V2" i="171"/>
  <c r="U2" i="171"/>
  <c r="T2" i="171"/>
  <c r="S2" i="171" a="1"/>
  <c r="S2" i="171" s="1"/>
  <c r="R2" i="171"/>
  <c r="Q2" i="171"/>
  <c r="P2" i="171"/>
  <c r="O2" i="171"/>
  <c r="N2" i="171"/>
  <c r="M2" i="171"/>
  <c r="L2" i="171"/>
  <c r="K2" i="171"/>
  <c r="J2" i="171"/>
  <c r="AF23" i="170"/>
  <c r="AE23" i="170"/>
  <c r="AD23" i="170"/>
  <c r="AC23" i="170"/>
  <c r="AB23" i="170"/>
  <c r="AA23" i="170"/>
  <c r="Z23" i="170"/>
  <c r="Y23" i="170"/>
  <c r="X23" i="170"/>
  <c r="W23" i="170"/>
  <c r="V23" i="170"/>
  <c r="U23" i="170"/>
  <c r="T23" i="170"/>
  <c r="S23" i="170"/>
  <c r="R23" i="170"/>
  <c r="Q23" i="170"/>
  <c r="P23" i="170"/>
  <c r="O23" i="170"/>
  <c r="N23" i="170"/>
  <c r="M23" i="170"/>
  <c r="L23" i="170"/>
  <c r="K23" i="170"/>
  <c r="J23" i="170"/>
  <c r="F19" i="170"/>
  <c r="AE29" i="170" s="1"/>
  <c r="E19" i="170"/>
  <c r="B19" i="170"/>
  <c r="C19" i="170" s="1"/>
  <c r="F18" i="170"/>
  <c r="M29" i="170" s="1"/>
  <c r="E18" i="170"/>
  <c r="B18" i="170"/>
  <c r="C18" i="170" s="1"/>
  <c r="F17" i="170"/>
  <c r="E17" i="170"/>
  <c r="B17" i="170"/>
  <c r="C17" i="170" s="1"/>
  <c r="F16" i="170"/>
  <c r="Z29" i="170" s="1"/>
  <c r="E16" i="170"/>
  <c r="B16" i="170"/>
  <c r="C16" i="170" s="1"/>
  <c r="F15" i="170"/>
  <c r="AA29" i="170" s="1"/>
  <c r="E15" i="170"/>
  <c r="B15" i="170"/>
  <c r="C15" i="170" s="1"/>
  <c r="F14" i="170"/>
  <c r="AD29" i="170" s="1"/>
  <c r="E14" i="170"/>
  <c r="B14" i="170"/>
  <c r="C14" i="170" s="1"/>
  <c r="F13" i="170"/>
  <c r="E13" i="170"/>
  <c r="B13" i="170"/>
  <c r="C13" i="170" s="1"/>
  <c r="F12" i="170"/>
  <c r="L29" i="170" s="1"/>
  <c r="E12" i="170"/>
  <c r="B12" i="170"/>
  <c r="C12" i="170" s="1"/>
  <c r="F11" i="170"/>
  <c r="N29" i="170" s="1"/>
  <c r="E11" i="170"/>
  <c r="B11" i="170"/>
  <c r="C11" i="170" s="1"/>
  <c r="F10" i="170"/>
  <c r="E10" i="170"/>
  <c r="B10" i="170"/>
  <c r="C10" i="170" s="1"/>
  <c r="F9" i="170"/>
  <c r="O29" i="170" s="1"/>
  <c r="E9" i="170"/>
  <c r="B9" i="170"/>
  <c r="C9" i="170" s="1"/>
  <c r="F8" i="170"/>
  <c r="E8" i="170"/>
  <c r="B8" i="170"/>
  <c r="C8" i="170" s="1"/>
  <c r="F7" i="170"/>
  <c r="E7" i="170"/>
  <c r="B7" i="170"/>
  <c r="C7" i="170" s="1"/>
  <c r="F6" i="170"/>
  <c r="P29" i="170" s="1"/>
  <c r="E6" i="170"/>
  <c r="B6" i="170"/>
  <c r="C6" i="170" s="1"/>
  <c r="F5" i="170"/>
  <c r="E5" i="170"/>
  <c r="B5" i="170"/>
  <c r="C5" i="170" s="1"/>
  <c r="F4" i="170"/>
  <c r="E4" i="170"/>
  <c r="B4" i="170"/>
  <c r="Z21" i="170" s="1"/>
  <c r="AF3" i="170"/>
  <c r="AE3" i="170"/>
  <c r="AD3" i="170"/>
  <c r="AC3" i="170"/>
  <c r="AB3" i="170"/>
  <c r="AA3" i="170"/>
  <c r="Z3" i="170"/>
  <c r="Y3" i="170"/>
  <c r="X3" i="170"/>
  <c r="W3" i="170"/>
  <c r="V3" i="170"/>
  <c r="U3" i="170"/>
  <c r="T3" i="170"/>
  <c r="S3" i="170"/>
  <c r="R3" i="170"/>
  <c r="Q3" i="170"/>
  <c r="P3" i="170"/>
  <c r="O3" i="170"/>
  <c r="N3" i="170"/>
  <c r="M3" i="170"/>
  <c r="L3" i="170"/>
  <c r="K3" i="170"/>
  <c r="J3" i="170"/>
  <c r="AF2" i="170"/>
  <c r="AE2" i="170"/>
  <c r="AD2" i="170"/>
  <c r="AC2" i="170"/>
  <c r="AB2" i="170"/>
  <c r="AA2" i="170"/>
  <c r="Z2" i="170"/>
  <c r="Y2" i="170"/>
  <c r="X2" i="170"/>
  <c r="W2" i="170"/>
  <c r="V2" i="170"/>
  <c r="U2" i="170"/>
  <c r="T2" i="170"/>
  <c r="S2" i="170" a="1"/>
  <c r="S2" i="170" s="1"/>
  <c r="R2" i="170"/>
  <c r="Q2" i="170"/>
  <c r="P2" i="170"/>
  <c r="O2" i="170"/>
  <c r="N2" i="170"/>
  <c r="M2" i="170"/>
  <c r="L2" i="170"/>
  <c r="K2" i="170"/>
  <c r="J2" i="170"/>
  <c r="AF23" i="169"/>
  <c r="AE23" i="169"/>
  <c r="AD23" i="169"/>
  <c r="AC23" i="169"/>
  <c r="AB23" i="169"/>
  <c r="AA23" i="169"/>
  <c r="Z23" i="169"/>
  <c r="Y23" i="169"/>
  <c r="X23" i="169"/>
  <c r="W23" i="169"/>
  <c r="V23" i="169"/>
  <c r="U23" i="169"/>
  <c r="T23" i="169"/>
  <c r="S23" i="169"/>
  <c r="R23" i="169"/>
  <c r="Q23" i="169"/>
  <c r="P23" i="169"/>
  <c r="O23" i="169"/>
  <c r="N23" i="169"/>
  <c r="M23" i="169"/>
  <c r="L23" i="169"/>
  <c r="K23" i="169"/>
  <c r="J23" i="169"/>
  <c r="F19" i="169"/>
  <c r="E19" i="169"/>
  <c r="B19" i="169"/>
  <c r="C19" i="169" s="1"/>
  <c r="F18" i="169"/>
  <c r="M29" i="169" s="1"/>
  <c r="E18" i="169"/>
  <c r="B18" i="169"/>
  <c r="C18" i="169" s="1"/>
  <c r="F17" i="169"/>
  <c r="E17" i="169"/>
  <c r="B17" i="169"/>
  <c r="C17" i="169" s="1"/>
  <c r="F16" i="169"/>
  <c r="Z29" i="169" s="1"/>
  <c r="E16" i="169"/>
  <c r="B16" i="169"/>
  <c r="C16" i="169" s="1"/>
  <c r="F15" i="169"/>
  <c r="AA29" i="169" s="1"/>
  <c r="E15" i="169"/>
  <c r="B15" i="169"/>
  <c r="C15" i="169" s="1"/>
  <c r="F14" i="169"/>
  <c r="AD29" i="169" s="1"/>
  <c r="E14" i="169"/>
  <c r="B14" i="169"/>
  <c r="C14" i="169" s="1"/>
  <c r="F13" i="169"/>
  <c r="R29" i="169" s="1"/>
  <c r="E13" i="169"/>
  <c r="B13" i="169"/>
  <c r="C13" i="169" s="1"/>
  <c r="F12" i="169"/>
  <c r="L29" i="169" s="1"/>
  <c r="E12" i="169"/>
  <c r="B12" i="169"/>
  <c r="C12" i="169" s="1"/>
  <c r="F11" i="169"/>
  <c r="N29" i="169" s="1"/>
  <c r="E11" i="169"/>
  <c r="B11" i="169"/>
  <c r="C11" i="169" s="1"/>
  <c r="F10" i="169"/>
  <c r="E10" i="169"/>
  <c r="B10" i="169"/>
  <c r="C10" i="169" s="1"/>
  <c r="F9" i="169"/>
  <c r="O29" i="169" s="1"/>
  <c r="E9" i="169"/>
  <c r="B9" i="169"/>
  <c r="C9" i="169" s="1"/>
  <c r="F8" i="169"/>
  <c r="E8" i="169"/>
  <c r="B8" i="169"/>
  <c r="C8" i="169" s="1"/>
  <c r="F7" i="169"/>
  <c r="AB29" i="169" s="1"/>
  <c r="E7" i="169"/>
  <c r="B7" i="169"/>
  <c r="C7" i="169" s="1"/>
  <c r="F6" i="169"/>
  <c r="E6" i="169"/>
  <c r="C6" i="169"/>
  <c r="B6" i="169"/>
  <c r="F5" i="169"/>
  <c r="AF29" i="169" s="1"/>
  <c r="E5" i="169"/>
  <c r="B5" i="169"/>
  <c r="F4" i="169"/>
  <c r="E4" i="169"/>
  <c r="B4" i="169"/>
  <c r="AF3" i="169"/>
  <c r="AE3" i="169"/>
  <c r="AD3" i="169"/>
  <c r="AC3" i="169"/>
  <c r="AB3" i="169"/>
  <c r="AA3" i="169"/>
  <c r="Z3" i="169"/>
  <c r="Y3" i="169"/>
  <c r="X3" i="169"/>
  <c r="W3" i="169"/>
  <c r="V3" i="169"/>
  <c r="U3" i="169"/>
  <c r="T3" i="169"/>
  <c r="S3" i="169"/>
  <c r="R3" i="169"/>
  <c r="Q3" i="169"/>
  <c r="P3" i="169"/>
  <c r="O3" i="169"/>
  <c r="N3" i="169"/>
  <c r="M3" i="169"/>
  <c r="L3" i="169"/>
  <c r="K3" i="169"/>
  <c r="J3" i="169"/>
  <c r="AF2" i="169"/>
  <c r="AE2" i="169"/>
  <c r="AD2" i="169"/>
  <c r="AC2" i="169"/>
  <c r="AB2" i="169"/>
  <c r="AA2" i="169"/>
  <c r="Z2" i="169"/>
  <c r="Y2" i="169"/>
  <c r="X2" i="169"/>
  <c r="W2" i="169"/>
  <c r="V2" i="169"/>
  <c r="U2" i="169"/>
  <c r="T2" i="169"/>
  <c r="S2" i="169" a="1"/>
  <c r="S2" i="169" s="1"/>
  <c r="R2" i="169"/>
  <c r="Q2" i="169"/>
  <c r="P2" i="169"/>
  <c r="O2" i="169"/>
  <c r="N2" i="169"/>
  <c r="M2" i="169"/>
  <c r="L2" i="169"/>
  <c r="K2" i="169"/>
  <c r="J2" i="169"/>
  <c r="AF23" i="168"/>
  <c r="AE23" i="168"/>
  <c r="AD23" i="168"/>
  <c r="AC23" i="168"/>
  <c r="AB23" i="168"/>
  <c r="AA23" i="168"/>
  <c r="Z23" i="168"/>
  <c r="Y23" i="168"/>
  <c r="X23" i="168"/>
  <c r="W23" i="168"/>
  <c r="V23" i="168"/>
  <c r="U23" i="168"/>
  <c r="T23" i="168"/>
  <c r="S23" i="168"/>
  <c r="R23" i="168"/>
  <c r="Q23" i="168"/>
  <c r="P23" i="168"/>
  <c r="O23" i="168"/>
  <c r="N23" i="168"/>
  <c r="M23" i="168"/>
  <c r="L23" i="168"/>
  <c r="K23" i="168"/>
  <c r="J23" i="168"/>
  <c r="F19" i="168"/>
  <c r="E19" i="168"/>
  <c r="B19" i="168"/>
  <c r="C19" i="168" s="1"/>
  <c r="F18" i="168"/>
  <c r="M29" i="168" s="1"/>
  <c r="E18" i="168"/>
  <c r="B18" i="168"/>
  <c r="C18" i="168" s="1"/>
  <c r="F17" i="168"/>
  <c r="E17" i="168"/>
  <c r="B17" i="168"/>
  <c r="C17" i="168" s="1"/>
  <c r="F16" i="168"/>
  <c r="K29" i="168" s="1"/>
  <c r="E16" i="168"/>
  <c r="B16" i="168"/>
  <c r="C16" i="168" s="1"/>
  <c r="F15" i="168"/>
  <c r="AA29" i="168" s="1"/>
  <c r="E15" i="168"/>
  <c r="B15" i="168"/>
  <c r="C15" i="168" s="1"/>
  <c r="F14" i="168"/>
  <c r="AD29" i="168" s="1"/>
  <c r="E14" i="168"/>
  <c r="B14" i="168"/>
  <c r="C14" i="168" s="1"/>
  <c r="F13" i="168"/>
  <c r="T29" i="168" s="1"/>
  <c r="E13" i="168"/>
  <c r="B13" i="168"/>
  <c r="C13" i="168" s="1"/>
  <c r="F12" i="168"/>
  <c r="L29" i="168" s="1"/>
  <c r="E12" i="168"/>
  <c r="B12" i="168"/>
  <c r="C12" i="168" s="1"/>
  <c r="F11" i="168"/>
  <c r="N29" i="168" s="1"/>
  <c r="E11" i="168"/>
  <c r="B11" i="168"/>
  <c r="C11" i="168" s="1"/>
  <c r="F10" i="168"/>
  <c r="E10" i="168"/>
  <c r="B10" i="168"/>
  <c r="C10" i="168" s="1"/>
  <c r="F9" i="168"/>
  <c r="O29" i="168" s="1"/>
  <c r="E9" i="168"/>
  <c r="B9" i="168"/>
  <c r="C9" i="168" s="1"/>
  <c r="F8" i="168"/>
  <c r="E8" i="168"/>
  <c r="B8" i="168"/>
  <c r="C8" i="168" s="1"/>
  <c r="F7" i="168"/>
  <c r="E7" i="168"/>
  <c r="B7" i="168"/>
  <c r="C7" i="168" s="1"/>
  <c r="F6" i="168"/>
  <c r="S29" i="168" s="1"/>
  <c r="E6" i="168"/>
  <c r="B6" i="168"/>
  <c r="F5" i="168"/>
  <c r="AF29" i="168" s="1"/>
  <c r="E5" i="168"/>
  <c r="B5" i="168"/>
  <c r="C5" i="168" s="1"/>
  <c r="E4" i="168"/>
  <c r="B4" i="168"/>
  <c r="AF3" i="168"/>
  <c r="AE3" i="168"/>
  <c r="AD3" i="168"/>
  <c r="AC3" i="168"/>
  <c r="AB3" i="168"/>
  <c r="AA3" i="168"/>
  <c r="Z3" i="168"/>
  <c r="Y3" i="168"/>
  <c r="X3" i="168"/>
  <c r="W3" i="168"/>
  <c r="V3" i="168"/>
  <c r="U3" i="168"/>
  <c r="T3" i="168"/>
  <c r="S3" i="168"/>
  <c r="R3" i="168"/>
  <c r="Q3" i="168"/>
  <c r="P3" i="168"/>
  <c r="O3" i="168"/>
  <c r="N3" i="168"/>
  <c r="M3" i="168"/>
  <c r="L3" i="168"/>
  <c r="K3" i="168"/>
  <c r="J3" i="168"/>
  <c r="AF2" i="168"/>
  <c r="AE2" i="168"/>
  <c r="AD2" i="168"/>
  <c r="AC2" i="168"/>
  <c r="AB2" i="168"/>
  <c r="AA2" i="168"/>
  <c r="Z2" i="168"/>
  <c r="Y2" i="168"/>
  <c r="X2" i="168"/>
  <c r="W2" i="168"/>
  <c r="V2" i="168"/>
  <c r="U2" i="168"/>
  <c r="T2" i="168"/>
  <c r="S2" i="168" a="1"/>
  <c r="S2" i="168" s="1"/>
  <c r="R2" i="168"/>
  <c r="Q2" i="168"/>
  <c r="P2" i="168"/>
  <c r="O2" i="168"/>
  <c r="N2" i="168"/>
  <c r="M2" i="168"/>
  <c r="L2" i="168"/>
  <c r="K2" i="168"/>
  <c r="J2" i="168"/>
  <c r="AF23" i="166"/>
  <c r="AE23" i="166"/>
  <c r="AD23" i="166"/>
  <c r="AC23" i="166"/>
  <c r="AB23" i="166"/>
  <c r="AA23" i="166"/>
  <c r="Z23" i="166"/>
  <c r="Y23" i="166"/>
  <c r="X23" i="166"/>
  <c r="W23" i="166"/>
  <c r="V23" i="166"/>
  <c r="U23" i="166"/>
  <c r="T23" i="166"/>
  <c r="S23" i="166"/>
  <c r="R23" i="166"/>
  <c r="Q23" i="166"/>
  <c r="P23" i="166"/>
  <c r="O23" i="166"/>
  <c r="N23" i="166"/>
  <c r="M23" i="166"/>
  <c r="L23" i="166"/>
  <c r="K23" i="166"/>
  <c r="J23" i="166"/>
  <c r="F19" i="166"/>
  <c r="AE29" i="166" s="1"/>
  <c r="B19" i="166"/>
  <c r="C19" i="166" s="1"/>
  <c r="F18" i="166"/>
  <c r="M29" i="166" s="1"/>
  <c r="B18" i="166"/>
  <c r="C18" i="166" s="1"/>
  <c r="F17" i="166"/>
  <c r="B17" i="166"/>
  <c r="C17" i="166" s="1"/>
  <c r="F16" i="166"/>
  <c r="Z29" i="166" s="1"/>
  <c r="B16" i="166"/>
  <c r="C16" i="166" s="1"/>
  <c r="F15" i="166"/>
  <c r="AA29" i="166" s="1"/>
  <c r="B15" i="166"/>
  <c r="C15" i="166" s="1"/>
  <c r="F14" i="166"/>
  <c r="AD29" i="166" s="1"/>
  <c r="B14" i="166"/>
  <c r="C14" i="166" s="1"/>
  <c r="F13" i="166"/>
  <c r="W29" i="166" s="1"/>
  <c r="B13" i="166"/>
  <c r="C13" i="166" s="1"/>
  <c r="F12" i="166"/>
  <c r="L29" i="166" s="1"/>
  <c r="B12" i="166"/>
  <c r="C12" i="166" s="1"/>
  <c r="F11" i="166"/>
  <c r="N29" i="166" s="1"/>
  <c r="B11" i="166"/>
  <c r="C11" i="166" s="1"/>
  <c r="F10" i="166"/>
  <c r="B10" i="166"/>
  <c r="C10" i="166" s="1"/>
  <c r="F9" i="166"/>
  <c r="O29" i="166" s="1"/>
  <c r="B9" i="166"/>
  <c r="F8" i="166"/>
  <c r="B8" i="166"/>
  <c r="C8" i="166" s="1"/>
  <c r="F7" i="166"/>
  <c r="Y29" i="166" s="1"/>
  <c r="B7" i="166"/>
  <c r="C7" i="166" s="1"/>
  <c r="F6" i="166"/>
  <c r="B6" i="166"/>
  <c r="C6" i="166" s="1"/>
  <c r="F5" i="166"/>
  <c r="B5" i="166"/>
  <c r="C5" i="166" s="1"/>
  <c r="F4" i="166"/>
  <c r="F22" i="166" s="1"/>
  <c r="AF3" i="166"/>
  <c r="AE3" i="166"/>
  <c r="AD3" i="166"/>
  <c r="AC3" i="166"/>
  <c r="AB3" i="166"/>
  <c r="AA3" i="166"/>
  <c r="Z3" i="166"/>
  <c r="Y3" i="166"/>
  <c r="X3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AF2" i="166"/>
  <c r="AE2" i="166"/>
  <c r="AD2" i="166"/>
  <c r="AC2" i="166"/>
  <c r="AB2" i="166"/>
  <c r="AA2" i="166"/>
  <c r="Z2" i="166"/>
  <c r="Y2" i="166"/>
  <c r="X2" i="166"/>
  <c r="W2" i="166"/>
  <c r="V2" i="166"/>
  <c r="U2" i="166"/>
  <c r="T2" i="166"/>
  <c r="S2" i="166" a="1"/>
  <c r="S2" i="166" s="1"/>
  <c r="R2" i="166"/>
  <c r="Q2" i="166"/>
  <c r="P2" i="166"/>
  <c r="O2" i="166"/>
  <c r="N2" i="166"/>
  <c r="M2" i="166"/>
  <c r="L2" i="166"/>
  <c r="K2" i="166"/>
  <c r="J2" i="166"/>
  <c r="BD12" i="114"/>
  <c r="BD13" i="114"/>
  <c r="AX9" i="114"/>
  <c r="F19" i="125"/>
  <c r="X29" i="125" s="1"/>
  <c r="U29" i="187" l="1"/>
  <c r="W29" i="185"/>
  <c r="V29" i="187"/>
  <c r="T29" i="187"/>
  <c r="J30" i="188"/>
  <c r="J32" i="188" s="1"/>
  <c r="P30" i="185"/>
  <c r="P32" i="185" s="1"/>
  <c r="W30" i="187"/>
  <c r="W32" i="187" s="1"/>
  <c r="Q29" i="187"/>
  <c r="T21" i="187"/>
  <c r="F20" i="187"/>
  <c r="K29" i="187"/>
  <c r="K30" i="187" s="1"/>
  <c r="AD21" i="187"/>
  <c r="AD26" i="187" s="1"/>
  <c r="Y29" i="187"/>
  <c r="Y30" i="187" s="1"/>
  <c r="AE29" i="187"/>
  <c r="AE30" i="187" s="1"/>
  <c r="AF29" i="188"/>
  <c r="AF40" i="188" s="1"/>
  <c r="AF21" i="188"/>
  <c r="X30" i="185"/>
  <c r="X32" i="185" s="1"/>
  <c r="S29" i="185"/>
  <c r="Z29" i="185"/>
  <c r="V21" i="185"/>
  <c r="AC29" i="185"/>
  <c r="AC30" i="185" s="1"/>
  <c r="J29" i="185"/>
  <c r="J30" i="185" s="1"/>
  <c r="AE29" i="185"/>
  <c r="Q29" i="185"/>
  <c r="Q30" i="185" s="1"/>
  <c r="Q31" i="185" s="1"/>
  <c r="R29" i="185"/>
  <c r="R30" i="185" s="1"/>
  <c r="R32" i="185" s="1"/>
  <c r="K29" i="186"/>
  <c r="AC29" i="184"/>
  <c r="AE29" i="184"/>
  <c r="AE30" i="184" s="1"/>
  <c r="P29" i="184"/>
  <c r="P30" i="184" s="1"/>
  <c r="Q29" i="184"/>
  <c r="J30" i="183"/>
  <c r="J32" i="183" s="1"/>
  <c r="X29" i="183"/>
  <c r="T40" i="187"/>
  <c r="T26" i="187"/>
  <c r="Q21" i="187"/>
  <c r="V30" i="187"/>
  <c r="Z30" i="187"/>
  <c r="R30" i="187"/>
  <c r="AB30" i="187"/>
  <c r="AC29" i="187"/>
  <c r="S29" i="187"/>
  <c r="P29" i="187"/>
  <c r="AA21" i="187"/>
  <c r="L30" i="187"/>
  <c r="AD30" i="188"/>
  <c r="J30" i="187"/>
  <c r="C10" i="187"/>
  <c r="AA30" i="187"/>
  <c r="AC21" i="187"/>
  <c r="R21" i="187"/>
  <c r="Z21" i="187"/>
  <c r="P21" i="187"/>
  <c r="N30" i="187"/>
  <c r="AF29" i="187"/>
  <c r="C9" i="187"/>
  <c r="W22" i="187" s="1"/>
  <c r="AD30" i="187"/>
  <c r="M30" i="187"/>
  <c r="U30" i="187"/>
  <c r="O30" i="187"/>
  <c r="AE21" i="187"/>
  <c r="W21" i="187"/>
  <c r="O21" i="187"/>
  <c r="AB21" i="187"/>
  <c r="S21" i="187"/>
  <c r="J21" i="187"/>
  <c r="N21" i="187"/>
  <c r="Y21" i="187"/>
  <c r="T30" i="187"/>
  <c r="Q30" i="187"/>
  <c r="F20" i="188"/>
  <c r="C14" i="188"/>
  <c r="AE21" i="188"/>
  <c r="AF26" i="188"/>
  <c r="V26" i="188"/>
  <c r="AA30" i="188"/>
  <c r="K21" i="187"/>
  <c r="U21" i="187"/>
  <c r="AF21" i="187"/>
  <c r="X30" i="187"/>
  <c r="L21" i="187"/>
  <c r="V21" i="187"/>
  <c r="F22" i="187"/>
  <c r="B20" i="120" s="1"/>
  <c r="Z29" i="188"/>
  <c r="K29" i="188"/>
  <c r="M21" i="187"/>
  <c r="X21" i="187"/>
  <c r="X30" i="188"/>
  <c r="O30" i="188"/>
  <c r="AB29" i="188"/>
  <c r="U29" i="188"/>
  <c r="Y29" i="188"/>
  <c r="V29" i="188"/>
  <c r="V40" i="188" s="1"/>
  <c r="P30" i="188"/>
  <c r="J31" i="188"/>
  <c r="T29" i="188"/>
  <c r="R29" i="188"/>
  <c r="Q29" i="188"/>
  <c r="W29" i="188"/>
  <c r="Q21" i="188"/>
  <c r="F22" i="188"/>
  <c r="B17" i="120" s="1"/>
  <c r="D17" i="120" s="1"/>
  <c r="C5" i="188"/>
  <c r="L30" i="188"/>
  <c r="N30" i="188"/>
  <c r="AB21" i="188"/>
  <c r="T21" i="188"/>
  <c r="L21" i="188"/>
  <c r="AA21" i="188"/>
  <c r="S21" i="188"/>
  <c r="K21" i="188"/>
  <c r="Z21" i="188"/>
  <c r="R21" i="188"/>
  <c r="J21" i="188"/>
  <c r="AC21" i="188"/>
  <c r="U21" i="188"/>
  <c r="M21" i="188"/>
  <c r="Y21" i="188"/>
  <c r="C4" i="188"/>
  <c r="X21" i="188"/>
  <c r="W21" i="188"/>
  <c r="AD21" i="188"/>
  <c r="N21" i="188"/>
  <c r="O21" i="188"/>
  <c r="AC29" i="188"/>
  <c r="S29" i="188"/>
  <c r="M30" i="188"/>
  <c r="P21" i="188"/>
  <c r="AE29" i="188"/>
  <c r="AD30" i="185"/>
  <c r="X31" i="185"/>
  <c r="W40" i="185"/>
  <c r="W26" i="185"/>
  <c r="AA30" i="185"/>
  <c r="V26" i="185"/>
  <c r="L30" i="185"/>
  <c r="T30" i="185"/>
  <c r="N30" i="185"/>
  <c r="M30" i="185"/>
  <c r="X21" i="185"/>
  <c r="C7" i="186"/>
  <c r="U21" i="186"/>
  <c r="O21" i="186"/>
  <c r="AE21" i="186"/>
  <c r="J21" i="185"/>
  <c r="AD21" i="185"/>
  <c r="Z30" i="185"/>
  <c r="J29" i="186"/>
  <c r="AF29" i="186"/>
  <c r="C5" i="185"/>
  <c r="L21" i="185"/>
  <c r="AF21" i="185"/>
  <c r="AE30" i="185"/>
  <c r="AB29" i="186"/>
  <c r="Y29" i="186"/>
  <c r="V29" i="186"/>
  <c r="U29" i="186"/>
  <c r="M21" i="185"/>
  <c r="AF30" i="185"/>
  <c r="X21" i="186"/>
  <c r="K30" i="186"/>
  <c r="N21" i="185"/>
  <c r="S30" i="185"/>
  <c r="Z21" i="185"/>
  <c r="AB29" i="185"/>
  <c r="Y29" i="185"/>
  <c r="V29" i="185"/>
  <c r="K30" i="185"/>
  <c r="T21" i="185"/>
  <c r="U29" i="185"/>
  <c r="O30" i="185"/>
  <c r="W30" i="185"/>
  <c r="K21" i="185"/>
  <c r="U21" i="185"/>
  <c r="AE21" i="185"/>
  <c r="O21" i="185"/>
  <c r="F22" i="185"/>
  <c r="B16" i="120" s="1"/>
  <c r="Y21" i="185"/>
  <c r="Q21" i="185"/>
  <c r="AA21" i="185"/>
  <c r="R21" i="185"/>
  <c r="C4" i="185"/>
  <c r="P21" i="185"/>
  <c r="AB21" i="185"/>
  <c r="S21" i="185"/>
  <c r="AC21" i="185"/>
  <c r="AC29" i="186"/>
  <c r="S29" i="186"/>
  <c r="P29" i="186"/>
  <c r="Z30" i="186"/>
  <c r="O30" i="186"/>
  <c r="AD30" i="186"/>
  <c r="T29" i="186"/>
  <c r="R29" i="186"/>
  <c r="Q29" i="186"/>
  <c r="W29" i="186"/>
  <c r="F22" i="186"/>
  <c r="B14" i="120" s="1"/>
  <c r="F20" i="186"/>
  <c r="L30" i="186"/>
  <c r="AC22" i="186"/>
  <c r="Y21" i="186"/>
  <c r="J21" i="186"/>
  <c r="C6" i="186"/>
  <c r="K22" i="186" s="1"/>
  <c r="Q21" i="186"/>
  <c r="AF21" i="186"/>
  <c r="P21" i="186"/>
  <c r="X29" i="186"/>
  <c r="AE29" i="186"/>
  <c r="W21" i="186"/>
  <c r="AA30" i="186"/>
  <c r="M30" i="186"/>
  <c r="N30" i="186"/>
  <c r="AB21" i="186"/>
  <c r="T21" i="186"/>
  <c r="L21" i="186"/>
  <c r="AA21" i="186"/>
  <c r="S21" i="186"/>
  <c r="K21" i="186"/>
  <c r="Z21" i="186"/>
  <c r="R21" i="186"/>
  <c r="AD21" i="186"/>
  <c r="V21" i="186"/>
  <c r="N21" i="186"/>
  <c r="M21" i="186"/>
  <c r="AC21" i="186"/>
  <c r="N30" i="184"/>
  <c r="P26" i="184"/>
  <c r="M30" i="184"/>
  <c r="Q21" i="184"/>
  <c r="L30" i="184"/>
  <c r="R21" i="184"/>
  <c r="F20" i="184"/>
  <c r="X21" i="184"/>
  <c r="O30" i="184"/>
  <c r="AD30" i="184"/>
  <c r="AA30" i="184"/>
  <c r="K29" i="184"/>
  <c r="Z29" i="184"/>
  <c r="Y21" i="184"/>
  <c r="Q30" i="184"/>
  <c r="AD21" i="184"/>
  <c r="L21" i="184"/>
  <c r="C5" i="184"/>
  <c r="O22" i="184" s="1"/>
  <c r="J21" i="184"/>
  <c r="Z21" i="184"/>
  <c r="S22" i="184"/>
  <c r="K22" i="184"/>
  <c r="Y22" i="184"/>
  <c r="P22" i="184"/>
  <c r="P25" i="184" s="1"/>
  <c r="N22" i="184"/>
  <c r="Z22" i="184"/>
  <c r="Q22" i="184"/>
  <c r="AB29" i="184"/>
  <c r="V29" i="184"/>
  <c r="U29" i="184"/>
  <c r="Y29" i="184"/>
  <c r="AB21" i="184"/>
  <c r="V22" i="184"/>
  <c r="AF29" i="184"/>
  <c r="J29" i="184"/>
  <c r="R30" i="184"/>
  <c r="O21" i="184"/>
  <c r="F22" i="184"/>
  <c r="B13" i="120" s="1"/>
  <c r="AB22" i="184"/>
  <c r="N21" i="184"/>
  <c r="W21" i="184"/>
  <c r="AF21" i="184"/>
  <c r="W29" i="184"/>
  <c r="X30" i="184"/>
  <c r="T21" i="184"/>
  <c r="AC21" i="184"/>
  <c r="T29" i="184"/>
  <c r="U21" i="184"/>
  <c r="AC30" i="184"/>
  <c r="AA21" i="184"/>
  <c r="S21" i="184"/>
  <c r="K21" i="184"/>
  <c r="M21" i="184"/>
  <c r="V21" i="184"/>
  <c r="AE21" i="184"/>
  <c r="S30" i="184"/>
  <c r="L30" i="183"/>
  <c r="S29" i="183"/>
  <c r="AC29" i="183"/>
  <c r="P29" i="183"/>
  <c r="F20" i="183"/>
  <c r="M30" i="183"/>
  <c r="AD30" i="183"/>
  <c r="X30" i="183"/>
  <c r="Z21" i="183"/>
  <c r="R21" i="183"/>
  <c r="J21" i="183"/>
  <c r="F22" i="183"/>
  <c r="B12" i="120" s="1"/>
  <c r="Y21" i="183"/>
  <c r="Q21" i="183"/>
  <c r="AF21" i="183"/>
  <c r="X21" i="183"/>
  <c r="P21" i="183"/>
  <c r="AA21" i="183"/>
  <c r="S21" i="183"/>
  <c r="K21" i="183"/>
  <c r="T21" i="183"/>
  <c r="AE21" i="183"/>
  <c r="O21" i="183"/>
  <c r="AD21" i="183"/>
  <c r="N21" i="183"/>
  <c r="AC21" i="183"/>
  <c r="M21" i="183"/>
  <c r="AB21" i="183"/>
  <c r="L21" i="183"/>
  <c r="W21" i="183"/>
  <c r="C4" i="183"/>
  <c r="V21" i="183"/>
  <c r="U21" i="183"/>
  <c r="N30" i="183"/>
  <c r="Y30" i="183"/>
  <c r="R29" i="183"/>
  <c r="T29" i="183"/>
  <c r="Q29" i="183"/>
  <c r="AF29" i="183"/>
  <c r="AE30" i="183"/>
  <c r="O30" i="183"/>
  <c r="AB29" i="183"/>
  <c r="U29" i="183"/>
  <c r="AA30" i="183"/>
  <c r="V29" i="183"/>
  <c r="W29" i="183"/>
  <c r="K29" i="183"/>
  <c r="Z29" i="183"/>
  <c r="L30" i="166"/>
  <c r="L32" i="166" s="1"/>
  <c r="AC30" i="176"/>
  <c r="AB29" i="178"/>
  <c r="AB30" i="178" s="1"/>
  <c r="P21" i="179"/>
  <c r="C4" i="179"/>
  <c r="O30" i="179"/>
  <c r="O32" i="179" s="1"/>
  <c r="X29" i="172"/>
  <c r="X30" i="172" s="1"/>
  <c r="Y29" i="172"/>
  <c r="S29" i="176"/>
  <c r="X29" i="176"/>
  <c r="K29" i="169"/>
  <c r="K30" i="169" s="1"/>
  <c r="K29" i="170"/>
  <c r="K30" i="170" s="1"/>
  <c r="X29" i="170"/>
  <c r="P21" i="171"/>
  <c r="F20" i="168"/>
  <c r="L30" i="178"/>
  <c r="L32" i="178" s="1"/>
  <c r="AA30" i="169"/>
  <c r="AA31" i="169" s="1"/>
  <c r="AE30" i="170"/>
  <c r="AE32" i="170" s="1"/>
  <c r="AD30" i="176"/>
  <c r="AD32" i="176" s="1"/>
  <c r="L30" i="169"/>
  <c r="L31" i="169" s="1"/>
  <c r="AD30" i="170"/>
  <c r="AD32" i="170" s="1"/>
  <c r="U30" i="178"/>
  <c r="U32" i="178" s="1"/>
  <c r="AD30" i="178"/>
  <c r="AD32" i="178" s="1"/>
  <c r="Y21" i="170"/>
  <c r="AB21" i="172"/>
  <c r="O21" i="166"/>
  <c r="C8" i="172"/>
  <c r="C8" i="179"/>
  <c r="AE21" i="178"/>
  <c r="AE40" i="178" s="1"/>
  <c r="W21" i="171"/>
  <c r="O21" i="171"/>
  <c r="P21" i="166"/>
  <c r="X21" i="169"/>
  <c r="C4" i="171"/>
  <c r="V21" i="177"/>
  <c r="V26" i="177" s="1"/>
  <c r="K30" i="168"/>
  <c r="K32" i="168" s="1"/>
  <c r="J29" i="168"/>
  <c r="L30" i="168"/>
  <c r="L31" i="168" s="1"/>
  <c r="Q29" i="168"/>
  <c r="Q30" i="168" s="1"/>
  <c r="J21" i="168"/>
  <c r="R29" i="176"/>
  <c r="F20" i="177"/>
  <c r="Z29" i="172"/>
  <c r="W29" i="176"/>
  <c r="W30" i="176" s="1"/>
  <c r="S29" i="170"/>
  <c r="X29" i="166"/>
  <c r="AD30" i="168"/>
  <c r="AD31" i="168" s="1"/>
  <c r="R29" i="168"/>
  <c r="V29" i="169"/>
  <c r="J29" i="176"/>
  <c r="J30" i="176" s="1"/>
  <c r="Z29" i="176"/>
  <c r="Z30" i="176" s="1"/>
  <c r="V29" i="178"/>
  <c r="V30" i="178" s="1"/>
  <c r="V32" i="178" s="1"/>
  <c r="AA30" i="179"/>
  <c r="AA31" i="179" s="1"/>
  <c r="F20" i="179"/>
  <c r="K29" i="166"/>
  <c r="K30" i="166" s="1"/>
  <c r="K31" i="166" s="1"/>
  <c r="Z29" i="168"/>
  <c r="W29" i="169"/>
  <c r="W30" i="169" s="1"/>
  <c r="W32" i="169" s="1"/>
  <c r="P29" i="172"/>
  <c r="P30" i="172" s="1"/>
  <c r="AF29" i="172"/>
  <c r="AF30" i="172" s="1"/>
  <c r="AF32" i="172" s="1"/>
  <c r="F20" i="176"/>
  <c r="W29" i="178"/>
  <c r="W30" i="178" s="1"/>
  <c r="AC29" i="168"/>
  <c r="Q29" i="172"/>
  <c r="Q30" i="172" s="1"/>
  <c r="Q32" i="172" s="1"/>
  <c r="P29" i="176"/>
  <c r="X29" i="178"/>
  <c r="AE29" i="179"/>
  <c r="AE30" i="179" s="1"/>
  <c r="F20" i="166"/>
  <c r="R29" i="172"/>
  <c r="R30" i="172" s="1"/>
  <c r="R31" i="172" s="1"/>
  <c r="Q29" i="176"/>
  <c r="Q30" i="176" s="1"/>
  <c r="Q32" i="176" s="1"/>
  <c r="Y29" i="178"/>
  <c r="Y30" i="178" s="1"/>
  <c r="M30" i="178"/>
  <c r="R30" i="178"/>
  <c r="N30" i="178"/>
  <c r="F20" i="178"/>
  <c r="C4" i="178"/>
  <c r="M21" i="178"/>
  <c r="T21" i="178"/>
  <c r="J29" i="178"/>
  <c r="AF29" i="178"/>
  <c r="AA30" i="178"/>
  <c r="V21" i="178"/>
  <c r="O30" i="178"/>
  <c r="AE30" i="178"/>
  <c r="AC21" i="178"/>
  <c r="X30" i="178"/>
  <c r="AD21" i="178"/>
  <c r="U21" i="178"/>
  <c r="K21" i="178"/>
  <c r="S29" i="178"/>
  <c r="AC29" i="178"/>
  <c r="P29" i="178"/>
  <c r="AF21" i="178"/>
  <c r="X21" i="178"/>
  <c r="P21" i="178"/>
  <c r="AA21" i="178"/>
  <c r="R21" i="178"/>
  <c r="Z21" i="178"/>
  <c r="Q21" i="178"/>
  <c r="F22" i="178"/>
  <c r="B19" i="120" s="1"/>
  <c r="Y21" i="178"/>
  <c r="O21" i="178"/>
  <c r="N21" i="178"/>
  <c r="AB21" i="178"/>
  <c r="S21" i="178"/>
  <c r="J21" i="178"/>
  <c r="W21" i="178"/>
  <c r="L21" i="178"/>
  <c r="Z21" i="179"/>
  <c r="R21" i="179"/>
  <c r="J21" i="179"/>
  <c r="AE21" i="179"/>
  <c r="W21" i="179"/>
  <c r="O21" i="179"/>
  <c r="V21" i="179"/>
  <c r="L21" i="179"/>
  <c r="AF21" i="179"/>
  <c r="U21" i="179"/>
  <c r="K21" i="179"/>
  <c r="AD21" i="179"/>
  <c r="T21" i="179"/>
  <c r="AC21" i="179"/>
  <c r="S21" i="179"/>
  <c r="Y21" i="179"/>
  <c r="N21" i="179"/>
  <c r="X21" i="179"/>
  <c r="M21" i="179"/>
  <c r="Z22" i="179"/>
  <c r="R22" i="179"/>
  <c r="J22" i="179"/>
  <c r="AE22" i="179"/>
  <c r="W22" i="179"/>
  <c r="O22" i="179"/>
  <c r="AD22" i="179"/>
  <c r="T22" i="179"/>
  <c r="AC22" i="179"/>
  <c r="S22" i="179"/>
  <c r="AB22" i="179"/>
  <c r="Q22" i="179"/>
  <c r="Q25" i="179" s="1"/>
  <c r="AA22" i="179"/>
  <c r="P22" i="179"/>
  <c r="V22" i="179"/>
  <c r="L22" i="179"/>
  <c r="AF22" i="179"/>
  <c r="U22" i="179"/>
  <c r="K22" i="179"/>
  <c r="AB29" i="179"/>
  <c r="Y29" i="179"/>
  <c r="V29" i="179"/>
  <c r="U29" i="179"/>
  <c r="P26" i="179"/>
  <c r="Q26" i="179"/>
  <c r="F22" i="179"/>
  <c r="B18" i="120" s="1"/>
  <c r="K29" i="179"/>
  <c r="Z29" i="179"/>
  <c r="AA21" i="179"/>
  <c r="P29" i="179"/>
  <c r="S29" i="179"/>
  <c r="AC29" i="179"/>
  <c r="AB21" i="179"/>
  <c r="M30" i="179"/>
  <c r="K29" i="178"/>
  <c r="Z29" i="178"/>
  <c r="Q29" i="178"/>
  <c r="M22" i="179"/>
  <c r="N30" i="179"/>
  <c r="T29" i="178"/>
  <c r="AD30" i="179"/>
  <c r="R29" i="179"/>
  <c r="T29" i="179"/>
  <c r="W29" i="179"/>
  <c r="Q29" i="179"/>
  <c r="Q40" i="179" s="1"/>
  <c r="N22" i="179"/>
  <c r="AF29" i="179"/>
  <c r="J29" i="179"/>
  <c r="L30" i="179"/>
  <c r="X22" i="179"/>
  <c r="X30" i="179"/>
  <c r="AB26" i="172"/>
  <c r="N21" i="172"/>
  <c r="J30" i="172"/>
  <c r="T30" i="172"/>
  <c r="Z30" i="172"/>
  <c r="M21" i="172"/>
  <c r="AE30" i="172"/>
  <c r="O21" i="172"/>
  <c r="X21" i="172"/>
  <c r="AD21" i="172"/>
  <c r="O30" i="172"/>
  <c r="AA30" i="172"/>
  <c r="AC21" i="172"/>
  <c r="N30" i="172"/>
  <c r="L21" i="172"/>
  <c r="W21" i="172"/>
  <c r="P21" i="172"/>
  <c r="Z21" i="172"/>
  <c r="R21" i="172"/>
  <c r="J21" i="172"/>
  <c r="F22" i="172"/>
  <c r="B15" i="120" s="1"/>
  <c r="Y21" i="172"/>
  <c r="Q21" i="172"/>
  <c r="AA21" i="172"/>
  <c r="S21" i="172"/>
  <c r="K21" i="172"/>
  <c r="C5" i="172"/>
  <c r="Y22" i="172" s="1"/>
  <c r="AC30" i="172"/>
  <c r="AD30" i="172"/>
  <c r="F20" i="172"/>
  <c r="T21" i="172"/>
  <c r="AE21" i="172"/>
  <c r="S29" i="172"/>
  <c r="R22" i="172"/>
  <c r="J22" i="172"/>
  <c r="K22" i="172"/>
  <c r="U21" i="172"/>
  <c r="AF21" i="172"/>
  <c r="W29" i="172"/>
  <c r="K30" i="172"/>
  <c r="Y30" i="172"/>
  <c r="U30" i="172"/>
  <c r="M30" i="172"/>
  <c r="V21" i="172"/>
  <c r="W22" i="172"/>
  <c r="L30" i="172"/>
  <c r="V29" i="172"/>
  <c r="AB29" i="172"/>
  <c r="AB40" i="172" s="1"/>
  <c r="L30" i="176"/>
  <c r="C6" i="176"/>
  <c r="Y21" i="176"/>
  <c r="T21" i="176"/>
  <c r="S30" i="176"/>
  <c r="AC31" i="176"/>
  <c r="AC32" i="176"/>
  <c r="K30" i="176"/>
  <c r="AB21" i="176"/>
  <c r="AD31" i="176"/>
  <c r="M30" i="176"/>
  <c r="R30" i="176"/>
  <c r="AA30" i="176"/>
  <c r="Q21" i="176"/>
  <c r="V29" i="176"/>
  <c r="AB29" i="176"/>
  <c r="Y29" i="176"/>
  <c r="V21" i="176"/>
  <c r="AF30" i="176"/>
  <c r="Z21" i="176"/>
  <c r="L21" i="176"/>
  <c r="U29" i="176"/>
  <c r="AE21" i="176"/>
  <c r="U21" i="176"/>
  <c r="J21" i="176"/>
  <c r="AF21" i="176"/>
  <c r="R21" i="176"/>
  <c r="C5" i="176"/>
  <c r="N30" i="176"/>
  <c r="N21" i="176"/>
  <c r="AC21" i="176"/>
  <c r="T30" i="176"/>
  <c r="P21" i="176"/>
  <c r="AD21" i="176"/>
  <c r="X30" i="176"/>
  <c r="O30" i="176"/>
  <c r="AE30" i="176"/>
  <c r="O21" i="177"/>
  <c r="C6" i="177"/>
  <c r="P30" i="176"/>
  <c r="AA30" i="177"/>
  <c r="N30" i="177"/>
  <c r="AA21" i="176"/>
  <c r="S21" i="176"/>
  <c r="K21" i="176"/>
  <c r="F22" i="176"/>
  <c r="B11" i="120" s="1"/>
  <c r="X21" i="176"/>
  <c r="O21" i="176"/>
  <c r="C4" i="176"/>
  <c r="M21" i="176"/>
  <c r="W21" i="176"/>
  <c r="J29" i="177"/>
  <c r="AF29" i="177"/>
  <c r="V30" i="177"/>
  <c r="AB21" i="177"/>
  <c r="T21" i="177"/>
  <c r="L21" i="177"/>
  <c r="AA21" i="177"/>
  <c r="S21" i="177"/>
  <c r="K21" i="177"/>
  <c r="Z21" i="177"/>
  <c r="R21" i="177"/>
  <c r="J21" i="177"/>
  <c r="AC21" i="177"/>
  <c r="U21" i="177"/>
  <c r="M21" i="177"/>
  <c r="AD21" i="177"/>
  <c r="N21" i="177"/>
  <c r="Y21" i="177"/>
  <c r="C4" i="177"/>
  <c r="X21" i="177"/>
  <c r="W21" i="177"/>
  <c r="F22" i="177"/>
  <c r="B10" i="120" s="1"/>
  <c r="Q21" i="177"/>
  <c r="AF21" i="177"/>
  <c r="P21" i="177"/>
  <c r="AE21" i="177"/>
  <c r="AB29" i="177"/>
  <c r="Y29" i="177"/>
  <c r="U29" i="177"/>
  <c r="T29" i="177"/>
  <c r="R29" i="177"/>
  <c r="Q29" i="177"/>
  <c r="Z29" i="177"/>
  <c r="K29" i="177"/>
  <c r="X30" i="177"/>
  <c r="M30" i="177"/>
  <c r="AD30" i="177"/>
  <c r="W29" i="177"/>
  <c r="AE29" i="177"/>
  <c r="AC29" i="177"/>
  <c r="S29" i="177"/>
  <c r="P29" i="177"/>
  <c r="O30" i="177"/>
  <c r="L30" i="177"/>
  <c r="AA32" i="169"/>
  <c r="X26" i="169"/>
  <c r="P29" i="169"/>
  <c r="S29" i="169"/>
  <c r="AC29" i="169"/>
  <c r="AB30" i="169"/>
  <c r="AA30" i="170"/>
  <c r="L30" i="170"/>
  <c r="Z30" i="169"/>
  <c r="N30" i="169"/>
  <c r="AA21" i="169"/>
  <c r="M30" i="169"/>
  <c r="P21" i="169"/>
  <c r="X29" i="169"/>
  <c r="X40" i="169" s="1"/>
  <c r="AE29" i="169"/>
  <c r="Y26" i="170"/>
  <c r="Q21" i="169"/>
  <c r="O26" i="171"/>
  <c r="O40" i="171"/>
  <c r="M30" i="171"/>
  <c r="C5" i="169"/>
  <c r="O21" i="169"/>
  <c r="Y29" i="169"/>
  <c r="U29" i="169"/>
  <c r="O30" i="170"/>
  <c r="F22" i="170"/>
  <c r="B8" i="120" s="1"/>
  <c r="AA21" i="170"/>
  <c r="S21" i="170"/>
  <c r="K21" i="170"/>
  <c r="AD21" i="170"/>
  <c r="U21" i="170"/>
  <c r="L21" i="170"/>
  <c r="AF21" i="170"/>
  <c r="V21" i="170"/>
  <c r="J21" i="170"/>
  <c r="AE21" i="170"/>
  <c r="AC21" i="170"/>
  <c r="R21" i="170"/>
  <c r="AB21" i="170"/>
  <c r="Q21" i="170"/>
  <c r="X21" i="170"/>
  <c r="W21" i="170"/>
  <c r="T21" i="170"/>
  <c r="P21" i="170"/>
  <c r="O21" i="170"/>
  <c r="N21" i="170"/>
  <c r="M21" i="170"/>
  <c r="N30" i="171"/>
  <c r="M21" i="169"/>
  <c r="V30" i="169"/>
  <c r="Z40" i="170"/>
  <c r="Z26" i="170"/>
  <c r="AF30" i="169"/>
  <c r="AD21" i="169"/>
  <c r="V21" i="169"/>
  <c r="N21" i="169"/>
  <c r="AB21" i="169"/>
  <c r="T21" i="169"/>
  <c r="L21" i="169"/>
  <c r="F22" i="169"/>
  <c r="B9" i="120" s="1"/>
  <c r="W21" i="169"/>
  <c r="K21" i="169"/>
  <c r="AF21" i="169"/>
  <c r="U21" i="169"/>
  <c r="J21" i="169"/>
  <c r="AE21" i="169"/>
  <c r="S21" i="169"/>
  <c r="AC21" i="169"/>
  <c r="R21" i="169"/>
  <c r="C4" i="169"/>
  <c r="Y21" i="169"/>
  <c r="C4" i="170"/>
  <c r="O30" i="171"/>
  <c r="AD30" i="169"/>
  <c r="Z21" i="169"/>
  <c r="O30" i="169"/>
  <c r="S30" i="170"/>
  <c r="W30" i="171"/>
  <c r="Q29" i="169"/>
  <c r="R30" i="169"/>
  <c r="J29" i="170"/>
  <c r="F20" i="170"/>
  <c r="W26" i="171"/>
  <c r="W40" i="171"/>
  <c r="AC29" i="170"/>
  <c r="F20" i="169"/>
  <c r="T29" i="169"/>
  <c r="P30" i="170"/>
  <c r="Q29" i="170"/>
  <c r="R29" i="170"/>
  <c r="W29" i="170"/>
  <c r="T29" i="170"/>
  <c r="AE31" i="170"/>
  <c r="J29" i="169"/>
  <c r="AF29" i="170"/>
  <c r="V29" i="170"/>
  <c r="AB29" i="170"/>
  <c r="Y29" i="170"/>
  <c r="Y40" i="170" s="1"/>
  <c r="U29" i="170"/>
  <c r="AC29" i="171"/>
  <c r="S29" i="171"/>
  <c r="P29" i="171"/>
  <c r="P26" i="171"/>
  <c r="N30" i="170"/>
  <c r="C8" i="171"/>
  <c r="AA22" i="171" s="1"/>
  <c r="N21" i="171"/>
  <c r="AB22" i="171"/>
  <c r="T22" i="171"/>
  <c r="M30" i="170"/>
  <c r="X30" i="170"/>
  <c r="Z29" i="171"/>
  <c r="K29" i="171"/>
  <c r="AA30" i="171"/>
  <c r="F20" i="171"/>
  <c r="F22" i="171"/>
  <c r="B7" i="120" s="1"/>
  <c r="J29" i="171"/>
  <c r="AF29" i="171"/>
  <c r="AD30" i="171"/>
  <c r="Z30" i="170"/>
  <c r="X29" i="171"/>
  <c r="AE29" i="171"/>
  <c r="T29" i="171"/>
  <c r="R29" i="171"/>
  <c r="Q29" i="171"/>
  <c r="AB21" i="171"/>
  <c r="T21" i="171"/>
  <c r="L21" i="171"/>
  <c r="AA21" i="171"/>
  <c r="S21" i="171"/>
  <c r="K21" i="171"/>
  <c r="Z21" i="171"/>
  <c r="R21" i="171"/>
  <c r="J21" i="171"/>
  <c r="AC21" i="171"/>
  <c r="U21" i="171"/>
  <c r="M21" i="171"/>
  <c r="Y21" i="171"/>
  <c r="X21" i="171"/>
  <c r="V21" i="171"/>
  <c r="Q21" i="171"/>
  <c r="AD21" i="171"/>
  <c r="AE21" i="171"/>
  <c r="AB29" i="171"/>
  <c r="U29" i="171"/>
  <c r="Y29" i="171"/>
  <c r="V29" i="171"/>
  <c r="L30" i="171"/>
  <c r="AF21" i="171"/>
  <c r="J26" i="168"/>
  <c r="J40" i="168"/>
  <c r="AA30" i="168"/>
  <c r="AE21" i="168"/>
  <c r="W21" i="168"/>
  <c r="O21" i="168"/>
  <c r="C4" i="168"/>
  <c r="AD21" i="168"/>
  <c r="V21" i="168"/>
  <c r="N21" i="168"/>
  <c r="AC21" i="168"/>
  <c r="U21" i="168"/>
  <c r="M21" i="168"/>
  <c r="AA21" i="168"/>
  <c r="P21" i="168"/>
  <c r="Z21" i="168"/>
  <c r="L21" i="168"/>
  <c r="Y21" i="168"/>
  <c r="K21" i="168"/>
  <c r="AB21" i="168"/>
  <c r="Q21" i="168"/>
  <c r="AB29" i="168"/>
  <c r="V29" i="168"/>
  <c r="U29" i="168"/>
  <c r="Y29" i="168"/>
  <c r="AF21" i="168"/>
  <c r="R21" i="168"/>
  <c r="J30" i="168"/>
  <c r="Z30" i="168"/>
  <c r="S21" i="168"/>
  <c r="C6" i="168"/>
  <c r="AC30" i="168"/>
  <c r="T30" i="168"/>
  <c r="S30" i="168"/>
  <c r="T21" i="168"/>
  <c r="P29" i="168"/>
  <c r="F22" i="168"/>
  <c r="B6" i="120" s="1"/>
  <c r="O30" i="168"/>
  <c r="AF30" i="168"/>
  <c r="X21" i="168"/>
  <c r="AE29" i="168"/>
  <c r="X29" i="168"/>
  <c r="R30" i="168"/>
  <c r="N30" i="168"/>
  <c r="M30" i="168"/>
  <c r="W29" i="168"/>
  <c r="P26" i="166"/>
  <c r="O26" i="166"/>
  <c r="O40" i="166"/>
  <c r="AA30" i="166"/>
  <c r="C9" i="166"/>
  <c r="L31" i="166"/>
  <c r="J29" i="166"/>
  <c r="AF29" i="166"/>
  <c r="AA21" i="166"/>
  <c r="S21" i="166"/>
  <c r="K21" i="166"/>
  <c r="AF21" i="166"/>
  <c r="W21" i="166"/>
  <c r="N21" i="166"/>
  <c r="AE21" i="166"/>
  <c r="V21" i="166"/>
  <c r="M21" i="166"/>
  <c r="AD21" i="166"/>
  <c r="U21" i="166"/>
  <c r="L21" i="166"/>
  <c r="AC21" i="166"/>
  <c r="T21" i="166"/>
  <c r="J21" i="166"/>
  <c r="AB21" i="166"/>
  <c r="Z21" i="166"/>
  <c r="Y21" i="166"/>
  <c r="X21" i="166"/>
  <c r="R21" i="166"/>
  <c r="Q21" i="166"/>
  <c r="Y30" i="166"/>
  <c r="C4" i="166"/>
  <c r="O30" i="166"/>
  <c r="B5" i="120"/>
  <c r="M30" i="166"/>
  <c r="Z30" i="166"/>
  <c r="AC29" i="166"/>
  <c r="S29" i="166"/>
  <c r="P29" i="166"/>
  <c r="P40" i="166" s="1"/>
  <c r="N30" i="166"/>
  <c r="T29" i="166"/>
  <c r="R29" i="166"/>
  <c r="Q29" i="166"/>
  <c r="X30" i="166"/>
  <c r="AD30" i="166"/>
  <c r="AB29" i="166"/>
  <c r="V29" i="166"/>
  <c r="U29" i="166"/>
  <c r="AE30" i="166"/>
  <c r="AE29" i="125"/>
  <c r="AB5" i="114"/>
  <c r="C39" i="114"/>
  <c r="L32" i="168" l="1"/>
  <c r="L33" i="168" s="1"/>
  <c r="L34" i="168" s="1"/>
  <c r="AD31" i="170"/>
  <c r="W31" i="169"/>
  <c r="K31" i="168"/>
  <c r="AD31" i="178"/>
  <c r="P40" i="184"/>
  <c r="AF30" i="188"/>
  <c r="AF31" i="188" s="1"/>
  <c r="AF31" i="172"/>
  <c r="AF33" i="172" s="1"/>
  <c r="AF34" i="172" s="1"/>
  <c r="K32" i="166"/>
  <c r="AD32" i="168"/>
  <c r="L32" i="169"/>
  <c r="L33" i="169" s="1"/>
  <c r="L34" i="169" s="1"/>
  <c r="L39" i="169" s="1"/>
  <c r="J31" i="183"/>
  <c r="L33" i="166"/>
  <c r="L34" i="166" s="1"/>
  <c r="L39" i="166" s="1"/>
  <c r="U31" i="178"/>
  <c r="U33" i="178" s="1"/>
  <c r="U34" i="178" s="1"/>
  <c r="AA33" i="169"/>
  <c r="AA34" i="169" s="1"/>
  <c r="AA39" i="169" s="1"/>
  <c r="P31" i="185"/>
  <c r="P33" i="185" s="1"/>
  <c r="P34" i="185" s="1"/>
  <c r="O31" i="179"/>
  <c r="O33" i="179" s="1"/>
  <c r="O34" i="179" s="1"/>
  <c r="Q32" i="185"/>
  <c r="Q31" i="176"/>
  <c r="Q33" i="176" s="1"/>
  <c r="Q34" i="176" s="1"/>
  <c r="L31" i="178"/>
  <c r="R31" i="185"/>
  <c r="R33" i="185" s="1"/>
  <c r="R34" i="185" s="1"/>
  <c r="R39" i="185" s="1"/>
  <c r="W31" i="187"/>
  <c r="W33" i="187" s="1"/>
  <c r="W34" i="187" s="1"/>
  <c r="AE32" i="187"/>
  <c r="AE31" i="187"/>
  <c r="AD40" i="187"/>
  <c r="AD22" i="186"/>
  <c r="J22" i="186"/>
  <c r="R22" i="186"/>
  <c r="L22" i="186"/>
  <c r="P22" i="186"/>
  <c r="T22" i="186"/>
  <c r="T25" i="186" s="1"/>
  <c r="AB22" i="186"/>
  <c r="X22" i="186"/>
  <c r="X25" i="186" s="1"/>
  <c r="V22" i="186"/>
  <c r="AA22" i="184"/>
  <c r="W22" i="184"/>
  <c r="AF22" i="184"/>
  <c r="AE40" i="188"/>
  <c r="AE26" i="188"/>
  <c r="L22" i="187"/>
  <c r="S30" i="188"/>
  <c r="AE26" i="187"/>
  <c r="AE40" i="187"/>
  <c r="AE22" i="187"/>
  <c r="J32" i="187"/>
  <c r="J31" i="187"/>
  <c r="Z26" i="188"/>
  <c r="Z40" i="188"/>
  <c r="M26" i="187"/>
  <c r="M40" i="187"/>
  <c r="N40" i="187"/>
  <c r="N26" i="187"/>
  <c r="AF30" i="187"/>
  <c r="AD31" i="188"/>
  <c r="AD32" i="188"/>
  <c r="L31" i="187"/>
  <c r="L32" i="187"/>
  <c r="AD22" i="187"/>
  <c r="N22" i="187"/>
  <c r="AE30" i="188"/>
  <c r="AB22" i="188"/>
  <c r="T22" i="188"/>
  <c r="T25" i="188" s="1"/>
  <c r="L22" i="188"/>
  <c r="AA22" i="188"/>
  <c r="S22" i="188"/>
  <c r="K22" i="188"/>
  <c r="Z22" i="188"/>
  <c r="R22" i="188"/>
  <c r="J22" i="188"/>
  <c r="AC22" i="188"/>
  <c r="U22" i="188"/>
  <c r="M22" i="188"/>
  <c r="M25" i="188" s="1"/>
  <c r="Q22" i="188"/>
  <c r="AF22" i="188"/>
  <c r="P22" i="188"/>
  <c r="AE22" i="188"/>
  <c r="O22" i="188"/>
  <c r="V22" i="188"/>
  <c r="X22" i="188"/>
  <c r="X25" i="188" s="1"/>
  <c r="W22" i="188"/>
  <c r="W25" i="188" s="1"/>
  <c r="N22" i="188"/>
  <c r="Y22" i="188"/>
  <c r="Y25" i="188" s="1"/>
  <c r="AD22" i="188"/>
  <c r="K40" i="188"/>
  <c r="K26" i="188"/>
  <c r="N31" i="188"/>
  <c r="N32" i="188"/>
  <c r="Q30" i="188"/>
  <c r="J33" i="188"/>
  <c r="J34" i="188" s="1"/>
  <c r="L26" i="187"/>
  <c r="L40" i="187"/>
  <c r="AA31" i="188"/>
  <c r="AA32" i="188"/>
  <c r="J40" i="187"/>
  <c r="J26" i="187"/>
  <c r="Z22" i="187"/>
  <c r="M22" i="187"/>
  <c r="R31" i="187"/>
  <c r="R32" i="187"/>
  <c r="O32" i="188"/>
  <c r="O31" i="188"/>
  <c r="S26" i="187"/>
  <c r="S40" i="187"/>
  <c r="U32" i="187"/>
  <c r="U31" i="187"/>
  <c r="M32" i="187"/>
  <c r="M31" i="187"/>
  <c r="N31" i="187"/>
  <c r="N32" i="187"/>
  <c r="AA25" i="187"/>
  <c r="AA40" i="187"/>
  <c r="AA26" i="187"/>
  <c r="AA27" i="187" s="1"/>
  <c r="AB31" i="187"/>
  <c r="AB32" i="187"/>
  <c r="R22" i="187"/>
  <c r="R25" i="187" s="1"/>
  <c r="V22" i="187"/>
  <c r="V25" i="187" s="1"/>
  <c r="J26" i="188"/>
  <c r="J40" i="188"/>
  <c r="J25" i="188"/>
  <c r="Z30" i="188"/>
  <c r="O31" i="187"/>
  <c r="O32" i="187"/>
  <c r="R26" i="188"/>
  <c r="R25" i="188"/>
  <c r="R40" i="188"/>
  <c r="K40" i="187"/>
  <c r="K26" i="187"/>
  <c r="X26" i="188"/>
  <c r="X40" i="188"/>
  <c r="W30" i="188"/>
  <c r="AB30" i="188"/>
  <c r="Q40" i="187"/>
  <c r="Q26" i="187"/>
  <c r="P26" i="188"/>
  <c r="P40" i="188"/>
  <c r="T30" i="188"/>
  <c r="Y22" i="187"/>
  <c r="Q22" i="187"/>
  <c r="P26" i="187"/>
  <c r="P40" i="187"/>
  <c r="P30" i="187"/>
  <c r="AF22" i="187"/>
  <c r="AB40" i="188"/>
  <c r="AB25" i="188"/>
  <c r="AB26" i="188"/>
  <c r="Y30" i="188"/>
  <c r="J22" i="187"/>
  <c r="W26" i="188"/>
  <c r="W40" i="188"/>
  <c r="U30" i="188"/>
  <c r="X22" i="187"/>
  <c r="P22" i="187"/>
  <c r="S40" i="188"/>
  <c r="S26" i="188"/>
  <c r="L32" i="188"/>
  <c r="L31" i="188"/>
  <c r="R30" i="188"/>
  <c r="M26" i="188"/>
  <c r="M40" i="188"/>
  <c r="AF32" i="188"/>
  <c r="Q32" i="187"/>
  <c r="Q31" i="187"/>
  <c r="O26" i="188"/>
  <c r="O25" i="188"/>
  <c r="O40" i="188"/>
  <c r="U25" i="188"/>
  <c r="U26" i="188"/>
  <c r="U40" i="188"/>
  <c r="L40" i="188"/>
  <c r="L26" i="188"/>
  <c r="P32" i="188"/>
  <c r="P31" i="188"/>
  <c r="X32" i="188"/>
  <c r="X31" i="188"/>
  <c r="X31" i="187"/>
  <c r="X32" i="187"/>
  <c r="K32" i="187"/>
  <c r="K31" i="187"/>
  <c r="T31" i="187"/>
  <c r="T32" i="187"/>
  <c r="O26" i="187"/>
  <c r="O40" i="187"/>
  <c r="AD31" i="187"/>
  <c r="AD32" i="187"/>
  <c r="Z26" i="187"/>
  <c r="Z25" i="187"/>
  <c r="Z40" i="187"/>
  <c r="AA32" i="187"/>
  <c r="AA31" i="187"/>
  <c r="S30" i="187"/>
  <c r="K22" i="187"/>
  <c r="S22" i="187"/>
  <c r="O22" i="187"/>
  <c r="O25" i="187" s="1"/>
  <c r="AD40" i="188"/>
  <c r="AD26" i="188"/>
  <c r="U26" i="187"/>
  <c r="U40" i="187"/>
  <c r="U25" i="187"/>
  <c r="AC40" i="187"/>
  <c r="AC26" i="187"/>
  <c r="Z32" i="187"/>
  <c r="Z31" i="187"/>
  <c r="AC30" i="188"/>
  <c r="X26" i="187"/>
  <c r="X40" i="187"/>
  <c r="Y40" i="187"/>
  <c r="Y26" i="187"/>
  <c r="Y27" i="187" s="1"/>
  <c r="Y53" i="187" s="1"/>
  <c r="Y25" i="187"/>
  <c r="T22" i="187"/>
  <c r="V40" i="187"/>
  <c r="V26" i="187"/>
  <c r="Y26" i="188"/>
  <c r="Y40" i="188"/>
  <c r="AA40" i="188"/>
  <c r="AA26" i="188"/>
  <c r="AA25" i="188"/>
  <c r="AB40" i="187"/>
  <c r="AB26" i="187"/>
  <c r="AB22" i="187"/>
  <c r="AB25" i="187" s="1"/>
  <c r="M32" i="188"/>
  <c r="M31" i="188"/>
  <c r="N26" i="188"/>
  <c r="N27" i="188" s="1"/>
  <c r="N53" i="188" s="1"/>
  <c r="N25" i="188"/>
  <c r="N40" i="188"/>
  <c r="AC25" i="188"/>
  <c r="AC40" i="188"/>
  <c r="AC26" i="188"/>
  <c r="T40" i="188"/>
  <c r="T26" i="188"/>
  <c r="Q40" i="188"/>
  <c r="Q26" i="188"/>
  <c r="Q25" i="188"/>
  <c r="V30" i="188"/>
  <c r="K30" i="188"/>
  <c r="AF26" i="187"/>
  <c r="AF40" i="187"/>
  <c r="W40" i="187"/>
  <c r="W26" i="187"/>
  <c r="W27" i="187" s="1"/>
  <c r="W25" i="187"/>
  <c r="AA22" i="187"/>
  <c r="R40" i="187"/>
  <c r="R26" i="187"/>
  <c r="Y31" i="187"/>
  <c r="Y32" i="187"/>
  <c r="AC30" i="187"/>
  <c r="U22" i="187"/>
  <c r="AC22" i="187"/>
  <c r="AC25" i="187" s="1"/>
  <c r="V32" i="187"/>
  <c r="V31" i="187"/>
  <c r="W26" i="186"/>
  <c r="W40" i="186"/>
  <c r="AC25" i="186"/>
  <c r="AC26" i="186"/>
  <c r="AC40" i="186"/>
  <c r="AD31" i="186"/>
  <c r="AD32" i="186"/>
  <c r="M32" i="186"/>
  <c r="M31" i="186"/>
  <c r="L32" i="186"/>
  <c r="L31" i="186"/>
  <c r="R30" i="186"/>
  <c r="P40" i="185"/>
  <c r="P26" i="185"/>
  <c r="P26" i="186"/>
  <c r="P40" i="186"/>
  <c r="P25" i="186"/>
  <c r="Y22" i="185"/>
  <c r="Y25" i="185" s="1"/>
  <c r="Q22" i="185"/>
  <c r="AD22" i="185"/>
  <c r="U22" i="185"/>
  <c r="L22" i="185"/>
  <c r="L25" i="185" s="1"/>
  <c r="Z22" i="185"/>
  <c r="O22" i="185"/>
  <c r="X22" i="185"/>
  <c r="N22" i="185"/>
  <c r="W22" i="185"/>
  <c r="M22" i="185"/>
  <c r="AB22" i="185"/>
  <c r="R22" i="185"/>
  <c r="R25" i="185" s="1"/>
  <c r="S22" i="185"/>
  <c r="P22" i="185"/>
  <c r="P25" i="185" s="1"/>
  <c r="AF22" i="185"/>
  <c r="K22" i="185"/>
  <c r="AE22" i="185"/>
  <c r="AE25" i="185" s="1"/>
  <c r="J22" i="185"/>
  <c r="J25" i="185" s="1"/>
  <c r="AC22" i="185"/>
  <c r="AA22" i="185"/>
  <c r="AA25" i="185" s="1"/>
  <c r="V22" i="185"/>
  <c r="T22" i="185"/>
  <c r="S32" i="185"/>
  <c r="S31" i="185"/>
  <c r="Y30" i="186"/>
  <c r="Z26" i="186"/>
  <c r="Z40" i="186"/>
  <c r="AE22" i="186"/>
  <c r="J26" i="186"/>
  <c r="J25" i="186"/>
  <c r="J40" i="186"/>
  <c r="W22" i="186"/>
  <c r="W25" i="186" s="1"/>
  <c r="N22" i="186"/>
  <c r="AA22" i="186"/>
  <c r="P30" i="186"/>
  <c r="O22" i="186"/>
  <c r="Y40" i="185"/>
  <c r="Y26" i="185"/>
  <c r="AC32" i="185"/>
  <c r="AC31" i="185"/>
  <c r="AC26" i="185"/>
  <c r="AC40" i="185"/>
  <c r="AC25" i="185"/>
  <c r="AE26" i="185"/>
  <c r="AE40" i="185"/>
  <c r="V30" i="185"/>
  <c r="K32" i="186"/>
  <c r="K31" i="186"/>
  <c r="M25" i="185"/>
  <c r="M40" i="185"/>
  <c r="M26" i="185"/>
  <c r="AF40" i="185"/>
  <c r="AF26" i="185"/>
  <c r="AF25" i="185"/>
  <c r="AD26" i="185"/>
  <c r="AD40" i="185"/>
  <c r="J32" i="185"/>
  <c r="J31" i="185"/>
  <c r="V40" i="185"/>
  <c r="AC30" i="186"/>
  <c r="U26" i="185"/>
  <c r="U40" i="185"/>
  <c r="Y30" i="185"/>
  <c r="U30" i="186"/>
  <c r="L26" i="185"/>
  <c r="L40" i="185"/>
  <c r="J26" i="185"/>
  <c r="J40" i="185"/>
  <c r="N31" i="185"/>
  <c r="N32" i="185"/>
  <c r="X33" i="185"/>
  <c r="X34" i="185" s="1"/>
  <c r="X26" i="186"/>
  <c r="X40" i="186"/>
  <c r="AA32" i="185"/>
  <c r="AA31" i="185"/>
  <c r="K40" i="186"/>
  <c r="K25" i="186"/>
  <c r="K26" i="186"/>
  <c r="S40" i="186"/>
  <c r="S26" i="186"/>
  <c r="AE30" i="186"/>
  <c r="Q30" i="186"/>
  <c r="AB40" i="185"/>
  <c r="AB26" i="185"/>
  <c r="V30" i="186"/>
  <c r="W32" i="185"/>
  <c r="W31" i="185"/>
  <c r="O26" i="186"/>
  <c r="O40" i="186"/>
  <c r="O25" i="186"/>
  <c r="AD31" i="185"/>
  <c r="AD32" i="185"/>
  <c r="V25" i="186"/>
  <c r="V40" i="186"/>
  <c r="V26" i="186"/>
  <c r="T26" i="186"/>
  <c r="T40" i="186"/>
  <c r="AF26" i="186"/>
  <c r="AF40" i="186"/>
  <c r="Y22" i="186"/>
  <c r="Y25" i="186" s="1"/>
  <c r="Z22" i="186"/>
  <c r="O32" i="186"/>
  <c r="O31" i="186"/>
  <c r="R26" i="185"/>
  <c r="R40" i="185"/>
  <c r="O40" i="185"/>
  <c r="O26" i="185"/>
  <c r="O25" i="185"/>
  <c r="U30" i="185"/>
  <c r="N40" i="185"/>
  <c r="N25" i="185"/>
  <c r="N26" i="185"/>
  <c r="AF32" i="185"/>
  <c r="AF31" i="185"/>
  <c r="AB30" i="186"/>
  <c r="J30" i="186"/>
  <c r="U26" i="186"/>
  <c r="U40" i="186"/>
  <c r="X40" i="185"/>
  <c r="X25" i="185"/>
  <c r="X26" i="185"/>
  <c r="Y26" i="186"/>
  <c r="Y40" i="186"/>
  <c r="W30" i="186"/>
  <c r="S30" i="186"/>
  <c r="AA40" i="186"/>
  <c r="AA25" i="186"/>
  <c r="AA26" i="186"/>
  <c r="X30" i="186"/>
  <c r="K40" i="185"/>
  <c r="K26" i="185"/>
  <c r="K27" i="185" s="1"/>
  <c r="K53" i="185" s="1"/>
  <c r="K25" i="185"/>
  <c r="AB30" i="185"/>
  <c r="L25" i="186"/>
  <c r="L26" i="186"/>
  <c r="L40" i="186"/>
  <c r="AF30" i="186"/>
  <c r="AD53" i="186"/>
  <c r="AD25" i="186"/>
  <c r="AD26" i="186"/>
  <c r="AD27" i="186" s="1"/>
  <c r="AD40" i="186"/>
  <c r="AB40" i="186"/>
  <c r="AB26" i="186"/>
  <c r="AB25" i="186"/>
  <c r="N31" i="186"/>
  <c r="N32" i="186"/>
  <c r="Q40" i="186"/>
  <c r="Q26" i="186"/>
  <c r="Q22" i="186"/>
  <c r="Z31" i="186"/>
  <c r="Z32" i="186"/>
  <c r="AA40" i="185"/>
  <c r="AA26" i="185"/>
  <c r="O32" i="185"/>
  <c r="O31" i="185"/>
  <c r="T26" i="185"/>
  <c r="T27" i="185" s="1"/>
  <c r="T40" i="185"/>
  <c r="T25" i="185"/>
  <c r="L31" i="185"/>
  <c r="L32" i="185"/>
  <c r="Q33" i="185"/>
  <c r="Q34" i="185" s="1"/>
  <c r="S40" i="185"/>
  <c r="S26" i="185"/>
  <c r="S27" i="185" s="1"/>
  <c r="S25" i="185"/>
  <c r="M25" i="186"/>
  <c r="M40" i="186"/>
  <c r="M26" i="186"/>
  <c r="AE25" i="186"/>
  <c r="AE40" i="186"/>
  <c r="AE26" i="186"/>
  <c r="N26" i="186"/>
  <c r="N40" i="186"/>
  <c r="N25" i="186"/>
  <c r="AA31" i="186"/>
  <c r="AA32" i="186"/>
  <c r="T30" i="186"/>
  <c r="Z26" i="185"/>
  <c r="Z25" i="185"/>
  <c r="Z40" i="185"/>
  <c r="R26" i="186"/>
  <c r="R25" i="186"/>
  <c r="R40" i="186"/>
  <c r="AF22" i="186"/>
  <c r="M22" i="186"/>
  <c r="U22" i="186"/>
  <c r="S22" i="186"/>
  <c r="S25" i="186" s="1"/>
  <c r="Q25" i="185"/>
  <c r="Q26" i="185"/>
  <c r="Q40" i="185"/>
  <c r="K32" i="185"/>
  <c r="K31" i="185"/>
  <c r="AE32" i="185"/>
  <c r="AE31" i="185"/>
  <c r="Z32" i="185"/>
  <c r="Z31" i="185"/>
  <c r="M32" i="185"/>
  <c r="M31" i="185"/>
  <c r="T31" i="185"/>
  <c r="T32" i="185"/>
  <c r="AB26" i="184"/>
  <c r="AB40" i="184"/>
  <c r="AB25" i="184"/>
  <c r="K25" i="184"/>
  <c r="K40" i="184"/>
  <c r="K26" i="184"/>
  <c r="AB30" i="184"/>
  <c r="AD40" i="184"/>
  <c r="AD26" i="184"/>
  <c r="K30" i="184"/>
  <c r="X26" i="184"/>
  <c r="X40" i="184"/>
  <c r="S26" i="184"/>
  <c r="S25" i="184"/>
  <c r="S40" i="184"/>
  <c r="U40" i="184"/>
  <c r="U26" i="184"/>
  <c r="X32" i="184"/>
  <c r="X31" i="184"/>
  <c r="AA31" i="184"/>
  <c r="AA32" i="184"/>
  <c r="R40" i="184"/>
  <c r="R26" i="184"/>
  <c r="AE32" i="184"/>
  <c r="AE31" i="184"/>
  <c r="M31" i="184"/>
  <c r="M32" i="184"/>
  <c r="L32" i="184"/>
  <c r="L31" i="184"/>
  <c r="P27" i="184"/>
  <c r="AF25" i="184"/>
  <c r="AF40" i="184"/>
  <c r="AF26" i="184"/>
  <c r="AE40" i="184"/>
  <c r="AE26" i="184"/>
  <c r="AC26" i="184"/>
  <c r="AC40" i="184"/>
  <c r="N40" i="184"/>
  <c r="N26" i="184"/>
  <c r="N25" i="184"/>
  <c r="J30" i="184"/>
  <c r="Y30" i="184"/>
  <c r="J40" i="184"/>
  <c r="J26" i="184"/>
  <c r="S32" i="184"/>
  <c r="S31" i="184"/>
  <c r="W30" i="184"/>
  <c r="T30" i="184"/>
  <c r="W40" i="184"/>
  <c r="W25" i="184"/>
  <c r="W26" i="184"/>
  <c r="AD32" i="184"/>
  <c r="AD31" i="184"/>
  <c r="U30" i="184"/>
  <c r="AA40" i="184"/>
  <c r="AA26" i="184"/>
  <c r="AA25" i="184"/>
  <c r="O26" i="184"/>
  <c r="O40" i="184"/>
  <c r="O25" i="184"/>
  <c r="R31" i="184"/>
  <c r="R32" i="184"/>
  <c r="Z40" i="184"/>
  <c r="Z25" i="184"/>
  <c r="Z26" i="184"/>
  <c r="Z27" i="184" s="1"/>
  <c r="Q31" i="184"/>
  <c r="Q32" i="184"/>
  <c r="V25" i="184"/>
  <c r="V40" i="184"/>
  <c r="V26" i="184"/>
  <c r="V27" i="184" s="1"/>
  <c r="AC31" i="184"/>
  <c r="AC32" i="184"/>
  <c r="T40" i="184"/>
  <c r="T26" i="184"/>
  <c r="AF30" i="184"/>
  <c r="U22" i="184"/>
  <c r="U25" i="184" s="1"/>
  <c r="T22" i="184"/>
  <c r="R22" i="184"/>
  <c r="AE22" i="184"/>
  <c r="M22" i="184"/>
  <c r="AD22" i="184"/>
  <c r="L22" i="184"/>
  <c r="AC22" i="184"/>
  <c r="J22" i="184"/>
  <c r="J25" i="184" s="1"/>
  <c r="Y26" i="184"/>
  <c r="Y25" i="184"/>
  <c r="Y40" i="184"/>
  <c r="O32" i="184"/>
  <c r="O31" i="184"/>
  <c r="Q26" i="184"/>
  <c r="Q27" i="184" s="1"/>
  <c r="Q53" i="184" s="1"/>
  <c r="Q25" i="184"/>
  <c r="Q40" i="184"/>
  <c r="M40" i="184"/>
  <c r="M25" i="184"/>
  <c r="M26" i="184"/>
  <c r="P32" i="184"/>
  <c r="P31" i="184"/>
  <c r="V30" i="184"/>
  <c r="X22" i="184"/>
  <c r="X25" i="184" s="1"/>
  <c r="L40" i="184"/>
  <c r="L26" i="184"/>
  <c r="Z30" i="184"/>
  <c r="N32" i="184"/>
  <c r="N31" i="184"/>
  <c r="Q30" i="183"/>
  <c r="X32" i="183"/>
  <c r="X31" i="183"/>
  <c r="V30" i="183"/>
  <c r="T30" i="183"/>
  <c r="L26" i="183"/>
  <c r="L40" i="183"/>
  <c r="AA31" i="183"/>
  <c r="AA32" i="183"/>
  <c r="AE32" i="183"/>
  <c r="AE31" i="183"/>
  <c r="AC40" i="183"/>
  <c r="AC26" i="183"/>
  <c r="AA40" i="183"/>
  <c r="AA26" i="183"/>
  <c r="J40" i="183"/>
  <c r="J26" i="183"/>
  <c r="M31" i="183"/>
  <c r="M32" i="183"/>
  <c r="AC30" i="183"/>
  <c r="V26" i="183"/>
  <c r="V40" i="183"/>
  <c r="V25" i="183"/>
  <c r="O32" i="183"/>
  <c r="O31" i="183"/>
  <c r="W30" i="183"/>
  <c r="Y32" i="183"/>
  <c r="Y31" i="183"/>
  <c r="R30" i="183"/>
  <c r="T40" i="183"/>
  <c r="T26" i="183"/>
  <c r="Z30" i="183"/>
  <c r="U30" i="183"/>
  <c r="AF30" i="183"/>
  <c r="N32" i="183"/>
  <c r="N31" i="183"/>
  <c r="U26" i="183"/>
  <c r="U40" i="183"/>
  <c r="N26" i="183"/>
  <c r="N40" i="183"/>
  <c r="P26" i="183"/>
  <c r="P40" i="183"/>
  <c r="R40" i="183"/>
  <c r="R26" i="183"/>
  <c r="S30" i="183"/>
  <c r="AD26" i="183"/>
  <c r="AD40" i="183"/>
  <c r="X26" i="183"/>
  <c r="X40" i="183"/>
  <c r="Z40" i="183"/>
  <c r="Z26" i="183"/>
  <c r="AF26" i="183"/>
  <c r="AF40" i="183"/>
  <c r="AD32" i="183"/>
  <c r="AD31" i="183"/>
  <c r="L31" i="183"/>
  <c r="L32" i="183"/>
  <c r="AE26" i="183"/>
  <c r="AE40" i="183"/>
  <c r="AB30" i="183"/>
  <c r="Z22" i="183"/>
  <c r="Z25" i="183" s="1"/>
  <c r="R22" i="183"/>
  <c r="J22" i="183"/>
  <c r="Y22" i="183"/>
  <c r="Q22" i="183"/>
  <c r="AF22" i="183"/>
  <c r="X22" i="183"/>
  <c r="P22" i="183"/>
  <c r="P25" i="183" s="1"/>
  <c r="AA22" i="183"/>
  <c r="S22" i="183"/>
  <c r="S25" i="183" s="1"/>
  <c r="K22" i="183"/>
  <c r="K25" i="183" s="1"/>
  <c r="AB22" i="183"/>
  <c r="L22" i="183"/>
  <c r="L25" i="183" s="1"/>
  <c r="W22" i="183"/>
  <c r="W25" i="183" s="1"/>
  <c r="V22" i="183"/>
  <c r="U22" i="183"/>
  <c r="U25" i="183" s="1"/>
  <c r="T22" i="183"/>
  <c r="T25" i="183" s="1"/>
  <c r="AE22" i="183"/>
  <c r="O22" i="183"/>
  <c r="AD22" i="183"/>
  <c r="AD25" i="183" s="1"/>
  <c r="N22" i="183"/>
  <c r="N25" i="183" s="1"/>
  <c r="AC22" i="183"/>
  <c r="M22" i="183"/>
  <c r="W26" i="183"/>
  <c r="W40" i="183"/>
  <c r="AB40" i="183"/>
  <c r="AB26" i="183"/>
  <c r="K40" i="183"/>
  <c r="K26" i="183"/>
  <c r="K30" i="183"/>
  <c r="O40" i="183"/>
  <c r="O26" i="183"/>
  <c r="Q40" i="183"/>
  <c r="Q26" i="183"/>
  <c r="Q25" i="183"/>
  <c r="Y40" i="183"/>
  <c r="Y26" i="183"/>
  <c r="Y25" i="183"/>
  <c r="J33" i="183"/>
  <c r="J34" i="183" s="1"/>
  <c r="M26" i="183"/>
  <c r="M40" i="183"/>
  <c r="M25" i="183"/>
  <c r="S40" i="183"/>
  <c r="S26" i="183"/>
  <c r="P30" i="183"/>
  <c r="Q31" i="172"/>
  <c r="Q33" i="172" s="1"/>
  <c r="Q34" i="172" s="1"/>
  <c r="Q39" i="172" s="1"/>
  <c r="AD33" i="178"/>
  <c r="AD34" i="178" s="1"/>
  <c r="AD39" i="178" s="1"/>
  <c r="AE26" i="178"/>
  <c r="Y22" i="179"/>
  <c r="R32" i="172"/>
  <c r="R33" i="172" s="1"/>
  <c r="R34" i="172" s="1"/>
  <c r="V40" i="177"/>
  <c r="AD33" i="170"/>
  <c r="AD34" i="170" s="1"/>
  <c r="AD39" i="170" s="1"/>
  <c r="K33" i="166"/>
  <c r="K34" i="166" s="1"/>
  <c r="K35" i="166" s="1"/>
  <c r="K36" i="166" s="1"/>
  <c r="AA32" i="179"/>
  <c r="AA33" i="179" s="1"/>
  <c r="AA34" i="179" s="1"/>
  <c r="L35" i="166"/>
  <c r="J22" i="171"/>
  <c r="V22" i="172"/>
  <c r="Y22" i="171"/>
  <c r="N22" i="171"/>
  <c r="Z22" i="172"/>
  <c r="Q27" i="179"/>
  <c r="AP12" i="179" s="1"/>
  <c r="AC22" i="171"/>
  <c r="L39" i="168"/>
  <c r="L35" i="168"/>
  <c r="AC33" i="176"/>
  <c r="AC34" i="176" s="1"/>
  <c r="V31" i="178"/>
  <c r="V33" i="178" s="1"/>
  <c r="V34" i="178" s="1"/>
  <c r="R30" i="179"/>
  <c r="K30" i="178"/>
  <c r="R40" i="179"/>
  <c r="R26" i="179"/>
  <c r="R25" i="179"/>
  <c r="Y32" i="178"/>
  <c r="Y31" i="178"/>
  <c r="Y30" i="179"/>
  <c r="AF26" i="179"/>
  <c r="AF25" i="179"/>
  <c r="AF40" i="179"/>
  <c r="R40" i="178"/>
  <c r="R26" i="178"/>
  <c r="J30" i="179"/>
  <c r="W30" i="179"/>
  <c r="T30" i="178"/>
  <c r="N32" i="179"/>
  <c r="N31" i="179"/>
  <c r="Q30" i="178"/>
  <c r="S30" i="179"/>
  <c r="Z30" i="179"/>
  <c r="AD25" i="179"/>
  <c r="AD26" i="179"/>
  <c r="AD40" i="179"/>
  <c r="AE40" i="179"/>
  <c r="AE25" i="179"/>
  <c r="AE26" i="179"/>
  <c r="L26" i="178"/>
  <c r="L40" i="178"/>
  <c r="K26" i="178"/>
  <c r="K40" i="178"/>
  <c r="AD40" i="178"/>
  <c r="AD26" i="178"/>
  <c r="AE32" i="178"/>
  <c r="AE31" i="178"/>
  <c r="AA31" i="178"/>
  <c r="AA32" i="178"/>
  <c r="J30" i="178"/>
  <c r="M31" i="178"/>
  <c r="M32" i="178"/>
  <c r="P30" i="179"/>
  <c r="J40" i="179"/>
  <c r="J25" i="179"/>
  <c r="J26" i="179"/>
  <c r="W40" i="178"/>
  <c r="W26" i="178"/>
  <c r="Q26" i="178"/>
  <c r="Q40" i="178"/>
  <c r="O32" i="178"/>
  <c r="O31" i="178"/>
  <c r="M40" i="178"/>
  <c r="M26" i="178"/>
  <c r="Z40" i="178"/>
  <c r="Z26" i="178"/>
  <c r="N32" i="178"/>
  <c r="N31" i="178"/>
  <c r="X32" i="178"/>
  <c r="X31" i="178"/>
  <c r="Y40" i="179"/>
  <c r="Y26" i="179"/>
  <c r="Y25" i="179"/>
  <c r="U40" i="178"/>
  <c r="U26" i="178"/>
  <c r="W32" i="178"/>
  <c r="W31" i="178"/>
  <c r="M26" i="179"/>
  <c r="M27" i="179" s="1"/>
  <c r="M53" i="179" s="1"/>
  <c r="M40" i="179"/>
  <c r="M25" i="179"/>
  <c r="V30" i="179"/>
  <c r="U25" i="179"/>
  <c r="U40" i="179"/>
  <c r="U26" i="179"/>
  <c r="N40" i="179"/>
  <c r="N26" i="179"/>
  <c r="N27" i="179" s="1"/>
  <c r="N25" i="179"/>
  <c r="S40" i="178"/>
  <c r="S26" i="178"/>
  <c r="M32" i="179"/>
  <c r="M31" i="179"/>
  <c r="AA40" i="178"/>
  <c r="AA26" i="178"/>
  <c r="X31" i="179"/>
  <c r="X32" i="179"/>
  <c r="AF30" i="179"/>
  <c r="AB40" i="179"/>
  <c r="AB26" i="179"/>
  <c r="AB25" i="179"/>
  <c r="P40" i="179"/>
  <c r="S26" i="179"/>
  <c r="S25" i="179"/>
  <c r="S40" i="179"/>
  <c r="V40" i="179"/>
  <c r="V26" i="179"/>
  <c r="V25" i="179"/>
  <c r="N40" i="178"/>
  <c r="N26" i="178"/>
  <c r="P40" i="178"/>
  <c r="P26" i="178"/>
  <c r="P30" i="178"/>
  <c r="R31" i="178"/>
  <c r="R32" i="178"/>
  <c r="K26" i="179"/>
  <c r="K25" i="179"/>
  <c r="K40" i="179"/>
  <c r="X40" i="179"/>
  <c r="X26" i="179"/>
  <c r="X25" i="179"/>
  <c r="AF22" i="178"/>
  <c r="AF25" i="178" s="1"/>
  <c r="X22" i="178"/>
  <c r="P22" i="178"/>
  <c r="AD22" i="178"/>
  <c r="U22" i="178"/>
  <c r="L22" i="178"/>
  <c r="L25" i="178" s="1"/>
  <c r="AC22" i="178"/>
  <c r="AC25" i="178" s="1"/>
  <c r="T22" i="178"/>
  <c r="K22" i="178"/>
  <c r="AB22" i="178"/>
  <c r="S22" i="178"/>
  <c r="J22" i="178"/>
  <c r="AA22" i="178"/>
  <c r="R22" i="178"/>
  <c r="R25" i="178" s="1"/>
  <c r="Z22" i="178"/>
  <c r="Z25" i="178" s="1"/>
  <c r="AE22" i="178"/>
  <c r="V22" i="178"/>
  <c r="M22" i="178"/>
  <c r="N22" i="178"/>
  <c r="N25" i="178" s="1"/>
  <c r="Y22" i="178"/>
  <c r="O22" i="178"/>
  <c r="W22" i="178"/>
  <c r="W25" i="178" s="1"/>
  <c r="Q22" i="178"/>
  <c r="Q25" i="178" s="1"/>
  <c r="AD31" i="179"/>
  <c r="AD32" i="179"/>
  <c r="Z40" i="179"/>
  <c r="Z26" i="179"/>
  <c r="Z25" i="179"/>
  <c r="T40" i="178"/>
  <c r="T26" i="178"/>
  <c r="AB31" i="178"/>
  <c r="AB32" i="178"/>
  <c r="AB30" i="179"/>
  <c r="AC25" i="179"/>
  <c r="AC40" i="179"/>
  <c r="AC26" i="179"/>
  <c r="O40" i="179"/>
  <c r="O25" i="179"/>
  <c r="O26" i="179"/>
  <c r="O25" i="178"/>
  <c r="O40" i="178"/>
  <c r="O26" i="178"/>
  <c r="X26" i="178"/>
  <c r="X40" i="178"/>
  <c r="AC30" i="178"/>
  <c r="V40" i="178"/>
  <c r="V26" i="178"/>
  <c r="T30" i="179"/>
  <c r="Z30" i="178"/>
  <c r="K30" i="179"/>
  <c r="U30" i="179"/>
  <c r="L31" i="179"/>
  <c r="L32" i="179"/>
  <c r="J40" i="178"/>
  <c r="J26" i="178"/>
  <c r="L26" i="179"/>
  <c r="L25" i="179"/>
  <c r="L40" i="179"/>
  <c r="AB26" i="178"/>
  <c r="AB40" i="178"/>
  <c r="AE32" i="179"/>
  <c r="AE31" i="179"/>
  <c r="Q30" i="179"/>
  <c r="AC30" i="179"/>
  <c r="AA40" i="179"/>
  <c r="AA26" i="179"/>
  <c r="AA25" i="179"/>
  <c r="P25" i="179"/>
  <c r="P27" i="179" s="1"/>
  <c r="T26" i="179"/>
  <c r="T25" i="179"/>
  <c r="T40" i="179"/>
  <c r="W40" i="179"/>
  <c r="W26" i="179"/>
  <c r="W27" i="179" s="1"/>
  <c r="W53" i="179" s="1"/>
  <c r="W25" i="179"/>
  <c r="Y26" i="178"/>
  <c r="Y40" i="178"/>
  <c r="AF40" i="178"/>
  <c r="AF26" i="178"/>
  <c r="S30" i="178"/>
  <c r="AC26" i="178"/>
  <c r="AC40" i="178"/>
  <c r="AF30" i="178"/>
  <c r="L33" i="178"/>
  <c r="L34" i="178" s="1"/>
  <c r="X26" i="177"/>
  <c r="X40" i="177"/>
  <c r="N31" i="176"/>
  <c r="N32" i="176"/>
  <c r="Y30" i="176"/>
  <c r="K30" i="177"/>
  <c r="W26" i="176"/>
  <c r="W40" i="176"/>
  <c r="Z26" i="177"/>
  <c r="Z40" i="177"/>
  <c r="V30" i="176"/>
  <c r="T26" i="176"/>
  <c r="T40" i="176"/>
  <c r="L31" i="176"/>
  <c r="L32" i="176"/>
  <c r="P26" i="177"/>
  <c r="P40" i="177"/>
  <c r="P26" i="176"/>
  <c r="P40" i="176"/>
  <c r="AC30" i="177"/>
  <c r="Y30" i="177"/>
  <c r="W26" i="177"/>
  <c r="W40" i="177"/>
  <c r="AC40" i="177"/>
  <c r="AC26" i="177"/>
  <c r="T40" i="177"/>
  <c r="T26" i="177"/>
  <c r="K40" i="176"/>
  <c r="K26" i="176"/>
  <c r="N40" i="176"/>
  <c r="N26" i="176"/>
  <c r="AE26" i="176"/>
  <c r="AE40" i="176"/>
  <c r="V40" i="176"/>
  <c r="V26" i="176"/>
  <c r="M32" i="176"/>
  <c r="M31" i="176"/>
  <c r="Z32" i="176"/>
  <c r="Z31" i="176"/>
  <c r="L31" i="172"/>
  <c r="L32" i="172"/>
  <c r="W30" i="172"/>
  <c r="T40" i="172"/>
  <c r="T26" i="172"/>
  <c r="Q40" i="172"/>
  <c r="Q26" i="172"/>
  <c r="U30" i="176"/>
  <c r="Y25" i="172"/>
  <c r="Y26" i="172"/>
  <c r="Y40" i="172"/>
  <c r="N31" i="172"/>
  <c r="N32" i="172"/>
  <c r="AA31" i="172"/>
  <c r="AA32" i="172"/>
  <c r="O31" i="172"/>
  <c r="O32" i="172"/>
  <c r="M40" i="172"/>
  <c r="M26" i="172"/>
  <c r="J32" i="172"/>
  <c r="J31" i="172"/>
  <c r="X32" i="177"/>
  <c r="X31" i="177"/>
  <c r="X26" i="172"/>
  <c r="X40" i="172"/>
  <c r="Z31" i="172"/>
  <c r="Z32" i="172"/>
  <c r="AB30" i="177"/>
  <c r="O26" i="172"/>
  <c r="O40" i="172"/>
  <c r="U31" i="172"/>
  <c r="U32" i="172"/>
  <c r="X32" i="172"/>
  <c r="X31" i="172"/>
  <c r="T22" i="172"/>
  <c r="AE22" i="172"/>
  <c r="AE25" i="172" s="1"/>
  <c r="M22" i="172"/>
  <c r="M25" i="172" s="1"/>
  <c r="O22" i="172"/>
  <c r="AC22" i="172"/>
  <c r="AD22" i="172"/>
  <c r="AB22" i="172"/>
  <c r="P22" i="172"/>
  <c r="P25" i="172" s="1"/>
  <c r="N22" i="172"/>
  <c r="J26" i="172"/>
  <c r="J25" i="172"/>
  <c r="J40" i="172"/>
  <c r="P26" i="172"/>
  <c r="P40" i="172"/>
  <c r="P32" i="172"/>
  <c r="P31" i="172"/>
  <c r="AD26" i="172"/>
  <c r="AD40" i="172"/>
  <c r="AE31" i="172"/>
  <c r="AE32" i="172"/>
  <c r="AB40" i="177"/>
  <c r="AB26" i="177"/>
  <c r="AA26" i="176"/>
  <c r="AA40" i="176"/>
  <c r="AF40" i="172"/>
  <c r="AF26" i="172"/>
  <c r="Y26" i="177"/>
  <c r="Y40" i="177"/>
  <c r="K40" i="177"/>
  <c r="K26" i="177"/>
  <c r="AA22" i="176"/>
  <c r="AA25" i="176" s="1"/>
  <c r="S22" i="176"/>
  <c r="S25" i="176" s="1"/>
  <c r="K22" i="176"/>
  <c r="AB22" i="176"/>
  <c r="R22" i="176"/>
  <c r="AE22" i="176"/>
  <c r="AE25" i="176" s="1"/>
  <c r="U22" i="176"/>
  <c r="J22" i="176"/>
  <c r="AC22" i="176"/>
  <c r="Q22" i="176"/>
  <c r="Q25" i="176" s="1"/>
  <c r="W22" i="176"/>
  <c r="X22" i="176"/>
  <c r="V22" i="176"/>
  <c r="T22" i="176"/>
  <c r="T25" i="176" s="1"/>
  <c r="P22" i="176"/>
  <c r="P25" i="176" s="1"/>
  <c r="AF22" i="176"/>
  <c r="O22" i="176"/>
  <c r="O25" i="176" s="1"/>
  <c r="AD22" i="176"/>
  <c r="AD25" i="176" s="1"/>
  <c r="N22" i="176"/>
  <c r="Z22" i="176"/>
  <c r="M22" i="176"/>
  <c r="Y22" i="176"/>
  <c r="L22" i="176"/>
  <c r="L25" i="176" s="1"/>
  <c r="O32" i="177"/>
  <c r="O31" i="177"/>
  <c r="AD26" i="177"/>
  <c r="AD40" i="177"/>
  <c r="J30" i="177"/>
  <c r="AA31" i="177"/>
  <c r="AA32" i="177"/>
  <c r="L26" i="176"/>
  <c r="L40" i="176"/>
  <c r="AF31" i="176"/>
  <c r="AF32" i="176"/>
  <c r="AD33" i="176"/>
  <c r="AD34" i="176" s="1"/>
  <c r="S32" i="176"/>
  <c r="S31" i="176"/>
  <c r="L22" i="172"/>
  <c r="L25" i="172" s="1"/>
  <c r="S22" i="172"/>
  <c r="S25" i="172" s="1"/>
  <c r="S30" i="172"/>
  <c r="K26" i="172"/>
  <c r="K25" i="172"/>
  <c r="K40" i="172"/>
  <c r="R26" i="172"/>
  <c r="R25" i="172"/>
  <c r="R40" i="172"/>
  <c r="X22" i="172"/>
  <c r="X25" i="172" s="1"/>
  <c r="AF22" i="172"/>
  <c r="AF25" i="172" s="1"/>
  <c r="T32" i="172"/>
  <c r="T31" i="172"/>
  <c r="N26" i="172"/>
  <c r="N40" i="172"/>
  <c r="AE30" i="177"/>
  <c r="J26" i="177"/>
  <c r="J40" i="177"/>
  <c r="X31" i="176"/>
  <c r="X32" i="176"/>
  <c r="J31" i="176"/>
  <c r="J32" i="176"/>
  <c r="R26" i="177"/>
  <c r="R40" i="177"/>
  <c r="AB30" i="176"/>
  <c r="K31" i="176"/>
  <c r="K32" i="176"/>
  <c r="AD31" i="172"/>
  <c r="AD32" i="172"/>
  <c r="L32" i="177"/>
  <c r="L31" i="177"/>
  <c r="W30" i="177"/>
  <c r="Z30" i="177"/>
  <c r="M40" i="176"/>
  <c r="M26" i="176"/>
  <c r="M27" i="176" s="1"/>
  <c r="M25" i="176"/>
  <c r="U40" i="172"/>
  <c r="U26" i="172"/>
  <c r="AC32" i="172"/>
  <c r="AC31" i="172"/>
  <c r="N26" i="177"/>
  <c r="N40" i="177"/>
  <c r="AF30" i="177"/>
  <c r="N31" i="177"/>
  <c r="N32" i="177"/>
  <c r="Y26" i="176"/>
  <c r="Y40" i="176"/>
  <c r="Y25" i="176"/>
  <c r="M32" i="177"/>
  <c r="M31" i="177"/>
  <c r="R30" i="177"/>
  <c r="S40" i="177"/>
  <c r="S26" i="177"/>
  <c r="Q40" i="177"/>
  <c r="Q26" i="177"/>
  <c r="AA40" i="177"/>
  <c r="AA26" i="177"/>
  <c r="W32" i="176"/>
  <c r="W31" i="176"/>
  <c r="Q26" i="176"/>
  <c r="Q40" i="176"/>
  <c r="V30" i="172"/>
  <c r="V40" i="172"/>
  <c r="V25" i="172"/>
  <c r="V26" i="172"/>
  <c r="V27" i="172" s="1"/>
  <c r="V53" i="172" s="1"/>
  <c r="Y32" i="172"/>
  <c r="Y31" i="172"/>
  <c r="AA22" i="172"/>
  <c r="AA25" i="172" s="1"/>
  <c r="U22" i="172"/>
  <c r="U25" i="172" s="1"/>
  <c r="S26" i="172"/>
  <c r="S40" i="172"/>
  <c r="Z26" i="172"/>
  <c r="Z25" i="172"/>
  <c r="Z40" i="172"/>
  <c r="W40" i="172"/>
  <c r="W25" i="172"/>
  <c r="W26" i="172"/>
  <c r="S40" i="176"/>
  <c r="S26" i="176"/>
  <c r="Z26" i="176"/>
  <c r="Z40" i="176"/>
  <c r="AB22" i="177"/>
  <c r="AB25" i="177" s="1"/>
  <c r="T22" i="177"/>
  <c r="T25" i="177" s="1"/>
  <c r="L22" i="177"/>
  <c r="AA22" i="177"/>
  <c r="AA25" i="177" s="1"/>
  <c r="S22" i="177"/>
  <c r="S25" i="177" s="1"/>
  <c r="K22" i="177"/>
  <c r="K25" i="177" s="1"/>
  <c r="Z22" i="177"/>
  <c r="R22" i="177"/>
  <c r="R25" i="177" s="1"/>
  <c r="J22" i="177"/>
  <c r="AF22" i="177"/>
  <c r="AF25" i="177" s="1"/>
  <c r="AC22" i="177"/>
  <c r="AC25" i="177" s="1"/>
  <c r="U22" i="177"/>
  <c r="U25" i="177" s="1"/>
  <c r="M22" i="177"/>
  <c r="M25" i="177" s="1"/>
  <c r="V22" i="177"/>
  <c r="Q22" i="177"/>
  <c r="P22" i="177"/>
  <c r="AE22" i="177"/>
  <c r="O22" i="177"/>
  <c r="O25" i="177" s="1"/>
  <c r="Y22" i="177"/>
  <c r="Y25" i="177" s="1"/>
  <c r="X22" i="177"/>
  <c r="X25" i="177" s="1"/>
  <c r="N22" i="177"/>
  <c r="W22" i="177"/>
  <c r="W25" i="177" s="1"/>
  <c r="AD22" i="177"/>
  <c r="AD25" i="177" s="1"/>
  <c r="P31" i="176"/>
  <c r="P32" i="176"/>
  <c r="AE26" i="177"/>
  <c r="AE40" i="177"/>
  <c r="AD40" i="176"/>
  <c r="AD26" i="176"/>
  <c r="AC40" i="172"/>
  <c r="AC25" i="172"/>
  <c r="AC26" i="172"/>
  <c r="AC27" i="172" s="1"/>
  <c r="AC53" i="172" s="1"/>
  <c r="Q30" i="177"/>
  <c r="R40" i="176"/>
  <c r="R26" i="176"/>
  <c r="AF26" i="177"/>
  <c r="AF40" i="177"/>
  <c r="O26" i="176"/>
  <c r="O40" i="176"/>
  <c r="T31" i="176"/>
  <c r="T32" i="176"/>
  <c r="AF25" i="176"/>
  <c r="AF40" i="176"/>
  <c r="AF26" i="176"/>
  <c r="P30" i="177"/>
  <c r="T30" i="177"/>
  <c r="M26" i="177"/>
  <c r="M40" i="177"/>
  <c r="X40" i="176"/>
  <c r="X26" i="176"/>
  <c r="X25" i="176"/>
  <c r="AE32" i="176"/>
  <c r="AE31" i="176"/>
  <c r="O32" i="176"/>
  <c r="O31" i="176"/>
  <c r="J40" i="176"/>
  <c r="J25" i="176"/>
  <c r="J26" i="176"/>
  <c r="AB26" i="176"/>
  <c r="AB40" i="176"/>
  <c r="S30" i="177"/>
  <c r="AD31" i="177"/>
  <c r="AD32" i="177"/>
  <c r="U30" i="177"/>
  <c r="U26" i="177"/>
  <c r="U40" i="177"/>
  <c r="L25" i="177"/>
  <c r="L26" i="177"/>
  <c r="L40" i="177"/>
  <c r="V31" i="177"/>
  <c r="V32" i="177"/>
  <c r="O26" i="177"/>
  <c r="O40" i="177"/>
  <c r="AC40" i="176"/>
  <c r="AC26" i="176"/>
  <c r="U40" i="176"/>
  <c r="U25" i="176"/>
  <c r="U26" i="176"/>
  <c r="U27" i="176" s="1"/>
  <c r="U53" i="176" s="1"/>
  <c r="AA31" i="176"/>
  <c r="AA32" i="176"/>
  <c r="R32" i="176"/>
  <c r="R31" i="176"/>
  <c r="AB30" i="172"/>
  <c r="M32" i="172"/>
  <c r="M31" i="172"/>
  <c r="K31" i="172"/>
  <c r="K32" i="172"/>
  <c r="Q22" i="172"/>
  <c r="Q25" i="172" s="1"/>
  <c r="AE40" i="172"/>
  <c r="AE26" i="172"/>
  <c r="AA26" i="172"/>
  <c r="AA40" i="172"/>
  <c r="L40" i="172"/>
  <c r="L26" i="172"/>
  <c r="S30" i="171"/>
  <c r="X26" i="170"/>
  <c r="X40" i="170"/>
  <c r="AA40" i="171"/>
  <c r="AA26" i="171"/>
  <c r="AA25" i="171"/>
  <c r="AD40" i="169"/>
  <c r="AD26" i="169"/>
  <c r="L40" i="171"/>
  <c r="L26" i="171"/>
  <c r="AD22" i="171"/>
  <c r="W40" i="169"/>
  <c r="W26" i="169"/>
  <c r="AB26" i="170"/>
  <c r="AB40" i="170"/>
  <c r="AF26" i="171"/>
  <c r="AF40" i="171"/>
  <c r="X26" i="171"/>
  <c r="X40" i="171"/>
  <c r="K40" i="171"/>
  <c r="K26" i="171"/>
  <c r="T30" i="171"/>
  <c r="Z30" i="171"/>
  <c r="AE22" i="171"/>
  <c r="AE25" i="171" s="1"/>
  <c r="U22" i="171"/>
  <c r="L22" i="171"/>
  <c r="L25" i="171" s="1"/>
  <c r="N32" i="170"/>
  <c r="N31" i="170"/>
  <c r="P30" i="171"/>
  <c r="U30" i="170"/>
  <c r="K32" i="170"/>
  <c r="K31" i="170"/>
  <c r="J30" i="169"/>
  <c r="AE33" i="170"/>
  <c r="AE34" i="170" s="1"/>
  <c r="P31" i="170"/>
  <c r="P32" i="170"/>
  <c r="Q30" i="169"/>
  <c r="Z40" i="169"/>
  <c r="Z26" i="169"/>
  <c r="U26" i="169"/>
  <c r="U40" i="169"/>
  <c r="N40" i="169"/>
  <c r="N26" i="169"/>
  <c r="W26" i="170"/>
  <c r="W40" i="170"/>
  <c r="V40" i="170"/>
  <c r="V26" i="170"/>
  <c r="AA40" i="170"/>
  <c r="AA26" i="170"/>
  <c r="O32" i="170"/>
  <c r="O31" i="170"/>
  <c r="P26" i="169"/>
  <c r="P40" i="169"/>
  <c r="Z31" i="169"/>
  <c r="Z32" i="169"/>
  <c r="AB32" i="169"/>
  <c r="AB31" i="169"/>
  <c r="P30" i="169"/>
  <c r="V26" i="169"/>
  <c r="V40" i="169"/>
  <c r="AF26" i="170"/>
  <c r="AF40" i="170"/>
  <c r="K32" i="169"/>
  <c r="K31" i="169"/>
  <c r="AA26" i="169"/>
  <c r="AA40" i="169"/>
  <c r="X31" i="170"/>
  <c r="X32" i="170"/>
  <c r="AC30" i="171"/>
  <c r="AD22" i="169"/>
  <c r="AD25" i="169" s="1"/>
  <c r="V22" i="169"/>
  <c r="N22" i="169"/>
  <c r="N25" i="169" s="1"/>
  <c r="AB22" i="169"/>
  <c r="T22" i="169"/>
  <c r="T25" i="169" s="1"/>
  <c r="L22" i="169"/>
  <c r="AE22" i="169"/>
  <c r="S22" i="169"/>
  <c r="S25" i="169" s="1"/>
  <c r="AC22" i="169"/>
  <c r="AC25" i="169" s="1"/>
  <c r="R22" i="169"/>
  <c r="R25" i="169" s="1"/>
  <c r="AA22" i="169"/>
  <c r="Q22" i="169"/>
  <c r="Z22" i="169"/>
  <c r="Z25" i="169" s="1"/>
  <c r="P22" i="169"/>
  <c r="P25" i="169" s="1"/>
  <c r="X22" i="169"/>
  <c r="W22" i="169"/>
  <c r="W25" i="169" s="1"/>
  <c r="M22" i="169"/>
  <c r="M25" i="169" s="1"/>
  <c r="AF22" i="169"/>
  <c r="AF25" i="169" s="1"/>
  <c r="U22" i="169"/>
  <c r="J22" i="169"/>
  <c r="J25" i="169" s="1"/>
  <c r="O22" i="169"/>
  <c r="O25" i="169" s="1"/>
  <c r="K22" i="169"/>
  <c r="Y22" i="169"/>
  <c r="Y25" i="169" s="1"/>
  <c r="U30" i="169"/>
  <c r="M32" i="171"/>
  <c r="M31" i="171"/>
  <c r="Q40" i="169"/>
  <c r="Q26" i="169"/>
  <c r="V30" i="171"/>
  <c r="T30" i="169"/>
  <c r="L32" i="170"/>
  <c r="L31" i="170"/>
  <c r="L32" i="171"/>
  <c r="L31" i="171"/>
  <c r="AF30" i="171"/>
  <c r="N26" i="171"/>
  <c r="N25" i="171"/>
  <c r="N40" i="171"/>
  <c r="AD35" i="170"/>
  <c r="AE30" i="171"/>
  <c r="AD32" i="169"/>
  <c r="AD31" i="169"/>
  <c r="L26" i="170"/>
  <c r="L40" i="170"/>
  <c r="AE26" i="171"/>
  <c r="AE40" i="171"/>
  <c r="R22" i="171"/>
  <c r="U40" i="170"/>
  <c r="U26" i="170"/>
  <c r="Y30" i="169"/>
  <c r="T25" i="171"/>
  <c r="T40" i="171"/>
  <c r="T26" i="171"/>
  <c r="P22" i="171"/>
  <c r="Y30" i="170"/>
  <c r="T30" i="170"/>
  <c r="O32" i="171"/>
  <c r="O31" i="171"/>
  <c r="N26" i="170"/>
  <c r="N40" i="170"/>
  <c r="U30" i="171"/>
  <c r="J26" i="171"/>
  <c r="J40" i="171"/>
  <c r="J25" i="171"/>
  <c r="AB40" i="171"/>
  <c r="AB25" i="171"/>
  <c r="AB26" i="171"/>
  <c r="AA31" i="171"/>
  <c r="AA32" i="171"/>
  <c r="O22" i="171"/>
  <c r="AF22" i="171"/>
  <c r="AF25" i="171" s="1"/>
  <c r="K22" i="171"/>
  <c r="AB30" i="170"/>
  <c r="W30" i="170"/>
  <c r="J30" i="170"/>
  <c r="S40" i="169"/>
  <c r="S26" i="169"/>
  <c r="L26" i="169"/>
  <c r="L40" i="169"/>
  <c r="L25" i="169"/>
  <c r="M26" i="169"/>
  <c r="M40" i="169"/>
  <c r="O26" i="170"/>
  <c r="O40" i="170"/>
  <c r="AC40" i="170"/>
  <c r="AC26" i="170"/>
  <c r="O40" i="169"/>
  <c r="O26" i="169"/>
  <c r="AE30" i="169"/>
  <c r="M32" i="169"/>
  <c r="M31" i="169"/>
  <c r="AA32" i="170"/>
  <c r="AA31" i="170"/>
  <c r="S40" i="171"/>
  <c r="S26" i="171"/>
  <c r="Y26" i="169"/>
  <c r="Y40" i="169"/>
  <c r="Z31" i="170"/>
  <c r="Z32" i="170"/>
  <c r="J30" i="171"/>
  <c r="M31" i="170"/>
  <c r="M32" i="170"/>
  <c r="Q40" i="170"/>
  <c r="Q26" i="170"/>
  <c r="AF31" i="169"/>
  <c r="AF32" i="169"/>
  <c r="V32" i="169"/>
  <c r="V31" i="169"/>
  <c r="N32" i="169"/>
  <c r="N31" i="169"/>
  <c r="AD25" i="171"/>
  <c r="AD26" i="171"/>
  <c r="AD27" i="171" s="1"/>
  <c r="AD53" i="171" s="1"/>
  <c r="AD40" i="171"/>
  <c r="Z22" i="171"/>
  <c r="Z25" i="171" s="1"/>
  <c r="R25" i="170"/>
  <c r="R40" i="170"/>
  <c r="R26" i="170"/>
  <c r="AB30" i="171"/>
  <c r="R26" i="171"/>
  <c r="R25" i="171"/>
  <c r="R40" i="171"/>
  <c r="Q30" i="171"/>
  <c r="V22" i="171"/>
  <c r="V25" i="171" s="1"/>
  <c r="Q22" i="171"/>
  <c r="S22" i="171"/>
  <c r="P40" i="171"/>
  <c r="V30" i="170"/>
  <c r="R30" i="170"/>
  <c r="W32" i="171"/>
  <c r="W31" i="171"/>
  <c r="AA22" i="170"/>
  <c r="S22" i="170"/>
  <c r="K22" i="170"/>
  <c r="K25" i="170" s="1"/>
  <c r="X22" i="170"/>
  <c r="O22" i="170"/>
  <c r="O25" i="170" s="1"/>
  <c r="AC22" i="170"/>
  <c r="R22" i="170"/>
  <c r="AB22" i="170"/>
  <c r="AB25" i="170" s="1"/>
  <c r="Q22" i="170"/>
  <c r="Q25" i="170" s="1"/>
  <c r="Z22" i="170"/>
  <c r="P22" i="170"/>
  <c r="Y22" i="170"/>
  <c r="N22" i="170"/>
  <c r="N25" i="170" s="1"/>
  <c r="U22" i="170"/>
  <c r="U25" i="170" s="1"/>
  <c r="T22" i="170"/>
  <c r="T25" i="170" s="1"/>
  <c r="M22" i="170"/>
  <c r="M25" i="170" s="1"/>
  <c r="AF22" i="170"/>
  <c r="AF25" i="170" s="1"/>
  <c r="L22" i="170"/>
  <c r="L25" i="170" s="1"/>
  <c r="AE22" i="170"/>
  <c r="AD22" i="170"/>
  <c r="W22" i="170"/>
  <c r="V22" i="170"/>
  <c r="J22" i="170"/>
  <c r="AE40" i="169"/>
  <c r="AE26" i="169"/>
  <c r="AE25" i="169"/>
  <c r="T40" i="169"/>
  <c r="T26" i="169"/>
  <c r="P40" i="170"/>
  <c r="P25" i="170"/>
  <c r="P26" i="170"/>
  <c r="AE40" i="170"/>
  <c r="AE26" i="170"/>
  <c r="K26" i="170"/>
  <c r="K40" i="170"/>
  <c r="W33" i="169"/>
  <c r="W34" i="169" s="1"/>
  <c r="X30" i="169"/>
  <c r="AC30" i="169"/>
  <c r="Y26" i="171"/>
  <c r="Y40" i="171"/>
  <c r="Y25" i="171"/>
  <c r="AF40" i="169"/>
  <c r="AF26" i="169"/>
  <c r="M25" i="171"/>
  <c r="M26" i="171"/>
  <c r="M40" i="171"/>
  <c r="K26" i="169"/>
  <c r="K25" i="169"/>
  <c r="K40" i="169"/>
  <c r="U25" i="171"/>
  <c r="U26" i="171"/>
  <c r="U40" i="171"/>
  <c r="X30" i="171"/>
  <c r="R40" i="169"/>
  <c r="R26" i="169"/>
  <c r="M40" i="170"/>
  <c r="M26" i="170"/>
  <c r="Y30" i="171"/>
  <c r="AC25" i="171"/>
  <c r="AC40" i="171"/>
  <c r="AC26" i="171"/>
  <c r="X22" i="171"/>
  <c r="X25" i="171" s="1"/>
  <c r="AC26" i="169"/>
  <c r="AC40" i="169"/>
  <c r="AD26" i="170"/>
  <c r="AD40" i="170"/>
  <c r="Q40" i="171"/>
  <c r="Q26" i="171"/>
  <c r="V26" i="171"/>
  <c r="V40" i="171"/>
  <c r="Z26" i="171"/>
  <c r="Z40" i="171"/>
  <c r="R30" i="171"/>
  <c r="AD31" i="171"/>
  <c r="AD32" i="171"/>
  <c r="K30" i="171"/>
  <c r="W22" i="171"/>
  <c r="M22" i="171"/>
  <c r="AF30" i="170"/>
  <c r="Q30" i="170"/>
  <c r="AC30" i="170"/>
  <c r="R31" i="169"/>
  <c r="R32" i="169"/>
  <c r="S32" i="170"/>
  <c r="S31" i="170"/>
  <c r="O31" i="169"/>
  <c r="O32" i="169"/>
  <c r="J26" i="169"/>
  <c r="J40" i="169"/>
  <c r="AB25" i="169"/>
  <c r="AB40" i="169"/>
  <c r="AB26" i="169"/>
  <c r="AB27" i="169" s="1"/>
  <c r="N31" i="171"/>
  <c r="N32" i="171"/>
  <c r="T26" i="170"/>
  <c r="T40" i="170"/>
  <c r="J25" i="170"/>
  <c r="J26" i="170"/>
  <c r="J27" i="170" s="1"/>
  <c r="J53" i="170" s="1"/>
  <c r="J40" i="170"/>
  <c r="S40" i="170"/>
  <c r="S26" i="170"/>
  <c r="S30" i="169"/>
  <c r="M31" i="168"/>
  <c r="M32" i="168"/>
  <c r="Q32" i="168"/>
  <c r="Q31" i="168"/>
  <c r="T26" i="168"/>
  <c r="T40" i="168"/>
  <c r="Q40" i="168"/>
  <c r="Q26" i="168"/>
  <c r="O40" i="168"/>
  <c r="O26" i="168"/>
  <c r="AB40" i="168"/>
  <c r="AB26" i="168"/>
  <c r="O32" i="168"/>
  <c r="O31" i="168"/>
  <c r="K40" i="168"/>
  <c r="K26" i="168"/>
  <c r="U26" i="168"/>
  <c r="U40" i="168"/>
  <c r="AE26" i="168"/>
  <c r="AE40" i="168"/>
  <c r="W26" i="168"/>
  <c r="W40" i="168"/>
  <c r="X30" i="168"/>
  <c r="T31" i="168"/>
  <c r="T32" i="168"/>
  <c r="J32" i="168"/>
  <c r="J31" i="168"/>
  <c r="AF40" i="168"/>
  <c r="AF26" i="168"/>
  <c r="Y40" i="168"/>
  <c r="Y26" i="168"/>
  <c r="AC40" i="168"/>
  <c r="AC26" i="168"/>
  <c r="AD33" i="168"/>
  <c r="AD34" i="168" s="1"/>
  <c r="N31" i="168"/>
  <c r="N32" i="168"/>
  <c r="AE30" i="168"/>
  <c r="AF31" i="168"/>
  <c r="AF32" i="168"/>
  <c r="Y30" i="168"/>
  <c r="L26" i="168"/>
  <c r="L40" i="168"/>
  <c r="N40" i="168"/>
  <c r="N26" i="168"/>
  <c r="AA32" i="168"/>
  <c r="AA31" i="168"/>
  <c r="R32" i="168"/>
  <c r="R31" i="168"/>
  <c r="V26" i="168"/>
  <c r="V40" i="168"/>
  <c r="M40" i="168"/>
  <c r="M26" i="168"/>
  <c r="M25" i="168"/>
  <c r="W30" i="168"/>
  <c r="P40" i="168"/>
  <c r="P26" i="168"/>
  <c r="AD40" i="168"/>
  <c r="AD26" i="168"/>
  <c r="K33" i="168"/>
  <c r="K34" i="168" s="1"/>
  <c r="X40" i="168"/>
  <c r="X26" i="168"/>
  <c r="Z32" i="168"/>
  <c r="Z31" i="168"/>
  <c r="U30" i="168"/>
  <c r="Z26" i="168"/>
  <c r="Z40" i="168"/>
  <c r="S40" i="168"/>
  <c r="S26" i="168"/>
  <c r="V30" i="168"/>
  <c r="P30" i="168"/>
  <c r="S32" i="168"/>
  <c r="S31" i="168"/>
  <c r="AC31" i="168"/>
  <c r="AC32" i="168"/>
  <c r="R26" i="168"/>
  <c r="R40" i="168"/>
  <c r="AB30" i="168"/>
  <c r="AA40" i="168"/>
  <c r="AA26" i="168"/>
  <c r="AE22" i="168"/>
  <c r="W22" i="168"/>
  <c r="O22" i="168"/>
  <c r="O25" i="168" s="1"/>
  <c r="AD22" i="168"/>
  <c r="V22" i="168"/>
  <c r="V25" i="168" s="1"/>
  <c r="N22" i="168"/>
  <c r="AC22" i="168"/>
  <c r="U22" i="168"/>
  <c r="U25" i="168" s="1"/>
  <c r="M22" i="168"/>
  <c r="AF22" i="168"/>
  <c r="AF25" i="168" s="1"/>
  <c r="X22" i="168"/>
  <c r="Q22" i="168"/>
  <c r="AB22" i="168"/>
  <c r="AB25" i="168" s="1"/>
  <c r="P22" i="168"/>
  <c r="AA22" i="168"/>
  <c r="AA25" i="168" s="1"/>
  <c r="L22" i="168"/>
  <c r="L25" i="168" s="1"/>
  <c r="R22" i="168"/>
  <c r="Z22" i="168"/>
  <c r="Y22" i="168"/>
  <c r="K22" i="168"/>
  <c r="T22" i="168"/>
  <c r="T25" i="168" s="1"/>
  <c r="J22" i="168"/>
  <c r="S22" i="168"/>
  <c r="X32" i="166"/>
  <c r="X31" i="166"/>
  <c r="AB22" i="166"/>
  <c r="AB25" i="166" s="1"/>
  <c r="T22" i="166"/>
  <c r="L22" i="166"/>
  <c r="AA22" i="166"/>
  <c r="S22" i="166"/>
  <c r="S25" i="166" s="1"/>
  <c r="K22" i="166"/>
  <c r="K25" i="166" s="1"/>
  <c r="AD22" i="166"/>
  <c r="AD25" i="166" s="1"/>
  <c r="R22" i="166"/>
  <c r="R25" i="166" s="1"/>
  <c r="AC22" i="166"/>
  <c r="Q22" i="166"/>
  <c r="Q25" i="166" s="1"/>
  <c r="Z22" i="166"/>
  <c r="Z25" i="166" s="1"/>
  <c r="P22" i="166"/>
  <c r="Y22" i="166"/>
  <c r="Y25" i="166" s="1"/>
  <c r="O22" i="166"/>
  <c r="X22" i="166"/>
  <c r="W22" i="166"/>
  <c r="V22" i="166"/>
  <c r="N22" i="166"/>
  <c r="N25" i="166" s="1"/>
  <c r="U22" i="166"/>
  <c r="J22" i="166"/>
  <c r="M22" i="166"/>
  <c r="M25" i="166" s="1"/>
  <c r="AF22" i="166"/>
  <c r="AF25" i="166" s="1"/>
  <c r="AE22" i="166"/>
  <c r="AD31" i="166"/>
  <c r="AD32" i="166"/>
  <c r="K40" i="166"/>
  <c r="K26" i="166"/>
  <c r="Y26" i="166"/>
  <c r="Y40" i="166"/>
  <c r="AB30" i="166"/>
  <c r="S30" i="166"/>
  <c r="M26" i="166"/>
  <c r="M40" i="166"/>
  <c r="M53" i="166"/>
  <c r="R30" i="166"/>
  <c r="Z32" i="166"/>
  <c r="Z31" i="166"/>
  <c r="J26" i="166"/>
  <c r="J40" i="166"/>
  <c r="J25" i="166"/>
  <c r="T30" i="166"/>
  <c r="T40" i="166"/>
  <c r="T26" i="166"/>
  <c r="AE32" i="166"/>
  <c r="AE31" i="166"/>
  <c r="O32" i="166"/>
  <c r="O31" i="166"/>
  <c r="Q40" i="166"/>
  <c r="Q26" i="166"/>
  <c r="AC25" i="166"/>
  <c r="AC26" i="166"/>
  <c r="AC27" i="166" s="1"/>
  <c r="AC40" i="166"/>
  <c r="W26" i="166"/>
  <c r="W40" i="166"/>
  <c r="AF40" i="166"/>
  <c r="AF26" i="166"/>
  <c r="N31" i="166"/>
  <c r="N32" i="166"/>
  <c r="Y32" i="166"/>
  <c r="Y31" i="166"/>
  <c r="AD26" i="166"/>
  <c r="AD40" i="166"/>
  <c r="AA40" i="166"/>
  <c r="AA25" i="166"/>
  <c r="AA26" i="166"/>
  <c r="AA27" i="166" s="1"/>
  <c r="Q30" i="166"/>
  <c r="AC30" i="166"/>
  <c r="M32" i="166"/>
  <c r="M31" i="166"/>
  <c r="AB40" i="166"/>
  <c r="AB26" i="166"/>
  <c r="V26" i="166"/>
  <c r="V40" i="166"/>
  <c r="AF30" i="166"/>
  <c r="L40" i="166"/>
  <c r="L26" i="166"/>
  <c r="X26" i="166"/>
  <c r="X25" i="166"/>
  <c r="X40" i="166"/>
  <c r="S40" i="166"/>
  <c r="S26" i="166"/>
  <c r="Z26" i="166"/>
  <c r="Z40" i="166"/>
  <c r="AA31" i="166"/>
  <c r="AA32" i="166"/>
  <c r="AE25" i="166"/>
  <c r="AE40" i="166"/>
  <c r="AE26" i="166"/>
  <c r="AE27" i="166" s="1"/>
  <c r="AE53" i="166" s="1"/>
  <c r="J30" i="166"/>
  <c r="R26" i="166"/>
  <c r="R40" i="166"/>
  <c r="U30" i="166"/>
  <c r="U40" i="166"/>
  <c r="U26" i="166"/>
  <c r="V30" i="166"/>
  <c r="W30" i="166"/>
  <c r="P30" i="166"/>
  <c r="N26" i="166"/>
  <c r="N40" i="166"/>
  <c r="M33" i="184" l="1"/>
  <c r="M34" i="184" s="1"/>
  <c r="W33" i="171"/>
  <c r="W34" i="171" s="1"/>
  <c r="O33" i="171"/>
  <c r="O34" i="171" s="1"/>
  <c r="L33" i="171"/>
  <c r="L34" i="171" s="1"/>
  <c r="J33" i="187"/>
  <c r="J34" i="187" s="1"/>
  <c r="J39" i="187" s="1"/>
  <c r="R35" i="185"/>
  <c r="U33" i="187"/>
  <c r="U34" i="187" s="1"/>
  <c r="U39" i="187" s="1"/>
  <c r="AA35" i="169"/>
  <c r="S33" i="185"/>
  <c r="S34" i="185" s="1"/>
  <c r="K37" i="166"/>
  <c r="V33" i="187"/>
  <c r="V34" i="187" s="1"/>
  <c r="V39" i="187" s="1"/>
  <c r="W33" i="176"/>
  <c r="W34" i="176" s="1"/>
  <c r="Z33" i="185"/>
  <c r="Z34" i="185" s="1"/>
  <c r="Z39" i="185" s="1"/>
  <c r="AD33" i="183"/>
  <c r="AD34" i="183" s="1"/>
  <c r="AD39" i="183" s="1"/>
  <c r="Y33" i="183"/>
  <c r="Y34" i="183" s="1"/>
  <c r="AE33" i="187"/>
  <c r="AE34" i="187" s="1"/>
  <c r="AE39" i="187" s="1"/>
  <c r="AD35" i="178"/>
  <c r="N33" i="186"/>
  <c r="N34" i="186" s="1"/>
  <c r="N35" i="186" s="1"/>
  <c r="L33" i="186"/>
  <c r="L34" i="186" s="1"/>
  <c r="L39" i="186" s="1"/>
  <c r="P33" i="188"/>
  <c r="P34" i="188" s="1"/>
  <c r="P35" i="188" s="1"/>
  <c r="R39" i="172"/>
  <c r="R35" i="172"/>
  <c r="R37" i="172" s="1"/>
  <c r="Q35" i="176"/>
  <c r="Q39" i="176"/>
  <c r="J33" i="185"/>
  <c r="J34" i="185" s="1"/>
  <c r="J35" i="185" s="1"/>
  <c r="M33" i="188"/>
  <c r="M34" i="188" s="1"/>
  <c r="M35" i="188" s="1"/>
  <c r="AA33" i="186"/>
  <c r="AA34" i="186" s="1"/>
  <c r="AA39" i="186" s="1"/>
  <c r="O33" i="186"/>
  <c r="O34" i="186" s="1"/>
  <c r="O39" i="186" s="1"/>
  <c r="W33" i="185"/>
  <c r="W34" i="185" s="1"/>
  <c r="W35" i="185" s="1"/>
  <c r="M33" i="186"/>
  <c r="M34" i="186" s="1"/>
  <c r="M35" i="186" s="1"/>
  <c r="Q35" i="172"/>
  <c r="AA33" i="184"/>
  <c r="AA34" i="184" s="1"/>
  <c r="AA39" i="184" s="1"/>
  <c r="X33" i="183"/>
  <c r="X34" i="183" s="1"/>
  <c r="AD33" i="187"/>
  <c r="AD34" i="187" s="1"/>
  <c r="AD35" i="187" s="1"/>
  <c r="X33" i="187"/>
  <c r="X34" i="187" s="1"/>
  <c r="X39" i="187" s="1"/>
  <c r="Z33" i="187"/>
  <c r="Z34" i="187" s="1"/>
  <c r="Z39" i="187" s="1"/>
  <c r="Y33" i="187"/>
  <c r="Y34" i="187" s="1"/>
  <c r="Y35" i="187" s="1"/>
  <c r="AB33" i="187"/>
  <c r="AB34" i="187" s="1"/>
  <c r="AB39" i="187" s="1"/>
  <c r="R27" i="187"/>
  <c r="R53" i="187" s="1"/>
  <c r="W39" i="187"/>
  <c r="W35" i="187"/>
  <c r="AB27" i="188"/>
  <c r="AB53" i="188" s="1"/>
  <c r="AC27" i="188"/>
  <c r="U27" i="188"/>
  <c r="AT7" i="188" s="1"/>
  <c r="AE33" i="185"/>
  <c r="AE34" i="185" s="1"/>
  <c r="AE39" i="185" s="1"/>
  <c r="K33" i="185"/>
  <c r="K34" i="185" s="1"/>
  <c r="K39" i="185" s="1"/>
  <c r="AF33" i="185"/>
  <c r="AF34" i="185" s="1"/>
  <c r="AF39" i="185" s="1"/>
  <c r="AA33" i="185"/>
  <c r="AA34" i="185" s="1"/>
  <c r="AA39" i="185" s="1"/>
  <c r="M33" i="185"/>
  <c r="M34" i="185" s="1"/>
  <c r="M35" i="185" s="1"/>
  <c r="N27" i="185"/>
  <c r="K33" i="186"/>
  <c r="K34" i="186" s="1"/>
  <c r="K35" i="186" s="1"/>
  <c r="AC27" i="186"/>
  <c r="R27" i="186"/>
  <c r="AB27" i="186"/>
  <c r="L27" i="186"/>
  <c r="L53" i="186" s="1"/>
  <c r="AA27" i="186"/>
  <c r="AG40" i="186"/>
  <c r="J14" i="112" s="1"/>
  <c r="W27" i="186"/>
  <c r="W53" i="186" s="1"/>
  <c r="O27" i="186"/>
  <c r="V27" i="186"/>
  <c r="X27" i="186"/>
  <c r="Y27" i="184"/>
  <c r="R33" i="184"/>
  <c r="R34" i="184" s="1"/>
  <c r="R39" i="184" s="1"/>
  <c r="AD33" i="184"/>
  <c r="AD34" i="184" s="1"/>
  <c r="AD39" i="184" s="1"/>
  <c r="J27" i="184"/>
  <c r="L33" i="184"/>
  <c r="L34" i="184" s="1"/>
  <c r="L39" i="184" s="1"/>
  <c r="Q33" i="184"/>
  <c r="Q34" i="184" s="1"/>
  <c r="Q35" i="184" s="1"/>
  <c r="X33" i="184"/>
  <c r="X34" i="184" s="1"/>
  <c r="X35" i="184" s="1"/>
  <c r="AA27" i="184"/>
  <c r="AA53" i="184" s="1"/>
  <c r="AF27" i="184"/>
  <c r="N27" i="183"/>
  <c r="Q27" i="183"/>
  <c r="Q53" i="183" s="1"/>
  <c r="M27" i="183"/>
  <c r="AC32" i="187"/>
  <c r="AC31" i="187"/>
  <c r="K31" i="188"/>
  <c r="K32" i="188"/>
  <c r="T27" i="188"/>
  <c r="O27" i="188"/>
  <c r="Z31" i="188"/>
  <c r="Z32" i="188"/>
  <c r="M33" i="187"/>
  <c r="M34" i="187" s="1"/>
  <c r="O33" i="188"/>
  <c r="O34" i="188" s="1"/>
  <c r="AG40" i="187"/>
  <c r="J20" i="112" s="1"/>
  <c r="L20" i="112" s="1"/>
  <c r="J39" i="188"/>
  <c r="J35" i="188"/>
  <c r="AE32" i="188"/>
  <c r="AE31" i="188"/>
  <c r="AF32" i="187"/>
  <c r="AF31" i="187"/>
  <c r="AV16" i="187"/>
  <c r="AV12" i="187"/>
  <c r="AV19" i="187"/>
  <c r="AV6" i="187"/>
  <c r="W43" i="187"/>
  <c r="AV8" i="187"/>
  <c r="AV5" i="187"/>
  <c r="AV18" i="187"/>
  <c r="AV17" i="187"/>
  <c r="AV9" i="187"/>
  <c r="AV7" i="187"/>
  <c r="AV13" i="187"/>
  <c r="AV10" i="187"/>
  <c r="AV14" i="187"/>
  <c r="AV11" i="187"/>
  <c r="AV4" i="187"/>
  <c r="AV15" i="187"/>
  <c r="X33" i="188"/>
  <c r="X34" i="188" s="1"/>
  <c r="Q33" i="187"/>
  <c r="Q34" i="187" s="1"/>
  <c r="R31" i="188"/>
  <c r="R32" i="188"/>
  <c r="W27" i="188"/>
  <c r="W32" i="188"/>
  <c r="W31" i="188"/>
  <c r="V31" i="188"/>
  <c r="V32" i="188"/>
  <c r="Y27" i="188"/>
  <c r="AC31" i="188"/>
  <c r="AC32" i="188"/>
  <c r="O27" i="187"/>
  <c r="AT16" i="188"/>
  <c r="AT18" i="188"/>
  <c r="AT19" i="188"/>
  <c r="AT13" i="188"/>
  <c r="AT10" i="188"/>
  <c r="AT11" i="188"/>
  <c r="AT8" i="188"/>
  <c r="AT14" i="188"/>
  <c r="AT9" i="188"/>
  <c r="AT6" i="188"/>
  <c r="AT5" i="188"/>
  <c r="AT4" i="188"/>
  <c r="U43" i="188"/>
  <c r="AT12" i="188"/>
  <c r="AT17" i="188"/>
  <c r="AZ18" i="187"/>
  <c r="AZ14" i="187"/>
  <c r="AZ10" i="187"/>
  <c r="AZ17" i="187"/>
  <c r="AZ7" i="187"/>
  <c r="AZ11" i="187"/>
  <c r="AZ4" i="187"/>
  <c r="AZ19" i="187"/>
  <c r="AZ16" i="187"/>
  <c r="AA43" i="187"/>
  <c r="AZ5" i="187"/>
  <c r="AZ13" i="187"/>
  <c r="AZ9" i="187"/>
  <c r="AZ15" i="187"/>
  <c r="AZ6" i="187"/>
  <c r="AZ12" i="187"/>
  <c r="AZ8" i="187"/>
  <c r="Q31" i="188"/>
  <c r="Q32" i="188"/>
  <c r="AF25" i="188"/>
  <c r="AF27" i="188" s="1"/>
  <c r="N25" i="187"/>
  <c r="N27" i="187" s="1"/>
  <c r="W53" i="187"/>
  <c r="Y43" i="187"/>
  <c r="AX17" i="187"/>
  <c r="AX13" i="187"/>
  <c r="AX8" i="187"/>
  <c r="AX5" i="187"/>
  <c r="AX19" i="187"/>
  <c r="AX12" i="187"/>
  <c r="AX18" i="187"/>
  <c r="AX10" i="187"/>
  <c r="AX9" i="187"/>
  <c r="AX16" i="187"/>
  <c r="AX14" i="187"/>
  <c r="AX11" i="187"/>
  <c r="AX4" i="187"/>
  <c r="AX15" i="187"/>
  <c r="AX7" i="187"/>
  <c r="AX6" i="187"/>
  <c r="AF33" i="188"/>
  <c r="AF34" i="188" s="1"/>
  <c r="L33" i="188"/>
  <c r="L34" i="188" s="1"/>
  <c r="P32" i="187"/>
  <c r="P31" i="187"/>
  <c r="T31" i="188"/>
  <c r="T32" i="188"/>
  <c r="Q25" i="187"/>
  <c r="Q27" i="187" s="1"/>
  <c r="AG40" i="188"/>
  <c r="J17" i="112" s="1"/>
  <c r="R33" i="187"/>
  <c r="R34" i="187" s="1"/>
  <c r="AA33" i="188"/>
  <c r="AA34" i="188" s="1"/>
  <c r="AD25" i="187"/>
  <c r="AD27" i="187" s="1"/>
  <c r="Z25" i="188"/>
  <c r="Z27" i="188" s="1"/>
  <c r="AE25" i="187"/>
  <c r="BB19" i="188"/>
  <c r="BB13" i="188"/>
  <c r="BB10" i="188"/>
  <c r="BB7" i="188"/>
  <c r="BB16" i="188"/>
  <c r="AC43" i="188"/>
  <c r="BB12" i="188"/>
  <c r="BB18" i="188"/>
  <c r="BB17" i="188"/>
  <c r="BB11" i="188"/>
  <c r="BB14" i="188"/>
  <c r="BB4" i="188"/>
  <c r="BB6" i="188"/>
  <c r="BB15" i="188"/>
  <c r="BB9" i="188"/>
  <c r="BB8" i="188"/>
  <c r="BB5" i="188"/>
  <c r="U27" i="187"/>
  <c r="T33" i="187"/>
  <c r="T34" i="187" s="1"/>
  <c r="U53" i="188"/>
  <c r="R27" i="188"/>
  <c r="J27" i="188"/>
  <c r="N33" i="188"/>
  <c r="N34" i="188" s="1"/>
  <c r="AE27" i="187"/>
  <c r="AF25" i="187"/>
  <c r="AA27" i="188"/>
  <c r="AC27" i="187"/>
  <c r="K33" i="187"/>
  <c r="K34" i="187" s="1"/>
  <c r="S25" i="188"/>
  <c r="S27" i="188" s="1"/>
  <c r="U32" i="188"/>
  <c r="U31" i="188"/>
  <c r="Y32" i="188"/>
  <c r="Y31" i="188"/>
  <c r="P25" i="188"/>
  <c r="P27" i="188" s="1"/>
  <c r="X27" i="188"/>
  <c r="AA53" i="187"/>
  <c r="L25" i="187"/>
  <c r="L33" i="187"/>
  <c r="L34" i="187" s="1"/>
  <c r="AE25" i="188"/>
  <c r="AE27" i="188" s="1"/>
  <c r="AM17" i="188"/>
  <c r="AM13" i="188"/>
  <c r="N43" i="188"/>
  <c r="AM15" i="188"/>
  <c r="AM12" i="188"/>
  <c r="AM8" i="188"/>
  <c r="AM18" i="188"/>
  <c r="AM7" i="188"/>
  <c r="AM9" i="188"/>
  <c r="AM5" i="188"/>
  <c r="AM14" i="188"/>
  <c r="AM16" i="188"/>
  <c r="AM4" i="188"/>
  <c r="AM6" i="188"/>
  <c r="AM11" i="188"/>
  <c r="AM19" i="188"/>
  <c r="AM10" i="188"/>
  <c r="AF27" i="187"/>
  <c r="Q27" i="188"/>
  <c r="S32" i="187"/>
  <c r="S31" i="187"/>
  <c r="M27" i="188"/>
  <c r="BA16" i="188"/>
  <c r="BA12" i="188"/>
  <c r="BA19" i="188"/>
  <c r="BA13" i="188"/>
  <c r="BA10" i="188"/>
  <c r="BA7" i="188"/>
  <c r="AB43" i="188"/>
  <c r="BA11" i="188"/>
  <c r="BA6" i="188"/>
  <c r="BA17" i="188"/>
  <c r="BA9" i="188"/>
  <c r="BA5" i="188"/>
  <c r="BA18" i="188"/>
  <c r="BA4" i="188"/>
  <c r="BA14" i="188"/>
  <c r="BA15" i="188"/>
  <c r="BA8" i="188"/>
  <c r="AB31" i="188"/>
  <c r="AB32" i="188"/>
  <c r="K27" i="187"/>
  <c r="S25" i="187"/>
  <c r="S27" i="187" s="1"/>
  <c r="J25" i="187"/>
  <c r="K25" i="188"/>
  <c r="K27" i="188" s="1"/>
  <c r="J35" i="187"/>
  <c r="AQ9" i="187"/>
  <c r="AQ5" i="187"/>
  <c r="AQ11" i="187"/>
  <c r="AQ10" i="187"/>
  <c r="AQ13" i="187"/>
  <c r="AQ12" i="187"/>
  <c r="R43" i="187"/>
  <c r="AQ6" i="187"/>
  <c r="V27" i="187"/>
  <c r="Z27" i="187"/>
  <c r="AD39" i="187"/>
  <c r="V25" i="188"/>
  <c r="V27" i="188" s="1"/>
  <c r="AC53" i="188"/>
  <c r="AB27" i="187"/>
  <c r="T25" i="187"/>
  <c r="T27" i="187" s="1"/>
  <c r="X25" i="187"/>
  <c r="X27" i="187" s="1"/>
  <c r="AD25" i="188"/>
  <c r="AD27" i="188" s="1"/>
  <c r="AA33" i="187"/>
  <c r="AA34" i="187" s="1"/>
  <c r="L25" i="188"/>
  <c r="L27" i="188" s="1"/>
  <c r="P25" i="187"/>
  <c r="P27" i="187" s="1"/>
  <c r="K25" i="187"/>
  <c r="O33" i="187"/>
  <c r="O34" i="187" s="1"/>
  <c r="N33" i="187"/>
  <c r="N34" i="187" s="1"/>
  <c r="J27" i="187"/>
  <c r="L27" i="187"/>
  <c r="AD33" i="188"/>
  <c r="AD34" i="188" s="1"/>
  <c r="M25" i="187"/>
  <c r="M27" i="187" s="1"/>
  <c r="S31" i="188"/>
  <c r="S32" i="188"/>
  <c r="O43" i="186"/>
  <c r="AN18" i="186"/>
  <c r="AN4" i="186"/>
  <c r="AN15" i="186"/>
  <c r="AN6" i="186"/>
  <c r="AN19" i="186"/>
  <c r="AN10" i="186"/>
  <c r="AN14" i="186"/>
  <c r="AN9" i="186"/>
  <c r="AN8" i="186"/>
  <c r="AN7" i="186"/>
  <c r="AN16" i="186"/>
  <c r="AN12" i="186"/>
  <c r="AN13" i="186"/>
  <c r="AN5" i="186"/>
  <c r="AN11" i="186"/>
  <c r="AN17" i="186"/>
  <c r="AW18" i="186"/>
  <c r="AW14" i="186"/>
  <c r="AW10" i="186"/>
  <c r="AW6" i="186"/>
  <c r="X43" i="186"/>
  <c r="AW4" i="186"/>
  <c r="AW15" i="186"/>
  <c r="AW8" i="186"/>
  <c r="AW19" i="186"/>
  <c r="AW5" i="186"/>
  <c r="AW17" i="186"/>
  <c r="AW11" i="186"/>
  <c r="AW12" i="186"/>
  <c r="AW13" i="186"/>
  <c r="AW7" i="186"/>
  <c r="AW9" i="186"/>
  <c r="AW16" i="186"/>
  <c r="P27" i="185"/>
  <c r="AQ19" i="186"/>
  <c r="AQ15" i="186"/>
  <c r="AQ11" i="186"/>
  <c r="AQ7" i="186"/>
  <c r="R43" i="186"/>
  <c r="AQ17" i="186"/>
  <c r="AQ14" i="186"/>
  <c r="AQ18" i="186"/>
  <c r="AQ9" i="186"/>
  <c r="AQ6" i="186"/>
  <c r="AQ16" i="186"/>
  <c r="AQ10" i="186"/>
  <c r="AQ5" i="186"/>
  <c r="AQ4" i="186"/>
  <c r="AQ13" i="186"/>
  <c r="AQ8" i="186"/>
  <c r="AQ12" i="186"/>
  <c r="AS19" i="185"/>
  <c r="AS9" i="185"/>
  <c r="AS6" i="185"/>
  <c r="AS15" i="185"/>
  <c r="AS12" i="185"/>
  <c r="AS17" i="185"/>
  <c r="AS18" i="185"/>
  <c r="AS11" i="185"/>
  <c r="AS7" i="185"/>
  <c r="AS5" i="185"/>
  <c r="AS16" i="185"/>
  <c r="T43" i="185"/>
  <c r="AS14" i="185"/>
  <c r="AS10" i="185"/>
  <c r="AS8" i="185"/>
  <c r="AS4" i="185"/>
  <c r="AS13" i="185"/>
  <c r="X32" i="186"/>
  <c r="X31" i="186"/>
  <c r="AU17" i="186"/>
  <c r="AU13" i="186"/>
  <c r="AU9" i="186"/>
  <c r="AU5" i="186"/>
  <c r="V43" i="186"/>
  <c r="AU19" i="186"/>
  <c r="AU10" i="186"/>
  <c r="AU16" i="186"/>
  <c r="AU7" i="186"/>
  <c r="AU14" i="186"/>
  <c r="AU11" i="186"/>
  <c r="AU18" i="186"/>
  <c r="AU4" i="186"/>
  <c r="AU12" i="186"/>
  <c r="AU15" i="186"/>
  <c r="AU8" i="186"/>
  <c r="AU6" i="186"/>
  <c r="R53" i="186"/>
  <c r="Q39" i="185"/>
  <c r="Q35" i="185"/>
  <c r="O33" i="185"/>
  <c r="O34" i="185" s="1"/>
  <c r="Z33" i="186"/>
  <c r="Z34" i="186" s="1"/>
  <c r="AA43" i="186"/>
  <c r="AZ17" i="186"/>
  <c r="AZ14" i="186"/>
  <c r="AZ18" i="186"/>
  <c r="AZ19" i="186"/>
  <c r="AZ12" i="186"/>
  <c r="AZ13" i="186"/>
  <c r="AZ8" i="186"/>
  <c r="AZ15" i="186"/>
  <c r="AZ9" i="186"/>
  <c r="AZ7" i="186"/>
  <c r="AZ6" i="186"/>
  <c r="AZ16" i="186"/>
  <c r="AZ10" i="186"/>
  <c r="AZ11" i="186"/>
  <c r="AZ4" i="186"/>
  <c r="AZ5" i="186"/>
  <c r="AB31" i="186"/>
  <c r="AB32" i="186"/>
  <c r="R27" i="185"/>
  <c r="X39" i="185"/>
  <c r="X35" i="185"/>
  <c r="U25" i="185"/>
  <c r="U27" i="185" s="1"/>
  <c r="AF27" i="185"/>
  <c r="Y31" i="186"/>
  <c r="Y32" i="186"/>
  <c r="S43" i="185"/>
  <c r="AR14" i="185"/>
  <c r="AR10" i="185"/>
  <c r="AR6" i="185"/>
  <c r="AR16" i="185"/>
  <c r="AR9" i="185"/>
  <c r="AR15" i="185"/>
  <c r="AR12" i="185"/>
  <c r="AR19" i="185"/>
  <c r="AR13" i="185"/>
  <c r="AR4" i="185"/>
  <c r="AR17" i="185"/>
  <c r="AR18" i="185"/>
  <c r="AR11" i="185"/>
  <c r="AR7" i="185"/>
  <c r="AR5" i="185"/>
  <c r="AR8" i="185"/>
  <c r="BA16" i="186"/>
  <c r="BA12" i="186"/>
  <c r="BA8" i="186"/>
  <c r="BA4" i="186"/>
  <c r="AB43" i="186"/>
  <c r="BA17" i="186"/>
  <c r="BA14" i="186"/>
  <c r="BA11" i="186"/>
  <c r="BA5" i="186"/>
  <c r="BA18" i="186"/>
  <c r="BA15" i="186"/>
  <c r="BA9" i="186"/>
  <c r="BA6" i="186"/>
  <c r="BA19" i="186"/>
  <c r="BA13" i="186"/>
  <c r="BA7" i="186"/>
  <c r="BA10" i="186"/>
  <c r="AF32" i="186"/>
  <c r="AF31" i="186"/>
  <c r="AB32" i="185"/>
  <c r="AB31" i="185"/>
  <c r="W32" i="186"/>
  <c r="W31" i="186"/>
  <c r="U32" i="185"/>
  <c r="U31" i="185"/>
  <c r="AB25" i="185"/>
  <c r="AB27" i="185" s="1"/>
  <c r="S27" i="186"/>
  <c r="V31" i="185"/>
  <c r="V32" i="185"/>
  <c r="J27" i="186"/>
  <c r="W25" i="185"/>
  <c r="W27" i="185" s="1"/>
  <c r="S53" i="185"/>
  <c r="L33" i="185"/>
  <c r="L34" i="185" s="1"/>
  <c r="AB53" i="186"/>
  <c r="AA53" i="186"/>
  <c r="AC27" i="185"/>
  <c r="P31" i="186"/>
  <c r="P32" i="186"/>
  <c r="S35" i="185"/>
  <c r="S39" i="185"/>
  <c r="AD33" i="186"/>
  <c r="AD34" i="186" s="1"/>
  <c r="P35" i="185"/>
  <c r="P39" i="185"/>
  <c r="AA27" i="185"/>
  <c r="Q25" i="186"/>
  <c r="Q27" i="186" s="1"/>
  <c r="O27" i="185"/>
  <c r="T27" i="186"/>
  <c r="AD33" i="185"/>
  <c r="AD34" i="185" s="1"/>
  <c r="N33" i="185"/>
  <c r="N34" i="185" s="1"/>
  <c r="L27" i="185"/>
  <c r="AD25" i="185"/>
  <c r="M27" i="185"/>
  <c r="AC33" i="185"/>
  <c r="AC34" i="185" s="1"/>
  <c r="R31" i="186"/>
  <c r="R32" i="186"/>
  <c r="Z27" i="185"/>
  <c r="M27" i="186"/>
  <c r="K43" i="185"/>
  <c r="AJ19" i="185"/>
  <c r="AJ14" i="185"/>
  <c r="AJ10" i="185"/>
  <c r="AJ6" i="185"/>
  <c r="AJ9" i="185"/>
  <c r="AJ15" i="185"/>
  <c r="AJ12" i="185"/>
  <c r="AJ16" i="185"/>
  <c r="AJ5" i="185"/>
  <c r="AJ8" i="185"/>
  <c r="AJ18" i="185"/>
  <c r="AJ13" i="185"/>
  <c r="AJ17" i="185"/>
  <c r="AJ4" i="185"/>
  <c r="AJ11" i="185"/>
  <c r="AJ7" i="185"/>
  <c r="U25" i="186"/>
  <c r="U27" i="186" s="1"/>
  <c r="AM18" i="185"/>
  <c r="N43" i="185"/>
  <c r="AM8" i="185"/>
  <c r="AM17" i="185"/>
  <c r="AM14" i="185"/>
  <c r="AM11" i="185"/>
  <c r="AM19" i="185"/>
  <c r="AM10" i="185"/>
  <c r="AM15" i="185"/>
  <c r="AM13" i="185"/>
  <c r="AM6" i="185"/>
  <c r="AM4" i="185"/>
  <c r="AM16" i="185"/>
  <c r="AM12" i="185"/>
  <c r="AM9" i="185"/>
  <c r="AM7" i="185"/>
  <c r="AM5" i="185"/>
  <c r="V31" i="186"/>
  <c r="V32" i="186"/>
  <c r="Q31" i="186"/>
  <c r="Q32" i="186"/>
  <c r="AG40" i="185"/>
  <c r="J16" i="112" s="1"/>
  <c r="L16" i="112" s="1"/>
  <c r="AC43" i="186"/>
  <c r="BB11" i="186"/>
  <c r="BB5" i="186"/>
  <c r="BB8" i="186"/>
  <c r="BB15" i="186"/>
  <c r="BB9" i="186"/>
  <c r="BB12" i="186"/>
  <c r="BB13" i="186"/>
  <c r="BB14" i="186"/>
  <c r="BB7" i="186"/>
  <c r="BB6" i="186"/>
  <c r="BB10" i="186"/>
  <c r="BB17" i="186"/>
  <c r="BB4" i="186"/>
  <c r="BB16" i="186"/>
  <c r="BB18" i="186"/>
  <c r="BB19" i="186"/>
  <c r="W43" i="186"/>
  <c r="AV16" i="186"/>
  <c r="AV13" i="186"/>
  <c r="AV7" i="186"/>
  <c r="AV18" i="186"/>
  <c r="AV4" i="186"/>
  <c r="AV17" i="186"/>
  <c r="AV11" i="186"/>
  <c r="AV8" i="186"/>
  <c r="AV5" i="186"/>
  <c r="AV19" i="186"/>
  <c r="AV12" i="186"/>
  <c r="AV9" i="186"/>
  <c r="AV15" i="186"/>
  <c r="AV10" i="186"/>
  <c r="AV14" i="186"/>
  <c r="AV6" i="186"/>
  <c r="M39" i="185"/>
  <c r="N27" i="186"/>
  <c r="AK16" i="186"/>
  <c r="AK12" i="186"/>
  <c r="AK8" i="186"/>
  <c r="AK4" i="186"/>
  <c r="L43" i="186"/>
  <c r="AK19" i="186"/>
  <c r="AK13" i="186"/>
  <c r="AK10" i="186"/>
  <c r="AK17" i="186"/>
  <c r="AK14" i="186"/>
  <c r="AK15" i="186"/>
  <c r="AK9" i="186"/>
  <c r="AK7" i="186"/>
  <c r="AK6" i="186"/>
  <c r="AK18" i="186"/>
  <c r="AK11" i="186"/>
  <c r="AK5" i="186"/>
  <c r="O53" i="186"/>
  <c r="AC32" i="186"/>
  <c r="AC31" i="186"/>
  <c r="Z25" i="186"/>
  <c r="V25" i="185"/>
  <c r="V27" i="185" s="1"/>
  <c r="L35" i="186"/>
  <c r="T33" i="185"/>
  <c r="T34" i="185" s="1"/>
  <c r="T53" i="185"/>
  <c r="BC17" i="186"/>
  <c r="BC13" i="186"/>
  <c r="BC9" i="186"/>
  <c r="BC5" i="186"/>
  <c r="AD43" i="186"/>
  <c r="BC8" i="186"/>
  <c r="BC19" i="186"/>
  <c r="BC10" i="186"/>
  <c r="BC12" i="186"/>
  <c r="BC14" i="186"/>
  <c r="BC7" i="186"/>
  <c r="BC6" i="186"/>
  <c r="BC15" i="186"/>
  <c r="BC16" i="186"/>
  <c r="BC18" i="186"/>
  <c r="BC11" i="186"/>
  <c r="BC4" i="186"/>
  <c r="Y27" i="186"/>
  <c r="X53" i="186"/>
  <c r="U32" i="186"/>
  <c r="U31" i="186"/>
  <c r="Q27" i="185"/>
  <c r="T32" i="186"/>
  <c r="T31" i="186"/>
  <c r="AE27" i="186"/>
  <c r="R37" i="185"/>
  <c r="R36" i="185"/>
  <c r="R38" i="185" s="1"/>
  <c r="S31" i="186"/>
  <c r="S32" i="186"/>
  <c r="X27" i="185"/>
  <c r="J31" i="186"/>
  <c r="J32" i="186"/>
  <c r="N53" i="185"/>
  <c r="AF25" i="186"/>
  <c r="AF27" i="186" s="1"/>
  <c r="V53" i="186"/>
  <c r="AE32" i="186"/>
  <c r="AE31" i="186"/>
  <c r="K27" i="186"/>
  <c r="J27" i="185"/>
  <c r="Y32" i="185"/>
  <c r="Y31" i="185"/>
  <c r="AD27" i="185"/>
  <c r="AE27" i="185"/>
  <c r="Y27" i="185"/>
  <c r="Z27" i="186"/>
  <c r="P27" i="186"/>
  <c r="AC53" i="186"/>
  <c r="Z32" i="184"/>
  <c r="Z31" i="184"/>
  <c r="P33" i="184"/>
  <c r="P34" i="184" s="1"/>
  <c r="Q43" i="184"/>
  <c r="AP19" i="184"/>
  <c r="AP14" i="184"/>
  <c r="AP10" i="184"/>
  <c r="AP6" i="184"/>
  <c r="AP18" i="184"/>
  <c r="AP13" i="184"/>
  <c r="AP16" i="184"/>
  <c r="AP4" i="184"/>
  <c r="AP17" i="184"/>
  <c r="AP5" i="184"/>
  <c r="AP7" i="184"/>
  <c r="AP9" i="184"/>
  <c r="AP11" i="184"/>
  <c r="AP15" i="184"/>
  <c r="AP12" i="184"/>
  <c r="AP8" i="184"/>
  <c r="U27" i="184"/>
  <c r="Z43" i="184"/>
  <c r="AY14" i="184"/>
  <c r="AY10" i="184"/>
  <c r="AY6" i="184"/>
  <c r="AY18" i="184"/>
  <c r="AY15" i="184"/>
  <c r="AY19" i="184"/>
  <c r="AY12" i="184"/>
  <c r="AY4" i="184"/>
  <c r="AY5" i="184"/>
  <c r="AY16" i="184"/>
  <c r="AY13" i="184"/>
  <c r="AY8" i="184"/>
  <c r="AY17" i="184"/>
  <c r="AY9" i="184"/>
  <c r="AY11" i="184"/>
  <c r="AY7" i="184"/>
  <c r="U31" i="184"/>
  <c r="U32" i="184"/>
  <c r="J43" i="184"/>
  <c r="AI18" i="184"/>
  <c r="AI14" i="184"/>
  <c r="AI10" i="184"/>
  <c r="AI6" i="184"/>
  <c r="AI17" i="184"/>
  <c r="AI15" i="184"/>
  <c r="AI7" i="184"/>
  <c r="AI12" i="184"/>
  <c r="AI8" i="184"/>
  <c r="AI11" i="184"/>
  <c r="AI16" i="184"/>
  <c r="AI9" i="184"/>
  <c r="AI4" i="184"/>
  <c r="AI19" i="184"/>
  <c r="AI13" i="184"/>
  <c r="AI5" i="184"/>
  <c r="J32" i="184"/>
  <c r="J31" i="184"/>
  <c r="AC25" i="184"/>
  <c r="BE13" i="184"/>
  <c r="BE9" i="184"/>
  <c r="BE5" i="184"/>
  <c r="BE19" i="184"/>
  <c r="BE16" i="184"/>
  <c r="BE14" i="184"/>
  <c r="AF43" i="184"/>
  <c r="BE17" i="184"/>
  <c r="BE15" i="184"/>
  <c r="BE7" i="184"/>
  <c r="BE10" i="184"/>
  <c r="BE8" i="184"/>
  <c r="BE11" i="184"/>
  <c r="BE18" i="184"/>
  <c r="BE12" i="184"/>
  <c r="BE6" i="184"/>
  <c r="BE4" i="184"/>
  <c r="M35" i="184"/>
  <c r="M39" i="184"/>
  <c r="M27" i="184"/>
  <c r="O33" i="184"/>
  <c r="O34" i="184" s="1"/>
  <c r="AC33" i="184"/>
  <c r="AC34" i="184" s="1"/>
  <c r="J53" i="184"/>
  <c r="AC27" i="184"/>
  <c r="AE33" i="184"/>
  <c r="AE34" i="184" s="1"/>
  <c r="X27" i="184"/>
  <c r="AU17" i="184"/>
  <c r="AU12" i="184"/>
  <c r="AU8" i="184"/>
  <c r="AU4" i="184"/>
  <c r="AU19" i="184"/>
  <c r="AU16" i="184"/>
  <c r="V43" i="184"/>
  <c r="AU9" i="184"/>
  <c r="AU7" i="184"/>
  <c r="AU11" i="184"/>
  <c r="AU14" i="184"/>
  <c r="AU18" i="184"/>
  <c r="AU10" i="184"/>
  <c r="AU5" i="184"/>
  <c r="AU15" i="184"/>
  <c r="AU13" i="184"/>
  <c r="AU6" i="184"/>
  <c r="Z53" i="184"/>
  <c r="O27" i="184"/>
  <c r="AE27" i="184"/>
  <c r="AA35" i="184"/>
  <c r="AG40" i="184"/>
  <c r="J13" i="112" s="1"/>
  <c r="AF53" i="184"/>
  <c r="K32" i="184"/>
  <c r="K31" i="184"/>
  <c r="AF32" i="184"/>
  <c r="AF31" i="184"/>
  <c r="N33" i="184"/>
  <c r="N34" i="184" s="1"/>
  <c r="V53" i="184"/>
  <c r="W27" i="184"/>
  <c r="AE25" i="184"/>
  <c r="AO13" i="184"/>
  <c r="AO9" i="184"/>
  <c r="AO5" i="184"/>
  <c r="AO14" i="184"/>
  <c r="P43" i="184"/>
  <c r="AO19" i="184"/>
  <c r="AO16" i="184"/>
  <c r="AO15" i="184"/>
  <c r="AO12" i="184"/>
  <c r="AO6" i="184"/>
  <c r="AO4" i="184"/>
  <c r="AO18" i="184"/>
  <c r="AO17" i="184"/>
  <c r="AO10" i="184"/>
  <c r="AO8" i="184"/>
  <c r="AO11" i="184"/>
  <c r="AO7" i="184"/>
  <c r="P53" i="184"/>
  <c r="AB31" i="184"/>
  <c r="AB32" i="184"/>
  <c r="AB27" i="184"/>
  <c r="L25" i="184"/>
  <c r="L27" i="184" s="1"/>
  <c r="V32" i="184"/>
  <c r="V31" i="184"/>
  <c r="Y43" i="184"/>
  <c r="AX19" i="184"/>
  <c r="AX14" i="184"/>
  <c r="AX10" i="184"/>
  <c r="AX6" i="184"/>
  <c r="AX16" i="184"/>
  <c r="AX13" i="184"/>
  <c r="AX11" i="184"/>
  <c r="AX12" i="184"/>
  <c r="AX4" i="184"/>
  <c r="AX15" i="184"/>
  <c r="AX5" i="184"/>
  <c r="AX7" i="184"/>
  <c r="AX8" i="184"/>
  <c r="AX18" i="184"/>
  <c r="AX17" i="184"/>
  <c r="AX9" i="184"/>
  <c r="AZ16" i="184"/>
  <c r="AA43" i="184"/>
  <c r="AZ18" i="184"/>
  <c r="AZ15" i="184"/>
  <c r="AZ11" i="184"/>
  <c r="AZ7" i="184"/>
  <c r="AZ14" i="184"/>
  <c r="AZ19" i="184"/>
  <c r="AZ12" i="184"/>
  <c r="AZ13" i="184"/>
  <c r="AZ4" i="184"/>
  <c r="AZ5" i="184"/>
  <c r="AZ6" i="184"/>
  <c r="AZ17" i="184"/>
  <c r="AZ9" i="184"/>
  <c r="AZ10" i="184"/>
  <c r="AZ8" i="184"/>
  <c r="W32" i="184"/>
  <c r="W31" i="184"/>
  <c r="R25" i="184"/>
  <c r="R27" i="184" s="1"/>
  <c r="X39" i="184"/>
  <c r="S27" i="184"/>
  <c r="K27" i="184"/>
  <c r="T32" i="184"/>
  <c r="T31" i="184"/>
  <c r="N27" i="184"/>
  <c r="Y53" i="184"/>
  <c r="T25" i="184"/>
  <c r="T27" i="184" s="1"/>
  <c r="S33" i="184"/>
  <c r="S34" i="184" s="1"/>
  <c r="Y32" i="184"/>
  <c r="Y31" i="184"/>
  <c r="AD25" i="184"/>
  <c r="AD27" i="184" s="1"/>
  <c r="P31" i="183"/>
  <c r="P32" i="183"/>
  <c r="Q43" i="183"/>
  <c r="AP16" i="183"/>
  <c r="AP19" i="183"/>
  <c r="AP15" i="183"/>
  <c r="AP11" i="183"/>
  <c r="AP7" i="183"/>
  <c r="AP12" i="183"/>
  <c r="AP8" i="183"/>
  <c r="AP4" i="183"/>
  <c r="AP17" i="183"/>
  <c r="AP13" i="183"/>
  <c r="AP9" i="183"/>
  <c r="AP5" i="183"/>
  <c r="AP18" i="183"/>
  <c r="AP14" i="183"/>
  <c r="AP10" i="183"/>
  <c r="AP6" i="183"/>
  <c r="K32" i="183"/>
  <c r="K31" i="183"/>
  <c r="N33" i="183"/>
  <c r="N34" i="183" s="1"/>
  <c r="T27" i="183"/>
  <c r="W32" i="183"/>
  <c r="W31" i="183"/>
  <c r="AE33" i="183"/>
  <c r="AE34" i="183" s="1"/>
  <c r="M43" i="183"/>
  <c r="AL18" i="183"/>
  <c r="AL17" i="183"/>
  <c r="AL16" i="183"/>
  <c r="AL19" i="183"/>
  <c r="AL13" i="183"/>
  <c r="AL9" i="183"/>
  <c r="AL5" i="183"/>
  <c r="AL14" i="183"/>
  <c r="AL10" i="183"/>
  <c r="AL6" i="183"/>
  <c r="AL15" i="183"/>
  <c r="AL11" i="183"/>
  <c r="AL7" i="183"/>
  <c r="AL8" i="183"/>
  <c r="AL12" i="183"/>
  <c r="AL4" i="183"/>
  <c r="K27" i="183"/>
  <c r="AC31" i="183"/>
  <c r="AC32" i="183"/>
  <c r="T31" i="183"/>
  <c r="T32" i="183"/>
  <c r="J39" i="183"/>
  <c r="J35" i="183"/>
  <c r="R25" i="183"/>
  <c r="R27" i="183" s="1"/>
  <c r="AM19" i="183"/>
  <c r="N43" i="183"/>
  <c r="AM18" i="183"/>
  <c r="AM13" i="183"/>
  <c r="AM9" i="183"/>
  <c r="AM5" i="183"/>
  <c r="AM15" i="183"/>
  <c r="AM11" i="183"/>
  <c r="AM7" i="183"/>
  <c r="AM12" i="183"/>
  <c r="AM17" i="183"/>
  <c r="AM16" i="183"/>
  <c r="AM8" i="183"/>
  <c r="AM14" i="183"/>
  <c r="AM10" i="183"/>
  <c r="AM6" i="183"/>
  <c r="AM4" i="183"/>
  <c r="AF32" i="183"/>
  <c r="AF31" i="183"/>
  <c r="O33" i="183"/>
  <c r="O34" i="183" s="1"/>
  <c r="AA25" i="183"/>
  <c r="AA27" i="183" s="1"/>
  <c r="V32" i="183"/>
  <c r="V31" i="183"/>
  <c r="L33" i="183"/>
  <c r="L34" i="183" s="1"/>
  <c r="Z27" i="183"/>
  <c r="M33" i="183"/>
  <c r="M34" i="183" s="1"/>
  <c r="AA33" i="183"/>
  <c r="AA34" i="183" s="1"/>
  <c r="O25" i="183"/>
  <c r="W27" i="183"/>
  <c r="O27" i="183"/>
  <c r="AB31" i="183"/>
  <c r="AB32" i="183"/>
  <c r="J25" i="183"/>
  <c r="J27" i="183" s="1"/>
  <c r="S27" i="183"/>
  <c r="N53" i="183"/>
  <c r="P27" i="183"/>
  <c r="U27" i="183"/>
  <c r="Y35" i="183"/>
  <c r="Y39" i="183"/>
  <c r="V27" i="183"/>
  <c r="AC25" i="183"/>
  <c r="AC27" i="183" s="1"/>
  <c r="Q31" i="183"/>
  <c r="Q32" i="183"/>
  <c r="Y27" i="183"/>
  <c r="AD27" i="183"/>
  <c r="U31" i="183"/>
  <c r="U32" i="183"/>
  <c r="R32" i="183"/>
  <c r="R31" i="183"/>
  <c r="X39" i="183"/>
  <c r="X35" i="183"/>
  <c r="M53" i="183"/>
  <c r="AB25" i="183"/>
  <c r="AB27" i="183" s="1"/>
  <c r="AE25" i="183"/>
  <c r="AE27" i="183" s="1"/>
  <c r="AF25" i="183"/>
  <c r="AF27" i="183" s="1"/>
  <c r="X25" i="183"/>
  <c r="X27" i="183" s="1"/>
  <c r="S31" i="183"/>
  <c r="S32" i="183"/>
  <c r="Z31" i="183"/>
  <c r="Z32" i="183"/>
  <c r="AG40" i="183"/>
  <c r="J12" i="112" s="1"/>
  <c r="L27" i="183"/>
  <c r="R33" i="176"/>
  <c r="R34" i="176" s="1"/>
  <c r="R39" i="176" s="1"/>
  <c r="N33" i="171"/>
  <c r="N34" i="171" s="1"/>
  <c r="N39" i="171" s="1"/>
  <c r="O33" i="178"/>
  <c r="O34" i="178" s="1"/>
  <c r="O35" i="178" s="1"/>
  <c r="M33" i="166"/>
  <c r="M34" i="166" s="1"/>
  <c r="M39" i="166" s="1"/>
  <c r="X33" i="166"/>
  <c r="X34" i="166" s="1"/>
  <c r="X39" i="166" s="1"/>
  <c r="M33" i="171"/>
  <c r="M34" i="171" s="1"/>
  <c r="M39" i="171" s="1"/>
  <c r="L33" i="170"/>
  <c r="L34" i="170" s="1"/>
  <c r="L39" i="170" s="1"/>
  <c r="L35" i="169"/>
  <c r="N33" i="169"/>
  <c r="N34" i="169" s="1"/>
  <c r="N35" i="169" s="1"/>
  <c r="J33" i="172"/>
  <c r="J34" i="172" s="1"/>
  <c r="J39" i="172" s="1"/>
  <c r="K27" i="179"/>
  <c r="U27" i="179"/>
  <c r="AA27" i="179"/>
  <c r="O27" i="179"/>
  <c r="AE27" i="179"/>
  <c r="AE53" i="179" s="1"/>
  <c r="J27" i="172"/>
  <c r="U27" i="172"/>
  <c r="L33" i="172"/>
  <c r="L34" i="172" s="1"/>
  <c r="L35" i="172" s="1"/>
  <c r="Z27" i="172"/>
  <c r="AE33" i="172"/>
  <c r="AE34" i="172" s="1"/>
  <c r="AE35" i="172" s="1"/>
  <c r="U33" i="172"/>
  <c r="U34" i="172" s="1"/>
  <c r="U39" i="172" s="1"/>
  <c r="Z33" i="172"/>
  <c r="Z34" i="172" s="1"/>
  <c r="Z35" i="172" s="1"/>
  <c r="S33" i="176"/>
  <c r="S34" i="176" s="1"/>
  <c r="S39" i="176" s="1"/>
  <c r="U27" i="177"/>
  <c r="AF27" i="169"/>
  <c r="AA33" i="170"/>
  <c r="AA34" i="170" s="1"/>
  <c r="AA39" i="170" s="1"/>
  <c r="N33" i="170"/>
  <c r="N34" i="170" s="1"/>
  <c r="N39" i="170" s="1"/>
  <c r="Z33" i="170"/>
  <c r="Z34" i="170" s="1"/>
  <c r="Z39" i="170" s="1"/>
  <c r="S33" i="170"/>
  <c r="S34" i="170" s="1"/>
  <c r="S39" i="170" s="1"/>
  <c r="U27" i="171"/>
  <c r="AC27" i="171"/>
  <c r="Q33" i="168"/>
  <c r="Q34" i="168" s="1"/>
  <c r="Q35" i="168" s="1"/>
  <c r="AA39" i="179"/>
  <c r="AA35" i="179"/>
  <c r="N33" i="166"/>
  <c r="N34" i="166" s="1"/>
  <c r="N39" i="166" s="1"/>
  <c r="AA33" i="166"/>
  <c r="AA34" i="166" s="1"/>
  <c r="AA39" i="166" s="1"/>
  <c r="Y33" i="166"/>
  <c r="Y34" i="166" s="1"/>
  <c r="Y39" i="166" s="1"/>
  <c r="O33" i="168"/>
  <c r="O34" i="168" s="1"/>
  <c r="O35" i="168" s="1"/>
  <c r="Y33" i="172"/>
  <c r="Y34" i="172" s="1"/>
  <c r="Y39" i="172" s="1"/>
  <c r="X33" i="177"/>
  <c r="X34" i="177" s="1"/>
  <c r="X39" i="177" s="1"/>
  <c r="M33" i="176"/>
  <c r="M34" i="176" s="1"/>
  <c r="M39" i="176" s="1"/>
  <c r="N33" i="178"/>
  <c r="N34" i="178" s="1"/>
  <c r="N39" i="178" s="1"/>
  <c r="L37" i="166"/>
  <c r="L36" i="166"/>
  <c r="L38" i="166" s="1"/>
  <c r="V33" i="169"/>
  <c r="V34" i="169" s="1"/>
  <c r="V39" i="169" s="1"/>
  <c r="AE33" i="179"/>
  <c r="AE34" i="179" s="1"/>
  <c r="AE35" i="179" s="1"/>
  <c r="R33" i="168"/>
  <c r="R34" i="168" s="1"/>
  <c r="R39" i="168" s="1"/>
  <c r="Z33" i="176"/>
  <c r="Z34" i="176" s="1"/>
  <c r="Z39" i="176" s="1"/>
  <c r="AP8" i="179"/>
  <c r="AA33" i="177"/>
  <c r="AA34" i="177" s="1"/>
  <c r="AA35" i="177" s="1"/>
  <c r="AE33" i="178"/>
  <c r="AE34" i="178" s="1"/>
  <c r="AE39" i="178" s="1"/>
  <c r="AP14" i="179"/>
  <c r="K39" i="166"/>
  <c r="V27" i="171"/>
  <c r="AB27" i="171"/>
  <c r="AB53" i="171" s="1"/>
  <c r="W27" i="172"/>
  <c r="Y27" i="172"/>
  <c r="Y53" i="172" s="1"/>
  <c r="AP13" i="179"/>
  <c r="AP15" i="179"/>
  <c r="M27" i="169"/>
  <c r="AD27" i="179"/>
  <c r="AD53" i="179" s="1"/>
  <c r="AP5" i="179"/>
  <c r="AP18" i="179"/>
  <c r="J27" i="176"/>
  <c r="AP11" i="179"/>
  <c r="AP17" i="179"/>
  <c r="AP19" i="179"/>
  <c r="AP6" i="179"/>
  <c r="N27" i="171"/>
  <c r="Y27" i="179"/>
  <c r="AX18" i="179" s="1"/>
  <c r="R27" i="178"/>
  <c r="AP7" i="179"/>
  <c r="AP9" i="179"/>
  <c r="AE27" i="172"/>
  <c r="AE53" i="172" s="1"/>
  <c r="T27" i="176"/>
  <c r="V27" i="179"/>
  <c r="V53" i="179" s="1"/>
  <c r="W27" i="178"/>
  <c r="W53" i="178" s="1"/>
  <c r="R27" i="179"/>
  <c r="R53" i="179" s="1"/>
  <c r="AP4" i="179"/>
  <c r="AP16" i="179"/>
  <c r="Q43" i="179"/>
  <c r="Q44" i="179" s="1"/>
  <c r="AA27" i="171"/>
  <c r="AA53" i="171" s="1"/>
  <c r="T27" i="171"/>
  <c r="S27" i="176"/>
  <c r="P27" i="172"/>
  <c r="Q53" i="179"/>
  <c r="AP10" i="179"/>
  <c r="AF33" i="168"/>
  <c r="AF34" i="168" s="1"/>
  <c r="AF35" i="168" s="1"/>
  <c r="J33" i="168"/>
  <c r="J34" i="168" s="1"/>
  <c r="J35" i="168" s="1"/>
  <c r="J37" i="168" s="1"/>
  <c r="K33" i="170"/>
  <c r="K34" i="170" s="1"/>
  <c r="K35" i="170" s="1"/>
  <c r="N33" i="177"/>
  <c r="N34" i="177" s="1"/>
  <c r="N35" i="177" s="1"/>
  <c r="V39" i="178"/>
  <c r="V35" i="178"/>
  <c r="AC39" i="176"/>
  <c r="AC35" i="176"/>
  <c r="AE33" i="166"/>
  <c r="AE34" i="166" s="1"/>
  <c r="AE39" i="166" s="1"/>
  <c r="Z33" i="166"/>
  <c r="Z34" i="166" s="1"/>
  <c r="Z39" i="166" s="1"/>
  <c r="AG40" i="170"/>
  <c r="J8" i="112" s="1"/>
  <c r="AF33" i="176"/>
  <c r="AF34" i="176" s="1"/>
  <c r="AF39" i="176" s="1"/>
  <c r="R33" i="178"/>
  <c r="R34" i="178" s="1"/>
  <c r="R35" i="178" s="1"/>
  <c r="M33" i="179"/>
  <c r="M34" i="179" s="1"/>
  <c r="M39" i="179" s="1"/>
  <c r="AA37" i="169"/>
  <c r="AA36" i="169"/>
  <c r="AA38" i="169" s="1"/>
  <c r="L37" i="168"/>
  <c r="L36" i="168"/>
  <c r="P33" i="176"/>
  <c r="P34" i="176" s="1"/>
  <c r="P35" i="176" s="1"/>
  <c r="AD33" i="179"/>
  <c r="AD34" i="179" s="1"/>
  <c r="AD35" i="179" s="1"/>
  <c r="M33" i="178"/>
  <c r="M34" i="178" s="1"/>
  <c r="M35" i="178" s="1"/>
  <c r="AA33" i="168"/>
  <c r="AA34" i="168" s="1"/>
  <c r="AA39" i="168" s="1"/>
  <c r="P33" i="170"/>
  <c r="P34" i="170" s="1"/>
  <c r="P35" i="170" s="1"/>
  <c r="K33" i="172"/>
  <c r="K34" i="172" s="1"/>
  <c r="K39" i="172" s="1"/>
  <c r="AG40" i="168"/>
  <c r="J6" i="112" s="1"/>
  <c r="M33" i="169"/>
  <c r="M34" i="169" s="1"/>
  <c r="M35" i="169" s="1"/>
  <c r="AD33" i="169"/>
  <c r="AD34" i="169" s="1"/>
  <c r="AD35" i="169" s="1"/>
  <c r="M33" i="172"/>
  <c r="M34" i="172" s="1"/>
  <c r="M35" i="172" s="1"/>
  <c r="AA33" i="176"/>
  <c r="AA34" i="176" s="1"/>
  <c r="AA39" i="176" s="1"/>
  <c r="O33" i="176"/>
  <c r="O34" i="176" s="1"/>
  <c r="O39" i="176" s="1"/>
  <c r="M33" i="177"/>
  <c r="M34" i="177" s="1"/>
  <c r="M35" i="177" s="1"/>
  <c r="AA33" i="172"/>
  <c r="AA34" i="172" s="1"/>
  <c r="AA39" i="172" s="1"/>
  <c r="M27" i="166"/>
  <c r="P43" i="179"/>
  <c r="AO19" i="179"/>
  <c r="AO15" i="179"/>
  <c r="AO11" i="179"/>
  <c r="AO7" i="179"/>
  <c r="AO18" i="179"/>
  <c r="AO12" i="179"/>
  <c r="AO9" i="179"/>
  <c r="AO6" i="179"/>
  <c r="AO4" i="179"/>
  <c r="AO16" i="179"/>
  <c r="AO17" i="179"/>
  <c r="AO8" i="179"/>
  <c r="AO5" i="179"/>
  <c r="AO14" i="179"/>
  <c r="AO13" i="179"/>
  <c r="AO10" i="179"/>
  <c r="P53" i="179"/>
  <c r="W43" i="179"/>
  <c r="AV13" i="179"/>
  <c r="AV10" i="179"/>
  <c r="AV4" i="179"/>
  <c r="AV15" i="179"/>
  <c r="AV18" i="179"/>
  <c r="AV12" i="179"/>
  <c r="AV19" i="179"/>
  <c r="AV16" i="179"/>
  <c r="AV11" i="179"/>
  <c r="AV8" i="179"/>
  <c r="AV5" i="179"/>
  <c r="AV6" i="179"/>
  <c r="AV17" i="179"/>
  <c r="AV14" i="179"/>
  <c r="AV9" i="179"/>
  <c r="AV7" i="179"/>
  <c r="AZ17" i="179"/>
  <c r="AZ14" i="179"/>
  <c r="AZ11" i="179"/>
  <c r="AA43" i="179"/>
  <c r="AZ19" i="179"/>
  <c r="AZ18" i="179"/>
  <c r="AZ12" i="179"/>
  <c r="AZ9" i="179"/>
  <c r="AZ10" i="179"/>
  <c r="AZ13" i="179"/>
  <c r="AZ4" i="179"/>
  <c r="AZ7" i="179"/>
  <c r="AZ15" i="179"/>
  <c r="AZ5" i="179"/>
  <c r="AZ16" i="179"/>
  <c r="AZ8" i="179"/>
  <c r="AZ6" i="179"/>
  <c r="K32" i="179"/>
  <c r="K31" i="179"/>
  <c r="V25" i="178"/>
  <c r="O27" i="178"/>
  <c r="AC27" i="179"/>
  <c r="V32" i="179"/>
  <c r="V31" i="179"/>
  <c r="AL16" i="179"/>
  <c r="AL10" i="179"/>
  <c r="AL7" i="179"/>
  <c r="AL13" i="179"/>
  <c r="AL4" i="179"/>
  <c r="AL18" i="179"/>
  <c r="AL15" i="179"/>
  <c r="AL17" i="179"/>
  <c r="M43" i="179"/>
  <c r="AL19" i="179"/>
  <c r="AL14" i="179"/>
  <c r="AL9" i="179"/>
  <c r="AL12" i="179"/>
  <c r="AL11" i="179"/>
  <c r="AL8" i="179"/>
  <c r="AL6" i="179"/>
  <c r="AL5" i="179"/>
  <c r="J31" i="179"/>
  <c r="J32" i="179"/>
  <c r="AG40" i="178"/>
  <c r="J19" i="112" s="1"/>
  <c r="L19" i="112" s="1"/>
  <c r="K43" i="179"/>
  <c r="AJ8" i="179"/>
  <c r="AJ5" i="179"/>
  <c r="AJ19" i="179"/>
  <c r="AJ16" i="179"/>
  <c r="AJ13" i="179"/>
  <c r="AJ17" i="179"/>
  <c r="AJ14" i="179"/>
  <c r="AJ11" i="179"/>
  <c r="AJ18" i="179"/>
  <c r="AJ10" i="179"/>
  <c r="AJ15" i="179"/>
  <c r="AJ6" i="179"/>
  <c r="AJ9" i="179"/>
  <c r="AJ4" i="179"/>
  <c r="AJ7" i="179"/>
  <c r="AJ12" i="179"/>
  <c r="P32" i="178"/>
  <c r="P31" i="178"/>
  <c r="Y43" i="179"/>
  <c r="AX15" i="179"/>
  <c r="AX12" i="179"/>
  <c r="AX9" i="179"/>
  <c r="AX6" i="179"/>
  <c r="AX17" i="179"/>
  <c r="AX19" i="179"/>
  <c r="AX14" i="179"/>
  <c r="AX4" i="179"/>
  <c r="AX13" i="179"/>
  <c r="AX7" i="179"/>
  <c r="AX16" i="179"/>
  <c r="AX8" i="179"/>
  <c r="AX5" i="179"/>
  <c r="AX11" i="179"/>
  <c r="AG40" i="179"/>
  <c r="J18" i="112" s="1"/>
  <c r="N33" i="179"/>
  <c r="N34" i="179" s="1"/>
  <c r="AF27" i="179"/>
  <c r="K32" i="178"/>
  <c r="K31" i="178"/>
  <c r="AC32" i="179"/>
  <c r="AC31" i="179"/>
  <c r="AC31" i="178"/>
  <c r="AC32" i="178"/>
  <c r="K53" i="179"/>
  <c r="S27" i="179"/>
  <c r="W33" i="178"/>
  <c r="W34" i="178" s="1"/>
  <c r="X33" i="178"/>
  <c r="X34" i="178" s="1"/>
  <c r="Q27" i="178"/>
  <c r="R31" i="179"/>
  <c r="R32" i="179"/>
  <c r="AB31" i="179"/>
  <c r="AB32" i="179"/>
  <c r="AB27" i="179"/>
  <c r="U39" i="178"/>
  <c r="U35" i="178"/>
  <c r="Y53" i="179"/>
  <c r="Z27" i="178"/>
  <c r="AD36" i="178"/>
  <c r="AD38" i="178" s="1"/>
  <c r="AD37" i="178"/>
  <c r="AD25" i="178"/>
  <c r="AD27" i="178" s="1"/>
  <c r="BC18" i="179"/>
  <c r="BC14" i="179"/>
  <c r="BC10" i="179"/>
  <c r="BC6" i="179"/>
  <c r="AD43" i="179"/>
  <c r="BC5" i="179"/>
  <c r="BC19" i="179"/>
  <c r="BC16" i="179"/>
  <c r="BC7" i="179"/>
  <c r="BC13" i="179"/>
  <c r="BC17" i="179"/>
  <c r="BC15" i="179"/>
  <c r="BC9" i="179"/>
  <c r="BC8" i="179"/>
  <c r="BC12" i="179"/>
  <c r="BC11" i="179"/>
  <c r="BC4" i="179"/>
  <c r="Z31" i="179"/>
  <c r="Z32" i="179"/>
  <c r="AQ17" i="178"/>
  <c r="AQ13" i="178"/>
  <c r="AQ14" i="178"/>
  <c r="AQ11" i="178"/>
  <c r="AQ8" i="178"/>
  <c r="AQ4" i="178"/>
  <c r="R43" i="178"/>
  <c r="AQ19" i="178"/>
  <c r="AQ16" i="178"/>
  <c r="AQ7" i="178"/>
  <c r="AQ6" i="178"/>
  <c r="AQ5" i="178"/>
  <c r="AQ15" i="178"/>
  <c r="AQ10" i="178"/>
  <c r="AQ18" i="178"/>
  <c r="AQ12" i="178"/>
  <c r="AQ9" i="178"/>
  <c r="Y32" i="179"/>
  <c r="Y31" i="179"/>
  <c r="AM18" i="179"/>
  <c r="AM14" i="179"/>
  <c r="AM10" i="179"/>
  <c r="AM6" i="179"/>
  <c r="N43" i="179"/>
  <c r="AM13" i="179"/>
  <c r="AM4" i="179"/>
  <c r="AM15" i="179"/>
  <c r="AM12" i="179"/>
  <c r="AM19" i="179"/>
  <c r="AM16" i="179"/>
  <c r="AM9" i="179"/>
  <c r="AM7" i="179"/>
  <c r="AM11" i="179"/>
  <c r="AM17" i="179"/>
  <c r="AM8" i="179"/>
  <c r="AM5" i="179"/>
  <c r="U43" i="179"/>
  <c r="AT19" i="179"/>
  <c r="AT5" i="179"/>
  <c r="AT16" i="179"/>
  <c r="AT10" i="179"/>
  <c r="AT7" i="179"/>
  <c r="AT13" i="179"/>
  <c r="AT17" i="179"/>
  <c r="AT12" i="179"/>
  <c r="AT11" i="179"/>
  <c r="AT8" i="179"/>
  <c r="AT6" i="179"/>
  <c r="AT18" i="179"/>
  <c r="AT15" i="179"/>
  <c r="AT4" i="179"/>
  <c r="AT14" i="179"/>
  <c r="AT9" i="179"/>
  <c r="M25" i="178"/>
  <c r="M27" i="178" s="1"/>
  <c r="W43" i="178"/>
  <c r="AV12" i="178"/>
  <c r="AV10" i="178"/>
  <c r="AV6" i="178"/>
  <c r="AV18" i="178"/>
  <c r="AV15" i="178"/>
  <c r="AV17" i="178"/>
  <c r="AV7" i="178"/>
  <c r="AV13" i="178"/>
  <c r="AV11" i="178"/>
  <c r="AV16" i="178"/>
  <c r="AV14" i="178"/>
  <c r="AV8" i="178"/>
  <c r="AV9" i="178"/>
  <c r="AV4" i="178"/>
  <c r="AV19" i="178"/>
  <c r="AV5" i="178"/>
  <c r="P32" i="179"/>
  <c r="P31" i="179"/>
  <c r="J32" i="178"/>
  <c r="J31" i="178"/>
  <c r="L27" i="178"/>
  <c r="T31" i="178"/>
  <c r="T32" i="178"/>
  <c r="R53" i="178"/>
  <c r="Y33" i="178"/>
  <c r="Y34" i="178" s="1"/>
  <c r="Z32" i="178"/>
  <c r="Z31" i="178"/>
  <c r="Y25" i="178"/>
  <c r="Y27" i="178" s="1"/>
  <c r="T27" i="179"/>
  <c r="Q31" i="179"/>
  <c r="Q32" i="179"/>
  <c r="L27" i="179"/>
  <c r="L33" i="179"/>
  <c r="L34" i="179" s="1"/>
  <c r="O35" i="179"/>
  <c r="O39" i="179"/>
  <c r="Z27" i="179"/>
  <c r="AE25" i="178"/>
  <c r="AE27" i="178" s="1"/>
  <c r="AA25" i="178"/>
  <c r="AC27" i="178"/>
  <c r="O43" i="179"/>
  <c r="AN15" i="179"/>
  <c r="AN18" i="179"/>
  <c r="AN12" i="179"/>
  <c r="AN13" i="179"/>
  <c r="AN10" i="179"/>
  <c r="AN9" i="179"/>
  <c r="AN4" i="179"/>
  <c r="AN7" i="179"/>
  <c r="AN16" i="179"/>
  <c r="AN19" i="179"/>
  <c r="AN11" i="179"/>
  <c r="AN17" i="179"/>
  <c r="AN8" i="179"/>
  <c r="AN5" i="179"/>
  <c r="AN6" i="179"/>
  <c r="AN14" i="179"/>
  <c r="L39" i="178"/>
  <c r="L35" i="178"/>
  <c r="AA53" i="179"/>
  <c r="J25" i="178"/>
  <c r="J27" i="178" s="1"/>
  <c r="U32" i="179"/>
  <c r="U31" i="179"/>
  <c r="AB33" i="178"/>
  <c r="AB34" i="178" s="1"/>
  <c r="N53" i="179"/>
  <c r="K25" i="178"/>
  <c r="K27" i="178" s="1"/>
  <c r="AE43" i="179"/>
  <c r="BD19" i="179"/>
  <c r="BD16" i="179"/>
  <c r="BD7" i="179"/>
  <c r="BD13" i="179"/>
  <c r="BD10" i="179"/>
  <c r="BD4" i="179"/>
  <c r="BD15" i="179"/>
  <c r="BD17" i="179"/>
  <c r="BD9" i="179"/>
  <c r="BD18" i="179"/>
  <c r="BD14" i="179"/>
  <c r="BD8" i="179"/>
  <c r="BD5" i="179"/>
  <c r="BD6" i="179"/>
  <c r="BD12" i="179"/>
  <c r="BD11" i="179"/>
  <c r="S32" i="179"/>
  <c r="S31" i="179"/>
  <c r="W32" i="179"/>
  <c r="W31" i="179"/>
  <c r="AQ16" i="179"/>
  <c r="AQ12" i="179"/>
  <c r="AQ8" i="179"/>
  <c r="AQ4" i="179"/>
  <c r="AQ17" i="179"/>
  <c r="AQ14" i="179"/>
  <c r="AQ11" i="179"/>
  <c r="AQ19" i="179"/>
  <c r="R43" i="179"/>
  <c r="AQ18" i="179"/>
  <c r="AQ9" i="179"/>
  <c r="AQ7" i="179"/>
  <c r="AQ5" i="179"/>
  <c r="AQ13" i="179"/>
  <c r="AQ10" i="179"/>
  <c r="AQ6" i="179"/>
  <c r="AQ15" i="179"/>
  <c r="T32" i="179"/>
  <c r="T31" i="179"/>
  <c r="AU18" i="179"/>
  <c r="AU14" i="179"/>
  <c r="AU10" i="179"/>
  <c r="AU6" i="179"/>
  <c r="AU16" i="179"/>
  <c r="AU7" i="179"/>
  <c r="AU13" i="179"/>
  <c r="AU4" i="179"/>
  <c r="AU15" i="179"/>
  <c r="AU17" i="179"/>
  <c r="AU19" i="179"/>
  <c r="AU12" i="179"/>
  <c r="AU11" i="179"/>
  <c r="AU8" i="179"/>
  <c r="AU5" i="179"/>
  <c r="AU9" i="179"/>
  <c r="V43" i="179"/>
  <c r="S31" i="178"/>
  <c r="S32" i="178"/>
  <c r="V27" i="178"/>
  <c r="O53" i="179"/>
  <c r="P25" i="178"/>
  <c r="P27" i="178" s="1"/>
  <c r="AA27" i="178"/>
  <c r="AF32" i="178"/>
  <c r="AF31" i="178"/>
  <c r="AF27" i="178"/>
  <c r="AB25" i="178"/>
  <c r="AB27" i="178" s="1"/>
  <c r="X25" i="178"/>
  <c r="X27" i="178" s="1"/>
  <c r="T25" i="178"/>
  <c r="T27" i="178" s="1"/>
  <c r="X27" i="179"/>
  <c r="N27" i="178"/>
  <c r="AF32" i="179"/>
  <c r="AF31" i="179"/>
  <c r="X33" i="179"/>
  <c r="X34" i="179" s="1"/>
  <c r="S25" i="178"/>
  <c r="S27" i="178" s="1"/>
  <c r="U53" i="179"/>
  <c r="U25" i="178"/>
  <c r="U27" i="178" s="1"/>
  <c r="J27" i="179"/>
  <c r="AA33" i="178"/>
  <c r="AA34" i="178" s="1"/>
  <c r="Q31" i="178"/>
  <c r="Q32" i="178"/>
  <c r="M43" i="176"/>
  <c r="AL15" i="176"/>
  <c r="AL11" i="176"/>
  <c r="AL7" i="176"/>
  <c r="AL18" i="176"/>
  <c r="AL8" i="176"/>
  <c r="AL14" i="176"/>
  <c r="AL12" i="176"/>
  <c r="AL4" i="176"/>
  <c r="AL19" i="176"/>
  <c r="AL17" i="176"/>
  <c r="AL10" i="176"/>
  <c r="AL13" i="176"/>
  <c r="AL16" i="176"/>
  <c r="AL9" i="176"/>
  <c r="AL6" i="176"/>
  <c r="AL5" i="176"/>
  <c r="M53" i="176"/>
  <c r="V25" i="177"/>
  <c r="V27" i="177" s="1"/>
  <c r="U43" i="177"/>
  <c r="AT17" i="177"/>
  <c r="AT14" i="177"/>
  <c r="AT11" i="177"/>
  <c r="AT5" i="177"/>
  <c r="AT13" i="177"/>
  <c r="AT18" i="177"/>
  <c r="AT4" i="177"/>
  <c r="AT19" i="177"/>
  <c r="AT15" i="177"/>
  <c r="AT9" i="177"/>
  <c r="AT6" i="177"/>
  <c r="AT16" i="177"/>
  <c r="AT12" i="177"/>
  <c r="AT10" i="177"/>
  <c r="AT7" i="177"/>
  <c r="AT8" i="177"/>
  <c r="P31" i="177"/>
  <c r="P32" i="177"/>
  <c r="K35" i="172"/>
  <c r="L27" i="177"/>
  <c r="U32" i="177"/>
  <c r="U31" i="177"/>
  <c r="Q31" i="177"/>
  <c r="Q32" i="177"/>
  <c r="AD27" i="176"/>
  <c r="R36" i="172"/>
  <c r="R38" i="172" s="1"/>
  <c r="AA27" i="177"/>
  <c r="S27" i="177"/>
  <c r="AC33" i="172"/>
  <c r="AC34" i="172" s="1"/>
  <c r="L33" i="177"/>
  <c r="L34" i="177" s="1"/>
  <c r="T33" i="172"/>
  <c r="T34" i="172" s="1"/>
  <c r="O33" i="177"/>
  <c r="O34" i="177" s="1"/>
  <c r="AB25" i="172"/>
  <c r="AB27" i="172" s="1"/>
  <c r="AF35" i="172"/>
  <c r="AF39" i="172"/>
  <c r="T27" i="177"/>
  <c r="K32" i="177"/>
  <c r="K31" i="177"/>
  <c r="T32" i="177"/>
  <c r="T31" i="177"/>
  <c r="AD35" i="176"/>
  <c r="AD39" i="176"/>
  <c r="AO19" i="172"/>
  <c r="AO15" i="172"/>
  <c r="AO13" i="172"/>
  <c r="AO5" i="172"/>
  <c r="AO16" i="172"/>
  <c r="AO12" i="172"/>
  <c r="AO11" i="172"/>
  <c r="AO10" i="172"/>
  <c r="AO4" i="172"/>
  <c r="AO17" i="172"/>
  <c r="AO9" i="172"/>
  <c r="AO14" i="172"/>
  <c r="AO6" i="172"/>
  <c r="P43" i="172"/>
  <c r="AO18" i="172"/>
  <c r="AO8" i="172"/>
  <c r="AO7" i="172"/>
  <c r="AS15" i="176"/>
  <c r="AS12" i="176"/>
  <c r="AS19" i="176"/>
  <c r="AS18" i="176"/>
  <c r="AS9" i="176"/>
  <c r="AS13" i="176"/>
  <c r="AS8" i="176"/>
  <c r="AS11" i="176"/>
  <c r="AS16" i="176"/>
  <c r="AS6" i="176"/>
  <c r="T43" i="176"/>
  <c r="AS7" i="176"/>
  <c r="AS17" i="176"/>
  <c r="AS5" i="176"/>
  <c r="AS10" i="176"/>
  <c r="AS4" i="176"/>
  <c r="AS14" i="176"/>
  <c r="AR14" i="176"/>
  <c r="AR10" i="176"/>
  <c r="AR6" i="176"/>
  <c r="AR9" i="176"/>
  <c r="AR8" i="176"/>
  <c r="AR15" i="176"/>
  <c r="AR5" i="176"/>
  <c r="AR13" i="176"/>
  <c r="AR11" i="176"/>
  <c r="AR19" i="176"/>
  <c r="AR4" i="176"/>
  <c r="S43" i="176"/>
  <c r="AR18" i="176"/>
  <c r="AR17" i="176"/>
  <c r="AR7" i="176"/>
  <c r="AR12" i="176"/>
  <c r="AR16" i="176"/>
  <c r="K33" i="176"/>
  <c r="K34" i="176" s="1"/>
  <c r="AE32" i="177"/>
  <c r="AE31" i="177"/>
  <c r="K27" i="172"/>
  <c r="J31" i="177"/>
  <c r="J32" i="177"/>
  <c r="AG40" i="172"/>
  <c r="J15" i="112" s="1"/>
  <c r="M27" i="172"/>
  <c r="AX16" i="172"/>
  <c r="AX12" i="172"/>
  <c r="AX8" i="172"/>
  <c r="AX4" i="172"/>
  <c r="AX19" i="172"/>
  <c r="AX15" i="172"/>
  <c r="AX11" i="172"/>
  <c r="AX7" i="172"/>
  <c r="Y43" i="172"/>
  <c r="AX9" i="172"/>
  <c r="AX17" i="172"/>
  <c r="AX10" i="172"/>
  <c r="AX18" i="172"/>
  <c r="AX6" i="172"/>
  <c r="AX14" i="172"/>
  <c r="AX5" i="172"/>
  <c r="AX13" i="172"/>
  <c r="T53" i="176"/>
  <c r="AB27" i="177"/>
  <c r="AD25" i="172"/>
  <c r="N25" i="176"/>
  <c r="N27" i="176" s="1"/>
  <c r="W27" i="177"/>
  <c r="V31" i="176"/>
  <c r="V32" i="176"/>
  <c r="X27" i="177"/>
  <c r="AD27" i="172"/>
  <c r="AI16" i="172"/>
  <c r="J43" i="172"/>
  <c r="AI14" i="172"/>
  <c r="AI6" i="172"/>
  <c r="AI19" i="172"/>
  <c r="AI17" i="172"/>
  <c r="AI15" i="172"/>
  <c r="AI8" i="172"/>
  <c r="AI7" i="172"/>
  <c r="AI9" i="172"/>
  <c r="AI18" i="172"/>
  <c r="AI13" i="172"/>
  <c r="AI5" i="172"/>
  <c r="AI12" i="172"/>
  <c r="AI10" i="172"/>
  <c r="AI11" i="172"/>
  <c r="AI4" i="172"/>
  <c r="Q27" i="172"/>
  <c r="AC27" i="177"/>
  <c r="P27" i="176"/>
  <c r="BD19" i="172"/>
  <c r="BD15" i="172"/>
  <c r="BD11" i="172"/>
  <c r="BD7" i="172"/>
  <c r="BD18" i="172"/>
  <c r="BD14" i="172"/>
  <c r="BD10" i="172"/>
  <c r="BD6" i="172"/>
  <c r="BD16" i="172"/>
  <c r="BD13" i="172"/>
  <c r="BD5" i="172"/>
  <c r="BD8" i="172"/>
  <c r="AE43" i="172"/>
  <c r="BD4" i="172"/>
  <c r="BD9" i="172"/>
  <c r="BD17" i="172"/>
  <c r="BD12" i="172"/>
  <c r="AI9" i="176"/>
  <c r="J43" i="176"/>
  <c r="AI19" i="176"/>
  <c r="AI18" i="176"/>
  <c r="AI10" i="176"/>
  <c r="AI11" i="176"/>
  <c r="AI6" i="176"/>
  <c r="AI16" i="176"/>
  <c r="AI14" i="176"/>
  <c r="AI13" i="176"/>
  <c r="AI8" i="176"/>
  <c r="AI7" i="176"/>
  <c r="AI5" i="176"/>
  <c r="AI17" i="176"/>
  <c r="AI15" i="176"/>
  <c r="AI4" i="176"/>
  <c r="AI12" i="176"/>
  <c r="AY16" i="172"/>
  <c r="AY17" i="172"/>
  <c r="AY15" i="172"/>
  <c r="AY5" i="172"/>
  <c r="AY19" i="172"/>
  <c r="AY10" i="172"/>
  <c r="AY12" i="172"/>
  <c r="AY11" i="172"/>
  <c r="AY4" i="172"/>
  <c r="AY13" i="172"/>
  <c r="Z43" i="172"/>
  <c r="AY9" i="172"/>
  <c r="AY18" i="172"/>
  <c r="AY8" i="172"/>
  <c r="AY14" i="172"/>
  <c r="AY6" i="172"/>
  <c r="AY7" i="172"/>
  <c r="X27" i="176"/>
  <c r="Z53" i="172"/>
  <c r="J53" i="176"/>
  <c r="T33" i="176"/>
  <c r="T34" i="176" s="1"/>
  <c r="AF32" i="177"/>
  <c r="AF31" i="177"/>
  <c r="O27" i="177"/>
  <c r="Z31" i="177"/>
  <c r="Z32" i="177"/>
  <c r="Y27" i="177"/>
  <c r="Q37" i="172"/>
  <c r="Q36" i="172"/>
  <c r="Q38" i="172" s="1"/>
  <c r="S27" i="172"/>
  <c r="Q27" i="176"/>
  <c r="Q25" i="177"/>
  <c r="Y27" i="176"/>
  <c r="N25" i="177"/>
  <c r="N27" i="177" s="1"/>
  <c r="AD33" i="172"/>
  <c r="AD34" i="172" s="1"/>
  <c r="X33" i="176"/>
  <c r="X34" i="176" s="1"/>
  <c r="AD27" i="177"/>
  <c r="K27" i="177"/>
  <c r="P33" i="172"/>
  <c r="P34" i="172" s="1"/>
  <c r="J53" i="172"/>
  <c r="AB31" i="177"/>
  <c r="AB32" i="177"/>
  <c r="X27" i="172"/>
  <c r="AE27" i="176"/>
  <c r="K25" i="176"/>
  <c r="K27" i="176" s="1"/>
  <c r="Y31" i="177"/>
  <c r="Y32" i="177"/>
  <c r="Y32" i="176"/>
  <c r="Y31" i="176"/>
  <c r="U43" i="176"/>
  <c r="AT18" i="176"/>
  <c r="AT15" i="176"/>
  <c r="AT11" i="176"/>
  <c r="AT7" i="176"/>
  <c r="AT5" i="176"/>
  <c r="AT17" i="176"/>
  <c r="AT19" i="176"/>
  <c r="AT10" i="176"/>
  <c r="AT16" i="176"/>
  <c r="AT9" i="176"/>
  <c r="AT6" i="176"/>
  <c r="AT14" i="176"/>
  <c r="AT12" i="176"/>
  <c r="AT13" i="176"/>
  <c r="AT8" i="176"/>
  <c r="AT4" i="176"/>
  <c r="BB18" i="172"/>
  <c r="BB14" i="172"/>
  <c r="BB10" i="172"/>
  <c r="BB6" i="172"/>
  <c r="AC43" i="172"/>
  <c r="BB17" i="172"/>
  <c r="BB13" i="172"/>
  <c r="BB9" i="172"/>
  <c r="BB5" i="172"/>
  <c r="BB12" i="172"/>
  <c r="BB4" i="172"/>
  <c r="BB16" i="172"/>
  <c r="BB7" i="172"/>
  <c r="BB11" i="172"/>
  <c r="BB19" i="172"/>
  <c r="BB15" i="172"/>
  <c r="BB8" i="172"/>
  <c r="AV19" i="172"/>
  <c r="AV15" i="172"/>
  <c r="AV11" i="172"/>
  <c r="AV7" i="172"/>
  <c r="AV18" i="172"/>
  <c r="AV14" i="172"/>
  <c r="AV10" i="172"/>
  <c r="AV6" i="172"/>
  <c r="AV8" i="172"/>
  <c r="W43" i="172"/>
  <c r="AV9" i="172"/>
  <c r="AV17" i="172"/>
  <c r="AV13" i="172"/>
  <c r="AV16" i="172"/>
  <c r="AV12" i="172"/>
  <c r="AV4" i="172"/>
  <c r="AV5" i="172"/>
  <c r="AB31" i="176"/>
  <c r="AB32" i="176"/>
  <c r="J33" i="176"/>
  <c r="J34" i="176" s="1"/>
  <c r="AG40" i="176"/>
  <c r="J11" i="112" s="1"/>
  <c r="Q27" i="177"/>
  <c r="AA27" i="172"/>
  <c r="AC25" i="176"/>
  <c r="AC27" i="176" s="1"/>
  <c r="U53" i="177"/>
  <c r="AB25" i="176"/>
  <c r="AB27" i="176" s="1"/>
  <c r="AF27" i="176"/>
  <c r="W53" i="172"/>
  <c r="R27" i="172"/>
  <c r="L27" i="176"/>
  <c r="AA27" i="176"/>
  <c r="P53" i="172"/>
  <c r="O25" i="172"/>
  <c r="O27" i="172" s="1"/>
  <c r="U31" i="176"/>
  <c r="U32" i="176"/>
  <c r="W31" i="172"/>
  <c r="W32" i="172"/>
  <c r="P25" i="177"/>
  <c r="P27" i="177" s="1"/>
  <c r="L33" i="176"/>
  <c r="L34" i="176" s="1"/>
  <c r="Z25" i="177"/>
  <c r="Z27" i="177" s="1"/>
  <c r="R27" i="177"/>
  <c r="AD33" i="177"/>
  <c r="AD34" i="177" s="1"/>
  <c r="AT18" i="172"/>
  <c r="AT14" i="172"/>
  <c r="AT10" i="172"/>
  <c r="AT6" i="172"/>
  <c r="U43" i="172"/>
  <c r="AT17" i="172"/>
  <c r="AT13" i="172"/>
  <c r="AT9" i="172"/>
  <c r="AT5" i="172"/>
  <c r="AT19" i="172"/>
  <c r="AT7" i="172"/>
  <c r="AT15" i="172"/>
  <c r="AT8" i="172"/>
  <c r="AT16" i="172"/>
  <c r="AT11" i="172"/>
  <c r="AT4" i="172"/>
  <c r="AT12" i="172"/>
  <c r="S31" i="177"/>
  <c r="S32" i="177"/>
  <c r="AF27" i="177"/>
  <c r="S53" i="176"/>
  <c r="V31" i="172"/>
  <c r="V32" i="172"/>
  <c r="R31" i="177"/>
  <c r="R32" i="177"/>
  <c r="U53" i="172"/>
  <c r="S32" i="172"/>
  <c r="S31" i="172"/>
  <c r="L27" i="172"/>
  <c r="AB31" i="172"/>
  <c r="AB32" i="172"/>
  <c r="V33" i="177"/>
  <c r="V34" i="177" s="1"/>
  <c r="AU18" i="172"/>
  <c r="AU14" i="172"/>
  <c r="AU7" i="172"/>
  <c r="AU6" i="172"/>
  <c r="AU9" i="172"/>
  <c r="AU15" i="172"/>
  <c r="AU8" i="172"/>
  <c r="AU19" i="172"/>
  <c r="V43" i="172"/>
  <c r="AU13" i="172"/>
  <c r="AU5" i="172"/>
  <c r="AU11" i="172"/>
  <c r="AU17" i="172"/>
  <c r="AU12" i="172"/>
  <c r="AU4" i="172"/>
  <c r="AU16" i="172"/>
  <c r="AU10" i="172"/>
  <c r="W39" i="176"/>
  <c r="W35" i="176"/>
  <c r="AG40" i="177"/>
  <c r="J10" i="112" s="1"/>
  <c r="AF27" i="172"/>
  <c r="AE33" i="176"/>
  <c r="AE34" i="176" s="1"/>
  <c r="M27" i="177"/>
  <c r="O27" i="176"/>
  <c r="R25" i="176"/>
  <c r="R27" i="176" s="1"/>
  <c r="AE25" i="177"/>
  <c r="AE27" i="177" s="1"/>
  <c r="Z25" i="176"/>
  <c r="Z27" i="176" s="1"/>
  <c r="W32" i="177"/>
  <c r="W31" i="177"/>
  <c r="J25" i="177"/>
  <c r="J27" i="177" s="1"/>
  <c r="N25" i="172"/>
  <c r="N27" i="172" s="1"/>
  <c r="X33" i="172"/>
  <c r="X34" i="172" s="1"/>
  <c r="O33" i="172"/>
  <c r="O34" i="172" s="1"/>
  <c r="N33" i="172"/>
  <c r="N34" i="172" s="1"/>
  <c r="T25" i="172"/>
  <c r="T27" i="172" s="1"/>
  <c r="V25" i="176"/>
  <c r="V27" i="176" s="1"/>
  <c r="AC32" i="177"/>
  <c r="AC31" i="177"/>
  <c r="W25" i="176"/>
  <c r="W27" i="176" s="1"/>
  <c r="N33" i="176"/>
  <c r="N34" i="176" s="1"/>
  <c r="BE19" i="169"/>
  <c r="BE15" i="169"/>
  <c r="BE11" i="169"/>
  <c r="BE7" i="169"/>
  <c r="BE12" i="169"/>
  <c r="AF43" i="169"/>
  <c r="BE16" i="169"/>
  <c r="BE4" i="169"/>
  <c r="BE14" i="169"/>
  <c r="BE8" i="169"/>
  <c r="BE6" i="169"/>
  <c r="BE5" i="169"/>
  <c r="BE9" i="169"/>
  <c r="BE17" i="169"/>
  <c r="BE10" i="169"/>
  <c r="BE13" i="169"/>
  <c r="BE18" i="169"/>
  <c r="X32" i="171"/>
  <c r="X31" i="171"/>
  <c r="AG40" i="171"/>
  <c r="J7" i="112" s="1"/>
  <c r="AU17" i="171"/>
  <c r="AU13" i="171"/>
  <c r="AU9" i="171"/>
  <c r="AU5" i="171"/>
  <c r="AU18" i="171"/>
  <c r="AU15" i="171"/>
  <c r="V43" i="171"/>
  <c r="AU11" i="171"/>
  <c r="AU12" i="171"/>
  <c r="AU8" i="171"/>
  <c r="AU4" i="171"/>
  <c r="AU19" i="171"/>
  <c r="AU16" i="171"/>
  <c r="AU10" i="171"/>
  <c r="AU14" i="171"/>
  <c r="AU7" i="171"/>
  <c r="AU6" i="171"/>
  <c r="AC32" i="169"/>
  <c r="AC31" i="169"/>
  <c r="R27" i="171"/>
  <c r="Y27" i="169"/>
  <c r="L39" i="171"/>
  <c r="L35" i="171"/>
  <c r="AC32" i="170"/>
  <c r="AC31" i="170"/>
  <c r="W25" i="171"/>
  <c r="W27" i="171" s="1"/>
  <c r="W35" i="169"/>
  <c r="W39" i="169"/>
  <c r="R32" i="170"/>
  <c r="R31" i="170"/>
  <c r="R27" i="170"/>
  <c r="Q27" i="170"/>
  <c r="AC25" i="170"/>
  <c r="AC27" i="170" s="1"/>
  <c r="Y32" i="170"/>
  <c r="Y31" i="170"/>
  <c r="Y32" i="169"/>
  <c r="Y31" i="169"/>
  <c r="T32" i="169"/>
  <c r="T31" i="169"/>
  <c r="X25" i="169"/>
  <c r="X27" i="169" s="1"/>
  <c r="AC31" i="171"/>
  <c r="AC32" i="171"/>
  <c r="L27" i="171"/>
  <c r="AL18" i="169"/>
  <c r="AL14" i="169"/>
  <c r="AL10" i="169"/>
  <c r="AL6" i="169"/>
  <c r="AL19" i="169"/>
  <c r="AL15" i="169"/>
  <c r="AL11" i="169"/>
  <c r="AL7" i="169"/>
  <c r="M43" i="169"/>
  <c r="AL16" i="169"/>
  <c r="AL4" i="169"/>
  <c r="AL17" i="169"/>
  <c r="AL5" i="169"/>
  <c r="AL9" i="169"/>
  <c r="AL8" i="169"/>
  <c r="AL12" i="169"/>
  <c r="AL13" i="169"/>
  <c r="AM17" i="171"/>
  <c r="AM13" i="171"/>
  <c r="AM9" i="171"/>
  <c r="AM5" i="171"/>
  <c r="N43" i="171"/>
  <c r="AM12" i="171"/>
  <c r="AM8" i="171"/>
  <c r="AM11" i="171"/>
  <c r="AM4" i="171"/>
  <c r="AM18" i="171"/>
  <c r="AM16" i="171"/>
  <c r="AM14" i="171"/>
  <c r="AM7" i="171"/>
  <c r="AM19" i="171"/>
  <c r="AM6" i="171"/>
  <c r="AM10" i="171"/>
  <c r="AM15" i="171"/>
  <c r="P31" i="169"/>
  <c r="P32" i="169"/>
  <c r="V25" i="170"/>
  <c r="V27" i="170" s="1"/>
  <c r="AE35" i="170"/>
  <c r="AE39" i="170"/>
  <c r="P32" i="171"/>
  <c r="P31" i="171"/>
  <c r="T31" i="171"/>
  <c r="T32" i="171"/>
  <c r="AB27" i="170"/>
  <c r="P25" i="171"/>
  <c r="P27" i="171" s="1"/>
  <c r="AE32" i="171"/>
  <c r="AE31" i="171"/>
  <c r="V31" i="171"/>
  <c r="V32" i="171"/>
  <c r="X33" i="170"/>
  <c r="X34" i="170" s="1"/>
  <c r="P27" i="169"/>
  <c r="N27" i="169"/>
  <c r="Z27" i="169"/>
  <c r="X27" i="171"/>
  <c r="N27" i="170"/>
  <c r="AF32" i="171"/>
  <c r="AF31" i="171"/>
  <c r="AB33" i="169"/>
  <c r="AB34" i="169" s="1"/>
  <c r="O33" i="170"/>
  <c r="O34" i="170" s="1"/>
  <c r="J31" i="169"/>
  <c r="J32" i="169"/>
  <c r="S31" i="171"/>
  <c r="S32" i="171"/>
  <c r="AF27" i="170"/>
  <c r="K25" i="171"/>
  <c r="K27" i="171" s="1"/>
  <c r="AA43" i="171"/>
  <c r="AZ19" i="171"/>
  <c r="AZ18" i="171"/>
  <c r="AZ9" i="171"/>
  <c r="AZ11" i="171"/>
  <c r="AZ6" i="171"/>
  <c r="AZ14" i="171"/>
  <c r="AZ15" i="171"/>
  <c r="AZ13" i="171"/>
  <c r="AZ7" i="171"/>
  <c r="AZ8" i="171"/>
  <c r="AZ16" i="171"/>
  <c r="AZ4" i="171"/>
  <c r="AZ17" i="171"/>
  <c r="AZ5" i="171"/>
  <c r="AZ12" i="171"/>
  <c r="AZ10" i="171"/>
  <c r="Y32" i="171"/>
  <c r="Y31" i="171"/>
  <c r="AE32" i="169"/>
  <c r="AE31" i="169"/>
  <c r="Y25" i="170"/>
  <c r="Y27" i="170" s="1"/>
  <c r="O33" i="169"/>
  <c r="O34" i="169" s="1"/>
  <c r="U27" i="170"/>
  <c r="AF31" i="170"/>
  <c r="AF32" i="170"/>
  <c r="M27" i="170"/>
  <c r="M33" i="170"/>
  <c r="M34" i="170" s="1"/>
  <c r="O27" i="170"/>
  <c r="AF53" i="169"/>
  <c r="J31" i="171"/>
  <c r="J32" i="171"/>
  <c r="L27" i="169"/>
  <c r="AA33" i="171"/>
  <c r="AA34" i="171" s="1"/>
  <c r="AD37" i="170"/>
  <c r="AD36" i="170"/>
  <c r="AD38" i="170" s="1"/>
  <c r="U31" i="169"/>
  <c r="U32" i="169"/>
  <c r="W25" i="170"/>
  <c r="W27" i="170" s="1"/>
  <c r="W27" i="169"/>
  <c r="AD27" i="169"/>
  <c r="Z27" i="171"/>
  <c r="BA17" i="169"/>
  <c r="BA13" i="169"/>
  <c r="BA9" i="169"/>
  <c r="BA5" i="169"/>
  <c r="BA14" i="169"/>
  <c r="BA18" i="169"/>
  <c r="AB43" i="169"/>
  <c r="BA11" i="169"/>
  <c r="BA8" i="169"/>
  <c r="BA15" i="169"/>
  <c r="BA19" i="169"/>
  <c r="BA6" i="169"/>
  <c r="BA4" i="169"/>
  <c r="BA10" i="169"/>
  <c r="BA16" i="169"/>
  <c r="BA7" i="169"/>
  <c r="BA12" i="169"/>
  <c r="J32" i="170"/>
  <c r="J31" i="170"/>
  <c r="Y27" i="171"/>
  <c r="O25" i="171"/>
  <c r="O27" i="171" s="1"/>
  <c r="BB16" i="171"/>
  <c r="BB12" i="171"/>
  <c r="AC43" i="171"/>
  <c r="BB6" i="171"/>
  <c r="BB19" i="171"/>
  <c r="BB14" i="171"/>
  <c r="BB7" i="171"/>
  <c r="BB17" i="171"/>
  <c r="BB15" i="171"/>
  <c r="BB13" i="171"/>
  <c r="BB11" i="171"/>
  <c r="BB8" i="171"/>
  <c r="BB5" i="171"/>
  <c r="BB18" i="171"/>
  <c r="BB4" i="171"/>
  <c r="BB10" i="171"/>
  <c r="BB9" i="171"/>
  <c r="O27" i="169"/>
  <c r="J27" i="171"/>
  <c r="L27" i="170"/>
  <c r="AB53" i="169"/>
  <c r="R31" i="171"/>
  <c r="R32" i="171"/>
  <c r="V53" i="171"/>
  <c r="AG40" i="169"/>
  <c r="J9" i="112" s="1"/>
  <c r="W35" i="171"/>
  <c r="W39" i="171"/>
  <c r="AB31" i="171"/>
  <c r="AB32" i="171"/>
  <c r="AF33" i="169"/>
  <c r="AF34" i="169" s="1"/>
  <c r="M53" i="169"/>
  <c r="W31" i="170"/>
  <c r="W32" i="170"/>
  <c r="T32" i="170"/>
  <c r="T31" i="170"/>
  <c r="K31" i="171"/>
  <c r="K32" i="171"/>
  <c r="Q31" i="171"/>
  <c r="Q32" i="171"/>
  <c r="J43" i="170"/>
  <c r="AI19" i="170"/>
  <c r="AI17" i="170"/>
  <c r="AI12" i="170"/>
  <c r="AI8" i="170"/>
  <c r="AI4" i="170"/>
  <c r="AI5" i="170"/>
  <c r="AI16" i="170"/>
  <c r="AI10" i="170"/>
  <c r="AI7" i="170"/>
  <c r="AI13" i="170"/>
  <c r="AI15" i="170"/>
  <c r="AI6" i="170"/>
  <c r="AI9" i="170"/>
  <c r="AI14" i="170"/>
  <c r="AI18" i="170"/>
  <c r="AI11" i="170"/>
  <c r="Q32" i="170"/>
  <c r="Q31" i="170"/>
  <c r="AC27" i="169"/>
  <c r="P27" i="170"/>
  <c r="V32" i="170"/>
  <c r="V31" i="170"/>
  <c r="S32" i="169"/>
  <c r="S31" i="169"/>
  <c r="K27" i="169"/>
  <c r="AS16" i="171"/>
  <c r="AS12" i="171"/>
  <c r="AS8" i="171"/>
  <c r="AS19" i="171"/>
  <c r="AS18" i="171"/>
  <c r="AS7" i="171"/>
  <c r="AS10" i="171"/>
  <c r="T43" i="171"/>
  <c r="AS15" i="171"/>
  <c r="AS17" i="171"/>
  <c r="AS14" i="171"/>
  <c r="AS6" i="171"/>
  <c r="AS9" i="171"/>
  <c r="AS4" i="171"/>
  <c r="AS13" i="171"/>
  <c r="AS5" i="171"/>
  <c r="AS11" i="171"/>
  <c r="AD33" i="171"/>
  <c r="AD34" i="171" s="1"/>
  <c r="AD25" i="170"/>
  <c r="AD27" i="170" s="1"/>
  <c r="Z25" i="170"/>
  <c r="Z27" i="170" s="1"/>
  <c r="O35" i="171"/>
  <c r="O39" i="171"/>
  <c r="AT18" i="171"/>
  <c r="AT19" i="171"/>
  <c r="AT17" i="171"/>
  <c r="AT14" i="171"/>
  <c r="AT16" i="171"/>
  <c r="AT10" i="171"/>
  <c r="U43" i="171"/>
  <c r="AT12" i="171"/>
  <c r="AT8" i="171"/>
  <c r="AT15" i="171"/>
  <c r="AT13" i="171"/>
  <c r="AT9" i="171"/>
  <c r="AT4" i="171"/>
  <c r="AT7" i="171"/>
  <c r="AT6" i="171"/>
  <c r="AT11" i="171"/>
  <c r="AT5" i="171"/>
  <c r="K27" i="170"/>
  <c r="AE27" i="169"/>
  <c r="T27" i="170"/>
  <c r="R27" i="169"/>
  <c r="AE25" i="170"/>
  <c r="AE27" i="170" s="1"/>
  <c r="BC17" i="171"/>
  <c r="BC13" i="171"/>
  <c r="BC9" i="171"/>
  <c r="BC5" i="171"/>
  <c r="AD43" i="171"/>
  <c r="BC18" i="171"/>
  <c r="BC14" i="171"/>
  <c r="BC19" i="171"/>
  <c r="BC7" i="171"/>
  <c r="BC10" i="171"/>
  <c r="BC4" i="171"/>
  <c r="BC16" i="171"/>
  <c r="BC12" i="171"/>
  <c r="BC11" i="171"/>
  <c r="BC8" i="171"/>
  <c r="BC6" i="171"/>
  <c r="BC15" i="171"/>
  <c r="BA16" i="171"/>
  <c r="BA12" i="171"/>
  <c r="BA8" i="171"/>
  <c r="BA13" i="171"/>
  <c r="BA10" i="171"/>
  <c r="AB43" i="171"/>
  <c r="BA18" i="171"/>
  <c r="BA15" i="171"/>
  <c r="BA9" i="171"/>
  <c r="BA6" i="171"/>
  <c r="BA11" i="171"/>
  <c r="BA5" i="171"/>
  <c r="BA19" i="171"/>
  <c r="BA14" i="171"/>
  <c r="BA7" i="171"/>
  <c r="BA17" i="171"/>
  <c r="BA4" i="171"/>
  <c r="T53" i="171"/>
  <c r="AA25" i="169"/>
  <c r="AA27" i="169" s="1"/>
  <c r="V25" i="169"/>
  <c r="V27" i="169" s="1"/>
  <c r="Z33" i="169"/>
  <c r="Z34" i="169" s="1"/>
  <c r="Q31" i="169"/>
  <c r="Q32" i="169"/>
  <c r="AF27" i="171"/>
  <c r="X25" i="170"/>
  <c r="X27" i="170" s="1"/>
  <c r="S25" i="170"/>
  <c r="S27" i="170" s="1"/>
  <c r="J27" i="169"/>
  <c r="R33" i="169"/>
  <c r="R34" i="169" s="1"/>
  <c r="Q25" i="171"/>
  <c r="Q27" i="171" s="1"/>
  <c r="AC53" i="171"/>
  <c r="U53" i="171"/>
  <c r="M27" i="171"/>
  <c r="X31" i="169"/>
  <c r="X32" i="169"/>
  <c r="T27" i="169"/>
  <c r="S25" i="171"/>
  <c r="S27" i="171" s="1"/>
  <c r="S27" i="169"/>
  <c r="AB32" i="170"/>
  <c r="AB31" i="170"/>
  <c r="U32" i="171"/>
  <c r="U31" i="171"/>
  <c r="AE27" i="171"/>
  <c r="N53" i="171"/>
  <c r="Q25" i="169"/>
  <c r="Q27" i="169" s="1"/>
  <c r="K33" i="169"/>
  <c r="K34" i="169" s="1"/>
  <c r="AA25" i="170"/>
  <c r="AA27" i="170" s="1"/>
  <c r="U25" i="169"/>
  <c r="U27" i="169" s="1"/>
  <c r="U32" i="170"/>
  <c r="U31" i="170"/>
  <c r="Z31" i="171"/>
  <c r="Z32" i="171"/>
  <c r="AB32" i="168"/>
  <c r="AB31" i="168"/>
  <c r="S33" i="168"/>
  <c r="S34" i="168" s="1"/>
  <c r="Z33" i="168"/>
  <c r="Z34" i="168" s="1"/>
  <c r="O27" i="168"/>
  <c r="W25" i="168"/>
  <c r="W27" i="168" s="1"/>
  <c r="T27" i="168"/>
  <c r="V31" i="168"/>
  <c r="V32" i="168"/>
  <c r="Q25" i="168"/>
  <c r="Q27" i="168" s="1"/>
  <c r="AE32" i="168"/>
  <c r="AE31" i="168"/>
  <c r="P32" i="168"/>
  <c r="P31" i="168"/>
  <c r="M27" i="168"/>
  <c r="R25" i="168"/>
  <c r="R27" i="168" s="1"/>
  <c r="Z25" i="168"/>
  <c r="Z27" i="168" s="1"/>
  <c r="L27" i="168"/>
  <c r="L38" i="168"/>
  <c r="X25" i="168"/>
  <c r="X27" i="168" s="1"/>
  <c r="N33" i="168"/>
  <c r="N34" i="168" s="1"/>
  <c r="Y25" i="168"/>
  <c r="Y27" i="168" s="1"/>
  <c r="U27" i="168"/>
  <c r="Y32" i="168"/>
  <c r="Y31" i="168"/>
  <c r="AD39" i="168"/>
  <c r="AD35" i="168"/>
  <c r="T33" i="168"/>
  <c r="T34" i="168" s="1"/>
  <c r="K25" i="168"/>
  <c r="K27" i="168" s="1"/>
  <c r="AB27" i="168"/>
  <c r="J25" i="168"/>
  <c r="J27" i="168" s="1"/>
  <c r="AA27" i="168"/>
  <c r="S25" i="168"/>
  <c r="S27" i="168" s="1"/>
  <c r="K35" i="168"/>
  <c r="K39" i="168"/>
  <c r="P25" i="168"/>
  <c r="P27" i="168" s="1"/>
  <c r="AC25" i="168"/>
  <c r="AC27" i="168" s="1"/>
  <c r="AF27" i="168"/>
  <c r="X31" i="168"/>
  <c r="X32" i="168"/>
  <c r="AE25" i="168"/>
  <c r="AE27" i="168" s="1"/>
  <c r="AC33" i="168"/>
  <c r="AC34" i="168" s="1"/>
  <c r="U31" i="168"/>
  <c r="U32" i="168"/>
  <c r="AD25" i="168"/>
  <c r="AD27" i="168" s="1"/>
  <c r="W32" i="168"/>
  <c r="W31" i="168"/>
  <c r="V27" i="168"/>
  <c r="N25" i="168"/>
  <c r="N27" i="168" s="1"/>
  <c r="M33" i="168"/>
  <c r="M34" i="168" s="1"/>
  <c r="BB17" i="166"/>
  <c r="AC43" i="166"/>
  <c r="BB18" i="166"/>
  <c r="BB14" i="166"/>
  <c r="BB9" i="166"/>
  <c r="BB5" i="166"/>
  <c r="BB7" i="166"/>
  <c r="BB11" i="166"/>
  <c r="BB16" i="166"/>
  <c r="BB13" i="166"/>
  <c r="BB10" i="166"/>
  <c r="BB6" i="166"/>
  <c r="BB12" i="166"/>
  <c r="BB8" i="166"/>
  <c r="BB19" i="166"/>
  <c r="BB15" i="166"/>
  <c r="BB4" i="166"/>
  <c r="Z27" i="166"/>
  <c r="AG40" i="166"/>
  <c r="J5" i="112" s="1"/>
  <c r="U32" i="166"/>
  <c r="U31" i="166"/>
  <c r="V25" i="166"/>
  <c r="V27" i="166" s="1"/>
  <c r="R27" i="166"/>
  <c r="L25" i="166"/>
  <c r="AB27" i="166"/>
  <c r="Q31" i="166"/>
  <c r="Q32" i="166"/>
  <c r="AD27" i="166"/>
  <c r="O33" i="166"/>
  <c r="O34" i="166" s="1"/>
  <c r="S31" i="166"/>
  <c r="S32" i="166"/>
  <c r="P25" i="166"/>
  <c r="P27" i="166" s="1"/>
  <c r="J31" i="166"/>
  <c r="J32" i="166"/>
  <c r="AD33" i="166"/>
  <c r="AD34" i="166" s="1"/>
  <c r="W32" i="166"/>
  <c r="W31" i="166"/>
  <c r="X27" i="166"/>
  <c r="J27" i="166"/>
  <c r="AL17" i="166"/>
  <c r="AL18" i="166"/>
  <c r="AL14" i="166"/>
  <c r="AL16" i="166"/>
  <c r="AL13" i="166"/>
  <c r="AL9" i="166"/>
  <c r="AL5" i="166"/>
  <c r="M43" i="166"/>
  <c r="AL11" i="166"/>
  <c r="AL10" i="166"/>
  <c r="AL6" i="166"/>
  <c r="AL15" i="166"/>
  <c r="AL19" i="166"/>
  <c r="AL12" i="166"/>
  <c r="AL4" i="166"/>
  <c r="AL7" i="166"/>
  <c r="AL8" i="166"/>
  <c r="N27" i="166"/>
  <c r="R31" i="166"/>
  <c r="R32" i="166"/>
  <c r="AB31" i="166"/>
  <c r="AB32" i="166"/>
  <c r="P31" i="166"/>
  <c r="P32" i="166"/>
  <c r="T32" i="166"/>
  <c r="T31" i="166"/>
  <c r="AA43" i="166"/>
  <c r="AZ17" i="166"/>
  <c r="AZ13" i="166"/>
  <c r="AZ18" i="166"/>
  <c r="AZ12" i="166"/>
  <c r="AZ8" i="166"/>
  <c r="AZ4" i="166"/>
  <c r="AZ16" i="166"/>
  <c r="AZ14" i="166"/>
  <c r="AZ9" i="166"/>
  <c r="AZ5" i="166"/>
  <c r="AZ10" i="166"/>
  <c r="AZ11" i="166"/>
  <c r="AZ6" i="166"/>
  <c r="AZ19" i="166"/>
  <c r="AZ15" i="166"/>
  <c r="AZ7" i="166"/>
  <c r="AC53" i="166"/>
  <c r="Q27" i="166"/>
  <c r="V31" i="166"/>
  <c r="V32" i="166"/>
  <c r="L27" i="166"/>
  <c r="W25" i="166"/>
  <c r="W27" i="166" s="1"/>
  <c r="T25" i="166"/>
  <c r="T27" i="166" s="1"/>
  <c r="Y27" i="166"/>
  <c r="O25" i="166"/>
  <c r="O27" i="166" s="1"/>
  <c r="K38" i="166"/>
  <c r="AF27" i="166"/>
  <c r="U25" i="166"/>
  <c r="U27" i="166" s="1"/>
  <c r="AF32" i="166"/>
  <c r="AF31" i="166"/>
  <c r="AE43" i="166"/>
  <c r="BD18" i="166"/>
  <c r="BD19" i="166"/>
  <c r="BD15" i="166"/>
  <c r="BD16" i="166"/>
  <c r="BD13" i="166"/>
  <c r="BD10" i="166"/>
  <c r="BD6" i="166"/>
  <c r="BD12" i="166"/>
  <c r="BD8" i="166"/>
  <c r="BD17" i="166"/>
  <c r="BD11" i="166"/>
  <c r="BD7" i="166"/>
  <c r="BD14" i="166"/>
  <c r="BD9" i="166"/>
  <c r="BD4" i="166"/>
  <c r="BD5" i="166"/>
  <c r="AA53" i="166"/>
  <c r="S27" i="166"/>
  <c r="AC32" i="166"/>
  <c r="AC31" i="166"/>
  <c r="K27" i="166"/>
  <c r="AA35" i="185" l="1"/>
  <c r="R35" i="184"/>
  <c r="AD35" i="184"/>
  <c r="AF35" i="185"/>
  <c r="U35" i="187"/>
  <c r="N39" i="169"/>
  <c r="P39" i="188"/>
  <c r="AF39" i="168"/>
  <c r="J39" i="185"/>
  <c r="O35" i="186"/>
  <c r="Z35" i="187"/>
  <c r="Q39" i="168"/>
  <c r="AA41" i="169"/>
  <c r="AE35" i="166"/>
  <c r="K39" i="186"/>
  <c r="V35" i="187"/>
  <c r="V36" i="187" s="1"/>
  <c r="V38" i="187" s="1"/>
  <c r="Q39" i="184"/>
  <c r="AA35" i="186"/>
  <c r="AD35" i="183"/>
  <c r="M39" i="186"/>
  <c r="AB35" i="187"/>
  <c r="M35" i="179"/>
  <c r="AF33" i="187"/>
  <c r="AF34" i="187" s="1"/>
  <c r="AF35" i="187" s="1"/>
  <c r="Y35" i="166"/>
  <c r="Z39" i="172"/>
  <c r="R35" i="168"/>
  <c r="R37" i="168" s="1"/>
  <c r="L35" i="170"/>
  <c r="L35" i="184"/>
  <c r="N39" i="186"/>
  <c r="O39" i="168"/>
  <c r="AC33" i="187"/>
  <c r="AC34" i="187" s="1"/>
  <c r="AC35" i="187" s="1"/>
  <c r="AE35" i="187"/>
  <c r="AE36" i="187" s="1"/>
  <c r="AE38" i="187" s="1"/>
  <c r="R35" i="176"/>
  <c r="AD39" i="169"/>
  <c r="M35" i="171"/>
  <c r="W39" i="185"/>
  <c r="Z35" i="185"/>
  <c r="M39" i="169"/>
  <c r="V33" i="184"/>
  <c r="V34" i="184" s="1"/>
  <c r="Z35" i="176"/>
  <c r="Y35" i="172"/>
  <c r="L41" i="166"/>
  <c r="AA35" i="168"/>
  <c r="S35" i="170"/>
  <c r="X35" i="177"/>
  <c r="AE35" i="185"/>
  <c r="AE36" i="185" s="1"/>
  <c r="AE38" i="185" s="1"/>
  <c r="X35" i="187"/>
  <c r="X37" i="187" s="1"/>
  <c r="M39" i="172"/>
  <c r="J33" i="184"/>
  <c r="J34" i="184" s="1"/>
  <c r="Z33" i="184"/>
  <c r="Z34" i="184" s="1"/>
  <c r="Z39" i="184" s="1"/>
  <c r="L41" i="168"/>
  <c r="J35" i="172"/>
  <c r="AD39" i="179"/>
  <c r="K39" i="170"/>
  <c r="AA35" i="170"/>
  <c r="R39" i="178"/>
  <c r="AE33" i="186"/>
  <c r="AE34" i="186" s="1"/>
  <c r="AE39" i="186" s="1"/>
  <c r="U33" i="186"/>
  <c r="U34" i="186" s="1"/>
  <c r="U39" i="186" s="1"/>
  <c r="X35" i="166"/>
  <c r="P39" i="170"/>
  <c r="K41" i="166"/>
  <c r="M35" i="166"/>
  <c r="AA35" i="166"/>
  <c r="V35" i="169"/>
  <c r="M39" i="177"/>
  <c r="O35" i="176"/>
  <c r="O36" i="176" s="1"/>
  <c r="O38" i="176" s="1"/>
  <c r="AA39" i="177"/>
  <c r="AE39" i="179"/>
  <c r="V33" i="183"/>
  <c r="V34" i="183" s="1"/>
  <c r="K35" i="185"/>
  <c r="K36" i="185" s="1"/>
  <c r="K38" i="185" s="1"/>
  <c r="W33" i="184"/>
  <c r="W34" i="184" s="1"/>
  <c r="S33" i="188"/>
  <c r="S34" i="188" s="1"/>
  <c r="S39" i="188" s="1"/>
  <c r="V33" i="186"/>
  <c r="V34" i="186" s="1"/>
  <c r="W33" i="186"/>
  <c r="W34" i="186" s="1"/>
  <c r="W39" i="186" s="1"/>
  <c r="V33" i="185"/>
  <c r="V34" i="185" s="1"/>
  <c r="V35" i="185" s="1"/>
  <c r="M39" i="178"/>
  <c r="M35" i="176"/>
  <c r="AF35" i="176"/>
  <c r="L39" i="172"/>
  <c r="AE35" i="178"/>
  <c r="Q37" i="176"/>
  <c r="Q36" i="176"/>
  <c r="Q38" i="176" s="1"/>
  <c r="N35" i="170"/>
  <c r="Z35" i="170"/>
  <c r="N35" i="171"/>
  <c r="N39" i="177"/>
  <c r="AE39" i="172"/>
  <c r="AA35" i="176"/>
  <c r="O39" i="178"/>
  <c r="M39" i="188"/>
  <c r="Q33" i="188"/>
  <c r="Q34" i="188" s="1"/>
  <c r="Q39" i="188" s="1"/>
  <c r="V33" i="188"/>
  <c r="V34" i="188" s="1"/>
  <c r="V39" i="188" s="1"/>
  <c r="R33" i="188"/>
  <c r="R34" i="188" s="1"/>
  <c r="R39" i="188" s="1"/>
  <c r="Z35" i="166"/>
  <c r="N35" i="166"/>
  <c r="W33" i="183"/>
  <c r="W34" i="183" s="1"/>
  <c r="W35" i="183" s="1"/>
  <c r="P33" i="183"/>
  <c r="P34" i="183" s="1"/>
  <c r="P35" i="183" s="1"/>
  <c r="Y33" i="185"/>
  <c r="Y34" i="185" s="1"/>
  <c r="Y39" i="185" s="1"/>
  <c r="AF33" i="186"/>
  <c r="AF34" i="186" s="1"/>
  <c r="Y39" i="187"/>
  <c r="AQ8" i="187"/>
  <c r="AQ7" i="187"/>
  <c r="W37" i="187"/>
  <c r="W36" i="187"/>
  <c r="W38" i="187" s="1"/>
  <c r="AQ4" i="187"/>
  <c r="AQ14" i="187"/>
  <c r="AQ17" i="187"/>
  <c r="AQ16" i="187"/>
  <c r="AQ15" i="187"/>
  <c r="AQ19" i="187"/>
  <c r="AQ18" i="187"/>
  <c r="AE37" i="187"/>
  <c r="U33" i="188"/>
  <c r="U34" i="188" s="1"/>
  <c r="U39" i="188" s="1"/>
  <c r="AT15" i="188"/>
  <c r="AB33" i="185"/>
  <c r="AB34" i="185" s="1"/>
  <c r="AB39" i="185" s="1"/>
  <c r="J33" i="186"/>
  <c r="J34" i="186" s="1"/>
  <c r="J35" i="186" s="1"/>
  <c r="Y33" i="186"/>
  <c r="Y34" i="186" s="1"/>
  <c r="Y39" i="186" s="1"/>
  <c r="P33" i="186"/>
  <c r="P34" i="186" s="1"/>
  <c r="P39" i="186" s="1"/>
  <c r="T33" i="184"/>
  <c r="T34" i="184" s="1"/>
  <c r="Y33" i="184"/>
  <c r="Y34" i="184" s="1"/>
  <c r="Y35" i="184" s="1"/>
  <c r="AF33" i="184"/>
  <c r="AF34" i="184" s="1"/>
  <c r="AF39" i="184" s="1"/>
  <c r="K33" i="184"/>
  <c r="K34" i="184" s="1"/>
  <c r="T33" i="183"/>
  <c r="T34" i="183" s="1"/>
  <c r="T35" i="183" s="1"/>
  <c r="AE43" i="188"/>
  <c r="BD18" i="188"/>
  <c r="BD8" i="188"/>
  <c r="BD4" i="188"/>
  <c r="BD15" i="188"/>
  <c r="BD16" i="188"/>
  <c r="BD13" i="188"/>
  <c r="BD7" i="188"/>
  <c r="BD17" i="188"/>
  <c r="BD14" i="188"/>
  <c r="BD19" i="188"/>
  <c r="BD12" i="188"/>
  <c r="BD11" i="188"/>
  <c r="BD6" i="188"/>
  <c r="BD10" i="188"/>
  <c r="BD9" i="188"/>
  <c r="BD5" i="188"/>
  <c r="AE53" i="188"/>
  <c r="Q43" i="187"/>
  <c r="AP17" i="187"/>
  <c r="AP13" i="187"/>
  <c r="AP14" i="187"/>
  <c r="AP11" i="187"/>
  <c r="AP10" i="187"/>
  <c r="AP7" i="187"/>
  <c r="AP19" i="187"/>
  <c r="AP16" i="187"/>
  <c r="AP8" i="187"/>
  <c r="AP5" i="187"/>
  <c r="AP15" i="187"/>
  <c r="AP4" i="187"/>
  <c r="AP12" i="187"/>
  <c r="AP6" i="187"/>
  <c r="AP18" i="187"/>
  <c r="AP9" i="187"/>
  <c r="Q53" i="187"/>
  <c r="AO8" i="187"/>
  <c r="AO5" i="187"/>
  <c r="AO11" i="187"/>
  <c r="AO18" i="187"/>
  <c r="P43" i="187"/>
  <c r="AO12" i="187"/>
  <c r="AO15" i="187"/>
  <c r="AO4" i="187"/>
  <c r="AO7" i="187"/>
  <c r="AO6" i="187"/>
  <c r="AO17" i="187"/>
  <c r="AO13" i="187"/>
  <c r="AO19" i="187"/>
  <c r="AO16" i="187"/>
  <c r="AO14" i="187"/>
  <c r="AO10" i="187"/>
  <c r="AO9" i="187"/>
  <c r="P53" i="187"/>
  <c r="AL19" i="187"/>
  <c r="AL15" i="187"/>
  <c r="AL11" i="187"/>
  <c r="M43" i="187"/>
  <c r="AL9" i="187"/>
  <c r="AL4" i="187"/>
  <c r="AL6" i="187"/>
  <c r="AL8" i="187"/>
  <c r="AL18" i="187"/>
  <c r="AL17" i="187"/>
  <c r="AL16" i="187"/>
  <c r="AL14" i="187"/>
  <c r="AL10" i="187"/>
  <c r="AL5" i="187"/>
  <c r="AL12" i="187"/>
  <c r="AL7" i="187"/>
  <c r="AL13" i="187"/>
  <c r="M53" i="187"/>
  <c r="K43" i="188"/>
  <c r="AJ19" i="188"/>
  <c r="AJ16" i="188"/>
  <c r="AJ13" i="188"/>
  <c r="AJ10" i="188"/>
  <c r="AJ6" i="188"/>
  <c r="AJ17" i="188"/>
  <c r="AJ18" i="188"/>
  <c r="AJ4" i="188"/>
  <c r="AJ12" i="188"/>
  <c r="AJ11" i="188"/>
  <c r="AJ15" i="188"/>
  <c r="AJ9" i="188"/>
  <c r="AJ5" i="188"/>
  <c r="AJ14" i="188"/>
  <c r="AJ8" i="188"/>
  <c r="AJ7" i="188"/>
  <c r="K53" i="188"/>
  <c r="S43" i="188"/>
  <c r="AR6" i="188"/>
  <c r="AR19" i="188"/>
  <c r="AR16" i="188"/>
  <c r="AR13" i="188"/>
  <c r="AR10" i="188"/>
  <c r="AR11" i="188"/>
  <c r="AR15" i="188"/>
  <c r="AR18" i="188"/>
  <c r="AR14" i="188"/>
  <c r="AR8" i="188"/>
  <c r="AR7" i="188"/>
  <c r="AR9" i="188"/>
  <c r="AR5" i="188"/>
  <c r="AR12" i="188"/>
  <c r="AR4" i="188"/>
  <c r="AR17" i="188"/>
  <c r="S53" i="188"/>
  <c r="BC17" i="188"/>
  <c r="BC13" i="188"/>
  <c r="BC16" i="188"/>
  <c r="AD43" i="188"/>
  <c r="BC18" i="188"/>
  <c r="BC8" i="188"/>
  <c r="BC19" i="188"/>
  <c r="BC10" i="188"/>
  <c r="BC7" i="188"/>
  <c r="BC12" i="188"/>
  <c r="BC4" i="188"/>
  <c r="BC11" i="188"/>
  <c r="BC6" i="188"/>
  <c r="BC15" i="188"/>
  <c r="BC9" i="188"/>
  <c r="BC5" i="188"/>
  <c r="BC14" i="188"/>
  <c r="AD53" i="188"/>
  <c r="AK16" i="188"/>
  <c r="AK12" i="188"/>
  <c r="L43" i="188"/>
  <c r="AK18" i="188"/>
  <c r="AK7" i="188"/>
  <c r="AK19" i="188"/>
  <c r="AK13" i="188"/>
  <c r="AK10" i="188"/>
  <c r="AK6" i="188"/>
  <c r="AK17" i="188"/>
  <c r="AK4" i="188"/>
  <c r="AK15" i="188"/>
  <c r="AK9" i="188"/>
  <c r="AK5" i="188"/>
  <c r="AK14" i="188"/>
  <c r="AK8" i="188"/>
  <c r="AK11" i="188"/>
  <c r="L53" i="188"/>
  <c r="AW18" i="187"/>
  <c r="AW15" i="187"/>
  <c r="AW12" i="187"/>
  <c r="AW8" i="187"/>
  <c r="X43" i="187"/>
  <c r="AW5" i="187"/>
  <c r="AW19" i="187"/>
  <c r="AW16" i="187"/>
  <c r="AW6" i="187"/>
  <c r="AW13" i="187"/>
  <c r="AW17" i="187"/>
  <c r="AW10" i="187"/>
  <c r="AW9" i="187"/>
  <c r="AW14" i="187"/>
  <c r="AW11" i="187"/>
  <c r="AW4" i="187"/>
  <c r="AW7" i="187"/>
  <c r="X53" i="187"/>
  <c r="AD37" i="187"/>
  <c r="AD36" i="187"/>
  <c r="AD38" i="187" s="1"/>
  <c r="S33" i="187"/>
  <c r="S34" i="187" s="1"/>
  <c r="Y33" i="188"/>
  <c r="Y34" i="188" s="1"/>
  <c r="BB19" i="187"/>
  <c r="BB15" i="187"/>
  <c r="BB11" i="187"/>
  <c r="BB13" i="187"/>
  <c r="BB10" i="187"/>
  <c r="BB4" i="187"/>
  <c r="BB12" i="187"/>
  <c r="BB18" i="187"/>
  <c r="BB17" i="187"/>
  <c r="BB16" i="187"/>
  <c r="BB14" i="187"/>
  <c r="BB9" i="187"/>
  <c r="AC43" i="187"/>
  <c r="BB7" i="187"/>
  <c r="BB5" i="187"/>
  <c r="BB6" i="187"/>
  <c r="BB8" i="187"/>
  <c r="AC53" i="187"/>
  <c r="AD43" i="187"/>
  <c r="BC16" i="187"/>
  <c r="BC7" i="187"/>
  <c r="BC12" i="187"/>
  <c r="BC11" i="187"/>
  <c r="BC10" i="187"/>
  <c r="BC18" i="187"/>
  <c r="BC17" i="187"/>
  <c r="BC15" i="187"/>
  <c r="BC14" i="187"/>
  <c r="BC13" i="187"/>
  <c r="BC9" i="187"/>
  <c r="BC19" i="187"/>
  <c r="BC6" i="187"/>
  <c r="BC4" i="187"/>
  <c r="BC5" i="187"/>
  <c r="BC8" i="187"/>
  <c r="AD53" i="187"/>
  <c r="W33" i="188"/>
  <c r="W34" i="188" s="1"/>
  <c r="AE33" i="188"/>
  <c r="AE34" i="188" s="1"/>
  <c r="BA6" i="187"/>
  <c r="AB43" i="187"/>
  <c r="BA7" i="187"/>
  <c r="BA11" i="187"/>
  <c r="BA10" i="187"/>
  <c r="BA4" i="187"/>
  <c r="BA15" i="187"/>
  <c r="BA13" i="187"/>
  <c r="BA12" i="187"/>
  <c r="BA9" i="187"/>
  <c r="BA18" i="187"/>
  <c r="BA16" i="187"/>
  <c r="BA19" i="187"/>
  <c r="BA17" i="187"/>
  <c r="BA14" i="187"/>
  <c r="BA5" i="187"/>
  <c r="BA8" i="187"/>
  <c r="AB53" i="187"/>
  <c r="AU19" i="187"/>
  <c r="AU7" i="187"/>
  <c r="AU16" i="187"/>
  <c r="AU9" i="187"/>
  <c r="AU6" i="187"/>
  <c r="V43" i="187"/>
  <c r="AU8" i="187"/>
  <c r="AU18" i="187"/>
  <c r="AU17" i="187"/>
  <c r="AU15" i="187"/>
  <c r="AU14" i="187"/>
  <c r="AU13" i="187"/>
  <c r="AU4" i="187"/>
  <c r="AU12" i="187"/>
  <c r="AU10" i="187"/>
  <c r="AU5" i="187"/>
  <c r="AU11" i="187"/>
  <c r="V53" i="187"/>
  <c r="R44" i="187"/>
  <c r="R45" i="187"/>
  <c r="AJ18" i="187"/>
  <c r="AJ14" i="187"/>
  <c r="AJ13" i="187"/>
  <c r="AJ19" i="187"/>
  <c r="AJ17" i="187"/>
  <c r="AJ16" i="187"/>
  <c r="K43" i="187"/>
  <c r="AJ9" i="187"/>
  <c r="AJ6" i="187"/>
  <c r="AJ4" i="187"/>
  <c r="AJ15" i="187"/>
  <c r="AJ12" i="187"/>
  <c r="AJ10" i="187"/>
  <c r="AJ7" i="187"/>
  <c r="AJ11" i="187"/>
  <c r="AJ5" i="187"/>
  <c r="AJ8" i="187"/>
  <c r="K53" i="187"/>
  <c r="L39" i="187"/>
  <c r="L35" i="187"/>
  <c r="AA43" i="188"/>
  <c r="AZ11" i="188"/>
  <c r="AZ6" i="188"/>
  <c r="AZ19" i="188"/>
  <c r="AZ17" i="188"/>
  <c r="AZ14" i="188"/>
  <c r="AZ13" i="188"/>
  <c r="AZ9" i="188"/>
  <c r="AZ7" i="188"/>
  <c r="AZ5" i="188"/>
  <c r="AZ12" i="188"/>
  <c r="AZ15" i="188"/>
  <c r="AZ10" i="188"/>
  <c r="AZ8" i="188"/>
  <c r="AZ4" i="188"/>
  <c r="AZ18" i="188"/>
  <c r="AZ16" i="188"/>
  <c r="AA53" i="188"/>
  <c r="T35" i="187"/>
  <c r="T39" i="187"/>
  <c r="AA35" i="188"/>
  <c r="AA39" i="188"/>
  <c r="L39" i="188"/>
  <c r="L35" i="188"/>
  <c r="Q35" i="187"/>
  <c r="Q39" i="187"/>
  <c r="O35" i="188"/>
  <c r="O39" i="188"/>
  <c r="L43" i="187"/>
  <c r="AK19" i="187"/>
  <c r="AK16" i="187"/>
  <c r="AK10" i="187"/>
  <c r="AK6" i="187"/>
  <c r="AK9" i="187"/>
  <c r="AK4" i="187"/>
  <c r="AK18" i="187"/>
  <c r="AK17" i="187"/>
  <c r="AK14" i="187"/>
  <c r="AK13" i="187"/>
  <c r="AK11" i="187"/>
  <c r="AK5" i="187"/>
  <c r="AK15" i="187"/>
  <c r="AK8" i="187"/>
  <c r="AK12" i="187"/>
  <c r="AK7" i="187"/>
  <c r="L53" i="187"/>
  <c r="Q43" i="188"/>
  <c r="AP17" i="188"/>
  <c r="AP14" i="188"/>
  <c r="AP11" i="188"/>
  <c r="AP9" i="188"/>
  <c r="AP5" i="188"/>
  <c r="AP19" i="188"/>
  <c r="AP12" i="188"/>
  <c r="AP7" i="188"/>
  <c r="AP4" i="188"/>
  <c r="AP16" i="188"/>
  <c r="AP13" i="188"/>
  <c r="AP15" i="188"/>
  <c r="AP6" i="188"/>
  <c r="AP10" i="188"/>
  <c r="AP8" i="188"/>
  <c r="AP18" i="188"/>
  <c r="Q53" i="188"/>
  <c r="AT19" i="187"/>
  <c r="AT15" i="187"/>
  <c r="AT11" i="187"/>
  <c r="U43" i="187"/>
  <c r="AT16" i="187"/>
  <c r="AT18" i="187"/>
  <c r="AT17" i="187"/>
  <c r="AT14" i="187"/>
  <c r="AT13" i="187"/>
  <c r="AT4" i="187"/>
  <c r="AT9" i="187"/>
  <c r="AT6" i="187"/>
  <c r="AT12" i="187"/>
  <c r="AT10" i="187"/>
  <c r="AT8" i="187"/>
  <c r="AT7" i="187"/>
  <c r="AT5" i="187"/>
  <c r="U53" i="187"/>
  <c r="R39" i="187"/>
  <c r="R35" i="187"/>
  <c r="AF39" i="188"/>
  <c r="AF35" i="188"/>
  <c r="Y44" i="187"/>
  <c r="Y45" i="187"/>
  <c r="U45" i="188"/>
  <c r="U44" i="188"/>
  <c r="AN16" i="187"/>
  <c r="AN12" i="187"/>
  <c r="AN18" i="187"/>
  <c r="AN15" i="187"/>
  <c r="AN8" i="187"/>
  <c r="AN5" i="187"/>
  <c r="AN17" i="187"/>
  <c r="O43" i="187"/>
  <c r="AN19" i="187"/>
  <c r="AN6" i="187"/>
  <c r="AN11" i="187"/>
  <c r="AN7" i="187"/>
  <c r="AN4" i="187"/>
  <c r="AN13" i="187"/>
  <c r="AN14" i="187"/>
  <c r="AN10" i="187"/>
  <c r="AN9" i="187"/>
  <c r="O53" i="187"/>
  <c r="Y37" i="187"/>
  <c r="Y36" i="187"/>
  <c r="Y38" i="187" s="1"/>
  <c r="X39" i="188"/>
  <c r="X35" i="188"/>
  <c r="M35" i="187"/>
  <c r="M39" i="187"/>
  <c r="AD35" i="188"/>
  <c r="AD39" i="188"/>
  <c r="AI9" i="187"/>
  <c r="AI5" i="187"/>
  <c r="J43" i="187"/>
  <c r="AI18" i="187"/>
  <c r="AI15" i="187"/>
  <c r="AI14" i="187"/>
  <c r="AI13" i="187"/>
  <c r="AI12" i="187"/>
  <c r="AI10" i="187"/>
  <c r="AI7" i="187"/>
  <c r="AI19" i="187"/>
  <c r="AI17" i="187"/>
  <c r="AI16" i="187"/>
  <c r="AI11" i="187"/>
  <c r="AI4" i="187"/>
  <c r="AI6" i="187"/>
  <c r="AI8" i="187"/>
  <c r="J53" i="187"/>
  <c r="AA39" i="187"/>
  <c r="AA35" i="187"/>
  <c r="M37" i="188"/>
  <c r="M36" i="188"/>
  <c r="M38" i="188" s="1"/>
  <c r="AB33" i="188"/>
  <c r="AB34" i="188" s="1"/>
  <c r="BE8" i="187"/>
  <c r="BE6" i="187"/>
  <c r="BE19" i="187"/>
  <c r="BE16" i="187"/>
  <c r="BE5" i="187"/>
  <c r="BE18" i="187"/>
  <c r="BE17" i="187"/>
  <c r="BE15" i="187"/>
  <c r="BE14" i="187"/>
  <c r="BE13" i="187"/>
  <c r="BE12" i="187"/>
  <c r="BE9" i="187"/>
  <c r="BE10" i="187"/>
  <c r="BE4" i="187"/>
  <c r="BE11" i="187"/>
  <c r="BE7" i="187"/>
  <c r="AF43" i="187"/>
  <c r="AF53" i="187"/>
  <c r="P37" i="188"/>
  <c r="P36" i="188"/>
  <c r="P38" i="188" s="1"/>
  <c r="U37" i="187"/>
  <c r="U36" i="187"/>
  <c r="U38" i="187" s="1"/>
  <c r="AS16" i="188"/>
  <c r="AS12" i="188"/>
  <c r="AS19" i="188"/>
  <c r="AS13" i="188"/>
  <c r="AS10" i="188"/>
  <c r="AS7" i="188"/>
  <c r="AS6" i="188"/>
  <c r="AS15" i="188"/>
  <c r="AS18" i="188"/>
  <c r="AS11" i="188"/>
  <c r="AS8" i="188"/>
  <c r="AS9" i="188"/>
  <c r="AS5" i="188"/>
  <c r="T43" i="188"/>
  <c r="AS14" i="188"/>
  <c r="AS4" i="188"/>
  <c r="AS17" i="188"/>
  <c r="T53" i="188"/>
  <c r="N39" i="187"/>
  <c r="N35" i="187"/>
  <c r="N45" i="188"/>
  <c r="N44" i="188"/>
  <c r="AR18" i="187"/>
  <c r="AR14" i="187"/>
  <c r="S43" i="187"/>
  <c r="AR11" i="187"/>
  <c r="AR10" i="187"/>
  <c r="AR7" i="187"/>
  <c r="AR15" i="187"/>
  <c r="AR13" i="187"/>
  <c r="AR12" i="187"/>
  <c r="AR19" i="187"/>
  <c r="AR17" i="187"/>
  <c r="AR16" i="187"/>
  <c r="AR4" i="187"/>
  <c r="AR6" i="187"/>
  <c r="AR5" i="187"/>
  <c r="AR8" i="187"/>
  <c r="AR9" i="187"/>
  <c r="S53" i="187"/>
  <c r="V37" i="187"/>
  <c r="BE18" i="188"/>
  <c r="BE14" i="188"/>
  <c r="BE10" i="188"/>
  <c r="AF43" i="188"/>
  <c r="BE15" i="188"/>
  <c r="BE12" i="188"/>
  <c r="BE9" i="188"/>
  <c r="BE5" i="188"/>
  <c r="BE8" i="188"/>
  <c r="BE11" i="188"/>
  <c r="BE6" i="188"/>
  <c r="BE19" i="188"/>
  <c r="BE16" i="188"/>
  <c r="BE13" i="188"/>
  <c r="BE7" i="188"/>
  <c r="BE17" i="188"/>
  <c r="BE4" i="188"/>
  <c r="AF53" i="188"/>
  <c r="AA45" i="187"/>
  <c r="AA44" i="187"/>
  <c r="W43" i="188"/>
  <c r="AV15" i="188"/>
  <c r="AV8" i="188"/>
  <c r="AV4" i="188"/>
  <c r="AV12" i="188"/>
  <c r="AV18" i="188"/>
  <c r="AV19" i="188"/>
  <c r="AV6" i="188"/>
  <c r="AV10" i="188"/>
  <c r="AV11" i="188"/>
  <c r="AV7" i="188"/>
  <c r="AV17" i="188"/>
  <c r="AV14" i="188"/>
  <c r="AV13" i="188"/>
  <c r="AV9" i="188"/>
  <c r="AV5" i="188"/>
  <c r="AV16" i="188"/>
  <c r="W53" i="188"/>
  <c r="Z33" i="188"/>
  <c r="Z34" i="188" s="1"/>
  <c r="AU17" i="188"/>
  <c r="AU13" i="188"/>
  <c r="AU18" i="188"/>
  <c r="AU15" i="188"/>
  <c r="AU8" i="188"/>
  <c r="AU16" i="188"/>
  <c r="AU7" i="188"/>
  <c r="AU14" i="188"/>
  <c r="AU19" i="188"/>
  <c r="AU6" i="188"/>
  <c r="V43" i="188"/>
  <c r="AU10" i="188"/>
  <c r="AU11" i="188"/>
  <c r="AU4" i="188"/>
  <c r="AU12" i="188"/>
  <c r="AU5" i="188"/>
  <c r="AU9" i="188"/>
  <c r="V53" i="188"/>
  <c r="BD16" i="187"/>
  <c r="BD12" i="187"/>
  <c r="BD19" i="187"/>
  <c r="BD18" i="187"/>
  <c r="BD17" i="187"/>
  <c r="BD15" i="187"/>
  <c r="BD14" i="187"/>
  <c r="BD13" i="187"/>
  <c r="BD9" i="187"/>
  <c r="BD6" i="187"/>
  <c r="BD8" i="187"/>
  <c r="AE43" i="187"/>
  <c r="BD11" i="187"/>
  <c r="BD10" i="187"/>
  <c r="BD5" i="187"/>
  <c r="BD4" i="187"/>
  <c r="BD7" i="187"/>
  <c r="AE53" i="187"/>
  <c r="N35" i="188"/>
  <c r="N39" i="188"/>
  <c r="P43" i="188"/>
  <c r="AO18" i="188"/>
  <c r="AO14" i="188"/>
  <c r="AO10" i="188"/>
  <c r="AO17" i="188"/>
  <c r="AO11" i="188"/>
  <c r="AO9" i="188"/>
  <c r="AO5" i="188"/>
  <c r="AO12" i="188"/>
  <c r="AO8" i="188"/>
  <c r="AO7" i="188"/>
  <c r="AO4" i="188"/>
  <c r="AO19" i="188"/>
  <c r="AO13" i="188"/>
  <c r="AO15" i="188"/>
  <c r="AO6" i="188"/>
  <c r="AO16" i="188"/>
  <c r="P53" i="188"/>
  <c r="K33" i="188"/>
  <c r="K34" i="188" s="1"/>
  <c r="AS13" i="187"/>
  <c r="AS10" i="187"/>
  <c r="AS6" i="187"/>
  <c r="AS15" i="187"/>
  <c r="AS12" i="187"/>
  <c r="AS19" i="187"/>
  <c r="AS18" i="187"/>
  <c r="AS17" i="187"/>
  <c r="AS16" i="187"/>
  <c r="AS14" i="187"/>
  <c r="AS4" i="187"/>
  <c r="AS9" i="187"/>
  <c r="AS11" i="187"/>
  <c r="AS7" i="187"/>
  <c r="AS8" i="187"/>
  <c r="AS5" i="187"/>
  <c r="T43" i="187"/>
  <c r="T53" i="187"/>
  <c r="AY14" i="187"/>
  <c r="AY11" i="187"/>
  <c r="AY9" i="187"/>
  <c r="AY5" i="187"/>
  <c r="AY10" i="187"/>
  <c r="AY7" i="187"/>
  <c r="AY18" i="187"/>
  <c r="AY17" i="187"/>
  <c r="Z43" i="187"/>
  <c r="AY8" i="187"/>
  <c r="AY13" i="187"/>
  <c r="AY16" i="187"/>
  <c r="AY19" i="187"/>
  <c r="AY4" i="187"/>
  <c r="AY15" i="187"/>
  <c r="AY6" i="187"/>
  <c r="AY12" i="187"/>
  <c r="Z53" i="187"/>
  <c r="AW18" i="188"/>
  <c r="AW14" i="188"/>
  <c r="AW10" i="188"/>
  <c r="X43" i="188"/>
  <c r="AW12" i="188"/>
  <c r="AW9" i="188"/>
  <c r="AW5" i="188"/>
  <c r="AW15" i="188"/>
  <c r="AW8" i="188"/>
  <c r="AW17" i="188"/>
  <c r="AW4" i="188"/>
  <c r="AW19" i="188"/>
  <c r="AW16" i="188"/>
  <c r="AW13" i="188"/>
  <c r="AW11" i="188"/>
  <c r="AW7" i="188"/>
  <c r="AW6" i="188"/>
  <c r="X53" i="188"/>
  <c r="K35" i="187"/>
  <c r="K39" i="187"/>
  <c r="AY19" i="188"/>
  <c r="AY15" i="188"/>
  <c r="AY11" i="188"/>
  <c r="Z43" i="188"/>
  <c r="AY17" i="188"/>
  <c r="AY14" i="188"/>
  <c r="AY6" i="188"/>
  <c r="AY9" i="188"/>
  <c r="AY5" i="188"/>
  <c r="AY4" i="188"/>
  <c r="AY13" i="188"/>
  <c r="AY16" i="188"/>
  <c r="AY12" i="188"/>
  <c r="AY8" i="188"/>
  <c r="AY7" i="188"/>
  <c r="AY18" i="188"/>
  <c r="AY10" i="188"/>
  <c r="Z53" i="188"/>
  <c r="AI19" i="188"/>
  <c r="AI15" i="188"/>
  <c r="AI11" i="188"/>
  <c r="AI16" i="188"/>
  <c r="AI13" i="188"/>
  <c r="AI10" i="188"/>
  <c r="AI6" i="188"/>
  <c r="J43" i="188"/>
  <c r="AI9" i="188"/>
  <c r="AI5" i="188"/>
  <c r="AI14" i="188"/>
  <c r="AI8" i="188"/>
  <c r="AI17" i="188"/>
  <c r="AI18" i="188"/>
  <c r="AI4" i="188"/>
  <c r="AI12" i="188"/>
  <c r="AI7" i="188"/>
  <c r="J53" i="188"/>
  <c r="T33" i="188"/>
  <c r="T34" i="188" s="1"/>
  <c r="AC33" i="188"/>
  <c r="AC34" i="188" s="1"/>
  <c r="AB37" i="187"/>
  <c r="AB36" i="187"/>
  <c r="AB38" i="187" s="1"/>
  <c r="J37" i="188"/>
  <c r="J36" i="188"/>
  <c r="J38" i="188" s="1"/>
  <c r="O39" i="187"/>
  <c r="O35" i="187"/>
  <c r="J37" i="187"/>
  <c r="J36" i="187"/>
  <c r="J38" i="187" s="1"/>
  <c r="AB44" i="188"/>
  <c r="AB45" i="188"/>
  <c r="M43" i="188"/>
  <c r="AL18" i="188"/>
  <c r="AL7" i="188"/>
  <c r="AL15" i="188"/>
  <c r="AL16" i="188"/>
  <c r="AL13" i="188"/>
  <c r="AL12" i="188"/>
  <c r="AL9" i="188"/>
  <c r="AL5" i="188"/>
  <c r="AL14" i="188"/>
  <c r="AL10" i="188"/>
  <c r="AL6" i="188"/>
  <c r="AL8" i="188"/>
  <c r="AL11" i="188"/>
  <c r="AL4" i="188"/>
  <c r="AL19" i="188"/>
  <c r="AL17" i="188"/>
  <c r="M53" i="188"/>
  <c r="AQ19" i="188"/>
  <c r="AQ15" i="188"/>
  <c r="AQ11" i="188"/>
  <c r="AQ6" i="188"/>
  <c r="R43" i="188"/>
  <c r="AQ17" i="188"/>
  <c r="AQ14" i="188"/>
  <c r="AQ9" i="188"/>
  <c r="AQ5" i="188"/>
  <c r="AQ16" i="188"/>
  <c r="AQ10" i="188"/>
  <c r="AQ8" i="188"/>
  <c r="AQ7" i="188"/>
  <c r="AQ13" i="188"/>
  <c r="AQ12" i="188"/>
  <c r="AQ18" i="188"/>
  <c r="AQ4" i="188"/>
  <c r="R53" i="188"/>
  <c r="AC45" i="188"/>
  <c r="AC44" i="188"/>
  <c r="AM12" i="187"/>
  <c r="AM7" i="187"/>
  <c r="AM6" i="187"/>
  <c r="AM8" i="187"/>
  <c r="AM5" i="187"/>
  <c r="N43" i="187"/>
  <c r="AM19" i="187"/>
  <c r="AM9" i="187"/>
  <c r="AM4" i="187"/>
  <c r="AM14" i="187"/>
  <c r="AM10" i="187"/>
  <c r="AM11" i="187"/>
  <c r="AM15" i="187"/>
  <c r="AM18" i="187"/>
  <c r="AM17" i="187"/>
  <c r="AM16" i="187"/>
  <c r="AM13" i="187"/>
  <c r="N53" i="187"/>
  <c r="P33" i="187"/>
  <c r="P34" i="187" s="1"/>
  <c r="Z36" i="187"/>
  <c r="Z38" i="187" s="1"/>
  <c r="Z37" i="187"/>
  <c r="Y43" i="188"/>
  <c r="AX9" i="188"/>
  <c r="AX5" i="188"/>
  <c r="AX17" i="188"/>
  <c r="AX14" i="188"/>
  <c r="AX11" i="188"/>
  <c r="AX12" i="188"/>
  <c r="AX18" i="188"/>
  <c r="AX10" i="188"/>
  <c r="AX4" i="188"/>
  <c r="AX19" i="188"/>
  <c r="AX16" i="188"/>
  <c r="AX7" i="188"/>
  <c r="AX6" i="188"/>
  <c r="AX15" i="188"/>
  <c r="AX13" i="188"/>
  <c r="AX8" i="188"/>
  <c r="Y53" i="188"/>
  <c r="W44" i="187"/>
  <c r="W45" i="187"/>
  <c r="O43" i="188"/>
  <c r="AN12" i="188"/>
  <c r="AN8" i="188"/>
  <c r="AN4" i="188"/>
  <c r="AN14" i="188"/>
  <c r="AN15" i="188"/>
  <c r="AN13" i="188"/>
  <c r="AN19" i="188"/>
  <c r="AN11" i="188"/>
  <c r="AN17" i="188"/>
  <c r="AN16" i="188"/>
  <c r="AN9" i="188"/>
  <c r="AN5" i="188"/>
  <c r="AN7" i="188"/>
  <c r="AN18" i="188"/>
  <c r="AN10" i="188"/>
  <c r="AN6" i="188"/>
  <c r="O53" i="188"/>
  <c r="AT18" i="185"/>
  <c r="U43" i="185"/>
  <c r="AT15" i="185"/>
  <c r="AT11" i="185"/>
  <c r="AT7" i="185"/>
  <c r="AT12" i="185"/>
  <c r="AT5" i="185"/>
  <c r="AT9" i="185"/>
  <c r="AT16" i="185"/>
  <c r="AT19" i="185"/>
  <c r="AT14" i="185"/>
  <c r="AT10" i="185"/>
  <c r="AT8" i="185"/>
  <c r="AT13" i="185"/>
  <c r="AT6" i="185"/>
  <c r="AT4" i="185"/>
  <c r="AT17" i="185"/>
  <c r="U53" i="185"/>
  <c r="U43" i="186"/>
  <c r="AT8" i="186"/>
  <c r="AT19" i="186"/>
  <c r="AT13" i="186"/>
  <c r="AT10" i="186"/>
  <c r="AT12" i="186"/>
  <c r="AT17" i="186"/>
  <c r="AT14" i="186"/>
  <c r="AT16" i="186"/>
  <c r="AT5" i="186"/>
  <c r="AT18" i="186"/>
  <c r="AT11" i="186"/>
  <c r="AT4" i="186"/>
  <c r="AT7" i="186"/>
  <c r="AT15" i="186"/>
  <c r="AT9" i="186"/>
  <c r="AT6" i="186"/>
  <c r="U53" i="186"/>
  <c r="BE18" i="186"/>
  <c r="BE14" i="186"/>
  <c r="BE10" i="186"/>
  <c r="BE6" i="186"/>
  <c r="AF43" i="186"/>
  <c r="BE16" i="186"/>
  <c r="BE13" i="186"/>
  <c r="BE7" i="186"/>
  <c r="BE4" i="186"/>
  <c r="BE17" i="186"/>
  <c r="BE11" i="186"/>
  <c r="BE8" i="186"/>
  <c r="BE5" i="186"/>
  <c r="BE15" i="186"/>
  <c r="BE9" i="186"/>
  <c r="BE19" i="186"/>
  <c r="BE12" i="186"/>
  <c r="AF53" i="186"/>
  <c r="L37" i="186"/>
  <c r="L36" i="186"/>
  <c r="L38" i="186" s="1"/>
  <c r="AC39" i="185"/>
  <c r="AC35" i="185"/>
  <c r="BE18" i="185"/>
  <c r="AF43" i="185"/>
  <c r="BE14" i="185"/>
  <c r="BE11" i="185"/>
  <c r="BE8" i="185"/>
  <c r="BE17" i="185"/>
  <c r="BE19" i="185"/>
  <c r="BE9" i="185"/>
  <c r="BE7" i="185"/>
  <c r="BE5" i="185"/>
  <c r="BE16" i="185"/>
  <c r="BE12" i="185"/>
  <c r="BE10" i="185"/>
  <c r="BE6" i="185"/>
  <c r="BE15" i="185"/>
  <c r="BE13" i="185"/>
  <c r="BE4" i="185"/>
  <c r="AF53" i="185"/>
  <c r="AY19" i="186"/>
  <c r="AY15" i="186"/>
  <c r="AY11" i="186"/>
  <c r="AY7" i="186"/>
  <c r="AY12" i="186"/>
  <c r="AY9" i="186"/>
  <c r="AY6" i="186"/>
  <c r="AY16" i="186"/>
  <c r="AY13" i="186"/>
  <c r="AY10" i="186"/>
  <c r="AY4" i="186"/>
  <c r="AY18" i="186"/>
  <c r="AY14" i="186"/>
  <c r="AY8" i="186"/>
  <c r="Z43" i="186"/>
  <c r="AY5" i="186"/>
  <c r="AY17" i="186"/>
  <c r="Z53" i="186"/>
  <c r="AI16" i="185"/>
  <c r="AI6" i="185"/>
  <c r="J43" i="185"/>
  <c r="AI9" i="185"/>
  <c r="AI15" i="185"/>
  <c r="AI12" i="185"/>
  <c r="AI19" i="185"/>
  <c r="AI7" i="185"/>
  <c r="AI5" i="185"/>
  <c r="AI14" i="185"/>
  <c r="AI10" i="185"/>
  <c r="AI8" i="185"/>
  <c r="AI18" i="185"/>
  <c r="AI13" i="185"/>
  <c r="AI17" i="185"/>
  <c r="AI4" i="185"/>
  <c r="AI11" i="185"/>
  <c r="J53" i="185"/>
  <c r="AC33" i="186"/>
  <c r="AC34" i="186" s="1"/>
  <c r="W45" i="186"/>
  <c r="W44" i="186"/>
  <c r="V39" i="186"/>
  <c r="V35" i="186"/>
  <c r="M43" i="186"/>
  <c r="AL19" i="186"/>
  <c r="AL13" i="186"/>
  <c r="AL10" i="186"/>
  <c r="AL16" i="186"/>
  <c r="AL7" i="186"/>
  <c r="AL17" i="186"/>
  <c r="AL14" i="186"/>
  <c r="AL11" i="186"/>
  <c r="AL5" i="186"/>
  <c r="AL12" i="186"/>
  <c r="AL15" i="186"/>
  <c r="AL9" i="186"/>
  <c r="AL8" i="186"/>
  <c r="AL6" i="186"/>
  <c r="AL4" i="186"/>
  <c r="AL18" i="186"/>
  <c r="M53" i="186"/>
  <c r="L43" i="185"/>
  <c r="AK15" i="185"/>
  <c r="AK12" i="185"/>
  <c r="AK5" i="185"/>
  <c r="AK18" i="185"/>
  <c r="AK11" i="185"/>
  <c r="AK14" i="185"/>
  <c r="AK10" i="185"/>
  <c r="AK8" i="185"/>
  <c r="AK13" i="185"/>
  <c r="AK17" i="185"/>
  <c r="AK6" i="185"/>
  <c r="AK4" i="185"/>
  <c r="AK7" i="185"/>
  <c r="AK9" i="185"/>
  <c r="AK16" i="185"/>
  <c r="AK19" i="185"/>
  <c r="L53" i="185"/>
  <c r="P35" i="186"/>
  <c r="U33" i="185"/>
  <c r="U34" i="185" s="1"/>
  <c r="AB43" i="185"/>
  <c r="BA16" i="185"/>
  <c r="BA9" i="185"/>
  <c r="BA6" i="185"/>
  <c r="BA15" i="185"/>
  <c r="BA12" i="185"/>
  <c r="BA18" i="185"/>
  <c r="BA10" i="185"/>
  <c r="BA8" i="185"/>
  <c r="BA19" i="185"/>
  <c r="BA14" i="185"/>
  <c r="BA4" i="185"/>
  <c r="BA13" i="185"/>
  <c r="BA7" i="185"/>
  <c r="BA17" i="185"/>
  <c r="BA11" i="185"/>
  <c r="BA5" i="185"/>
  <c r="AB53" i="185"/>
  <c r="Z39" i="186"/>
  <c r="Z35" i="186"/>
  <c r="T44" i="185"/>
  <c r="T45" i="185"/>
  <c r="X45" i="186"/>
  <c r="X44" i="186"/>
  <c r="P43" i="186"/>
  <c r="AO18" i="186"/>
  <c r="AO14" i="186"/>
  <c r="AO10" i="186"/>
  <c r="AO6" i="186"/>
  <c r="AO15" i="186"/>
  <c r="AO12" i="186"/>
  <c r="AO9" i="186"/>
  <c r="AO19" i="186"/>
  <c r="AO16" i="186"/>
  <c r="AO13" i="186"/>
  <c r="AO7" i="186"/>
  <c r="AO8" i="186"/>
  <c r="AO17" i="186"/>
  <c r="AO11" i="186"/>
  <c r="AO5" i="186"/>
  <c r="AO4" i="186"/>
  <c r="P53" i="186"/>
  <c r="K43" i="186"/>
  <c r="AJ11" i="186"/>
  <c r="AJ8" i="186"/>
  <c r="AJ5" i="186"/>
  <c r="AJ15" i="186"/>
  <c r="AJ12" i="186"/>
  <c r="AJ9" i="186"/>
  <c r="AJ13" i="186"/>
  <c r="AJ14" i="186"/>
  <c r="AJ16" i="186"/>
  <c r="AJ10" i="186"/>
  <c r="AJ7" i="186"/>
  <c r="AJ17" i="186"/>
  <c r="AJ6" i="186"/>
  <c r="AJ4" i="186"/>
  <c r="AJ18" i="186"/>
  <c r="AJ19" i="186"/>
  <c r="K53" i="186"/>
  <c r="AW17" i="185"/>
  <c r="AW14" i="185"/>
  <c r="AW11" i="185"/>
  <c r="AW8" i="185"/>
  <c r="AW18" i="185"/>
  <c r="AW13" i="185"/>
  <c r="AW16" i="185"/>
  <c r="AW12" i="185"/>
  <c r="AW5" i="185"/>
  <c r="AW10" i="185"/>
  <c r="AW19" i="185"/>
  <c r="X43" i="185"/>
  <c r="AW15" i="185"/>
  <c r="AW6" i="185"/>
  <c r="AW4" i="185"/>
  <c r="AW9" i="185"/>
  <c r="AW7" i="185"/>
  <c r="X53" i="185"/>
  <c r="AP17" i="185"/>
  <c r="AP13" i="185"/>
  <c r="AP9" i="185"/>
  <c r="AP5" i="185"/>
  <c r="AP19" i="185"/>
  <c r="AP10" i="185"/>
  <c r="AP7" i="185"/>
  <c r="AP4" i="185"/>
  <c r="AP16" i="185"/>
  <c r="Q43" i="185"/>
  <c r="AP8" i="185"/>
  <c r="AP18" i="185"/>
  <c r="AP12" i="185"/>
  <c r="AP11" i="185"/>
  <c r="AP15" i="185"/>
  <c r="AP6" i="185"/>
  <c r="AP14" i="185"/>
  <c r="Q53" i="185"/>
  <c r="AY18" i="185"/>
  <c r="AY10" i="185"/>
  <c r="AY7" i="185"/>
  <c r="AY4" i="185"/>
  <c r="AY19" i="185"/>
  <c r="AY13" i="185"/>
  <c r="Z43" i="185"/>
  <c r="AY16" i="185"/>
  <c r="AY14" i="185"/>
  <c r="AY15" i="185"/>
  <c r="AY6" i="185"/>
  <c r="AY8" i="185"/>
  <c r="AY9" i="185"/>
  <c r="AY17" i="185"/>
  <c r="AY12" i="185"/>
  <c r="AY11" i="185"/>
  <c r="AY5" i="185"/>
  <c r="Z53" i="185"/>
  <c r="N39" i="185"/>
  <c r="N35" i="185"/>
  <c r="P37" i="185"/>
  <c r="P36" i="185"/>
  <c r="P38" i="185" s="1"/>
  <c r="BB18" i="185"/>
  <c r="BB19" i="185"/>
  <c r="BB15" i="185"/>
  <c r="BB11" i="185"/>
  <c r="BB7" i="185"/>
  <c r="BB9" i="185"/>
  <c r="BB6" i="185"/>
  <c r="AC43" i="185"/>
  <c r="BB12" i="185"/>
  <c r="BB14" i="185"/>
  <c r="BB4" i="185"/>
  <c r="BB13" i="185"/>
  <c r="BB17" i="185"/>
  <c r="BB5" i="185"/>
  <c r="BB16" i="185"/>
  <c r="BB10" i="185"/>
  <c r="BB8" i="185"/>
  <c r="AC53" i="185"/>
  <c r="AV19" i="185"/>
  <c r="AV18" i="185"/>
  <c r="AV16" i="185"/>
  <c r="AV12" i="185"/>
  <c r="AV8" i="185"/>
  <c r="AV4" i="185"/>
  <c r="W43" i="185"/>
  <c r="AV17" i="185"/>
  <c r="AV14" i="185"/>
  <c r="AV11" i="185"/>
  <c r="AV5" i="185"/>
  <c r="AV10" i="185"/>
  <c r="AV15" i="185"/>
  <c r="AV13" i="185"/>
  <c r="AV6" i="185"/>
  <c r="AV9" i="185"/>
  <c r="AV7" i="185"/>
  <c r="W53" i="185"/>
  <c r="W37" i="185"/>
  <c r="W36" i="185"/>
  <c r="W38" i="185" s="1"/>
  <c r="O39" i="185"/>
  <c r="O35" i="185"/>
  <c r="V45" i="186"/>
  <c r="V44" i="186"/>
  <c r="N37" i="186"/>
  <c r="N36" i="186"/>
  <c r="N38" i="186" s="1"/>
  <c r="R44" i="186"/>
  <c r="R45" i="186"/>
  <c r="AU15" i="185"/>
  <c r="AU5" i="185"/>
  <c r="AU8" i="185"/>
  <c r="AU17" i="185"/>
  <c r="AU14" i="185"/>
  <c r="AU11" i="185"/>
  <c r="AU18" i="185"/>
  <c r="AU9" i="185"/>
  <c r="AU7" i="185"/>
  <c r="AU16" i="185"/>
  <c r="AU12" i="185"/>
  <c r="AU19" i="185"/>
  <c r="AU10" i="185"/>
  <c r="V43" i="185"/>
  <c r="AU13" i="185"/>
  <c r="AU6" i="185"/>
  <c r="AU4" i="185"/>
  <c r="V53" i="185"/>
  <c r="AC45" i="186"/>
  <c r="AC44" i="186"/>
  <c r="AD35" i="185"/>
  <c r="AD39" i="185"/>
  <c r="AP12" i="186"/>
  <c r="AP9" i="186"/>
  <c r="AP6" i="186"/>
  <c r="Q43" i="186"/>
  <c r="AP16" i="186"/>
  <c r="AP13" i="186"/>
  <c r="AP10" i="186"/>
  <c r="AP4" i="186"/>
  <c r="AP15" i="186"/>
  <c r="AP8" i="186"/>
  <c r="AP7" i="186"/>
  <c r="AP17" i="186"/>
  <c r="AP11" i="186"/>
  <c r="AP5" i="186"/>
  <c r="AP18" i="186"/>
  <c r="AP19" i="186"/>
  <c r="AP14" i="186"/>
  <c r="Q53" i="186"/>
  <c r="V39" i="185"/>
  <c r="W35" i="186"/>
  <c r="AE37" i="185"/>
  <c r="Q37" i="185"/>
  <c r="Q36" i="185"/>
  <c r="Q38" i="185" s="1"/>
  <c r="M37" i="186"/>
  <c r="M36" i="186"/>
  <c r="M38" i="186" s="1"/>
  <c r="AX17" i="185"/>
  <c r="AX13" i="185"/>
  <c r="AX9" i="185"/>
  <c r="AX5" i="185"/>
  <c r="Y43" i="185"/>
  <c r="AX18" i="185"/>
  <c r="AX10" i="185"/>
  <c r="AX7" i="185"/>
  <c r="AX4" i="185"/>
  <c r="AX19" i="185"/>
  <c r="AX11" i="185"/>
  <c r="AX15" i="185"/>
  <c r="AX6" i="185"/>
  <c r="AX14" i="185"/>
  <c r="AX8" i="185"/>
  <c r="AX12" i="185"/>
  <c r="AX16" i="185"/>
  <c r="Y53" i="185"/>
  <c r="S33" i="186"/>
  <c r="S34" i="186" s="1"/>
  <c r="T35" i="185"/>
  <c r="T39" i="185"/>
  <c r="N44" i="185"/>
  <c r="N45" i="185"/>
  <c r="AS16" i="186"/>
  <c r="AS12" i="186"/>
  <c r="AS8" i="186"/>
  <c r="AS4" i="186"/>
  <c r="T43" i="186"/>
  <c r="AS11" i="186"/>
  <c r="AS5" i="186"/>
  <c r="AS15" i="186"/>
  <c r="AS9" i="186"/>
  <c r="AS10" i="186"/>
  <c r="AS6" i="186"/>
  <c r="AS17" i="186"/>
  <c r="AS19" i="186"/>
  <c r="AS18" i="186"/>
  <c r="AS13" i="186"/>
  <c r="AS14" i="186"/>
  <c r="AS7" i="186"/>
  <c r="T53" i="186"/>
  <c r="AA37" i="185"/>
  <c r="AA36" i="185"/>
  <c r="AA38" i="185" s="1"/>
  <c r="L35" i="185"/>
  <c r="L39" i="185"/>
  <c r="R43" i="185"/>
  <c r="AQ13" i="185"/>
  <c r="AQ16" i="185"/>
  <c r="AQ6" i="185"/>
  <c r="AQ18" i="185"/>
  <c r="AQ4" i="185"/>
  <c r="AQ17" i="185"/>
  <c r="AQ12" i="185"/>
  <c r="AQ9" i="185"/>
  <c r="AQ11" i="185"/>
  <c r="AQ7" i="185"/>
  <c r="AQ5" i="185"/>
  <c r="AQ19" i="185"/>
  <c r="AQ15" i="185"/>
  <c r="AQ14" i="185"/>
  <c r="AQ10" i="185"/>
  <c r="AQ8" i="185"/>
  <c r="R53" i="185"/>
  <c r="P43" i="185"/>
  <c r="AO18" i="185"/>
  <c r="AO19" i="185"/>
  <c r="AO13" i="185"/>
  <c r="AO10" i="185"/>
  <c r="AO7" i="185"/>
  <c r="AO4" i="185"/>
  <c r="AO14" i="185"/>
  <c r="AO6" i="185"/>
  <c r="AO8" i="185"/>
  <c r="AO17" i="185"/>
  <c r="AO9" i="185"/>
  <c r="AO16" i="185"/>
  <c r="AO12" i="185"/>
  <c r="AO11" i="185"/>
  <c r="AO5" i="185"/>
  <c r="AO15" i="185"/>
  <c r="P53" i="185"/>
  <c r="K37" i="186"/>
  <c r="K36" i="186"/>
  <c r="K38" i="186" s="1"/>
  <c r="AB44" i="186"/>
  <c r="AB45" i="186"/>
  <c r="AD43" i="185"/>
  <c r="BC12" i="185"/>
  <c r="BC15" i="185"/>
  <c r="BC5" i="185"/>
  <c r="BC19" i="185"/>
  <c r="BC6" i="185"/>
  <c r="BC4" i="185"/>
  <c r="BC13" i="185"/>
  <c r="BC17" i="185"/>
  <c r="BC9" i="185"/>
  <c r="BC7" i="185"/>
  <c r="BC11" i="185"/>
  <c r="BC16" i="185"/>
  <c r="BC18" i="185"/>
  <c r="BC10" i="185"/>
  <c r="BC8" i="185"/>
  <c r="BC14" i="185"/>
  <c r="AD53" i="185"/>
  <c r="R41" i="185"/>
  <c r="AM17" i="186"/>
  <c r="AM13" i="186"/>
  <c r="AM9" i="186"/>
  <c r="AM5" i="186"/>
  <c r="N43" i="186"/>
  <c r="AM16" i="186"/>
  <c r="AM7" i="186"/>
  <c r="AM18" i="186"/>
  <c r="AM4" i="186"/>
  <c r="AM11" i="186"/>
  <c r="AM8" i="186"/>
  <c r="AM15" i="186"/>
  <c r="AM14" i="186"/>
  <c r="AM6" i="186"/>
  <c r="AM10" i="186"/>
  <c r="AM19" i="186"/>
  <c r="AM12" i="186"/>
  <c r="N53" i="186"/>
  <c r="R33" i="186"/>
  <c r="R34" i="186" s="1"/>
  <c r="AL18" i="185"/>
  <c r="AL15" i="185"/>
  <c r="AL11" i="185"/>
  <c r="AL7" i="185"/>
  <c r="M43" i="185"/>
  <c r="AL5" i="185"/>
  <c r="AL8" i="185"/>
  <c r="AL17" i="185"/>
  <c r="AL14" i="185"/>
  <c r="AL10" i="185"/>
  <c r="AL13" i="185"/>
  <c r="AL6" i="185"/>
  <c r="AL4" i="185"/>
  <c r="AL19" i="185"/>
  <c r="AL16" i="185"/>
  <c r="AL12" i="185"/>
  <c r="AL9" i="185"/>
  <c r="M53" i="185"/>
  <c r="K37" i="185"/>
  <c r="O37" i="186"/>
  <c r="O36" i="186"/>
  <c r="O38" i="186" s="1"/>
  <c r="S43" i="186"/>
  <c r="AR17" i="186"/>
  <c r="AR14" i="186"/>
  <c r="AR11" i="186"/>
  <c r="AR8" i="186"/>
  <c r="AR5" i="186"/>
  <c r="AR18" i="186"/>
  <c r="AR15" i="186"/>
  <c r="AR12" i="186"/>
  <c r="AR9" i="186"/>
  <c r="AR6" i="186"/>
  <c r="AR7" i="186"/>
  <c r="AR16" i="186"/>
  <c r="AR10" i="186"/>
  <c r="AR4" i="186"/>
  <c r="AR19" i="186"/>
  <c r="AR13" i="186"/>
  <c r="S53" i="186"/>
  <c r="S45" i="185"/>
  <c r="S44" i="185"/>
  <c r="AB33" i="186"/>
  <c r="AB34" i="186" s="1"/>
  <c r="AN19" i="185"/>
  <c r="AN16" i="185"/>
  <c r="AN12" i="185"/>
  <c r="AN8" i="185"/>
  <c r="AN4" i="185"/>
  <c r="AN17" i="185"/>
  <c r="AN14" i="185"/>
  <c r="AN11" i="185"/>
  <c r="AN18" i="185"/>
  <c r="AN13" i="185"/>
  <c r="AN15" i="185"/>
  <c r="AN6" i="185"/>
  <c r="AN9" i="185"/>
  <c r="AN7" i="185"/>
  <c r="O43" i="185"/>
  <c r="AN5" i="185"/>
  <c r="AN10" i="185"/>
  <c r="O53" i="185"/>
  <c r="J37" i="185"/>
  <c r="J36" i="185"/>
  <c r="J38" i="185" s="1"/>
  <c r="AE43" i="186"/>
  <c r="BD19" i="186"/>
  <c r="BD10" i="186"/>
  <c r="BD16" i="186"/>
  <c r="BD13" i="186"/>
  <c r="BD7" i="186"/>
  <c r="BD14" i="186"/>
  <c r="BD17" i="186"/>
  <c r="BD11" i="186"/>
  <c r="BD12" i="186"/>
  <c r="BD6" i="186"/>
  <c r="BD15" i="186"/>
  <c r="BD8" i="186"/>
  <c r="BD9" i="186"/>
  <c r="BD5" i="186"/>
  <c r="BD4" i="186"/>
  <c r="BD18" i="186"/>
  <c r="AE53" i="186"/>
  <c r="Q33" i="186"/>
  <c r="Q34" i="186" s="1"/>
  <c r="AD39" i="186"/>
  <c r="AD35" i="186"/>
  <c r="S37" i="185"/>
  <c r="S36" i="185"/>
  <c r="S38" i="185" s="1"/>
  <c r="AF37" i="185"/>
  <c r="AF36" i="185"/>
  <c r="AF38" i="185" s="1"/>
  <c r="AI19" i="186"/>
  <c r="AI15" i="186"/>
  <c r="AI11" i="186"/>
  <c r="AI7" i="186"/>
  <c r="J43" i="186"/>
  <c r="AI17" i="186"/>
  <c r="AI14" i="186"/>
  <c r="AI8" i="186"/>
  <c r="AI5" i="186"/>
  <c r="AI18" i="186"/>
  <c r="AI12" i="186"/>
  <c r="AI9" i="186"/>
  <c r="AI6" i="186"/>
  <c r="AI4" i="186"/>
  <c r="AI13" i="186"/>
  <c r="AI10" i="186"/>
  <c r="AI16" i="186"/>
  <c r="J53" i="186"/>
  <c r="AF35" i="186"/>
  <c r="AF39" i="186"/>
  <c r="AA37" i="186"/>
  <c r="AA36" i="186"/>
  <c r="AA38" i="186" s="1"/>
  <c r="X37" i="185"/>
  <c r="X36" i="185"/>
  <c r="X38" i="185" s="1"/>
  <c r="O45" i="186"/>
  <c r="O44" i="186"/>
  <c r="BD19" i="185"/>
  <c r="BD16" i="185"/>
  <c r="BD12" i="185"/>
  <c r="BD8" i="185"/>
  <c r="BD4" i="185"/>
  <c r="AE43" i="185"/>
  <c r="BD15" i="185"/>
  <c r="BD5" i="185"/>
  <c r="BD14" i="185"/>
  <c r="BD11" i="185"/>
  <c r="BD13" i="185"/>
  <c r="BD17" i="185"/>
  <c r="BD9" i="185"/>
  <c r="BD7" i="185"/>
  <c r="BD18" i="185"/>
  <c r="BD10" i="185"/>
  <c r="BD6" i="185"/>
  <c r="AE53" i="185"/>
  <c r="AD44" i="186"/>
  <c r="AD45" i="186"/>
  <c r="AB35" i="185"/>
  <c r="T33" i="186"/>
  <c r="T34" i="186" s="1"/>
  <c r="Y43" i="186"/>
  <c r="AX18" i="186"/>
  <c r="AX15" i="186"/>
  <c r="AX12" i="186"/>
  <c r="AX9" i="186"/>
  <c r="AX6" i="186"/>
  <c r="AX19" i="186"/>
  <c r="AX16" i="186"/>
  <c r="AX13" i="186"/>
  <c r="AX10" i="186"/>
  <c r="AX7" i="186"/>
  <c r="AX17" i="186"/>
  <c r="AX11" i="186"/>
  <c r="AX4" i="186"/>
  <c r="AX14" i="186"/>
  <c r="AX5" i="186"/>
  <c r="AX8" i="186"/>
  <c r="Y53" i="186"/>
  <c r="L44" i="186"/>
  <c r="L45" i="186"/>
  <c r="M37" i="185"/>
  <c r="M36" i="185"/>
  <c r="M38" i="185" s="1"/>
  <c r="K45" i="185"/>
  <c r="K44" i="185"/>
  <c r="AA43" i="185"/>
  <c r="AZ17" i="185"/>
  <c r="AZ14" i="185"/>
  <c r="AZ10" i="185"/>
  <c r="AZ6" i="185"/>
  <c r="AZ19" i="185"/>
  <c r="AZ13" i="185"/>
  <c r="AZ16" i="185"/>
  <c r="AZ15" i="185"/>
  <c r="AZ8" i="185"/>
  <c r="AZ4" i="185"/>
  <c r="AZ9" i="185"/>
  <c r="AZ12" i="185"/>
  <c r="AZ7" i="185"/>
  <c r="AZ11" i="185"/>
  <c r="AZ5" i="185"/>
  <c r="AZ18" i="185"/>
  <c r="AA53" i="185"/>
  <c r="AA44" i="186"/>
  <c r="AA45" i="186"/>
  <c r="X33" i="186"/>
  <c r="X34" i="186" s="1"/>
  <c r="Z37" i="185"/>
  <c r="Z36" i="185"/>
  <c r="Z38" i="185" s="1"/>
  <c r="BC12" i="184"/>
  <c r="BC8" i="184"/>
  <c r="BC4" i="184"/>
  <c r="BC17" i="184"/>
  <c r="AD43" i="184"/>
  <c r="BC14" i="184"/>
  <c r="BC6" i="184"/>
  <c r="BC16" i="184"/>
  <c r="BC13" i="184"/>
  <c r="BC15" i="184"/>
  <c r="BC9" i="184"/>
  <c r="BC7" i="184"/>
  <c r="BC19" i="184"/>
  <c r="BC11" i="184"/>
  <c r="BC18" i="184"/>
  <c r="BC5" i="184"/>
  <c r="BC10" i="184"/>
  <c r="AD53" i="184"/>
  <c r="R43" i="184"/>
  <c r="AQ14" i="184"/>
  <c r="AQ10" i="184"/>
  <c r="AQ6" i="184"/>
  <c r="AQ18" i="184"/>
  <c r="AQ15" i="184"/>
  <c r="AQ4" i="184"/>
  <c r="AQ17" i="184"/>
  <c r="AQ5" i="184"/>
  <c r="AQ13" i="184"/>
  <c r="AQ7" i="184"/>
  <c r="AQ9" i="184"/>
  <c r="AQ8" i="184"/>
  <c r="AQ19" i="184"/>
  <c r="AQ11" i="184"/>
  <c r="AQ12" i="184"/>
  <c r="AQ16" i="184"/>
  <c r="R53" i="184"/>
  <c r="N43" i="184"/>
  <c r="AM12" i="184"/>
  <c r="AM8" i="184"/>
  <c r="AM4" i="184"/>
  <c r="AM19" i="184"/>
  <c r="AM16" i="184"/>
  <c r="AM17" i="184"/>
  <c r="AM14" i="184"/>
  <c r="AM6" i="184"/>
  <c r="AM11" i="184"/>
  <c r="AM15" i="184"/>
  <c r="AM5" i="184"/>
  <c r="AM13" i="184"/>
  <c r="AM18" i="184"/>
  <c r="AM9" i="184"/>
  <c r="AM7" i="184"/>
  <c r="AM10" i="184"/>
  <c r="N53" i="184"/>
  <c r="N35" i="184"/>
  <c r="N39" i="184"/>
  <c r="V45" i="184"/>
  <c r="V44" i="184"/>
  <c r="X43" i="184"/>
  <c r="AW19" i="184"/>
  <c r="AW16" i="184"/>
  <c r="AW13" i="184"/>
  <c r="AW9" i="184"/>
  <c r="AW5" i="184"/>
  <c r="AW14" i="184"/>
  <c r="AW18" i="184"/>
  <c r="AW17" i="184"/>
  <c r="AW15" i="184"/>
  <c r="AW11" i="184"/>
  <c r="AW12" i="184"/>
  <c r="AW7" i="184"/>
  <c r="AW10" i="184"/>
  <c r="AW8" i="184"/>
  <c r="AW6" i="184"/>
  <c r="AW4" i="184"/>
  <c r="X53" i="184"/>
  <c r="AL17" i="184"/>
  <c r="M43" i="184"/>
  <c r="AL12" i="184"/>
  <c r="AL8" i="184"/>
  <c r="AL4" i="184"/>
  <c r="AL19" i="184"/>
  <c r="AL16" i="184"/>
  <c r="AL15" i="184"/>
  <c r="AL10" i="184"/>
  <c r="AL13" i="184"/>
  <c r="AL14" i="184"/>
  <c r="AL11" i="184"/>
  <c r="AL18" i="184"/>
  <c r="AL6" i="184"/>
  <c r="AL9" i="184"/>
  <c r="AL7" i="184"/>
  <c r="AL5" i="184"/>
  <c r="M53" i="184"/>
  <c r="AK17" i="184"/>
  <c r="AK15" i="184"/>
  <c r="AK11" i="184"/>
  <c r="AK7" i="184"/>
  <c r="L43" i="184"/>
  <c r="AK9" i="184"/>
  <c r="AK4" i="184"/>
  <c r="AK16" i="184"/>
  <c r="AK10" i="184"/>
  <c r="AK14" i="184"/>
  <c r="AK12" i="184"/>
  <c r="AK19" i="184"/>
  <c r="AK13" i="184"/>
  <c r="AK5" i="184"/>
  <c r="AK18" i="184"/>
  <c r="AK6" i="184"/>
  <c r="AK8" i="184"/>
  <c r="L53" i="184"/>
  <c r="T35" i="184"/>
  <c r="T39" i="184"/>
  <c r="X37" i="184"/>
  <c r="X36" i="184"/>
  <c r="X38" i="184" s="1"/>
  <c r="AV18" i="184"/>
  <c r="AV19" i="184"/>
  <c r="AV16" i="184"/>
  <c r="AV13" i="184"/>
  <c r="AV9" i="184"/>
  <c r="AV5" i="184"/>
  <c r="W43" i="184"/>
  <c r="AV17" i="184"/>
  <c r="AV12" i="184"/>
  <c r="AV10" i="184"/>
  <c r="AV8" i="184"/>
  <c r="AV11" i="184"/>
  <c r="AV14" i="184"/>
  <c r="AV15" i="184"/>
  <c r="AV6" i="184"/>
  <c r="AV4" i="184"/>
  <c r="AV7" i="184"/>
  <c r="W53" i="184"/>
  <c r="BD18" i="184"/>
  <c r="BD17" i="184"/>
  <c r="BD13" i="184"/>
  <c r="BD9" i="184"/>
  <c r="BD5" i="184"/>
  <c r="BD19" i="184"/>
  <c r="BD16" i="184"/>
  <c r="AE43" i="184"/>
  <c r="BD12" i="184"/>
  <c r="BD11" i="184"/>
  <c r="BD15" i="184"/>
  <c r="BD7" i="184"/>
  <c r="BD10" i="184"/>
  <c r="BD8" i="184"/>
  <c r="BD14" i="184"/>
  <c r="BD6" i="184"/>
  <c r="BD4" i="184"/>
  <c r="AE53" i="184"/>
  <c r="AE39" i="184"/>
  <c r="AE35" i="184"/>
  <c r="J44" i="184"/>
  <c r="J45" i="184"/>
  <c r="AT17" i="184"/>
  <c r="AT12" i="184"/>
  <c r="AT8" i="184"/>
  <c r="AT4" i="184"/>
  <c r="U43" i="184"/>
  <c r="AT15" i="184"/>
  <c r="AT11" i="184"/>
  <c r="AT19" i="184"/>
  <c r="AT9" i="184"/>
  <c r="AT7" i="184"/>
  <c r="AT18" i="184"/>
  <c r="AT10" i="184"/>
  <c r="AT16" i="184"/>
  <c r="AT14" i="184"/>
  <c r="AT5" i="184"/>
  <c r="AT13" i="184"/>
  <c r="AT6" i="184"/>
  <c r="U53" i="184"/>
  <c r="AB43" i="184"/>
  <c r="BA18" i="184"/>
  <c r="BA15" i="184"/>
  <c r="BA11" i="184"/>
  <c r="BA7" i="184"/>
  <c r="BA17" i="184"/>
  <c r="BA4" i="184"/>
  <c r="BA5" i="184"/>
  <c r="BA14" i="184"/>
  <c r="BA6" i="184"/>
  <c r="BA16" i="184"/>
  <c r="BA13" i="184"/>
  <c r="BA8" i="184"/>
  <c r="BA10" i="184"/>
  <c r="BA19" i="184"/>
  <c r="BA12" i="184"/>
  <c r="BA9" i="184"/>
  <c r="AB53" i="184"/>
  <c r="P44" i="184"/>
  <c r="P45" i="184"/>
  <c r="AD37" i="184"/>
  <c r="AD36" i="184"/>
  <c r="AD38" i="184" s="1"/>
  <c r="BB17" i="184"/>
  <c r="BB12" i="184"/>
  <c r="BB8" i="184"/>
  <c r="BB4" i="184"/>
  <c r="AC43" i="184"/>
  <c r="BB18" i="184"/>
  <c r="BB15" i="184"/>
  <c r="BB5" i="184"/>
  <c r="BB10" i="184"/>
  <c r="BB14" i="184"/>
  <c r="BB6" i="184"/>
  <c r="BB16" i="184"/>
  <c r="BB13" i="184"/>
  <c r="BB7" i="184"/>
  <c r="BB9" i="184"/>
  <c r="BB19" i="184"/>
  <c r="BB11" i="184"/>
  <c r="AC53" i="184"/>
  <c r="M37" i="184"/>
  <c r="M36" i="184"/>
  <c r="M38" i="184" s="1"/>
  <c r="S39" i="184"/>
  <c r="S35" i="184"/>
  <c r="AS15" i="184"/>
  <c r="AS11" i="184"/>
  <c r="AS7" i="184"/>
  <c r="AS17" i="184"/>
  <c r="T43" i="184"/>
  <c r="AS18" i="184"/>
  <c r="AS13" i="184"/>
  <c r="AS6" i="184"/>
  <c r="AS12" i="184"/>
  <c r="AS8" i="184"/>
  <c r="AS19" i="184"/>
  <c r="AS9" i="184"/>
  <c r="AS10" i="184"/>
  <c r="AS16" i="184"/>
  <c r="AS14" i="184"/>
  <c r="AS4" i="184"/>
  <c r="AS5" i="184"/>
  <c r="T53" i="184"/>
  <c r="K39" i="184"/>
  <c r="K35" i="184"/>
  <c r="U33" i="184"/>
  <c r="U34" i="184" s="1"/>
  <c r="R37" i="184"/>
  <c r="R36" i="184"/>
  <c r="R38" i="184" s="1"/>
  <c r="Y44" i="184"/>
  <c r="Y45" i="184"/>
  <c r="AB33" i="184"/>
  <c r="AB34" i="184" s="1"/>
  <c r="AN18" i="184"/>
  <c r="O43" i="184"/>
  <c r="AN19" i="184"/>
  <c r="AN16" i="184"/>
  <c r="AN13" i="184"/>
  <c r="AN9" i="184"/>
  <c r="AN5" i="184"/>
  <c r="AN11" i="184"/>
  <c r="AN15" i="184"/>
  <c r="AN12" i="184"/>
  <c r="AN6" i="184"/>
  <c r="AN4" i="184"/>
  <c r="AN17" i="184"/>
  <c r="AN7" i="184"/>
  <c r="AN10" i="184"/>
  <c r="AN8" i="184"/>
  <c r="AN14" i="184"/>
  <c r="O53" i="184"/>
  <c r="AC35" i="184"/>
  <c r="AC39" i="184"/>
  <c r="Q45" i="184"/>
  <c r="Q44" i="184"/>
  <c r="W35" i="184"/>
  <c r="W39" i="184"/>
  <c r="V39" i="184"/>
  <c r="V35" i="184"/>
  <c r="AF45" i="184"/>
  <c r="AF44" i="184"/>
  <c r="Z44" i="184"/>
  <c r="Z45" i="184"/>
  <c r="P39" i="184"/>
  <c r="P35" i="184"/>
  <c r="AJ16" i="184"/>
  <c r="AJ17" i="184"/>
  <c r="AJ15" i="184"/>
  <c r="AJ11" i="184"/>
  <c r="AJ7" i="184"/>
  <c r="K43" i="184"/>
  <c r="AJ18" i="184"/>
  <c r="AJ14" i="184"/>
  <c r="AJ8" i="184"/>
  <c r="AJ9" i="184"/>
  <c r="AJ10" i="184"/>
  <c r="AJ12" i="184"/>
  <c r="AJ4" i="184"/>
  <c r="AJ19" i="184"/>
  <c r="AJ13" i="184"/>
  <c r="AJ5" i="184"/>
  <c r="AJ6" i="184"/>
  <c r="K53" i="184"/>
  <c r="J39" i="184"/>
  <c r="J35" i="184"/>
  <c r="Q37" i="184"/>
  <c r="Q36" i="184"/>
  <c r="Q38" i="184" s="1"/>
  <c r="L37" i="184"/>
  <c r="L36" i="184"/>
  <c r="L38" i="184" s="1"/>
  <c r="AR16" i="184"/>
  <c r="AR18" i="184"/>
  <c r="AR15" i="184"/>
  <c r="AR11" i="184"/>
  <c r="AR7" i="184"/>
  <c r="AR17" i="184"/>
  <c r="S43" i="184"/>
  <c r="AR14" i="184"/>
  <c r="AR5" i="184"/>
  <c r="AR10" i="184"/>
  <c r="AR13" i="184"/>
  <c r="AR6" i="184"/>
  <c r="AR8" i="184"/>
  <c r="AR19" i="184"/>
  <c r="AR9" i="184"/>
  <c r="AR12" i="184"/>
  <c r="AR4" i="184"/>
  <c r="S53" i="184"/>
  <c r="AA44" i="184"/>
  <c r="AA45" i="184"/>
  <c r="AA37" i="184"/>
  <c r="AA36" i="184"/>
  <c r="AA38" i="184" s="1"/>
  <c r="O39" i="184"/>
  <c r="O35" i="184"/>
  <c r="BE19" i="183"/>
  <c r="AF43" i="183"/>
  <c r="BE14" i="183"/>
  <c r="BE10" i="183"/>
  <c r="BE6" i="183"/>
  <c r="BE17" i="183"/>
  <c r="BE18" i="183"/>
  <c r="BE15" i="183"/>
  <c r="BE12" i="183"/>
  <c r="BE8" i="183"/>
  <c r="BE4" i="183"/>
  <c r="BE9" i="183"/>
  <c r="BE13" i="183"/>
  <c r="BE16" i="183"/>
  <c r="BE5" i="183"/>
  <c r="BE11" i="183"/>
  <c r="BE7" i="183"/>
  <c r="AF53" i="183"/>
  <c r="BB18" i="183"/>
  <c r="AC43" i="183"/>
  <c r="BB17" i="183"/>
  <c r="BB19" i="183"/>
  <c r="BB13" i="183"/>
  <c r="BB9" i="183"/>
  <c r="BB5" i="183"/>
  <c r="BB16" i="183"/>
  <c r="BB14" i="183"/>
  <c r="BB10" i="183"/>
  <c r="BB6" i="183"/>
  <c r="BB15" i="183"/>
  <c r="BB11" i="183"/>
  <c r="BB7" i="183"/>
  <c r="BB4" i="183"/>
  <c r="BB12" i="183"/>
  <c r="BB8" i="183"/>
  <c r="AC53" i="183"/>
  <c r="J43" i="183"/>
  <c r="AI15" i="183"/>
  <c r="AI11" i="183"/>
  <c r="AI7" i="183"/>
  <c r="AI17" i="183"/>
  <c r="AI18" i="183"/>
  <c r="AI16" i="183"/>
  <c r="AI19" i="183"/>
  <c r="AI13" i="183"/>
  <c r="AI9" i="183"/>
  <c r="AI5" i="183"/>
  <c r="AI10" i="183"/>
  <c r="AI14" i="183"/>
  <c r="AI8" i="183"/>
  <c r="AI6" i="183"/>
  <c r="AI12" i="183"/>
  <c r="AI4" i="183"/>
  <c r="J53" i="183"/>
  <c r="BD19" i="183"/>
  <c r="BD15" i="183"/>
  <c r="AE43" i="183"/>
  <c r="BD18" i="183"/>
  <c r="BD16" i="183"/>
  <c r="BD14" i="183"/>
  <c r="BD10" i="183"/>
  <c r="BD6" i="183"/>
  <c r="BD17" i="183"/>
  <c r="BD11" i="183"/>
  <c r="BD7" i="183"/>
  <c r="BD12" i="183"/>
  <c r="BD8" i="183"/>
  <c r="BD4" i="183"/>
  <c r="BD5" i="183"/>
  <c r="BD13" i="183"/>
  <c r="BD9" i="183"/>
  <c r="AE53" i="183"/>
  <c r="R43" i="183"/>
  <c r="AQ19" i="183"/>
  <c r="AQ15" i="183"/>
  <c r="AQ11" i="183"/>
  <c r="AQ7" i="183"/>
  <c r="AQ17" i="183"/>
  <c r="AQ16" i="183"/>
  <c r="AQ13" i="183"/>
  <c r="AQ9" i="183"/>
  <c r="AQ5" i="183"/>
  <c r="AQ18" i="183"/>
  <c r="AQ10" i="183"/>
  <c r="AQ14" i="183"/>
  <c r="AQ6" i="183"/>
  <c r="AQ12" i="183"/>
  <c r="AQ4" i="183"/>
  <c r="AQ8" i="183"/>
  <c r="R53" i="183"/>
  <c r="AB43" i="183"/>
  <c r="BA12" i="183"/>
  <c r="BA8" i="183"/>
  <c r="BA4" i="183"/>
  <c r="BA19" i="183"/>
  <c r="BA16" i="183"/>
  <c r="BA17" i="183"/>
  <c r="BA14" i="183"/>
  <c r="BA10" i="183"/>
  <c r="BA6" i="183"/>
  <c r="BA18" i="183"/>
  <c r="BA11" i="183"/>
  <c r="BA15" i="183"/>
  <c r="BA7" i="183"/>
  <c r="BA5" i="183"/>
  <c r="BA13" i="183"/>
  <c r="BA9" i="183"/>
  <c r="AB53" i="183"/>
  <c r="AW19" i="183"/>
  <c r="X43" i="183"/>
  <c r="AW14" i="183"/>
  <c r="AW10" i="183"/>
  <c r="AW6" i="183"/>
  <c r="AW18" i="183"/>
  <c r="AW15" i="183"/>
  <c r="AW12" i="183"/>
  <c r="AW8" i="183"/>
  <c r="AW4" i="183"/>
  <c r="AW9" i="183"/>
  <c r="AW16" i="183"/>
  <c r="AW13" i="183"/>
  <c r="AW17" i="183"/>
  <c r="AW7" i="183"/>
  <c r="AW5" i="183"/>
  <c r="AW11" i="183"/>
  <c r="X53" i="183"/>
  <c r="Y43" i="183"/>
  <c r="AX16" i="183"/>
  <c r="AX19" i="183"/>
  <c r="AX18" i="183"/>
  <c r="AX15" i="183"/>
  <c r="AX11" i="183"/>
  <c r="AX7" i="183"/>
  <c r="AX12" i="183"/>
  <c r="AX8" i="183"/>
  <c r="AX4" i="183"/>
  <c r="AX13" i="183"/>
  <c r="AX9" i="183"/>
  <c r="AX5" i="183"/>
  <c r="AX17" i="183"/>
  <c r="AX6" i="183"/>
  <c r="AX14" i="183"/>
  <c r="AX10" i="183"/>
  <c r="Y53" i="183"/>
  <c r="Y37" i="183"/>
  <c r="Y36" i="183"/>
  <c r="Y38" i="183" s="1"/>
  <c r="AN19" i="183"/>
  <c r="AN18" i="183"/>
  <c r="AN14" i="183"/>
  <c r="AN10" i="183"/>
  <c r="AN6" i="183"/>
  <c r="AN15" i="183"/>
  <c r="AN11" i="183"/>
  <c r="AN7" i="183"/>
  <c r="AN17" i="183"/>
  <c r="O43" i="183"/>
  <c r="AN12" i="183"/>
  <c r="AN8" i="183"/>
  <c r="AN4" i="183"/>
  <c r="AN16" i="183"/>
  <c r="AN5" i="183"/>
  <c r="AN9" i="183"/>
  <c r="AN13" i="183"/>
  <c r="O53" i="183"/>
  <c r="L35" i="183"/>
  <c r="L39" i="183"/>
  <c r="N45" i="183"/>
  <c r="N44" i="183"/>
  <c r="J37" i="183"/>
  <c r="J36" i="183"/>
  <c r="J38" i="183" s="1"/>
  <c r="AZ17" i="183"/>
  <c r="AZ12" i="183"/>
  <c r="AZ8" i="183"/>
  <c r="AZ4" i="183"/>
  <c r="AA43" i="183"/>
  <c r="AZ19" i="183"/>
  <c r="AZ13" i="183"/>
  <c r="AZ9" i="183"/>
  <c r="AZ5" i="183"/>
  <c r="AZ16" i="183"/>
  <c r="AZ14" i="183"/>
  <c r="AZ10" i="183"/>
  <c r="AZ6" i="183"/>
  <c r="AZ18" i="183"/>
  <c r="AZ7" i="183"/>
  <c r="AZ11" i="183"/>
  <c r="AZ15" i="183"/>
  <c r="AA53" i="183"/>
  <c r="S33" i="183"/>
  <c r="S34" i="183" s="1"/>
  <c r="AT18" i="183"/>
  <c r="U43" i="183"/>
  <c r="AT17" i="183"/>
  <c r="AT16" i="183"/>
  <c r="AT13" i="183"/>
  <c r="AT9" i="183"/>
  <c r="AT5" i="183"/>
  <c r="AT14" i="183"/>
  <c r="AT10" i="183"/>
  <c r="AT6" i="183"/>
  <c r="AT19" i="183"/>
  <c r="AT15" i="183"/>
  <c r="AT11" i="183"/>
  <c r="AT7" i="183"/>
  <c r="AT4" i="183"/>
  <c r="AT12" i="183"/>
  <c r="AT8" i="183"/>
  <c r="U53" i="183"/>
  <c r="W39" i="183"/>
  <c r="W43" i="183"/>
  <c r="AV19" i="183"/>
  <c r="AV18" i="183"/>
  <c r="AV17" i="183"/>
  <c r="AV14" i="183"/>
  <c r="AV10" i="183"/>
  <c r="AV6" i="183"/>
  <c r="AV15" i="183"/>
  <c r="AV11" i="183"/>
  <c r="AV7" i="183"/>
  <c r="AV12" i="183"/>
  <c r="AV8" i="183"/>
  <c r="AV4" i="183"/>
  <c r="AV16" i="183"/>
  <c r="AV13" i="183"/>
  <c r="AV9" i="183"/>
  <c r="AV5" i="183"/>
  <c r="W53" i="183"/>
  <c r="U33" i="183"/>
  <c r="U34" i="183" s="1"/>
  <c r="AO19" i="183"/>
  <c r="P43" i="183"/>
  <c r="AO14" i="183"/>
  <c r="AO10" i="183"/>
  <c r="AO6" i="183"/>
  <c r="AO15" i="183"/>
  <c r="AO12" i="183"/>
  <c r="AO8" i="183"/>
  <c r="AO4" i="183"/>
  <c r="AO17" i="183"/>
  <c r="AO16" i="183"/>
  <c r="AO13" i="183"/>
  <c r="AO18" i="183"/>
  <c r="AO9" i="183"/>
  <c r="AO7" i="183"/>
  <c r="AO11" i="183"/>
  <c r="AO5" i="183"/>
  <c r="P53" i="183"/>
  <c r="Q45" i="183"/>
  <c r="Q44" i="183"/>
  <c r="BC19" i="183"/>
  <c r="AD43" i="183"/>
  <c r="BC13" i="183"/>
  <c r="BC9" i="183"/>
  <c r="BC5" i="183"/>
  <c r="BC16" i="183"/>
  <c r="BC17" i="183"/>
  <c r="BC18" i="183"/>
  <c r="BC15" i="183"/>
  <c r="BC11" i="183"/>
  <c r="BC7" i="183"/>
  <c r="BC12" i="183"/>
  <c r="BC8" i="183"/>
  <c r="BC14" i="183"/>
  <c r="BC10" i="183"/>
  <c r="BC6" i="183"/>
  <c r="BC4" i="183"/>
  <c r="AD53" i="183"/>
  <c r="V39" i="183"/>
  <c r="V35" i="183"/>
  <c r="T39" i="183"/>
  <c r="T43" i="183"/>
  <c r="AS12" i="183"/>
  <c r="AS8" i="183"/>
  <c r="AS4" i="183"/>
  <c r="AS17" i="183"/>
  <c r="AS16" i="183"/>
  <c r="AS18" i="183"/>
  <c r="AS14" i="183"/>
  <c r="AS10" i="183"/>
  <c r="AS6" i="183"/>
  <c r="AS11" i="183"/>
  <c r="AS19" i="183"/>
  <c r="AS15" i="183"/>
  <c r="AS13" i="183"/>
  <c r="AS9" i="183"/>
  <c r="AS7" i="183"/>
  <c r="AS5" i="183"/>
  <c r="T53" i="183"/>
  <c r="AR17" i="183"/>
  <c r="S43" i="183"/>
  <c r="AR12" i="183"/>
  <c r="AR8" i="183"/>
  <c r="AR4" i="183"/>
  <c r="AR16" i="183"/>
  <c r="AR13" i="183"/>
  <c r="AR9" i="183"/>
  <c r="AR5" i="183"/>
  <c r="AR18" i="183"/>
  <c r="AR14" i="183"/>
  <c r="AR10" i="183"/>
  <c r="AR6" i="183"/>
  <c r="AR19" i="183"/>
  <c r="AR7" i="183"/>
  <c r="AR11" i="183"/>
  <c r="AR15" i="183"/>
  <c r="S53" i="183"/>
  <c r="AJ17" i="183"/>
  <c r="K43" i="183"/>
  <c r="AJ12" i="183"/>
  <c r="AJ8" i="183"/>
  <c r="AJ4" i="183"/>
  <c r="AJ18" i="183"/>
  <c r="AJ16" i="183"/>
  <c r="AJ19" i="183"/>
  <c r="AJ13" i="183"/>
  <c r="AJ9" i="183"/>
  <c r="AJ5" i="183"/>
  <c r="AJ14" i="183"/>
  <c r="AJ10" i="183"/>
  <c r="AJ6" i="183"/>
  <c r="AJ15" i="183"/>
  <c r="AJ11" i="183"/>
  <c r="AJ7" i="183"/>
  <c r="K53" i="183"/>
  <c r="N39" i="183"/>
  <c r="N35" i="183"/>
  <c r="P39" i="183"/>
  <c r="X37" i="183"/>
  <c r="X36" i="183"/>
  <c r="X38" i="183" s="1"/>
  <c r="AA39" i="183"/>
  <c r="AA35" i="183"/>
  <c r="AC33" i="183"/>
  <c r="AC34" i="183" s="1"/>
  <c r="V43" i="183"/>
  <c r="AU19" i="183"/>
  <c r="AU16" i="183"/>
  <c r="AU13" i="183"/>
  <c r="AU9" i="183"/>
  <c r="AU5" i="183"/>
  <c r="AU17" i="183"/>
  <c r="AU18" i="183"/>
  <c r="AU15" i="183"/>
  <c r="AU11" i="183"/>
  <c r="AU7" i="183"/>
  <c r="AU12" i="183"/>
  <c r="AU14" i="183"/>
  <c r="AU10" i="183"/>
  <c r="AU6" i="183"/>
  <c r="AU4" i="183"/>
  <c r="AU8" i="183"/>
  <c r="V53" i="183"/>
  <c r="M35" i="183"/>
  <c r="M39" i="183"/>
  <c r="O35" i="183"/>
  <c r="O39" i="183"/>
  <c r="M45" i="183"/>
  <c r="M44" i="183"/>
  <c r="L43" i="183"/>
  <c r="AK17" i="183"/>
  <c r="AK12" i="183"/>
  <c r="AK8" i="183"/>
  <c r="AK4" i="183"/>
  <c r="AK18" i="183"/>
  <c r="AK16" i="183"/>
  <c r="AK19" i="183"/>
  <c r="AK14" i="183"/>
  <c r="AK10" i="183"/>
  <c r="AK6" i="183"/>
  <c r="AK11" i="183"/>
  <c r="AK15" i="183"/>
  <c r="AK5" i="183"/>
  <c r="AK13" i="183"/>
  <c r="AK9" i="183"/>
  <c r="AK7" i="183"/>
  <c r="L53" i="183"/>
  <c r="AD37" i="183"/>
  <c r="AD36" i="183"/>
  <c r="AD38" i="183" s="1"/>
  <c r="Q33" i="183"/>
  <c r="Q34" i="183" s="1"/>
  <c r="Z33" i="183"/>
  <c r="Z34" i="183" s="1"/>
  <c r="R33" i="183"/>
  <c r="R34" i="183" s="1"/>
  <c r="AB33" i="183"/>
  <c r="AB34" i="183" s="1"/>
  <c r="Z43" i="183"/>
  <c r="AY15" i="183"/>
  <c r="AY11" i="183"/>
  <c r="AY7" i="183"/>
  <c r="AY19" i="183"/>
  <c r="AY13" i="183"/>
  <c r="AY9" i="183"/>
  <c r="AY5" i="183"/>
  <c r="AY17" i="183"/>
  <c r="AY16" i="183"/>
  <c r="AY10" i="183"/>
  <c r="AY14" i="183"/>
  <c r="AY18" i="183"/>
  <c r="AY4" i="183"/>
  <c r="AY12" i="183"/>
  <c r="AY8" i="183"/>
  <c r="AY6" i="183"/>
  <c r="Z53" i="183"/>
  <c r="AF33" i="183"/>
  <c r="AF34" i="183" s="1"/>
  <c r="AE35" i="183"/>
  <c r="AE39" i="183"/>
  <c r="K33" i="183"/>
  <c r="K34" i="183" s="1"/>
  <c r="Y33" i="176"/>
  <c r="Y34" i="176" s="1"/>
  <c r="Y35" i="176" s="1"/>
  <c r="S35" i="176"/>
  <c r="S37" i="176" s="1"/>
  <c r="P39" i="176"/>
  <c r="P33" i="177"/>
  <c r="P34" i="177" s="1"/>
  <c r="P39" i="177" s="1"/>
  <c r="J39" i="168"/>
  <c r="W33" i="166"/>
  <c r="W34" i="166" s="1"/>
  <c r="W39" i="166" s="1"/>
  <c r="N35" i="178"/>
  <c r="N37" i="178" s="1"/>
  <c r="AC33" i="179"/>
  <c r="AC34" i="179" s="1"/>
  <c r="AC39" i="179" s="1"/>
  <c r="L17" i="112"/>
  <c r="L10" i="112"/>
  <c r="L14" i="112"/>
  <c r="L7" i="112"/>
  <c r="L11" i="112"/>
  <c r="L18" i="112"/>
  <c r="L8" i="112"/>
  <c r="L15" i="112"/>
  <c r="L12" i="112"/>
  <c r="L9" i="112"/>
  <c r="L6" i="112"/>
  <c r="L13" i="112"/>
  <c r="U35" i="172"/>
  <c r="U37" i="172" s="1"/>
  <c r="U33" i="166"/>
  <c r="U34" i="166" s="1"/>
  <c r="U39" i="166" s="1"/>
  <c r="U33" i="170"/>
  <c r="U34" i="170" s="1"/>
  <c r="U39" i="170" s="1"/>
  <c r="AA35" i="172"/>
  <c r="AA37" i="172" s="1"/>
  <c r="Q33" i="178"/>
  <c r="Q34" i="178" s="1"/>
  <c r="Q39" i="178" s="1"/>
  <c r="W33" i="177"/>
  <c r="W34" i="177" s="1"/>
  <c r="W39" i="177" s="1"/>
  <c r="L37" i="169"/>
  <c r="L36" i="169"/>
  <c r="L38" i="169" s="1"/>
  <c r="AB33" i="170"/>
  <c r="AB34" i="170" s="1"/>
  <c r="AB39" i="170" s="1"/>
  <c r="AF33" i="178"/>
  <c r="AF34" i="178" s="1"/>
  <c r="AF39" i="178" s="1"/>
  <c r="Q45" i="179"/>
  <c r="Q46" i="179" s="1"/>
  <c r="Q47" i="179" s="1"/>
  <c r="Y33" i="179"/>
  <c r="Y34" i="179" s="1"/>
  <c r="Y39" i="179" s="1"/>
  <c r="J33" i="179"/>
  <c r="J34" i="179" s="1"/>
  <c r="J39" i="179" s="1"/>
  <c r="AB33" i="179"/>
  <c r="AB34" i="179" s="1"/>
  <c r="AB35" i="179" s="1"/>
  <c r="AE33" i="169"/>
  <c r="AE34" i="169" s="1"/>
  <c r="AE35" i="169" s="1"/>
  <c r="AC33" i="169"/>
  <c r="AC34" i="169" s="1"/>
  <c r="AC35" i="169" s="1"/>
  <c r="T33" i="170"/>
  <c r="T34" i="170" s="1"/>
  <c r="T35" i="170" s="1"/>
  <c r="V33" i="170"/>
  <c r="V34" i="170" s="1"/>
  <c r="V39" i="170" s="1"/>
  <c r="AE33" i="177"/>
  <c r="AE34" i="177" s="1"/>
  <c r="AE39" i="177" s="1"/>
  <c r="T33" i="177"/>
  <c r="T34" i="177" s="1"/>
  <c r="T39" i="177" s="1"/>
  <c r="J33" i="171"/>
  <c r="J34" i="171" s="1"/>
  <c r="J39" i="171" s="1"/>
  <c r="AC33" i="171"/>
  <c r="AC34" i="171" s="1"/>
  <c r="AC35" i="171" s="1"/>
  <c r="AA37" i="179"/>
  <c r="AA36" i="179"/>
  <c r="AA38" i="179" s="1"/>
  <c r="W33" i="168"/>
  <c r="W34" i="168" s="1"/>
  <c r="W39" i="168" s="1"/>
  <c r="AX10" i="179"/>
  <c r="Y33" i="168"/>
  <c r="Y34" i="168" s="1"/>
  <c r="Y39" i="168" s="1"/>
  <c r="P33" i="168"/>
  <c r="P34" i="168" s="1"/>
  <c r="P39" i="168" s="1"/>
  <c r="AB33" i="168"/>
  <c r="AB34" i="168" s="1"/>
  <c r="AB39" i="168" s="1"/>
  <c r="V37" i="178"/>
  <c r="V36" i="178"/>
  <c r="V38" i="178" s="1"/>
  <c r="Y33" i="177"/>
  <c r="Y34" i="177" s="1"/>
  <c r="Y39" i="177" s="1"/>
  <c r="AF33" i="170"/>
  <c r="AF34" i="170" s="1"/>
  <c r="AF39" i="170" s="1"/>
  <c r="Q33" i="166"/>
  <c r="Q34" i="166" s="1"/>
  <c r="AC33" i="177"/>
  <c r="AC34" i="177" s="1"/>
  <c r="AC35" i="177" s="1"/>
  <c r="S33" i="172"/>
  <c r="S34" i="172" s="1"/>
  <c r="S39" i="172" s="1"/>
  <c r="AF33" i="177"/>
  <c r="AF34" i="177" s="1"/>
  <c r="AF35" i="177" s="1"/>
  <c r="Q33" i="177"/>
  <c r="Q34" i="177" s="1"/>
  <c r="Q39" i="177" s="1"/>
  <c r="S33" i="179"/>
  <c r="S34" i="179" s="1"/>
  <c r="S35" i="179" s="1"/>
  <c r="U33" i="179"/>
  <c r="U34" i="179" s="1"/>
  <c r="U39" i="179" s="1"/>
  <c r="V33" i="179"/>
  <c r="V34" i="179" s="1"/>
  <c r="V35" i="179" s="1"/>
  <c r="Q33" i="169"/>
  <c r="Q34" i="169" s="1"/>
  <c r="Q39" i="169" s="1"/>
  <c r="K33" i="171"/>
  <c r="K34" i="171" s="1"/>
  <c r="K39" i="171" s="1"/>
  <c r="U33" i="169"/>
  <c r="U34" i="169" s="1"/>
  <c r="U35" i="169" s="1"/>
  <c r="T33" i="169"/>
  <c r="T34" i="169" s="1"/>
  <c r="T39" i="169" s="1"/>
  <c r="AC33" i="170"/>
  <c r="AC34" i="170" s="1"/>
  <c r="AC39" i="170" s="1"/>
  <c r="AB33" i="172"/>
  <c r="AB34" i="172" s="1"/>
  <c r="AB35" i="172" s="1"/>
  <c r="AB33" i="171"/>
  <c r="AB34" i="171" s="1"/>
  <c r="AB35" i="171" s="1"/>
  <c r="AC33" i="178"/>
  <c r="AC34" i="178" s="1"/>
  <c r="AC35" i="178" s="1"/>
  <c r="K33" i="178"/>
  <c r="K34" i="178" s="1"/>
  <c r="K39" i="178" s="1"/>
  <c r="AC37" i="176"/>
  <c r="AC36" i="176"/>
  <c r="AC38" i="176" s="1"/>
  <c r="R33" i="171"/>
  <c r="R34" i="171" s="1"/>
  <c r="R35" i="171" s="1"/>
  <c r="AE33" i="168"/>
  <c r="AE34" i="168" s="1"/>
  <c r="AE39" i="168" s="1"/>
  <c r="Z33" i="171"/>
  <c r="Z34" i="171" s="1"/>
  <c r="Z39" i="171" s="1"/>
  <c r="AF33" i="171"/>
  <c r="AF34" i="171" s="1"/>
  <c r="AF35" i="171" s="1"/>
  <c r="Y33" i="169"/>
  <c r="Y34" i="169" s="1"/>
  <c r="Y35" i="169" s="1"/>
  <c r="K33" i="177"/>
  <c r="K34" i="177" s="1"/>
  <c r="K39" i="177" s="1"/>
  <c r="Q33" i="179"/>
  <c r="Q34" i="179" s="1"/>
  <c r="Q35" i="179" s="1"/>
  <c r="J33" i="178"/>
  <c r="J34" i="178" s="1"/>
  <c r="J39" i="178" s="1"/>
  <c r="P33" i="178"/>
  <c r="P34" i="178" s="1"/>
  <c r="P39" i="178" s="1"/>
  <c r="AR8" i="178"/>
  <c r="AR4" i="178"/>
  <c r="S43" i="178"/>
  <c r="AR19" i="178"/>
  <c r="AR16" i="178"/>
  <c r="AR13" i="178"/>
  <c r="AR9" i="178"/>
  <c r="AR5" i="178"/>
  <c r="AR17" i="178"/>
  <c r="AR14" i="178"/>
  <c r="AR11" i="178"/>
  <c r="AR15" i="178"/>
  <c r="AR12" i="178"/>
  <c r="AR10" i="178"/>
  <c r="AR18" i="178"/>
  <c r="AR7" i="178"/>
  <c r="AR6" i="178"/>
  <c r="S53" i="178"/>
  <c r="Y43" i="178"/>
  <c r="AX7" i="178"/>
  <c r="AX17" i="178"/>
  <c r="AX14" i="178"/>
  <c r="AX11" i="178"/>
  <c r="AX8" i="178"/>
  <c r="AX4" i="178"/>
  <c r="AX18" i="178"/>
  <c r="AX15" i="178"/>
  <c r="AX12" i="178"/>
  <c r="AX13" i="178"/>
  <c r="AX10" i="178"/>
  <c r="AX19" i="178"/>
  <c r="AX16" i="178"/>
  <c r="AX9" i="178"/>
  <c r="AX6" i="178"/>
  <c r="AX5" i="178"/>
  <c r="Y53" i="178"/>
  <c r="AT13" i="178"/>
  <c r="AT9" i="178"/>
  <c r="AT5" i="178"/>
  <c r="AT15" i="178"/>
  <c r="AT12" i="178"/>
  <c r="AT10" i="178"/>
  <c r="AT6" i="178"/>
  <c r="U43" i="178"/>
  <c r="AT19" i="178"/>
  <c r="AT16" i="178"/>
  <c r="AT18" i="178"/>
  <c r="AT4" i="178"/>
  <c r="AT14" i="178"/>
  <c r="AT11" i="178"/>
  <c r="AT8" i="178"/>
  <c r="AT7" i="178"/>
  <c r="AT17" i="178"/>
  <c r="U53" i="178"/>
  <c r="AJ19" i="178"/>
  <c r="AJ16" i="178"/>
  <c r="AJ8" i="178"/>
  <c r="AJ4" i="178"/>
  <c r="AJ13" i="178"/>
  <c r="AJ18" i="178"/>
  <c r="AJ15" i="178"/>
  <c r="AJ9" i="178"/>
  <c r="AJ5" i="178"/>
  <c r="AJ12" i="178"/>
  <c r="AJ14" i="178"/>
  <c r="AJ11" i="178"/>
  <c r="K43" i="178"/>
  <c r="AJ17" i="178"/>
  <c r="AJ7" i="178"/>
  <c r="AJ6" i="178"/>
  <c r="AJ10" i="178"/>
  <c r="K53" i="178"/>
  <c r="BA18" i="178"/>
  <c r="BA14" i="178"/>
  <c r="BA19" i="178"/>
  <c r="BA16" i="178"/>
  <c r="BA9" i="178"/>
  <c r="BA5" i="178"/>
  <c r="BA13" i="178"/>
  <c r="AB43" i="178"/>
  <c r="BA17" i="178"/>
  <c r="BA11" i="178"/>
  <c r="BA8" i="178"/>
  <c r="BA4" i="178"/>
  <c r="BA10" i="178"/>
  <c r="BA12" i="178"/>
  <c r="BA7" i="178"/>
  <c r="BA6" i="178"/>
  <c r="BA15" i="178"/>
  <c r="AB53" i="178"/>
  <c r="AL9" i="178"/>
  <c r="AL5" i="178"/>
  <c r="AL15" i="178"/>
  <c r="AL12" i="178"/>
  <c r="AL18" i="178"/>
  <c r="AL10" i="178"/>
  <c r="AL6" i="178"/>
  <c r="M43" i="178"/>
  <c r="AL13" i="178"/>
  <c r="AL14" i="178"/>
  <c r="AL17" i="178"/>
  <c r="AL7" i="178"/>
  <c r="AL19" i="178"/>
  <c r="AL8" i="178"/>
  <c r="AL11" i="178"/>
  <c r="AL4" i="178"/>
  <c r="AL16" i="178"/>
  <c r="M53" i="178"/>
  <c r="BC19" i="178"/>
  <c r="BC15" i="178"/>
  <c r="BC11" i="178"/>
  <c r="BC13" i="178"/>
  <c r="AD43" i="178"/>
  <c r="BC10" i="178"/>
  <c r="BC6" i="178"/>
  <c r="BC18" i="178"/>
  <c r="BC12" i="178"/>
  <c r="BC16" i="178"/>
  <c r="BC9" i="178"/>
  <c r="BC5" i="178"/>
  <c r="BC7" i="178"/>
  <c r="BC8" i="178"/>
  <c r="BC14" i="178"/>
  <c r="BC4" i="178"/>
  <c r="BC17" i="178"/>
  <c r="AD53" i="178"/>
  <c r="P43" i="178"/>
  <c r="AO16" i="178"/>
  <c r="AO12" i="178"/>
  <c r="AO17" i="178"/>
  <c r="AO7" i="178"/>
  <c r="AO14" i="178"/>
  <c r="AO11" i="178"/>
  <c r="AO18" i="178"/>
  <c r="AO15" i="178"/>
  <c r="AO10" i="178"/>
  <c r="AO6" i="178"/>
  <c r="AO19" i="178"/>
  <c r="AO9" i="178"/>
  <c r="AO4" i="178"/>
  <c r="AO13" i="178"/>
  <c r="AO8" i="178"/>
  <c r="AO5" i="178"/>
  <c r="P53" i="178"/>
  <c r="AW16" i="178"/>
  <c r="AW12" i="178"/>
  <c r="X43" i="178"/>
  <c r="AW18" i="178"/>
  <c r="AW15" i="178"/>
  <c r="AW7" i="178"/>
  <c r="AW11" i="178"/>
  <c r="AW17" i="178"/>
  <c r="AW10" i="178"/>
  <c r="AW6" i="178"/>
  <c r="AW19" i="178"/>
  <c r="AW13" i="178"/>
  <c r="AW14" i="178"/>
  <c r="AW8" i="178"/>
  <c r="AW9" i="178"/>
  <c r="AW5" i="178"/>
  <c r="AW4" i="178"/>
  <c r="X53" i="178"/>
  <c r="X35" i="179"/>
  <c r="X39" i="179"/>
  <c r="L39" i="179"/>
  <c r="L35" i="179"/>
  <c r="AD41" i="178"/>
  <c r="X39" i="178"/>
  <c r="X35" i="178"/>
  <c r="AF33" i="179"/>
  <c r="AF34" i="179" s="1"/>
  <c r="AZ17" i="178"/>
  <c r="AZ14" i="178"/>
  <c r="AZ11" i="178"/>
  <c r="AZ8" i="178"/>
  <c r="AZ4" i="178"/>
  <c r="AZ13" i="178"/>
  <c r="AZ19" i="178"/>
  <c r="AZ16" i="178"/>
  <c r="AZ9" i="178"/>
  <c r="AZ5" i="178"/>
  <c r="AA43" i="178"/>
  <c r="AZ10" i="178"/>
  <c r="AZ18" i="178"/>
  <c r="AZ15" i="178"/>
  <c r="AZ7" i="178"/>
  <c r="AZ6" i="178"/>
  <c r="AZ12" i="178"/>
  <c r="AA53" i="178"/>
  <c r="S33" i="178"/>
  <c r="S34" i="178" s="1"/>
  <c r="AS17" i="179"/>
  <c r="AS13" i="179"/>
  <c r="AS9" i="179"/>
  <c r="AS5" i="179"/>
  <c r="T43" i="179"/>
  <c r="AS8" i="179"/>
  <c r="AS19" i="179"/>
  <c r="AS16" i="179"/>
  <c r="AS14" i="179"/>
  <c r="AS11" i="179"/>
  <c r="AS12" i="179"/>
  <c r="AS10" i="179"/>
  <c r="AS6" i="179"/>
  <c r="AS18" i="179"/>
  <c r="AS15" i="179"/>
  <c r="AS4" i="179"/>
  <c r="AS7" i="179"/>
  <c r="T53" i="179"/>
  <c r="AD45" i="179"/>
  <c r="AD44" i="179"/>
  <c r="W39" i="178"/>
  <c r="W35" i="178"/>
  <c r="N35" i="179"/>
  <c r="N39" i="179"/>
  <c r="R37" i="178"/>
  <c r="R36" i="178"/>
  <c r="R38" i="178" s="1"/>
  <c r="W45" i="179"/>
  <c r="W44" i="179"/>
  <c r="AK17" i="179"/>
  <c r="AK13" i="179"/>
  <c r="AK9" i="179"/>
  <c r="AK5" i="179"/>
  <c r="L43" i="179"/>
  <c r="AK19" i="179"/>
  <c r="AK16" i="179"/>
  <c r="AK10" i="179"/>
  <c r="AK7" i="179"/>
  <c r="AK15" i="179"/>
  <c r="AK8" i="179"/>
  <c r="AK6" i="179"/>
  <c r="AK14" i="179"/>
  <c r="AK4" i="179"/>
  <c r="AK12" i="179"/>
  <c r="AK18" i="179"/>
  <c r="AK11" i="179"/>
  <c r="L53" i="179"/>
  <c r="W45" i="178"/>
  <c r="W44" i="178"/>
  <c r="Y35" i="179"/>
  <c r="AE37" i="178"/>
  <c r="AE36" i="178"/>
  <c r="AE38" i="178" s="1"/>
  <c r="AM19" i="178"/>
  <c r="AM15" i="178"/>
  <c r="AM11" i="178"/>
  <c r="N43" i="178"/>
  <c r="AM12" i="178"/>
  <c r="AM18" i="178"/>
  <c r="AM10" i="178"/>
  <c r="AM6" i="178"/>
  <c r="AM9" i="178"/>
  <c r="AM5" i="178"/>
  <c r="AM17" i="178"/>
  <c r="AM7" i="178"/>
  <c r="AM13" i="178"/>
  <c r="AM8" i="178"/>
  <c r="AM4" i="178"/>
  <c r="AM14" i="178"/>
  <c r="AM16" i="178"/>
  <c r="N53" i="178"/>
  <c r="AI17" i="178"/>
  <c r="AI13" i="178"/>
  <c r="AI19" i="178"/>
  <c r="AI16" i="178"/>
  <c r="AI8" i="178"/>
  <c r="AI4" i="178"/>
  <c r="AI9" i="178"/>
  <c r="J43" i="178"/>
  <c r="AI14" i="178"/>
  <c r="AI11" i="178"/>
  <c r="AI7" i="178"/>
  <c r="AI10" i="178"/>
  <c r="AI12" i="178"/>
  <c r="AI15" i="178"/>
  <c r="AI6" i="178"/>
  <c r="AI5" i="178"/>
  <c r="AI18" i="178"/>
  <c r="J53" i="178"/>
  <c r="AE45" i="179"/>
  <c r="AE44" i="179"/>
  <c r="AB39" i="178"/>
  <c r="AB35" i="178"/>
  <c r="AE43" i="178"/>
  <c r="BD10" i="178"/>
  <c r="BD6" i="178"/>
  <c r="BD12" i="178"/>
  <c r="BD18" i="178"/>
  <c r="BD15" i="178"/>
  <c r="BD7" i="178"/>
  <c r="BD19" i="178"/>
  <c r="BD13" i="178"/>
  <c r="BD8" i="178"/>
  <c r="BD16" i="178"/>
  <c r="BD14" i="178"/>
  <c r="BD17" i="178"/>
  <c r="BD9" i="178"/>
  <c r="BD5" i="178"/>
  <c r="BD11" i="178"/>
  <c r="BD4" i="178"/>
  <c r="AE53" i="178"/>
  <c r="T33" i="178"/>
  <c r="T34" i="178" s="1"/>
  <c r="BA17" i="179"/>
  <c r="BA13" i="179"/>
  <c r="BA9" i="179"/>
  <c r="BA5" i="179"/>
  <c r="BA14" i="179"/>
  <c r="BA11" i="179"/>
  <c r="BA8" i="179"/>
  <c r="AB43" i="179"/>
  <c r="BA19" i="179"/>
  <c r="BA12" i="179"/>
  <c r="BA4" i="179"/>
  <c r="BA7" i="179"/>
  <c r="BA15" i="179"/>
  <c r="BA18" i="179"/>
  <c r="BA16" i="179"/>
  <c r="BA6" i="179"/>
  <c r="BA10" i="179"/>
  <c r="AB53" i="179"/>
  <c r="R33" i="179"/>
  <c r="R34" i="179" s="1"/>
  <c r="M37" i="179"/>
  <c r="M36" i="179"/>
  <c r="M38" i="179" s="1"/>
  <c r="AS18" i="178"/>
  <c r="AS14" i="178"/>
  <c r="T43" i="178"/>
  <c r="AS19" i="178"/>
  <c r="AS16" i="178"/>
  <c r="AS13" i="178"/>
  <c r="AS9" i="178"/>
  <c r="AS5" i="178"/>
  <c r="AS8" i="178"/>
  <c r="AS4" i="178"/>
  <c r="AS15" i="178"/>
  <c r="AS12" i="178"/>
  <c r="AS10" i="178"/>
  <c r="AS17" i="178"/>
  <c r="AS7" i="178"/>
  <c r="AS11" i="178"/>
  <c r="AS6" i="178"/>
  <c r="T53" i="178"/>
  <c r="BE16" i="178"/>
  <c r="BE12" i="178"/>
  <c r="AF43" i="178"/>
  <c r="BE17" i="178"/>
  <c r="BE18" i="178"/>
  <c r="BE15" i="178"/>
  <c r="BE7" i="178"/>
  <c r="BE10" i="178"/>
  <c r="BE6" i="178"/>
  <c r="BE14" i="178"/>
  <c r="BE4" i="178"/>
  <c r="BE9" i="178"/>
  <c r="BE19" i="178"/>
  <c r="BE11" i="178"/>
  <c r="BE13" i="178"/>
  <c r="BE8" i="178"/>
  <c r="BE5" i="178"/>
  <c r="AF53" i="178"/>
  <c r="V45" i="179"/>
  <c r="V44" i="179"/>
  <c r="L37" i="178"/>
  <c r="L36" i="178"/>
  <c r="L38" i="178" s="1"/>
  <c r="BB19" i="178"/>
  <c r="BB16" i="178"/>
  <c r="BB9" i="178"/>
  <c r="BB5" i="178"/>
  <c r="BB15" i="178"/>
  <c r="BB13" i="178"/>
  <c r="AC43" i="178"/>
  <c r="BB10" i="178"/>
  <c r="BB6" i="178"/>
  <c r="BB14" i="178"/>
  <c r="BB12" i="178"/>
  <c r="BB18" i="178"/>
  <c r="BB11" i="178"/>
  <c r="BB7" i="178"/>
  <c r="BB4" i="178"/>
  <c r="BB8" i="178"/>
  <c r="BB17" i="178"/>
  <c r="AC53" i="178"/>
  <c r="Y39" i="178"/>
  <c r="Y35" i="178"/>
  <c r="AK18" i="178"/>
  <c r="AK14" i="178"/>
  <c r="AK13" i="178"/>
  <c r="AK9" i="178"/>
  <c r="AK5" i="178"/>
  <c r="AK10" i="178"/>
  <c r="AK15" i="178"/>
  <c r="AK12" i="178"/>
  <c r="AK19" i="178"/>
  <c r="AK16" i="178"/>
  <c r="AK8" i="178"/>
  <c r="AK4" i="178"/>
  <c r="AK11" i="178"/>
  <c r="L43" i="178"/>
  <c r="AK17" i="178"/>
  <c r="AK7" i="178"/>
  <c r="AK6" i="178"/>
  <c r="L53" i="178"/>
  <c r="Z33" i="179"/>
  <c r="Z34" i="179" s="1"/>
  <c r="U37" i="178"/>
  <c r="U36" i="178"/>
  <c r="U38" i="178" s="1"/>
  <c r="AD37" i="179"/>
  <c r="AD36" i="179"/>
  <c r="AD38" i="179" s="1"/>
  <c r="BB19" i="179"/>
  <c r="AC43" i="179"/>
  <c r="BB17" i="179"/>
  <c r="BB8" i="179"/>
  <c r="BB5" i="179"/>
  <c r="BB16" i="179"/>
  <c r="BB14" i="179"/>
  <c r="BB11" i="179"/>
  <c r="BB13" i="179"/>
  <c r="BB7" i="179"/>
  <c r="BB15" i="179"/>
  <c r="BB18" i="179"/>
  <c r="BB9" i="179"/>
  <c r="BB6" i="179"/>
  <c r="BB10" i="179"/>
  <c r="BB12" i="179"/>
  <c r="BB4" i="179"/>
  <c r="AC53" i="179"/>
  <c r="O45" i="179"/>
  <c r="O44" i="179"/>
  <c r="K44" i="179"/>
  <c r="K45" i="179"/>
  <c r="N45" i="179"/>
  <c r="N44" i="179"/>
  <c r="O43" i="178"/>
  <c r="AN18" i="178"/>
  <c r="AN15" i="178"/>
  <c r="AN10" i="178"/>
  <c r="AN6" i="178"/>
  <c r="AN17" i="178"/>
  <c r="AN7" i="178"/>
  <c r="AN12" i="178"/>
  <c r="AN14" i="178"/>
  <c r="AN11" i="178"/>
  <c r="AN8" i="178"/>
  <c r="AN16" i="178"/>
  <c r="AN19" i="178"/>
  <c r="AN5" i="178"/>
  <c r="AN13" i="178"/>
  <c r="AN9" i="178"/>
  <c r="AN4" i="178"/>
  <c r="O53" i="178"/>
  <c r="AA44" i="179"/>
  <c r="AA45" i="179"/>
  <c r="AA39" i="178"/>
  <c r="AA35" i="178"/>
  <c r="AW19" i="179"/>
  <c r="AW15" i="179"/>
  <c r="AW11" i="179"/>
  <c r="AW7" i="179"/>
  <c r="X43" i="179"/>
  <c r="AW18" i="179"/>
  <c r="AW12" i="179"/>
  <c r="AW13" i="179"/>
  <c r="AW10" i="179"/>
  <c r="AW6" i="179"/>
  <c r="AW17" i="179"/>
  <c r="AW14" i="179"/>
  <c r="AW9" i="179"/>
  <c r="AW4" i="179"/>
  <c r="AW16" i="179"/>
  <c r="AW8" i="179"/>
  <c r="AW5" i="179"/>
  <c r="X53" i="179"/>
  <c r="W33" i="179"/>
  <c r="W34" i="179" s="1"/>
  <c r="AY16" i="179"/>
  <c r="AY12" i="179"/>
  <c r="AY8" i="179"/>
  <c r="AY4" i="179"/>
  <c r="Z43" i="179"/>
  <c r="AY9" i="179"/>
  <c r="AY6" i="179"/>
  <c r="AY17" i="179"/>
  <c r="AY14" i="179"/>
  <c r="AY11" i="179"/>
  <c r="AY18" i="179"/>
  <c r="AY15" i="179"/>
  <c r="AY19" i="179"/>
  <c r="AY10" i="179"/>
  <c r="AY13" i="179"/>
  <c r="AY7" i="179"/>
  <c r="AY5" i="179"/>
  <c r="Z53" i="179"/>
  <c r="M37" i="178"/>
  <c r="M36" i="178"/>
  <c r="M38" i="178" s="1"/>
  <c r="AU19" i="178"/>
  <c r="AU15" i="178"/>
  <c r="AU11" i="178"/>
  <c r="AU12" i="178"/>
  <c r="AU10" i="178"/>
  <c r="AU6" i="178"/>
  <c r="AU18" i="178"/>
  <c r="AU13" i="178"/>
  <c r="AU9" i="178"/>
  <c r="AU5" i="178"/>
  <c r="AU8" i="178"/>
  <c r="V43" i="178"/>
  <c r="AU17" i="178"/>
  <c r="AU16" i="178"/>
  <c r="AU7" i="178"/>
  <c r="AU14" i="178"/>
  <c r="AU4" i="178"/>
  <c r="V53" i="178"/>
  <c r="AY17" i="178"/>
  <c r="AY13" i="178"/>
  <c r="AY16" i="178"/>
  <c r="AY14" i="178"/>
  <c r="AY11" i="178"/>
  <c r="AY8" i="178"/>
  <c r="AY4" i="178"/>
  <c r="AY19" i="178"/>
  <c r="AY7" i="178"/>
  <c r="AY9" i="178"/>
  <c r="Z43" i="178"/>
  <c r="AY18" i="178"/>
  <c r="AY6" i="178"/>
  <c r="AY5" i="178"/>
  <c r="AY12" i="178"/>
  <c r="AY15" i="178"/>
  <c r="AY10" i="178"/>
  <c r="Z53" i="178"/>
  <c r="AI16" i="179"/>
  <c r="AI12" i="179"/>
  <c r="AI8" i="179"/>
  <c r="AI4" i="179"/>
  <c r="AI17" i="179"/>
  <c r="AI14" i="179"/>
  <c r="AI11" i="179"/>
  <c r="J43" i="179"/>
  <c r="AI5" i="179"/>
  <c r="AI19" i="179"/>
  <c r="AI13" i="179"/>
  <c r="AI18" i="179"/>
  <c r="AI10" i="179"/>
  <c r="AI15" i="179"/>
  <c r="AI6" i="179"/>
  <c r="AI9" i="179"/>
  <c r="AI7" i="179"/>
  <c r="J53" i="179"/>
  <c r="AE37" i="179"/>
  <c r="AE36" i="179"/>
  <c r="AE38" i="179" s="1"/>
  <c r="T33" i="179"/>
  <c r="T34" i="179" s="1"/>
  <c r="R44" i="179"/>
  <c r="R45" i="179"/>
  <c r="O37" i="178"/>
  <c r="O36" i="178"/>
  <c r="O38" i="178" s="1"/>
  <c r="O37" i="179"/>
  <c r="O36" i="179"/>
  <c r="O38" i="179" s="1"/>
  <c r="Z33" i="178"/>
  <c r="Z34" i="178" s="1"/>
  <c r="P33" i="179"/>
  <c r="P34" i="179" s="1"/>
  <c r="U45" i="179"/>
  <c r="U44" i="179"/>
  <c r="R44" i="178"/>
  <c r="R45" i="178"/>
  <c r="AP17" i="178"/>
  <c r="AP7" i="178"/>
  <c r="AP14" i="178"/>
  <c r="AP11" i="178"/>
  <c r="AP16" i="178"/>
  <c r="AP8" i="178"/>
  <c r="AP4" i="178"/>
  <c r="Q43" i="178"/>
  <c r="AP19" i="178"/>
  <c r="AP13" i="178"/>
  <c r="AP12" i="178"/>
  <c r="AP9" i="178"/>
  <c r="AP18" i="178"/>
  <c r="AP6" i="178"/>
  <c r="AP5" i="178"/>
  <c r="AP15" i="178"/>
  <c r="AP10" i="178"/>
  <c r="Q53" i="178"/>
  <c r="AR17" i="179"/>
  <c r="AR14" i="179"/>
  <c r="AR11" i="179"/>
  <c r="AR8" i="179"/>
  <c r="AR5" i="179"/>
  <c r="AR19" i="179"/>
  <c r="S43" i="179"/>
  <c r="AR16" i="179"/>
  <c r="AR13" i="179"/>
  <c r="AR12" i="179"/>
  <c r="AR10" i="179"/>
  <c r="AR6" i="179"/>
  <c r="AR18" i="179"/>
  <c r="AR15" i="179"/>
  <c r="AR4" i="179"/>
  <c r="AR9" i="179"/>
  <c r="AR7" i="179"/>
  <c r="S53" i="179"/>
  <c r="BE19" i="179"/>
  <c r="BE15" i="179"/>
  <c r="BE11" i="179"/>
  <c r="BE7" i="179"/>
  <c r="BE13" i="179"/>
  <c r="BE10" i="179"/>
  <c r="BE4" i="179"/>
  <c r="AF43" i="179"/>
  <c r="BE18" i="179"/>
  <c r="BE12" i="179"/>
  <c r="BE16" i="179"/>
  <c r="BE17" i="179"/>
  <c r="BE14" i="179"/>
  <c r="BE8" i="179"/>
  <c r="BE5" i="179"/>
  <c r="BE6" i="179"/>
  <c r="BE9" i="179"/>
  <c r="AF53" i="179"/>
  <c r="Y45" i="179"/>
  <c r="Y44" i="179"/>
  <c r="M45" i="179"/>
  <c r="M44" i="179"/>
  <c r="K33" i="179"/>
  <c r="K34" i="179" s="1"/>
  <c r="P44" i="179"/>
  <c r="P45" i="179"/>
  <c r="AJ14" i="176"/>
  <c r="AJ10" i="176"/>
  <c r="AJ6" i="176"/>
  <c r="AJ15" i="176"/>
  <c r="AJ12" i="176"/>
  <c r="AJ18" i="176"/>
  <c r="AJ11" i="176"/>
  <c r="K43" i="176"/>
  <c r="AJ16" i="176"/>
  <c r="AJ9" i="176"/>
  <c r="AJ19" i="176"/>
  <c r="AJ4" i="176"/>
  <c r="AJ17" i="176"/>
  <c r="AJ7" i="176"/>
  <c r="AJ5" i="176"/>
  <c r="AJ8" i="176"/>
  <c r="AJ13" i="176"/>
  <c r="K53" i="176"/>
  <c r="AM18" i="172"/>
  <c r="N43" i="172"/>
  <c r="AM12" i="172"/>
  <c r="AM4" i="172"/>
  <c r="AM17" i="172"/>
  <c r="AM9" i="172"/>
  <c r="AM11" i="172"/>
  <c r="AM10" i="172"/>
  <c r="AM16" i="172"/>
  <c r="AM19" i="172"/>
  <c r="AM8" i="172"/>
  <c r="AM5" i="172"/>
  <c r="AM13" i="172"/>
  <c r="AM14" i="172"/>
  <c r="AM7" i="172"/>
  <c r="AM15" i="172"/>
  <c r="AM6" i="172"/>
  <c r="N53" i="172"/>
  <c r="Z43" i="176"/>
  <c r="AY13" i="176"/>
  <c r="AY18" i="176"/>
  <c r="AY6" i="176"/>
  <c r="AY14" i="176"/>
  <c r="AY4" i="176"/>
  <c r="AY7" i="176"/>
  <c r="AY19" i="176"/>
  <c r="AY12" i="176"/>
  <c r="AY10" i="176"/>
  <c r="AY17" i="176"/>
  <c r="AY16" i="176"/>
  <c r="AY9" i="176"/>
  <c r="AY8" i="176"/>
  <c r="AY11" i="176"/>
  <c r="AY15" i="176"/>
  <c r="AY5" i="176"/>
  <c r="Z53" i="176"/>
  <c r="AN19" i="172"/>
  <c r="AN15" i="172"/>
  <c r="AN11" i="172"/>
  <c r="AN7" i="172"/>
  <c r="AN18" i="172"/>
  <c r="AN14" i="172"/>
  <c r="AN10" i="172"/>
  <c r="AN6" i="172"/>
  <c r="AN17" i="172"/>
  <c r="AN9" i="172"/>
  <c r="AN16" i="172"/>
  <c r="AN12" i="172"/>
  <c r="AN4" i="172"/>
  <c r="O43" i="172"/>
  <c r="AN5" i="172"/>
  <c r="AN13" i="172"/>
  <c r="AN8" i="172"/>
  <c r="O53" i="172"/>
  <c r="AM17" i="177"/>
  <c r="AM13" i="177"/>
  <c r="AM9" i="177"/>
  <c r="AM5" i="177"/>
  <c r="N43" i="177"/>
  <c r="AM8" i="177"/>
  <c r="AM10" i="177"/>
  <c r="AM16" i="177"/>
  <c r="AM19" i="177"/>
  <c r="AM18" i="177"/>
  <c r="AM12" i="177"/>
  <c r="AM14" i="177"/>
  <c r="AM4" i="177"/>
  <c r="AM7" i="177"/>
  <c r="AM11" i="177"/>
  <c r="AM15" i="177"/>
  <c r="AM6" i="177"/>
  <c r="N53" i="177"/>
  <c r="AE43" i="177"/>
  <c r="BD17" i="177"/>
  <c r="BD11" i="177"/>
  <c r="BD8" i="177"/>
  <c r="BD5" i="177"/>
  <c r="BD16" i="177"/>
  <c r="BD13" i="177"/>
  <c r="BD15" i="177"/>
  <c r="BD6" i="177"/>
  <c r="BD19" i="177"/>
  <c r="BD12" i="177"/>
  <c r="BD9" i="177"/>
  <c r="BD14" i="177"/>
  <c r="BD10" i="177"/>
  <c r="BD7" i="177"/>
  <c r="BD18" i="177"/>
  <c r="BD4" i="177"/>
  <c r="AE53" i="177"/>
  <c r="AC43" i="176"/>
  <c r="BB15" i="176"/>
  <c r="BB11" i="176"/>
  <c r="BB7" i="176"/>
  <c r="BB12" i="176"/>
  <c r="BB8" i="176"/>
  <c r="BB19" i="176"/>
  <c r="BB10" i="176"/>
  <c r="BB18" i="176"/>
  <c r="BB17" i="176"/>
  <c r="BB5" i="176"/>
  <c r="BB13" i="176"/>
  <c r="BB16" i="176"/>
  <c r="BB6" i="176"/>
  <c r="BB4" i="176"/>
  <c r="BB14" i="176"/>
  <c r="BB9" i="176"/>
  <c r="AC53" i="176"/>
  <c r="AU19" i="176"/>
  <c r="AU8" i="176"/>
  <c r="V43" i="176"/>
  <c r="AU13" i="176"/>
  <c r="AU11" i="176"/>
  <c r="AU16" i="176"/>
  <c r="AU9" i="176"/>
  <c r="AU6" i="176"/>
  <c r="AU14" i="176"/>
  <c r="AU4" i="176"/>
  <c r="AU18" i="176"/>
  <c r="AU17" i="176"/>
  <c r="AU10" i="176"/>
  <c r="AU15" i="176"/>
  <c r="AU7" i="176"/>
  <c r="AU5" i="176"/>
  <c r="AU12" i="176"/>
  <c r="V53" i="176"/>
  <c r="P43" i="177"/>
  <c r="AO18" i="177"/>
  <c r="AO14" i="177"/>
  <c r="AO10" i="177"/>
  <c r="AO6" i="177"/>
  <c r="AO16" i="177"/>
  <c r="AO13" i="177"/>
  <c r="AO7" i="177"/>
  <c r="AO19" i="177"/>
  <c r="AO4" i="177"/>
  <c r="AO15" i="177"/>
  <c r="AO12" i="177"/>
  <c r="AO17" i="177"/>
  <c r="AO11" i="177"/>
  <c r="AO8" i="177"/>
  <c r="AO5" i="177"/>
  <c r="AO9" i="177"/>
  <c r="P53" i="177"/>
  <c r="AI19" i="177"/>
  <c r="AI15" i="177"/>
  <c r="AI11" i="177"/>
  <c r="AI7" i="177"/>
  <c r="AI12" i="177"/>
  <c r="AI9" i="177"/>
  <c r="AI6" i="177"/>
  <c r="AI17" i="177"/>
  <c r="AI14" i="177"/>
  <c r="J43" i="177"/>
  <c r="AI16" i="177"/>
  <c r="AI13" i="177"/>
  <c r="AI10" i="177"/>
  <c r="AI4" i="177"/>
  <c r="AI18" i="177"/>
  <c r="AI8" i="177"/>
  <c r="AI5" i="177"/>
  <c r="J53" i="177"/>
  <c r="AQ19" i="176"/>
  <c r="R43" i="176"/>
  <c r="AQ16" i="176"/>
  <c r="AQ6" i="176"/>
  <c r="AQ7" i="176"/>
  <c r="AQ17" i="176"/>
  <c r="AQ15" i="176"/>
  <c r="AQ8" i="176"/>
  <c r="AQ5" i="176"/>
  <c r="AQ13" i="176"/>
  <c r="AQ11" i="176"/>
  <c r="AQ9" i="176"/>
  <c r="AQ14" i="176"/>
  <c r="AQ18" i="176"/>
  <c r="AQ12" i="176"/>
  <c r="AQ10" i="176"/>
  <c r="AQ4" i="176"/>
  <c r="R53" i="176"/>
  <c r="AV18" i="176"/>
  <c r="AV16" i="176"/>
  <c r="AV12" i="176"/>
  <c r="AV8" i="176"/>
  <c r="AV4" i="176"/>
  <c r="AV17" i="176"/>
  <c r="AV14" i="176"/>
  <c r="AV11" i="176"/>
  <c r="W43" i="176"/>
  <c r="AV9" i="176"/>
  <c r="AV6" i="176"/>
  <c r="AV7" i="176"/>
  <c r="AV19" i="176"/>
  <c r="AV5" i="176"/>
  <c r="AV10" i="176"/>
  <c r="AV13" i="176"/>
  <c r="AV15" i="176"/>
  <c r="W53" i="176"/>
  <c r="T43" i="172"/>
  <c r="AS17" i="172"/>
  <c r="AS18" i="172"/>
  <c r="AS16" i="172"/>
  <c r="AS13" i="172"/>
  <c r="AS5" i="172"/>
  <c r="AS14" i="172"/>
  <c r="AS6" i="172"/>
  <c r="AS7" i="172"/>
  <c r="AS15" i="172"/>
  <c r="AS8" i="172"/>
  <c r="AS12" i="172"/>
  <c r="AS4" i="172"/>
  <c r="AS19" i="172"/>
  <c r="AS10" i="172"/>
  <c r="AS11" i="172"/>
  <c r="AS9" i="172"/>
  <c r="T53" i="172"/>
  <c r="O43" i="177"/>
  <c r="AN10" i="177"/>
  <c r="AN16" i="177"/>
  <c r="AN13" i="177"/>
  <c r="AN7" i="177"/>
  <c r="AN19" i="177"/>
  <c r="AN18" i="177"/>
  <c r="AN15" i="177"/>
  <c r="AN14" i="177"/>
  <c r="AN17" i="177"/>
  <c r="AN11" i="177"/>
  <c r="AN12" i="177"/>
  <c r="AN8" i="177"/>
  <c r="AN9" i="177"/>
  <c r="AN4" i="177"/>
  <c r="AN6" i="177"/>
  <c r="AN5" i="177"/>
  <c r="O53" i="177"/>
  <c r="Z44" i="172"/>
  <c r="Z45" i="172"/>
  <c r="BB19" i="177"/>
  <c r="BB12" i="177"/>
  <c r="BB17" i="177"/>
  <c r="BB14" i="177"/>
  <c r="BB16" i="177"/>
  <c r="BB7" i="177"/>
  <c r="BB18" i="177"/>
  <c r="BB4" i="177"/>
  <c r="BB15" i="177"/>
  <c r="BB8" i="177"/>
  <c r="BB6" i="177"/>
  <c r="BB5" i="177"/>
  <c r="AC43" i="177"/>
  <c r="BB13" i="177"/>
  <c r="BB10" i="177"/>
  <c r="BB11" i="177"/>
  <c r="BB9" i="177"/>
  <c r="AC53" i="177"/>
  <c r="X37" i="177"/>
  <c r="X36" i="177"/>
  <c r="X38" i="177" s="1"/>
  <c r="K39" i="176"/>
  <c r="K35" i="176"/>
  <c r="Z37" i="172"/>
  <c r="Z36" i="172"/>
  <c r="Z38" i="172" s="1"/>
  <c r="AS16" i="177"/>
  <c r="AS12" i="177"/>
  <c r="AS8" i="177"/>
  <c r="AS4" i="177"/>
  <c r="T43" i="177"/>
  <c r="AS17" i="177"/>
  <c r="AS14" i="177"/>
  <c r="AS7" i="177"/>
  <c r="AS18" i="177"/>
  <c r="AS10" i="177"/>
  <c r="AS11" i="177"/>
  <c r="AS5" i="177"/>
  <c r="AS15" i="177"/>
  <c r="AS9" i="177"/>
  <c r="AS13" i="177"/>
  <c r="AS6" i="177"/>
  <c r="AS19" i="177"/>
  <c r="T53" i="177"/>
  <c r="N37" i="177"/>
  <c r="N36" i="177"/>
  <c r="N38" i="177" s="1"/>
  <c r="J33" i="177"/>
  <c r="J34" i="177" s="1"/>
  <c r="AD37" i="176"/>
  <c r="AD36" i="176"/>
  <c r="AD38" i="176" s="1"/>
  <c r="AM17" i="176"/>
  <c r="AM14" i="176"/>
  <c r="AM11" i="176"/>
  <c r="N43" i="176"/>
  <c r="AM16" i="176"/>
  <c r="AM19" i="176"/>
  <c r="AM7" i="176"/>
  <c r="AM18" i="176"/>
  <c r="AM12" i="176"/>
  <c r="AM10" i="176"/>
  <c r="AM4" i="176"/>
  <c r="AM9" i="176"/>
  <c r="AM8" i="176"/>
  <c r="AM6" i="176"/>
  <c r="AM5" i="176"/>
  <c r="AM13" i="176"/>
  <c r="AM15" i="176"/>
  <c r="N53" i="176"/>
  <c r="AB43" i="172"/>
  <c r="BA17" i="172"/>
  <c r="BA11" i="172"/>
  <c r="BA16" i="172"/>
  <c r="BA14" i="172"/>
  <c r="BA12" i="172"/>
  <c r="BA4" i="172"/>
  <c r="BA13" i="172"/>
  <c r="BA5" i="172"/>
  <c r="BA18" i="172"/>
  <c r="BA6" i="172"/>
  <c r="BA19" i="172"/>
  <c r="BA10" i="172"/>
  <c r="BA7" i="172"/>
  <c r="BA15" i="172"/>
  <c r="BA8" i="172"/>
  <c r="BA9" i="172"/>
  <c r="AB53" i="172"/>
  <c r="T35" i="172"/>
  <c r="T39" i="172"/>
  <c r="AK16" i="177"/>
  <c r="AK12" i="177"/>
  <c r="AK8" i="177"/>
  <c r="AK4" i="177"/>
  <c r="L43" i="177"/>
  <c r="AK17" i="177"/>
  <c r="AK14" i="177"/>
  <c r="AK11" i="177"/>
  <c r="AK5" i="177"/>
  <c r="AK13" i="177"/>
  <c r="AK19" i="177"/>
  <c r="AK18" i="177"/>
  <c r="AK15" i="177"/>
  <c r="AK9" i="177"/>
  <c r="AK6" i="177"/>
  <c r="AK7" i="177"/>
  <c r="AK10" i="177"/>
  <c r="L53" i="177"/>
  <c r="M44" i="176"/>
  <c r="M45" i="176"/>
  <c r="P44" i="172"/>
  <c r="P45" i="172"/>
  <c r="O35" i="177"/>
  <c r="O39" i="177"/>
  <c r="R41" i="172"/>
  <c r="AA37" i="176"/>
  <c r="AA36" i="176"/>
  <c r="AA38" i="176" s="1"/>
  <c r="AU17" i="177"/>
  <c r="AU13" i="177"/>
  <c r="AU9" i="177"/>
  <c r="AU5" i="177"/>
  <c r="V43" i="177"/>
  <c r="AU11" i="177"/>
  <c r="AU8" i="177"/>
  <c r="AU16" i="177"/>
  <c r="AU19" i="177"/>
  <c r="AU15" i="177"/>
  <c r="AU6" i="177"/>
  <c r="AU12" i="177"/>
  <c r="AU4" i="177"/>
  <c r="AU14" i="177"/>
  <c r="AU10" i="177"/>
  <c r="AU18" i="177"/>
  <c r="AU7" i="177"/>
  <c r="V53" i="177"/>
  <c r="J37" i="172"/>
  <c r="J36" i="172"/>
  <c r="J38" i="172" s="1"/>
  <c r="AZ19" i="176"/>
  <c r="AZ14" i="176"/>
  <c r="AZ10" i="176"/>
  <c r="AZ6" i="176"/>
  <c r="AA43" i="176"/>
  <c r="AZ16" i="176"/>
  <c r="AZ5" i="176"/>
  <c r="AZ4" i="176"/>
  <c r="AZ7" i="176"/>
  <c r="AZ12" i="176"/>
  <c r="AZ17" i="176"/>
  <c r="AZ18" i="176"/>
  <c r="AZ15" i="176"/>
  <c r="AZ8" i="176"/>
  <c r="AZ11" i="176"/>
  <c r="AZ9" i="176"/>
  <c r="AZ13" i="176"/>
  <c r="AA53" i="176"/>
  <c r="L39" i="176"/>
  <c r="L35" i="176"/>
  <c r="N39" i="172"/>
  <c r="N35" i="172"/>
  <c r="W37" i="176"/>
  <c r="W36" i="176"/>
  <c r="W38" i="176" s="1"/>
  <c r="BE18" i="177"/>
  <c r="BE14" i="177"/>
  <c r="BE10" i="177"/>
  <c r="BE6" i="177"/>
  <c r="AF43" i="177"/>
  <c r="BE8" i="177"/>
  <c r="BE5" i="177"/>
  <c r="BE16" i="177"/>
  <c r="BE13" i="177"/>
  <c r="BE19" i="177"/>
  <c r="BE12" i="177"/>
  <c r="BE9" i="177"/>
  <c r="BE15" i="177"/>
  <c r="BE17" i="177"/>
  <c r="BE11" i="177"/>
  <c r="BE4" i="177"/>
  <c r="BE7" i="177"/>
  <c r="AF53" i="177"/>
  <c r="BD18" i="176"/>
  <c r="BD16" i="176"/>
  <c r="BD12" i="176"/>
  <c r="BD8" i="176"/>
  <c r="BD4" i="176"/>
  <c r="BD10" i="176"/>
  <c r="AE43" i="176"/>
  <c r="BD17" i="176"/>
  <c r="BD13" i="176"/>
  <c r="BD5" i="176"/>
  <c r="BD15" i="176"/>
  <c r="BD11" i="176"/>
  <c r="BD9" i="176"/>
  <c r="BD6" i="176"/>
  <c r="BD19" i="176"/>
  <c r="BD7" i="176"/>
  <c r="BD14" i="176"/>
  <c r="AE53" i="176"/>
  <c r="S45" i="176"/>
  <c r="S44" i="176"/>
  <c r="AN18" i="176"/>
  <c r="AN16" i="176"/>
  <c r="AN12" i="176"/>
  <c r="AN8" i="176"/>
  <c r="AN4" i="176"/>
  <c r="AN15" i="176"/>
  <c r="O43" i="176"/>
  <c r="AN14" i="176"/>
  <c r="AN7" i="176"/>
  <c r="AN17" i="176"/>
  <c r="AN10" i="176"/>
  <c r="AN5" i="176"/>
  <c r="AN13" i="176"/>
  <c r="AN9" i="176"/>
  <c r="AN6" i="176"/>
  <c r="AN19" i="176"/>
  <c r="AN11" i="176"/>
  <c r="O53" i="176"/>
  <c r="AD39" i="177"/>
  <c r="AD35" i="177"/>
  <c r="W45" i="172"/>
  <c r="W44" i="172"/>
  <c r="J44" i="172"/>
  <c r="J45" i="172"/>
  <c r="AF37" i="176"/>
  <c r="AF36" i="176"/>
  <c r="AF38" i="176" s="1"/>
  <c r="M43" i="177"/>
  <c r="AL11" i="177"/>
  <c r="AL5" i="177"/>
  <c r="AL8" i="177"/>
  <c r="AL13" i="177"/>
  <c r="AL16" i="177"/>
  <c r="AL15" i="177"/>
  <c r="AL9" i="177"/>
  <c r="AL6" i="177"/>
  <c r="AL12" i="177"/>
  <c r="AL17" i="177"/>
  <c r="AL10" i="177"/>
  <c r="AL19" i="177"/>
  <c r="AL18" i="177"/>
  <c r="AL7" i="177"/>
  <c r="AL4" i="177"/>
  <c r="AL14" i="177"/>
  <c r="M53" i="177"/>
  <c r="V39" i="177"/>
  <c r="V35" i="177"/>
  <c r="S33" i="177"/>
  <c r="S34" i="177" s="1"/>
  <c r="U44" i="172"/>
  <c r="U45" i="172"/>
  <c r="BE19" i="176"/>
  <c r="BE17" i="176"/>
  <c r="BE14" i="176"/>
  <c r="BE11" i="176"/>
  <c r="BE8" i="176"/>
  <c r="BE18" i="176"/>
  <c r="BE13" i="176"/>
  <c r="BE15" i="176"/>
  <c r="BE9" i="176"/>
  <c r="BE6" i="176"/>
  <c r="AF43" i="176"/>
  <c r="BE16" i="176"/>
  <c r="BE7" i="176"/>
  <c r="BE5" i="176"/>
  <c r="BE10" i="176"/>
  <c r="BE4" i="176"/>
  <c r="BE12" i="176"/>
  <c r="AF53" i="176"/>
  <c r="AC44" i="172"/>
  <c r="AC45" i="172"/>
  <c r="O37" i="176"/>
  <c r="X43" i="176"/>
  <c r="AW18" i="176"/>
  <c r="AW14" i="176"/>
  <c r="AW12" i="176"/>
  <c r="AW16" i="176"/>
  <c r="AW11" i="176"/>
  <c r="AW4" i="176"/>
  <c r="AW7" i="176"/>
  <c r="AW19" i="176"/>
  <c r="AW10" i="176"/>
  <c r="AW15" i="176"/>
  <c r="AW13" i="176"/>
  <c r="AW9" i="176"/>
  <c r="AW6" i="176"/>
  <c r="AW5" i="176"/>
  <c r="AW8" i="176"/>
  <c r="AW17" i="176"/>
  <c r="X53" i="176"/>
  <c r="AP16" i="172"/>
  <c r="AP12" i="172"/>
  <c r="AP8" i="172"/>
  <c r="AP4" i="172"/>
  <c r="AP19" i="172"/>
  <c r="AP15" i="172"/>
  <c r="AP11" i="172"/>
  <c r="AP7" i="172"/>
  <c r="AP10" i="172"/>
  <c r="AP18" i="172"/>
  <c r="AP13" i="172"/>
  <c r="AP5" i="172"/>
  <c r="Q43" i="172"/>
  <c r="AP9" i="172"/>
  <c r="AP17" i="172"/>
  <c r="AP6" i="172"/>
  <c r="AP14" i="172"/>
  <c r="Q53" i="172"/>
  <c r="L39" i="177"/>
  <c r="L35" i="177"/>
  <c r="K37" i="172"/>
  <c r="K36" i="172"/>
  <c r="K38" i="172" s="1"/>
  <c r="U45" i="177"/>
  <c r="U44" i="177"/>
  <c r="S43" i="172"/>
  <c r="AR17" i="172"/>
  <c r="AR13" i="172"/>
  <c r="AR9" i="172"/>
  <c r="AR5" i="172"/>
  <c r="AR16" i="172"/>
  <c r="AR12" i="172"/>
  <c r="AR8" i="172"/>
  <c r="AR4" i="172"/>
  <c r="AR7" i="172"/>
  <c r="AR18" i="172"/>
  <c r="AR14" i="172"/>
  <c r="AR6" i="172"/>
  <c r="AR11" i="172"/>
  <c r="AR15" i="172"/>
  <c r="AR10" i="172"/>
  <c r="AR19" i="172"/>
  <c r="S53" i="172"/>
  <c r="M37" i="176"/>
  <c r="M36" i="176"/>
  <c r="M38" i="176" s="1"/>
  <c r="V33" i="176"/>
  <c r="V34" i="176" s="1"/>
  <c r="R33" i="177"/>
  <c r="R34" i="177" s="1"/>
  <c r="T39" i="176"/>
  <c r="T35" i="176"/>
  <c r="W33" i="172"/>
  <c r="W34" i="172" s="1"/>
  <c r="W43" i="177"/>
  <c r="AV8" i="177"/>
  <c r="AV5" i="177"/>
  <c r="AV10" i="177"/>
  <c r="AV16" i="177"/>
  <c r="AV13" i="177"/>
  <c r="AV18" i="177"/>
  <c r="AV12" i="177"/>
  <c r="AV9" i="177"/>
  <c r="AV14" i="177"/>
  <c r="AV11" i="177"/>
  <c r="AV4" i="177"/>
  <c r="AV15" i="177"/>
  <c r="AV7" i="177"/>
  <c r="AV6" i="177"/>
  <c r="AV17" i="177"/>
  <c r="AV19" i="177"/>
  <c r="W53" i="177"/>
  <c r="N35" i="176"/>
  <c r="N39" i="176"/>
  <c r="AE39" i="176"/>
  <c r="AE35" i="176"/>
  <c r="V45" i="172"/>
  <c r="V44" i="172"/>
  <c r="U33" i="176"/>
  <c r="U34" i="176" s="1"/>
  <c r="AQ16" i="172"/>
  <c r="AQ12" i="172"/>
  <c r="AQ11" i="172"/>
  <c r="AQ4" i="172"/>
  <c r="AQ13" i="172"/>
  <c r="AQ5" i="172"/>
  <c r="AQ18" i="172"/>
  <c r="AQ14" i="172"/>
  <c r="AQ6" i="172"/>
  <c r="AQ10" i="172"/>
  <c r="AQ9" i="172"/>
  <c r="R43" i="172"/>
  <c r="AQ8" i="172"/>
  <c r="AQ19" i="172"/>
  <c r="AQ17" i="172"/>
  <c r="AQ7" i="172"/>
  <c r="AQ15" i="172"/>
  <c r="R53" i="172"/>
  <c r="BC17" i="177"/>
  <c r="BC13" i="177"/>
  <c r="BC9" i="177"/>
  <c r="BC5" i="177"/>
  <c r="AD43" i="177"/>
  <c r="BC14" i="177"/>
  <c r="BC11" i="177"/>
  <c r="BC18" i="177"/>
  <c r="BC4" i="177"/>
  <c r="BC15" i="177"/>
  <c r="BC6" i="177"/>
  <c r="BC7" i="177"/>
  <c r="BC8" i="177"/>
  <c r="BC16" i="177"/>
  <c r="BC12" i="177"/>
  <c r="BC19" i="177"/>
  <c r="BC10" i="177"/>
  <c r="AD53" i="177"/>
  <c r="AP19" i="176"/>
  <c r="Q43" i="176"/>
  <c r="AP17" i="176"/>
  <c r="AP13" i="176"/>
  <c r="AP9" i="176"/>
  <c r="AP5" i="176"/>
  <c r="AP4" i="176"/>
  <c r="AP18" i="176"/>
  <c r="AP12" i="176"/>
  <c r="AP10" i="176"/>
  <c r="AP15" i="176"/>
  <c r="AP8" i="176"/>
  <c r="AP16" i="176"/>
  <c r="AP7" i="176"/>
  <c r="AP6" i="176"/>
  <c r="AP11" i="176"/>
  <c r="AP14" i="176"/>
  <c r="Q53" i="176"/>
  <c r="P36" i="176"/>
  <c r="P38" i="176" s="1"/>
  <c r="P37" i="176"/>
  <c r="AW18" i="177"/>
  <c r="AW14" i="177"/>
  <c r="AW10" i="177"/>
  <c r="AW6" i="177"/>
  <c r="X43" i="177"/>
  <c r="AW16" i="177"/>
  <c r="AW13" i="177"/>
  <c r="AW7" i="177"/>
  <c r="AW19" i="177"/>
  <c r="AW15" i="177"/>
  <c r="AW17" i="177"/>
  <c r="AW11" i="177"/>
  <c r="AW5" i="177"/>
  <c r="AW4" i="177"/>
  <c r="AW8" i="177"/>
  <c r="AW12" i="177"/>
  <c r="AW9" i="177"/>
  <c r="X53" i="177"/>
  <c r="Y44" i="172"/>
  <c r="Y45" i="172"/>
  <c r="AE37" i="172"/>
  <c r="AE36" i="172"/>
  <c r="AE38" i="172" s="1"/>
  <c r="AC39" i="172"/>
  <c r="AC35" i="172"/>
  <c r="Q43" i="177"/>
  <c r="AP19" i="177"/>
  <c r="AP4" i="177"/>
  <c r="AP18" i="177"/>
  <c r="AP15" i="177"/>
  <c r="AP12" i="177"/>
  <c r="AP8" i="177"/>
  <c r="AP5" i="177"/>
  <c r="AP17" i="177"/>
  <c r="AP9" i="177"/>
  <c r="AP10" i="177"/>
  <c r="AP16" i="177"/>
  <c r="AP11" i="177"/>
  <c r="AP14" i="177"/>
  <c r="AP7" i="177"/>
  <c r="AP13" i="177"/>
  <c r="AP6" i="177"/>
  <c r="Q53" i="177"/>
  <c r="M37" i="177"/>
  <c r="M36" i="177"/>
  <c r="M38" i="177" s="1"/>
  <c r="AB33" i="176"/>
  <c r="AB34" i="176" s="1"/>
  <c r="AD35" i="172"/>
  <c r="AD39" i="172"/>
  <c r="P35" i="172"/>
  <c r="P39" i="172"/>
  <c r="Q41" i="172"/>
  <c r="O39" i="172"/>
  <c r="O35" i="172"/>
  <c r="AK18" i="176"/>
  <c r="L43" i="176"/>
  <c r="AK19" i="176"/>
  <c r="AK5" i="176"/>
  <c r="AK17" i="176"/>
  <c r="AK13" i="176"/>
  <c r="AK16" i="176"/>
  <c r="AK9" i="176"/>
  <c r="AK6" i="176"/>
  <c r="AK14" i="176"/>
  <c r="AK4" i="176"/>
  <c r="AK7" i="176"/>
  <c r="AK12" i="176"/>
  <c r="AK15" i="176"/>
  <c r="AK8" i="176"/>
  <c r="AK11" i="176"/>
  <c r="AK10" i="176"/>
  <c r="L53" i="176"/>
  <c r="AX19" i="176"/>
  <c r="AX17" i="176"/>
  <c r="AX13" i="176"/>
  <c r="AX9" i="176"/>
  <c r="AX5" i="176"/>
  <c r="AX10" i="176"/>
  <c r="AX7" i="176"/>
  <c r="AX4" i="176"/>
  <c r="Y43" i="176"/>
  <c r="AX16" i="176"/>
  <c r="AX15" i="176"/>
  <c r="AX14" i="176"/>
  <c r="AX12" i="176"/>
  <c r="AX18" i="176"/>
  <c r="AX8" i="176"/>
  <c r="AX11" i="176"/>
  <c r="AX6" i="176"/>
  <c r="Y53" i="176"/>
  <c r="Z33" i="177"/>
  <c r="Z34" i="177" s="1"/>
  <c r="L37" i="172"/>
  <c r="L36" i="172"/>
  <c r="L38" i="172" s="1"/>
  <c r="X39" i="172"/>
  <c r="X35" i="172"/>
  <c r="BA9" i="176"/>
  <c r="BA6" i="176"/>
  <c r="BA17" i="176"/>
  <c r="BA7" i="176"/>
  <c r="BA12" i="176"/>
  <c r="BA19" i="176"/>
  <c r="BA10" i="176"/>
  <c r="BA18" i="176"/>
  <c r="BA15" i="176"/>
  <c r="BA8" i="176"/>
  <c r="BA5" i="176"/>
  <c r="BA13" i="176"/>
  <c r="AB43" i="176"/>
  <c r="BA14" i="176"/>
  <c r="BA4" i="176"/>
  <c r="BA11" i="176"/>
  <c r="BA16" i="176"/>
  <c r="AB53" i="176"/>
  <c r="V33" i="172"/>
  <c r="V34" i="172" s="1"/>
  <c r="AQ19" i="177"/>
  <c r="AQ15" i="177"/>
  <c r="AQ11" i="177"/>
  <c r="AQ7" i="177"/>
  <c r="AQ18" i="177"/>
  <c r="AQ12" i="177"/>
  <c r="AQ9" i="177"/>
  <c r="AQ6" i="177"/>
  <c r="R43" i="177"/>
  <c r="AQ17" i="177"/>
  <c r="AQ14" i="177"/>
  <c r="AQ16" i="177"/>
  <c r="AQ13" i="177"/>
  <c r="AQ10" i="177"/>
  <c r="AQ4" i="177"/>
  <c r="AQ8" i="177"/>
  <c r="AQ5" i="177"/>
  <c r="R53" i="177"/>
  <c r="AA43" i="172"/>
  <c r="AZ17" i="172"/>
  <c r="AZ13" i="172"/>
  <c r="AZ9" i="172"/>
  <c r="AZ5" i="172"/>
  <c r="AZ16" i="172"/>
  <c r="AZ12" i="172"/>
  <c r="AZ8" i="172"/>
  <c r="AZ4" i="172"/>
  <c r="AZ19" i="172"/>
  <c r="AZ10" i="172"/>
  <c r="AZ11" i="172"/>
  <c r="AZ15" i="172"/>
  <c r="AZ7" i="172"/>
  <c r="AZ14" i="172"/>
  <c r="AZ6" i="172"/>
  <c r="AZ18" i="172"/>
  <c r="AA53" i="172"/>
  <c r="Y43" i="177"/>
  <c r="AX16" i="177"/>
  <c r="AX13" i="177"/>
  <c r="AX10" i="177"/>
  <c r="AX7" i="177"/>
  <c r="AX4" i="177"/>
  <c r="AX19" i="177"/>
  <c r="AX18" i="177"/>
  <c r="AX15" i="177"/>
  <c r="AX12" i="177"/>
  <c r="AX17" i="177"/>
  <c r="AX14" i="177"/>
  <c r="AX11" i="177"/>
  <c r="AX8" i="177"/>
  <c r="AX5" i="177"/>
  <c r="AX6" i="177"/>
  <c r="AX9" i="177"/>
  <c r="Y53" i="177"/>
  <c r="M37" i="172"/>
  <c r="M36" i="172"/>
  <c r="M38" i="172" s="1"/>
  <c r="J44" i="176"/>
  <c r="J45" i="176"/>
  <c r="BC18" i="172"/>
  <c r="BC8" i="172"/>
  <c r="BC16" i="172"/>
  <c r="BC13" i="172"/>
  <c r="BC5" i="172"/>
  <c r="BC14" i="172"/>
  <c r="BC7" i="172"/>
  <c r="BC6" i="172"/>
  <c r="BC17" i="172"/>
  <c r="BC12" i="172"/>
  <c r="BC4" i="172"/>
  <c r="AD43" i="172"/>
  <c r="BC10" i="172"/>
  <c r="BC9" i="172"/>
  <c r="BC15" i="172"/>
  <c r="BC19" i="172"/>
  <c r="BC11" i="172"/>
  <c r="AD53" i="172"/>
  <c r="BA16" i="177"/>
  <c r="BA12" i="177"/>
  <c r="BA8" i="177"/>
  <c r="BA4" i="177"/>
  <c r="AB43" i="177"/>
  <c r="BA15" i="177"/>
  <c r="BA9" i="177"/>
  <c r="BA6" i="177"/>
  <c r="BA19" i="177"/>
  <c r="BA17" i="177"/>
  <c r="BA14" i="177"/>
  <c r="BA11" i="177"/>
  <c r="BA13" i="177"/>
  <c r="BA10" i="177"/>
  <c r="BA7" i="177"/>
  <c r="BA18" i="177"/>
  <c r="BA5" i="177"/>
  <c r="AB53" i="177"/>
  <c r="Z37" i="176"/>
  <c r="Z36" i="176"/>
  <c r="Z38" i="176" s="1"/>
  <c r="S43" i="177"/>
  <c r="AR19" i="177"/>
  <c r="AR15" i="177"/>
  <c r="AR12" i="177"/>
  <c r="AR9" i="177"/>
  <c r="AR6" i="177"/>
  <c r="AR17" i="177"/>
  <c r="AR14" i="177"/>
  <c r="AR11" i="177"/>
  <c r="AR16" i="177"/>
  <c r="AR13" i="177"/>
  <c r="AR10" i="177"/>
  <c r="AR7" i="177"/>
  <c r="AR4" i="177"/>
  <c r="AR5" i="177"/>
  <c r="AR8" i="177"/>
  <c r="AR18" i="177"/>
  <c r="S53" i="177"/>
  <c r="AY19" i="177"/>
  <c r="AY15" i="177"/>
  <c r="AY11" i="177"/>
  <c r="AY7" i="177"/>
  <c r="Z43" i="177"/>
  <c r="AY4" i="177"/>
  <c r="AY18" i="177"/>
  <c r="AY12" i="177"/>
  <c r="AY8" i="177"/>
  <c r="AY5" i="177"/>
  <c r="AY16" i="177"/>
  <c r="AY6" i="177"/>
  <c r="AY14" i="177"/>
  <c r="AY13" i="177"/>
  <c r="AY17" i="177"/>
  <c r="AY10" i="177"/>
  <c r="AY9" i="177"/>
  <c r="Z53" i="177"/>
  <c r="BE19" i="172"/>
  <c r="BE15" i="172"/>
  <c r="BE14" i="172"/>
  <c r="BE8" i="172"/>
  <c r="BE7" i="172"/>
  <c r="BE6" i="172"/>
  <c r="BE18" i="172"/>
  <c r="BE9" i="172"/>
  <c r="BE16" i="172"/>
  <c r="BE13" i="172"/>
  <c r="BE5" i="172"/>
  <c r="BE17" i="172"/>
  <c r="BE12" i="172"/>
  <c r="BE10" i="172"/>
  <c r="AF43" i="172"/>
  <c r="BE4" i="172"/>
  <c r="BE11" i="172"/>
  <c r="AF53" i="172"/>
  <c r="L43" i="172"/>
  <c r="AK17" i="172"/>
  <c r="AK15" i="172"/>
  <c r="AK7" i="172"/>
  <c r="AK10" i="172"/>
  <c r="AK19" i="172"/>
  <c r="AK8" i="172"/>
  <c r="AK9" i="172"/>
  <c r="AK14" i="172"/>
  <c r="AK6" i="172"/>
  <c r="AK11" i="172"/>
  <c r="AK4" i="172"/>
  <c r="AK16" i="172"/>
  <c r="AK5" i="172"/>
  <c r="AK13" i="172"/>
  <c r="AK18" i="172"/>
  <c r="AK12" i="172"/>
  <c r="L53" i="172"/>
  <c r="R37" i="176"/>
  <c r="R36" i="176"/>
  <c r="R38" i="176" s="1"/>
  <c r="AW19" i="172"/>
  <c r="AW15" i="172"/>
  <c r="AW12" i="172"/>
  <c r="AW11" i="172"/>
  <c r="AW4" i="172"/>
  <c r="X43" i="172"/>
  <c r="AW9" i="172"/>
  <c r="AW17" i="172"/>
  <c r="AW10" i="172"/>
  <c r="AW18" i="172"/>
  <c r="AW14" i="172"/>
  <c r="AW8" i="172"/>
  <c r="AW7" i="172"/>
  <c r="AW6" i="172"/>
  <c r="AW13" i="172"/>
  <c r="AW16" i="172"/>
  <c r="AW5" i="172"/>
  <c r="X53" i="172"/>
  <c r="X35" i="176"/>
  <c r="X39" i="176"/>
  <c r="AB33" i="177"/>
  <c r="AB34" i="177" s="1"/>
  <c r="Y37" i="172"/>
  <c r="Y36" i="172"/>
  <c r="Y38" i="172" s="1"/>
  <c r="J35" i="176"/>
  <c r="J39" i="176"/>
  <c r="U44" i="176"/>
  <c r="U45" i="176"/>
  <c r="K43" i="177"/>
  <c r="AJ19" i="177"/>
  <c r="AJ17" i="177"/>
  <c r="AJ14" i="177"/>
  <c r="AJ7" i="177"/>
  <c r="AJ4" i="177"/>
  <c r="AJ18" i="177"/>
  <c r="AJ12" i="177"/>
  <c r="AJ8" i="177"/>
  <c r="AJ13" i="177"/>
  <c r="AJ6" i="177"/>
  <c r="AJ11" i="177"/>
  <c r="AJ10" i="177"/>
  <c r="AJ9" i="177"/>
  <c r="AJ16" i="177"/>
  <c r="AJ5" i="177"/>
  <c r="AJ15" i="177"/>
  <c r="K53" i="177"/>
  <c r="AE45" i="172"/>
  <c r="AE44" i="172"/>
  <c r="AO13" i="176"/>
  <c r="AO10" i="176"/>
  <c r="AO7" i="176"/>
  <c r="AO4" i="176"/>
  <c r="AO17" i="176"/>
  <c r="AO6" i="176"/>
  <c r="AO5" i="176"/>
  <c r="AO18" i="176"/>
  <c r="AO12" i="176"/>
  <c r="AO15" i="176"/>
  <c r="AO8" i="176"/>
  <c r="AO11" i="176"/>
  <c r="AO19" i="176"/>
  <c r="P43" i="176"/>
  <c r="AO14" i="176"/>
  <c r="AO9" i="176"/>
  <c r="AO16" i="176"/>
  <c r="P53" i="176"/>
  <c r="AL18" i="172"/>
  <c r="AL14" i="172"/>
  <c r="AL10" i="172"/>
  <c r="AL6" i="172"/>
  <c r="M43" i="172"/>
  <c r="AL17" i="172"/>
  <c r="AL13" i="172"/>
  <c r="AL9" i="172"/>
  <c r="AL5" i="172"/>
  <c r="AL19" i="172"/>
  <c r="AL8" i="172"/>
  <c r="AL11" i="172"/>
  <c r="AL15" i="172"/>
  <c r="AL7" i="172"/>
  <c r="AL4" i="172"/>
  <c r="AL16" i="172"/>
  <c r="AL12" i="172"/>
  <c r="M53" i="172"/>
  <c r="K43" i="172"/>
  <c r="AJ17" i="172"/>
  <c r="AJ13" i="172"/>
  <c r="AJ9" i="172"/>
  <c r="AJ5" i="172"/>
  <c r="AJ16" i="172"/>
  <c r="AJ12" i="172"/>
  <c r="AJ8" i="172"/>
  <c r="AJ4" i="172"/>
  <c r="AJ14" i="172"/>
  <c r="AJ6" i="172"/>
  <c r="AJ15" i="172"/>
  <c r="AJ7" i="172"/>
  <c r="AJ19" i="172"/>
  <c r="AJ18" i="172"/>
  <c r="AJ11" i="172"/>
  <c r="AJ10" i="172"/>
  <c r="K53" i="172"/>
  <c r="T45" i="176"/>
  <c r="T44" i="176"/>
  <c r="AA37" i="177"/>
  <c r="AA36" i="177"/>
  <c r="AA38" i="177" s="1"/>
  <c r="AF36" i="172"/>
  <c r="AF38" i="172" s="1"/>
  <c r="AF37" i="172"/>
  <c r="AA43" i="177"/>
  <c r="AZ19" i="177"/>
  <c r="AZ18" i="177"/>
  <c r="AZ15" i="177"/>
  <c r="AZ12" i="177"/>
  <c r="AZ9" i="177"/>
  <c r="AZ6" i="177"/>
  <c r="AZ17" i="177"/>
  <c r="AZ14" i="177"/>
  <c r="AZ16" i="177"/>
  <c r="AZ13" i="177"/>
  <c r="AZ10" i="177"/>
  <c r="AZ7" i="177"/>
  <c r="AZ11" i="177"/>
  <c r="AZ5" i="177"/>
  <c r="AZ8" i="177"/>
  <c r="AZ4" i="177"/>
  <c r="AA53" i="177"/>
  <c r="BC18" i="176"/>
  <c r="BC15" i="176"/>
  <c r="BC5" i="176"/>
  <c r="BC19" i="176"/>
  <c r="BC17" i="176"/>
  <c r="AD43" i="176"/>
  <c r="BC9" i="176"/>
  <c r="BC13" i="176"/>
  <c r="BC8" i="176"/>
  <c r="BC11" i="176"/>
  <c r="BC14" i="176"/>
  <c r="BC4" i="176"/>
  <c r="BC12" i="176"/>
  <c r="BC10" i="176"/>
  <c r="BC7" i="176"/>
  <c r="BC16" i="176"/>
  <c r="BC6" i="176"/>
  <c r="AD53" i="176"/>
  <c r="U33" i="177"/>
  <c r="U34" i="177" s="1"/>
  <c r="AP16" i="169"/>
  <c r="AP12" i="169"/>
  <c r="AP8" i="169"/>
  <c r="AP4" i="169"/>
  <c r="Q43" i="169"/>
  <c r="AP17" i="169"/>
  <c r="AP13" i="169"/>
  <c r="AP9" i="169"/>
  <c r="AP5" i="169"/>
  <c r="AP11" i="169"/>
  <c r="AP19" i="169"/>
  <c r="AP18" i="169"/>
  <c r="AP6" i="169"/>
  <c r="AP15" i="169"/>
  <c r="AP10" i="169"/>
  <c r="AP14" i="169"/>
  <c r="AP7" i="169"/>
  <c r="Q53" i="169"/>
  <c r="S43" i="171"/>
  <c r="AR19" i="171"/>
  <c r="AR16" i="171"/>
  <c r="AR13" i="171"/>
  <c r="AR10" i="171"/>
  <c r="AR18" i="171"/>
  <c r="AR15" i="171"/>
  <c r="AR12" i="171"/>
  <c r="AR9" i="171"/>
  <c r="AR6" i="171"/>
  <c r="AR14" i="171"/>
  <c r="AR5" i="171"/>
  <c r="AR7" i="171"/>
  <c r="AR8" i="171"/>
  <c r="AR17" i="171"/>
  <c r="AR4" i="171"/>
  <c r="AR11" i="171"/>
  <c r="S53" i="171"/>
  <c r="AU18" i="169"/>
  <c r="AU14" i="169"/>
  <c r="AU10" i="169"/>
  <c r="AU6" i="169"/>
  <c r="AU15" i="169"/>
  <c r="AU19" i="169"/>
  <c r="AU17" i="169"/>
  <c r="AU12" i="169"/>
  <c r="AU11" i="169"/>
  <c r="AU9" i="169"/>
  <c r="V43" i="169"/>
  <c r="AU13" i="169"/>
  <c r="AU7" i="169"/>
  <c r="AU5" i="169"/>
  <c r="AU16" i="169"/>
  <c r="AU4" i="169"/>
  <c r="AU8" i="169"/>
  <c r="V53" i="169"/>
  <c r="AZ17" i="169"/>
  <c r="AZ13" i="169"/>
  <c r="AZ9" i="169"/>
  <c r="AZ5" i="169"/>
  <c r="AZ18" i="169"/>
  <c r="AZ14" i="169"/>
  <c r="AZ10" i="169"/>
  <c r="AZ6" i="169"/>
  <c r="AZ12" i="169"/>
  <c r="AZ7" i="169"/>
  <c r="AZ11" i="169"/>
  <c r="AZ15" i="169"/>
  <c r="AZ8" i="169"/>
  <c r="AZ19" i="169"/>
  <c r="AZ4" i="169"/>
  <c r="AZ16" i="169"/>
  <c r="AA43" i="169"/>
  <c r="AA53" i="169"/>
  <c r="AU17" i="170"/>
  <c r="AU10" i="170"/>
  <c r="AU6" i="170"/>
  <c r="V43" i="170"/>
  <c r="AU4" i="170"/>
  <c r="AU19" i="170"/>
  <c r="AU16" i="170"/>
  <c r="AU13" i="170"/>
  <c r="AU12" i="170"/>
  <c r="AU14" i="170"/>
  <c r="AU9" i="170"/>
  <c r="AU7" i="170"/>
  <c r="AU11" i="170"/>
  <c r="AU8" i="170"/>
  <c r="AU15" i="170"/>
  <c r="AU5" i="170"/>
  <c r="AU18" i="170"/>
  <c r="V53" i="170"/>
  <c r="AW13" i="170"/>
  <c r="AW11" i="170"/>
  <c r="AW7" i="170"/>
  <c r="AW19" i="170"/>
  <c r="AW12" i="170"/>
  <c r="AW16" i="170"/>
  <c r="AW9" i="170"/>
  <c r="AW15" i="170"/>
  <c r="AW14" i="170"/>
  <c r="AW8" i="170"/>
  <c r="AW6" i="170"/>
  <c r="AW5" i="170"/>
  <c r="AW18" i="170"/>
  <c r="AW17" i="170"/>
  <c r="AW10" i="170"/>
  <c r="X43" i="170"/>
  <c r="AW4" i="170"/>
  <c r="X53" i="170"/>
  <c r="BD18" i="170"/>
  <c r="BD14" i="170"/>
  <c r="BD10" i="170"/>
  <c r="BD4" i="170"/>
  <c r="BD17" i="170"/>
  <c r="BD13" i="170"/>
  <c r="BD12" i="170"/>
  <c r="BD9" i="170"/>
  <c r="BD6" i="170"/>
  <c r="BD8" i="170"/>
  <c r="BD11" i="170"/>
  <c r="BD15" i="170"/>
  <c r="BD7" i="170"/>
  <c r="BD5" i="170"/>
  <c r="AE43" i="170"/>
  <c r="BD16" i="170"/>
  <c r="BD19" i="170"/>
  <c r="AE53" i="170"/>
  <c r="U43" i="169"/>
  <c r="AT18" i="169"/>
  <c r="AT14" i="169"/>
  <c r="AT10" i="169"/>
  <c r="AT6" i="169"/>
  <c r="AT19" i="169"/>
  <c r="AT15" i="169"/>
  <c r="AT11" i="169"/>
  <c r="AT7" i="169"/>
  <c r="AT16" i="169"/>
  <c r="AT8" i="169"/>
  <c r="AT17" i="169"/>
  <c r="AT5" i="169"/>
  <c r="AT12" i="169"/>
  <c r="AT13" i="169"/>
  <c r="AT9" i="169"/>
  <c r="AT4" i="169"/>
  <c r="U53" i="169"/>
  <c r="AV18" i="170"/>
  <c r="AV14" i="170"/>
  <c r="W43" i="170"/>
  <c r="AV19" i="170"/>
  <c r="AV16" i="170"/>
  <c r="AV17" i="170"/>
  <c r="AV13" i="170"/>
  <c r="AV12" i="170"/>
  <c r="AV9" i="170"/>
  <c r="AV6" i="170"/>
  <c r="AV15" i="170"/>
  <c r="AV11" i="170"/>
  <c r="AV10" i="170"/>
  <c r="AV5" i="170"/>
  <c r="AV8" i="170"/>
  <c r="AV4" i="170"/>
  <c r="AV7" i="170"/>
  <c r="W53" i="170"/>
  <c r="BC17" i="170"/>
  <c r="AD43" i="170"/>
  <c r="BC19" i="170"/>
  <c r="BC16" i="170"/>
  <c r="BC14" i="170"/>
  <c r="BC10" i="170"/>
  <c r="BC6" i="170"/>
  <c r="BC18" i="170"/>
  <c r="BC15" i="170"/>
  <c r="BC7" i="170"/>
  <c r="BC5" i="170"/>
  <c r="BC13" i="170"/>
  <c r="BC8" i="170"/>
  <c r="BC4" i="170"/>
  <c r="BC9" i="170"/>
  <c r="BC11" i="170"/>
  <c r="BC12" i="170"/>
  <c r="AD53" i="170"/>
  <c r="Q43" i="171"/>
  <c r="AP17" i="171"/>
  <c r="AP8" i="171"/>
  <c r="AP16" i="171"/>
  <c r="AP18" i="171"/>
  <c r="AP6" i="171"/>
  <c r="AP14" i="171"/>
  <c r="AP7" i="171"/>
  <c r="AP5" i="171"/>
  <c r="AP12" i="171"/>
  <c r="AP10" i="171"/>
  <c r="AP15" i="171"/>
  <c r="AP9" i="171"/>
  <c r="AP4" i="171"/>
  <c r="AP19" i="171"/>
  <c r="AP13" i="171"/>
  <c r="AP11" i="171"/>
  <c r="Q53" i="171"/>
  <c r="K43" i="171"/>
  <c r="AJ19" i="171"/>
  <c r="AJ15" i="171"/>
  <c r="AJ17" i="171"/>
  <c r="AJ13" i="171"/>
  <c r="AJ11" i="171"/>
  <c r="AJ4" i="171"/>
  <c r="AJ18" i="171"/>
  <c r="AJ5" i="171"/>
  <c r="AJ14" i="171"/>
  <c r="AJ8" i="171"/>
  <c r="AJ16" i="171"/>
  <c r="AJ12" i="171"/>
  <c r="AJ7" i="171"/>
  <c r="AJ10" i="171"/>
  <c r="AJ9" i="171"/>
  <c r="AJ6" i="171"/>
  <c r="K53" i="171"/>
  <c r="M43" i="171"/>
  <c r="AL19" i="171"/>
  <c r="AL18" i="171"/>
  <c r="AL15" i="171"/>
  <c r="AL9" i="171"/>
  <c r="AL17" i="171"/>
  <c r="AL11" i="171"/>
  <c r="AL13" i="171"/>
  <c r="AL14" i="171"/>
  <c r="AL8" i="171"/>
  <c r="AL7" i="171"/>
  <c r="AL16" i="171"/>
  <c r="AL12" i="171"/>
  <c r="AL6" i="171"/>
  <c r="AL5" i="171"/>
  <c r="AL10" i="171"/>
  <c r="AL4" i="171"/>
  <c r="M53" i="171"/>
  <c r="AB44" i="171"/>
  <c r="AB45" i="171"/>
  <c r="AS17" i="170"/>
  <c r="AS19" i="170"/>
  <c r="AS16" i="170"/>
  <c r="AS9" i="170"/>
  <c r="AS5" i="170"/>
  <c r="T43" i="170"/>
  <c r="AS10" i="170"/>
  <c r="AS4" i="170"/>
  <c r="AS13" i="170"/>
  <c r="AS11" i="170"/>
  <c r="AS14" i="170"/>
  <c r="AS12" i="170"/>
  <c r="AS7" i="170"/>
  <c r="AS6" i="170"/>
  <c r="AS18" i="170"/>
  <c r="AS8" i="170"/>
  <c r="AS15" i="170"/>
  <c r="T53" i="170"/>
  <c r="S37" i="170"/>
  <c r="S36" i="170"/>
  <c r="S38" i="170" s="1"/>
  <c r="AB44" i="169"/>
  <c r="AB45" i="169"/>
  <c r="AZ16" i="170"/>
  <c r="AZ12" i="170"/>
  <c r="AZ18" i="170"/>
  <c r="AA43" i="170"/>
  <c r="AZ15" i="170"/>
  <c r="AZ11" i="170"/>
  <c r="AZ10" i="170"/>
  <c r="AZ7" i="170"/>
  <c r="AZ14" i="170"/>
  <c r="AZ5" i="170"/>
  <c r="AZ4" i="170"/>
  <c r="AZ17" i="170"/>
  <c r="AZ13" i="170"/>
  <c r="AZ8" i="170"/>
  <c r="AZ9" i="170"/>
  <c r="AZ19" i="170"/>
  <c r="AZ6" i="170"/>
  <c r="AA53" i="170"/>
  <c r="AF35" i="170"/>
  <c r="AX19" i="170"/>
  <c r="AX15" i="170"/>
  <c r="Y43" i="170"/>
  <c r="AX16" i="170"/>
  <c r="AX13" i="170"/>
  <c r="AX9" i="170"/>
  <c r="AX6" i="170"/>
  <c r="AX14" i="170"/>
  <c r="AX11" i="170"/>
  <c r="AX8" i="170"/>
  <c r="AX18" i="170"/>
  <c r="AX5" i="170"/>
  <c r="AX12" i="170"/>
  <c r="AX4" i="170"/>
  <c r="AX10" i="170"/>
  <c r="AX7" i="170"/>
  <c r="AX17" i="170"/>
  <c r="Y53" i="170"/>
  <c r="AF43" i="170"/>
  <c r="BE19" i="170"/>
  <c r="BE16" i="170"/>
  <c r="BE18" i="170"/>
  <c r="BE17" i="170"/>
  <c r="BE11" i="170"/>
  <c r="BE7" i="170"/>
  <c r="BE13" i="170"/>
  <c r="BE12" i="170"/>
  <c r="BE9" i="170"/>
  <c r="BE6" i="170"/>
  <c r="BE4" i="170"/>
  <c r="BE15" i="170"/>
  <c r="BE5" i="170"/>
  <c r="BE14" i="170"/>
  <c r="BE10" i="170"/>
  <c r="BE8" i="170"/>
  <c r="AF53" i="170"/>
  <c r="N43" i="169"/>
  <c r="AM18" i="169"/>
  <c r="AM14" i="169"/>
  <c r="AM10" i="169"/>
  <c r="AM6" i="169"/>
  <c r="AM15" i="169"/>
  <c r="AM19" i="169"/>
  <c r="AM7" i="169"/>
  <c r="AM5" i="169"/>
  <c r="AM11" i="169"/>
  <c r="AM8" i="169"/>
  <c r="AM9" i="169"/>
  <c r="AM17" i="169"/>
  <c r="AM16" i="169"/>
  <c r="AM4" i="169"/>
  <c r="AM12" i="169"/>
  <c r="AM13" i="169"/>
  <c r="N53" i="169"/>
  <c r="AE37" i="170"/>
  <c r="AE36" i="170"/>
  <c r="AE38" i="170" s="1"/>
  <c r="N37" i="169"/>
  <c r="N36" i="169"/>
  <c r="N38" i="169" s="1"/>
  <c r="W43" i="171"/>
  <c r="AV19" i="171"/>
  <c r="AV12" i="171"/>
  <c r="AV9" i="171"/>
  <c r="AV17" i="171"/>
  <c r="AV8" i="171"/>
  <c r="AV15" i="171"/>
  <c r="AV13" i="171"/>
  <c r="AV18" i="171"/>
  <c r="AV16" i="171"/>
  <c r="AV10" i="171"/>
  <c r="AV5" i="171"/>
  <c r="AV11" i="171"/>
  <c r="AV6" i="171"/>
  <c r="AV4" i="171"/>
  <c r="AV7" i="171"/>
  <c r="AV14" i="171"/>
  <c r="W53" i="171"/>
  <c r="AQ19" i="171"/>
  <c r="AQ15" i="171"/>
  <c r="AQ11" i="171"/>
  <c r="AQ7" i="171"/>
  <c r="AQ18" i="171"/>
  <c r="AQ17" i="171"/>
  <c r="AQ6" i="171"/>
  <c r="AQ16" i="171"/>
  <c r="AQ14" i="171"/>
  <c r="AQ12" i="171"/>
  <c r="AQ10" i="171"/>
  <c r="R43" i="171"/>
  <c r="AQ9" i="171"/>
  <c r="AQ4" i="171"/>
  <c r="AQ8" i="171"/>
  <c r="AQ13" i="171"/>
  <c r="AQ5" i="171"/>
  <c r="R53" i="171"/>
  <c r="AA37" i="170"/>
  <c r="AA36" i="170"/>
  <c r="AA38" i="170" s="1"/>
  <c r="AC45" i="171"/>
  <c r="AC44" i="171"/>
  <c r="AC39" i="171"/>
  <c r="BE18" i="171"/>
  <c r="BE14" i="171"/>
  <c r="BE10" i="171"/>
  <c r="BE6" i="171"/>
  <c r="AF43" i="171"/>
  <c r="BE19" i="171"/>
  <c r="BE12" i="171"/>
  <c r="BE9" i="171"/>
  <c r="BE17" i="171"/>
  <c r="BE8" i="171"/>
  <c r="BE5" i="171"/>
  <c r="BE4" i="171"/>
  <c r="BE16" i="171"/>
  <c r="BE15" i="171"/>
  <c r="BE11" i="171"/>
  <c r="BE7" i="171"/>
  <c r="BE13" i="171"/>
  <c r="AF53" i="171"/>
  <c r="O37" i="171"/>
  <c r="O36" i="171"/>
  <c r="O38" i="171" s="1"/>
  <c r="J45" i="170"/>
  <c r="J44" i="170"/>
  <c r="J33" i="170"/>
  <c r="J34" i="170" s="1"/>
  <c r="AY19" i="171"/>
  <c r="AY15" i="171"/>
  <c r="AY11" i="171"/>
  <c r="AY7" i="171"/>
  <c r="Z43" i="171"/>
  <c r="AY17" i="171"/>
  <c r="AY8" i="171"/>
  <c r="AY16" i="171"/>
  <c r="AY13" i="171"/>
  <c r="AY9" i="171"/>
  <c r="AY6" i="171"/>
  <c r="AY5" i="171"/>
  <c r="AY4" i="171"/>
  <c r="AY10" i="171"/>
  <c r="AY12" i="171"/>
  <c r="AY14" i="171"/>
  <c r="AY18" i="171"/>
  <c r="Z53" i="171"/>
  <c r="AD41" i="170"/>
  <c r="AN18" i="170"/>
  <c r="AN14" i="170"/>
  <c r="AN13" i="170"/>
  <c r="O43" i="170"/>
  <c r="AN15" i="170"/>
  <c r="AN12" i="170"/>
  <c r="AN9" i="170"/>
  <c r="AN11" i="170"/>
  <c r="AN8" i="170"/>
  <c r="AN19" i="170"/>
  <c r="AN4" i="170"/>
  <c r="AN10" i="170"/>
  <c r="AN7" i="170"/>
  <c r="AN16" i="170"/>
  <c r="AN17" i="170"/>
  <c r="AN6" i="170"/>
  <c r="AN5" i="170"/>
  <c r="O53" i="170"/>
  <c r="U43" i="170"/>
  <c r="AT17" i="170"/>
  <c r="AT13" i="170"/>
  <c r="AT18" i="170"/>
  <c r="AT14" i="170"/>
  <c r="AT10" i="170"/>
  <c r="AT7" i="170"/>
  <c r="AT19" i="170"/>
  <c r="AT16" i="170"/>
  <c r="AT12" i="170"/>
  <c r="AT6" i="170"/>
  <c r="AT11" i="170"/>
  <c r="AT9" i="170"/>
  <c r="AT8" i="170"/>
  <c r="AT15" i="170"/>
  <c r="AT5" i="170"/>
  <c r="AT4" i="170"/>
  <c r="U53" i="170"/>
  <c r="AA44" i="171"/>
  <c r="AA45" i="171"/>
  <c r="AB39" i="169"/>
  <c r="AB35" i="169"/>
  <c r="X35" i="170"/>
  <c r="X39" i="170"/>
  <c r="AB43" i="170"/>
  <c r="BA9" i="170"/>
  <c r="BA5" i="170"/>
  <c r="BA19" i="170"/>
  <c r="BA17" i="170"/>
  <c r="BA16" i="170"/>
  <c r="BA8" i="170"/>
  <c r="BA18" i="170"/>
  <c r="BA15" i="170"/>
  <c r="BA10" i="170"/>
  <c r="BA7" i="170"/>
  <c r="BA4" i="170"/>
  <c r="BA13" i="170"/>
  <c r="BA6" i="170"/>
  <c r="BA11" i="170"/>
  <c r="BA14" i="170"/>
  <c r="BA12" i="170"/>
  <c r="AB53" i="170"/>
  <c r="AD43" i="169"/>
  <c r="BC18" i="169"/>
  <c r="BC14" i="169"/>
  <c r="BC10" i="169"/>
  <c r="BC6" i="169"/>
  <c r="BC15" i="169"/>
  <c r="BC19" i="169"/>
  <c r="BC12" i="169"/>
  <c r="BC4" i="169"/>
  <c r="BC8" i="169"/>
  <c r="BC13" i="169"/>
  <c r="BC7" i="169"/>
  <c r="BC16" i="169"/>
  <c r="BC17" i="169"/>
  <c r="BC11" i="169"/>
  <c r="BC5" i="169"/>
  <c r="BC9" i="169"/>
  <c r="AD53" i="169"/>
  <c r="M39" i="170"/>
  <c r="M35" i="170"/>
  <c r="N43" i="170"/>
  <c r="AM19" i="170"/>
  <c r="AM16" i="170"/>
  <c r="AM10" i="170"/>
  <c r="AM6" i="170"/>
  <c r="AM15" i="170"/>
  <c r="AM13" i="170"/>
  <c r="AM18" i="170"/>
  <c r="AM14" i="170"/>
  <c r="AM12" i="170"/>
  <c r="AM9" i="170"/>
  <c r="AM11" i="170"/>
  <c r="AM17" i="170"/>
  <c r="AM5" i="170"/>
  <c r="AM8" i="170"/>
  <c r="AM4" i="170"/>
  <c r="AM7" i="170"/>
  <c r="N53" i="170"/>
  <c r="P33" i="169"/>
  <c r="P34" i="169" s="1"/>
  <c r="AK16" i="171"/>
  <c r="AK12" i="171"/>
  <c r="AK8" i="171"/>
  <c r="L43" i="171"/>
  <c r="AK19" i="171"/>
  <c r="AK18" i="171"/>
  <c r="AK17" i="171"/>
  <c r="AK14" i="171"/>
  <c r="AK15" i="171"/>
  <c r="AK13" i="171"/>
  <c r="AK11" i="171"/>
  <c r="AK9" i="171"/>
  <c r="AK5" i="171"/>
  <c r="AK7" i="171"/>
  <c r="AK6" i="171"/>
  <c r="AK10" i="171"/>
  <c r="AK4" i="171"/>
  <c r="L53" i="171"/>
  <c r="AP19" i="170"/>
  <c r="AP15" i="170"/>
  <c r="Q43" i="170"/>
  <c r="AP16" i="170"/>
  <c r="AP11" i="170"/>
  <c r="AP17" i="170"/>
  <c r="AP5" i="170"/>
  <c r="AP8" i="170"/>
  <c r="AP10" i="170"/>
  <c r="AP9" i="170"/>
  <c r="AP7" i="170"/>
  <c r="AP12" i="170"/>
  <c r="AP14" i="170"/>
  <c r="AP13" i="170"/>
  <c r="AP6" i="170"/>
  <c r="AP18" i="170"/>
  <c r="AP4" i="170"/>
  <c r="Q53" i="170"/>
  <c r="AF44" i="169"/>
  <c r="AF45" i="169"/>
  <c r="V37" i="169"/>
  <c r="V36" i="169"/>
  <c r="V38" i="169" s="1"/>
  <c r="S33" i="171"/>
  <c r="S34" i="171" s="1"/>
  <c r="AW18" i="171"/>
  <c r="AW14" i="171"/>
  <c r="AW10" i="171"/>
  <c r="AW6" i="171"/>
  <c r="X43" i="171"/>
  <c r="AW19" i="171"/>
  <c r="AW15" i="171"/>
  <c r="AW4" i="171"/>
  <c r="AW13" i="171"/>
  <c r="AW11" i="171"/>
  <c r="AW5" i="171"/>
  <c r="AW7" i="171"/>
  <c r="AW9" i="171"/>
  <c r="AW16" i="171"/>
  <c r="AW17" i="171"/>
  <c r="AW12" i="171"/>
  <c r="AW8" i="171"/>
  <c r="X53" i="171"/>
  <c r="V33" i="171"/>
  <c r="V34" i="171" s="1"/>
  <c r="T33" i="171"/>
  <c r="T34" i="171" s="1"/>
  <c r="X43" i="169"/>
  <c r="AW19" i="169"/>
  <c r="AW15" i="169"/>
  <c r="AW11" i="169"/>
  <c r="AW7" i="169"/>
  <c r="AW12" i="169"/>
  <c r="AW16" i="169"/>
  <c r="AW13" i="169"/>
  <c r="AW14" i="169"/>
  <c r="AW5" i="169"/>
  <c r="AW17" i="169"/>
  <c r="AW9" i="169"/>
  <c r="AW4" i="169"/>
  <c r="AW8" i="169"/>
  <c r="AW6" i="169"/>
  <c r="AW18" i="169"/>
  <c r="AW10" i="169"/>
  <c r="X53" i="169"/>
  <c r="AQ18" i="170"/>
  <c r="AQ12" i="170"/>
  <c r="AQ8" i="170"/>
  <c r="AQ4" i="170"/>
  <c r="AQ19" i="170"/>
  <c r="AQ17" i="170"/>
  <c r="AQ11" i="170"/>
  <c r="R43" i="170"/>
  <c r="AQ10" i="170"/>
  <c r="AQ7" i="170"/>
  <c r="AQ9" i="170"/>
  <c r="AQ16" i="170"/>
  <c r="AQ14" i="170"/>
  <c r="AQ15" i="170"/>
  <c r="AQ5" i="170"/>
  <c r="AQ6" i="170"/>
  <c r="AQ13" i="170"/>
  <c r="R53" i="170"/>
  <c r="X33" i="171"/>
  <c r="X34" i="171" s="1"/>
  <c r="AD37" i="169"/>
  <c r="AD36" i="169"/>
  <c r="AD38" i="169" s="1"/>
  <c r="AR16" i="170"/>
  <c r="S43" i="170"/>
  <c r="AR15" i="170"/>
  <c r="AR18" i="170"/>
  <c r="AR8" i="170"/>
  <c r="AR5" i="170"/>
  <c r="AR17" i="170"/>
  <c r="AR10" i="170"/>
  <c r="AR7" i="170"/>
  <c r="AR19" i="170"/>
  <c r="AR4" i="170"/>
  <c r="AR11" i="170"/>
  <c r="AR14" i="170"/>
  <c r="AR12" i="170"/>
  <c r="AR6" i="170"/>
  <c r="AR13" i="170"/>
  <c r="AR9" i="170"/>
  <c r="S53" i="170"/>
  <c r="O35" i="170"/>
  <c r="O39" i="170"/>
  <c r="M37" i="171"/>
  <c r="M36" i="171"/>
  <c r="M38" i="171" s="1"/>
  <c r="AE43" i="169"/>
  <c r="BD19" i="169"/>
  <c r="BD15" i="169"/>
  <c r="BD11" i="169"/>
  <c r="BD7" i="169"/>
  <c r="BD16" i="169"/>
  <c r="BD12" i="169"/>
  <c r="BD8" i="169"/>
  <c r="BD4" i="169"/>
  <c r="BD13" i="169"/>
  <c r="BD5" i="169"/>
  <c r="BD14" i="169"/>
  <c r="BD6" i="169"/>
  <c r="BD9" i="169"/>
  <c r="BD17" i="169"/>
  <c r="BD10" i="169"/>
  <c r="BD18" i="169"/>
  <c r="AE53" i="169"/>
  <c r="T44" i="171"/>
  <c r="T45" i="171"/>
  <c r="AJ16" i="170"/>
  <c r="AJ17" i="170"/>
  <c r="AJ18" i="170"/>
  <c r="AJ19" i="170"/>
  <c r="AJ10" i="170"/>
  <c r="AJ13" i="170"/>
  <c r="AJ4" i="170"/>
  <c r="K43" i="170"/>
  <c r="AJ15" i="170"/>
  <c r="AJ14" i="170"/>
  <c r="AJ9" i="170"/>
  <c r="AJ5" i="170"/>
  <c r="AJ12" i="170"/>
  <c r="AJ11" i="170"/>
  <c r="AJ6" i="170"/>
  <c r="AJ8" i="170"/>
  <c r="AJ7" i="170"/>
  <c r="K53" i="170"/>
  <c r="Q33" i="171"/>
  <c r="Q34" i="171" s="1"/>
  <c r="W33" i="170"/>
  <c r="W34" i="170" s="1"/>
  <c r="O43" i="171"/>
  <c r="AN14" i="171"/>
  <c r="AN10" i="171"/>
  <c r="AN11" i="171"/>
  <c r="AN17" i="171"/>
  <c r="AN9" i="171"/>
  <c r="AN18" i="171"/>
  <c r="AN16" i="171"/>
  <c r="AN6" i="171"/>
  <c r="AN19" i="171"/>
  <c r="AN8" i="171"/>
  <c r="AN12" i="171"/>
  <c r="AN7" i="171"/>
  <c r="AN5" i="171"/>
  <c r="AN4" i="171"/>
  <c r="AN13" i="171"/>
  <c r="AN15" i="171"/>
  <c r="O53" i="171"/>
  <c r="W43" i="169"/>
  <c r="AV19" i="169"/>
  <c r="AV15" i="169"/>
  <c r="AV11" i="169"/>
  <c r="AV7" i="169"/>
  <c r="AV16" i="169"/>
  <c r="AV12" i="169"/>
  <c r="AV8" i="169"/>
  <c r="AV4" i="169"/>
  <c r="AV18" i="169"/>
  <c r="AV10" i="169"/>
  <c r="AV13" i="169"/>
  <c r="AV14" i="169"/>
  <c r="AV5" i="169"/>
  <c r="AV9" i="169"/>
  <c r="AV6" i="169"/>
  <c r="AV17" i="169"/>
  <c r="W53" i="169"/>
  <c r="T43" i="169"/>
  <c r="AS17" i="169"/>
  <c r="AS13" i="169"/>
  <c r="AS9" i="169"/>
  <c r="AS5" i="169"/>
  <c r="AS14" i="169"/>
  <c r="AS18" i="169"/>
  <c r="AS6" i="169"/>
  <c r="AS4" i="169"/>
  <c r="AS16" i="169"/>
  <c r="AS15" i="169"/>
  <c r="AS10" i="169"/>
  <c r="AS8" i="169"/>
  <c r="AS11" i="169"/>
  <c r="AS12" i="169"/>
  <c r="AS7" i="169"/>
  <c r="AS19" i="169"/>
  <c r="T53" i="169"/>
  <c r="AD44" i="171"/>
  <c r="AD45" i="171"/>
  <c r="AO15" i="170"/>
  <c r="AO11" i="170"/>
  <c r="AO7" i="170"/>
  <c r="P43" i="170"/>
  <c r="AO18" i="170"/>
  <c r="AO14" i="170"/>
  <c r="AO9" i="170"/>
  <c r="AO6" i="170"/>
  <c r="AO8" i="170"/>
  <c r="AO17" i="170"/>
  <c r="AO5" i="170"/>
  <c r="AO19" i="170"/>
  <c r="AO13" i="170"/>
  <c r="AO4" i="170"/>
  <c r="AO10" i="170"/>
  <c r="AO16" i="170"/>
  <c r="AO12" i="170"/>
  <c r="P53" i="170"/>
  <c r="AK14" i="170"/>
  <c r="AK9" i="170"/>
  <c r="AK5" i="170"/>
  <c r="L43" i="170"/>
  <c r="AK16" i="170"/>
  <c r="AK10" i="170"/>
  <c r="AK7" i="170"/>
  <c r="AK13" i="170"/>
  <c r="AK15" i="170"/>
  <c r="AK18" i="170"/>
  <c r="AK12" i="170"/>
  <c r="AK6" i="170"/>
  <c r="AK17" i="170"/>
  <c r="AK19" i="170"/>
  <c r="AK11" i="170"/>
  <c r="AK8" i="170"/>
  <c r="AK4" i="170"/>
  <c r="L53" i="170"/>
  <c r="AA35" i="171"/>
  <c r="AA39" i="171"/>
  <c r="N37" i="170"/>
  <c r="N36" i="170"/>
  <c r="N38" i="170" s="1"/>
  <c r="AE33" i="171"/>
  <c r="AE34" i="171" s="1"/>
  <c r="P33" i="171"/>
  <c r="P34" i="171" s="1"/>
  <c r="P37" i="170"/>
  <c r="P36" i="170"/>
  <c r="P38" i="170" s="1"/>
  <c r="Y33" i="170"/>
  <c r="Y34" i="170" s="1"/>
  <c r="R33" i="170"/>
  <c r="R34" i="170" s="1"/>
  <c r="L37" i="171"/>
  <c r="L36" i="171"/>
  <c r="L38" i="171" s="1"/>
  <c r="N37" i="171"/>
  <c r="N36" i="171"/>
  <c r="N38" i="171" s="1"/>
  <c r="K37" i="170"/>
  <c r="K36" i="170"/>
  <c r="K38" i="170" s="1"/>
  <c r="N45" i="171"/>
  <c r="N44" i="171"/>
  <c r="M45" i="169"/>
  <c r="M44" i="169"/>
  <c r="AO19" i="169"/>
  <c r="AO15" i="169"/>
  <c r="AO11" i="169"/>
  <c r="AO7" i="169"/>
  <c r="AO12" i="169"/>
  <c r="AO16" i="169"/>
  <c r="AO13" i="169"/>
  <c r="AO10" i="169"/>
  <c r="AO5" i="169"/>
  <c r="AO17" i="169"/>
  <c r="AO4" i="169"/>
  <c r="AO14" i="169"/>
  <c r="P43" i="169"/>
  <c r="AO18" i="169"/>
  <c r="AO8" i="169"/>
  <c r="AO6" i="169"/>
  <c r="AO9" i="169"/>
  <c r="P53" i="169"/>
  <c r="Z37" i="170"/>
  <c r="Z36" i="170"/>
  <c r="Z38" i="170" s="1"/>
  <c r="S43" i="169"/>
  <c r="AR17" i="169"/>
  <c r="AR13" i="169"/>
  <c r="AR9" i="169"/>
  <c r="AR5" i="169"/>
  <c r="AR18" i="169"/>
  <c r="AR14" i="169"/>
  <c r="AR10" i="169"/>
  <c r="AR6" i="169"/>
  <c r="AR19" i="169"/>
  <c r="AR4" i="169"/>
  <c r="AR12" i="169"/>
  <c r="AR16" i="169"/>
  <c r="AR15" i="169"/>
  <c r="AR8" i="169"/>
  <c r="AR7" i="169"/>
  <c r="AR11" i="169"/>
  <c r="S53" i="169"/>
  <c r="AY15" i="170"/>
  <c r="AY12" i="170"/>
  <c r="AY8" i="170"/>
  <c r="AY4" i="170"/>
  <c r="Z43" i="170"/>
  <c r="AY14" i="170"/>
  <c r="AY11" i="170"/>
  <c r="AY18" i="170"/>
  <c r="AY5" i="170"/>
  <c r="AY6" i="170"/>
  <c r="AY16" i="170"/>
  <c r="AY10" i="170"/>
  <c r="AY9" i="170"/>
  <c r="AY7" i="170"/>
  <c r="AY13" i="170"/>
  <c r="AY17" i="170"/>
  <c r="AY19" i="170"/>
  <c r="Z53" i="170"/>
  <c r="W37" i="171"/>
  <c r="W36" i="171"/>
  <c r="W38" i="171" s="1"/>
  <c r="K35" i="169"/>
  <c r="K39" i="169"/>
  <c r="AE43" i="171"/>
  <c r="BD18" i="171"/>
  <c r="BD15" i="171"/>
  <c r="BD19" i="171"/>
  <c r="BD17" i="171"/>
  <c r="BD11" i="171"/>
  <c r="BD14" i="171"/>
  <c r="BD10" i="171"/>
  <c r="BD16" i="171"/>
  <c r="BD12" i="171"/>
  <c r="BD8" i="171"/>
  <c r="BD13" i="171"/>
  <c r="BD7" i="171"/>
  <c r="BD4" i="171"/>
  <c r="BD6" i="171"/>
  <c r="BD5" i="171"/>
  <c r="BD9" i="171"/>
  <c r="AE53" i="171"/>
  <c r="R35" i="169"/>
  <c r="R39" i="169"/>
  <c r="AJ17" i="169"/>
  <c r="AJ13" i="169"/>
  <c r="AJ9" i="169"/>
  <c r="AJ5" i="169"/>
  <c r="AJ18" i="169"/>
  <c r="AJ14" i="169"/>
  <c r="AJ10" i="169"/>
  <c r="AJ6" i="169"/>
  <c r="AJ12" i="169"/>
  <c r="AJ7" i="169"/>
  <c r="AJ19" i="169"/>
  <c r="AJ16" i="169"/>
  <c r="AJ11" i="169"/>
  <c r="K43" i="169"/>
  <c r="AJ15" i="169"/>
  <c r="AJ8" i="169"/>
  <c r="AJ4" i="169"/>
  <c r="K53" i="169"/>
  <c r="BB18" i="169"/>
  <c r="BB14" i="169"/>
  <c r="BB10" i="169"/>
  <c r="BB6" i="169"/>
  <c r="AC43" i="169"/>
  <c r="BB19" i="169"/>
  <c r="BB15" i="169"/>
  <c r="BB11" i="169"/>
  <c r="BB7" i="169"/>
  <c r="BB9" i="169"/>
  <c r="BB12" i="169"/>
  <c r="BB4" i="169"/>
  <c r="BB8" i="169"/>
  <c r="BB16" i="169"/>
  <c r="BB17" i="169"/>
  <c r="BB13" i="169"/>
  <c r="BB5" i="169"/>
  <c r="AC53" i="169"/>
  <c r="AC43" i="170"/>
  <c r="BB17" i="170"/>
  <c r="BB13" i="170"/>
  <c r="BB15" i="170"/>
  <c r="BB18" i="170"/>
  <c r="BB5" i="170"/>
  <c r="BB10" i="170"/>
  <c r="BB4" i="170"/>
  <c r="BB16" i="170"/>
  <c r="BB8" i="170"/>
  <c r="BB9" i="170"/>
  <c r="BB19" i="170"/>
  <c r="BB7" i="170"/>
  <c r="BB6" i="170"/>
  <c r="BB14" i="170"/>
  <c r="BB12" i="170"/>
  <c r="BB11" i="170"/>
  <c r="AC53" i="170"/>
  <c r="AI19" i="171"/>
  <c r="AI15" i="171"/>
  <c r="AI11" i="171"/>
  <c r="AI7" i="171"/>
  <c r="AI16" i="171"/>
  <c r="AI13" i="171"/>
  <c r="AI10" i="171"/>
  <c r="AI18" i="171"/>
  <c r="AI12" i="171"/>
  <c r="AI9" i="171"/>
  <c r="AI6" i="171"/>
  <c r="AI8" i="171"/>
  <c r="AI5" i="171"/>
  <c r="AI17" i="171"/>
  <c r="AI4" i="171"/>
  <c r="AI14" i="171"/>
  <c r="J43" i="171"/>
  <c r="J53" i="171"/>
  <c r="L43" i="169"/>
  <c r="AK17" i="169"/>
  <c r="AK13" i="169"/>
  <c r="AK9" i="169"/>
  <c r="AK5" i="169"/>
  <c r="AK14" i="169"/>
  <c r="AK18" i="169"/>
  <c r="AK10" i="169"/>
  <c r="AK8" i="169"/>
  <c r="AK7" i="169"/>
  <c r="AK16" i="169"/>
  <c r="AK4" i="169"/>
  <c r="AK11" i="169"/>
  <c r="AK6" i="169"/>
  <c r="AK19" i="169"/>
  <c r="AK15" i="169"/>
  <c r="AK12" i="169"/>
  <c r="L53" i="169"/>
  <c r="M43" i="170"/>
  <c r="AL17" i="170"/>
  <c r="AL13" i="170"/>
  <c r="AL4" i="170"/>
  <c r="AL15" i="170"/>
  <c r="AL18" i="170"/>
  <c r="AL14" i="170"/>
  <c r="AL12" i="170"/>
  <c r="AL6" i="170"/>
  <c r="AL9" i="170"/>
  <c r="AL5" i="170"/>
  <c r="AL19" i="170"/>
  <c r="AL11" i="170"/>
  <c r="AL8" i="170"/>
  <c r="AL16" i="170"/>
  <c r="AL10" i="170"/>
  <c r="AL7" i="170"/>
  <c r="M53" i="170"/>
  <c r="U33" i="171"/>
  <c r="U34" i="171" s="1"/>
  <c r="X33" i="169"/>
  <c r="X34" i="169" s="1"/>
  <c r="AI16" i="169"/>
  <c r="AI12" i="169"/>
  <c r="AI8" i="169"/>
  <c r="AI4" i="169"/>
  <c r="AI13" i="169"/>
  <c r="AI17" i="169"/>
  <c r="AI18" i="169"/>
  <c r="AI11" i="169"/>
  <c r="J43" i="169"/>
  <c r="AI5" i="169"/>
  <c r="AI6" i="169"/>
  <c r="AI9" i="169"/>
  <c r="AI7" i="169"/>
  <c r="AI19" i="169"/>
  <c r="AI10" i="169"/>
  <c r="AI14" i="169"/>
  <c r="AI15" i="169"/>
  <c r="J53" i="169"/>
  <c r="Z39" i="169"/>
  <c r="Z35" i="169"/>
  <c r="L37" i="170"/>
  <c r="L36" i="170"/>
  <c r="L38" i="170" s="1"/>
  <c r="M37" i="169"/>
  <c r="M36" i="169"/>
  <c r="M38" i="169" s="1"/>
  <c r="AQ16" i="169"/>
  <c r="AQ12" i="169"/>
  <c r="AQ8" i="169"/>
  <c r="AQ4" i="169"/>
  <c r="AQ13" i="169"/>
  <c r="R43" i="169"/>
  <c r="AQ17" i="169"/>
  <c r="AQ19" i="169"/>
  <c r="AQ18" i="169"/>
  <c r="AQ6" i="169"/>
  <c r="AQ5" i="169"/>
  <c r="AQ7" i="169"/>
  <c r="AQ10" i="169"/>
  <c r="AQ15" i="169"/>
  <c r="AQ14" i="169"/>
  <c r="AQ9" i="169"/>
  <c r="AQ11" i="169"/>
  <c r="R53" i="169"/>
  <c r="U45" i="171"/>
  <c r="U44" i="171"/>
  <c r="AD35" i="171"/>
  <c r="AD39" i="171"/>
  <c r="S33" i="169"/>
  <c r="S34" i="169" s="1"/>
  <c r="Q33" i="170"/>
  <c r="Q34" i="170" s="1"/>
  <c r="AF35" i="169"/>
  <c r="AF39" i="169"/>
  <c r="O43" i="169"/>
  <c r="AN19" i="169"/>
  <c r="AN15" i="169"/>
  <c r="AN11" i="169"/>
  <c r="AN7" i="169"/>
  <c r="AN16" i="169"/>
  <c r="AN12" i="169"/>
  <c r="AN8" i="169"/>
  <c r="AN4" i="169"/>
  <c r="AN9" i="169"/>
  <c r="AN18" i="169"/>
  <c r="AN13" i="169"/>
  <c r="AN10" i="169"/>
  <c r="AN14" i="169"/>
  <c r="AN17" i="169"/>
  <c r="AN6" i="169"/>
  <c r="AN5" i="169"/>
  <c r="O53" i="169"/>
  <c r="Y43" i="171"/>
  <c r="AX19" i="171"/>
  <c r="AX17" i="171"/>
  <c r="AX14" i="171"/>
  <c r="AX11" i="171"/>
  <c r="AX16" i="171"/>
  <c r="AX13" i="171"/>
  <c r="AX10" i="171"/>
  <c r="AX7" i="171"/>
  <c r="AX9" i="171"/>
  <c r="AX15" i="171"/>
  <c r="AX4" i="171"/>
  <c r="AX5" i="171"/>
  <c r="AX6" i="171"/>
  <c r="AX12" i="171"/>
  <c r="AX8" i="171"/>
  <c r="AX18" i="171"/>
  <c r="Y53" i="171"/>
  <c r="O39" i="169"/>
  <c r="O35" i="169"/>
  <c r="Y33" i="171"/>
  <c r="Y34" i="171" s="1"/>
  <c r="J33" i="169"/>
  <c r="J34" i="169" s="1"/>
  <c r="AY16" i="169"/>
  <c r="AY12" i="169"/>
  <c r="AY8" i="169"/>
  <c r="AY4" i="169"/>
  <c r="AY13" i="169"/>
  <c r="AY17" i="169"/>
  <c r="Z43" i="169"/>
  <c r="AY5" i="169"/>
  <c r="AY7" i="169"/>
  <c r="AY6" i="169"/>
  <c r="AY19" i="169"/>
  <c r="AY9" i="169"/>
  <c r="AY18" i="169"/>
  <c r="AY11" i="169"/>
  <c r="AY10" i="169"/>
  <c r="AY14" i="169"/>
  <c r="AY15" i="169"/>
  <c r="Z53" i="169"/>
  <c r="P43" i="171"/>
  <c r="AO18" i="171"/>
  <c r="AO14" i="171"/>
  <c r="AO10" i="171"/>
  <c r="AO6" i="171"/>
  <c r="AO19" i="171"/>
  <c r="AO17" i="171"/>
  <c r="AO11" i="171"/>
  <c r="AO16" i="171"/>
  <c r="AO13" i="171"/>
  <c r="AO7" i="171"/>
  <c r="AO9" i="171"/>
  <c r="AO4" i="171"/>
  <c r="AO12" i="171"/>
  <c r="AO8" i="171"/>
  <c r="AO15" i="171"/>
  <c r="AO5" i="171"/>
  <c r="P53" i="171"/>
  <c r="W37" i="169"/>
  <c r="W36" i="169"/>
  <c r="W38" i="169" s="1"/>
  <c r="AX16" i="169"/>
  <c r="AX12" i="169"/>
  <c r="AX8" i="169"/>
  <c r="AX4" i="169"/>
  <c r="AX17" i="169"/>
  <c r="AX13" i="169"/>
  <c r="AX9" i="169"/>
  <c r="AX5" i="169"/>
  <c r="AX15" i="169"/>
  <c r="AX14" i="169"/>
  <c r="Y43" i="169"/>
  <c r="AX10" i="169"/>
  <c r="AX7" i="169"/>
  <c r="AX11" i="169"/>
  <c r="AX6" i="169"/>
  <c r="AX19" i="169"/>
  <c r="AX18" i="169"/>
  <c r="Y53" i="169"/>
  <c r="V44" i="171"/>
  <c r="V45" i="171"/>
  <c r="R43" i="168"/>
  <c r="AQ18" i="168"/>
  <c r="AQ17" i="168"/>
  <c r="AQ13" i="168"/>
  <c r="AQ14" i="168"/>
  <c r="AQ11" i="168"/>
  <c r="AQ8" i="168"/>
  <c r="AQ15" i="168"/>
  <c r="AQ12" i="168"/>
  <c r="AQ6" i="168"/>
  <c r="AQ10" i="168"/>
  <c r="AQ9" i="168"/>
  <c r="AQ4" i="168"/>
  <c r="AQ7" i="168"/>
  <c r="AQ5" i="168"/>
  <c r="AQ16" i="168"/>
  <c r="AQ19" i="168"/>
  <c r="R53" i="168"/>
  <c r="BB19" i="168"/>
  <c r="BB15" i="168"/>
  <c r="BB11" i="168"/>
  <c r="BB7" i="168"/>
  <c r="BB17" i="168"/>
  <c r="BB13" i="168"/>
  <c r="BB10" i="168"/>
  <c r="AC43" i="168"/>
  <c r="BB18" i="168"/>
  <c r="BB9" i="168"/>
  <c r="BB4" i="168"/>
  <c r="BB16" i="168"/>
  <c r="BB12" i="168"/>
  <c r="BB6" i="168"/>
  <c r="BB8" i="168"/>
  <c r="BB5" i="168"/>
  <c r="BB14" i="168"/>
  <c r="AC53" i="168"/>
  <c r="S43" i="168"/>
  <c r="AR18" i="168"/>
  <c r="AR14" i="168"/>
  <c r="AR10" i="168"/>
  <c r="AR6" i="168"/>
  <c r="AR17" i="168"/>
  <c r="AR7" i="168"/>
  <c r="AR4" i="168"/>
  <c r="AR19" i="168"/>
  <c r="AR16" i="168"/>
  <c r="AR8" i="168"/>
  <c r="AR11" i="168"/>
  <c r="AR5" i="168"/>
  <c r="AR9" i="168"/>
  <c r="AR13" i="168"/>
  <c r="AR15" i="168"/>
  <c r="AR12" i="168"/>
  <c r="S53" i="168"/>
  <c r="AO17" i="168"/>
  <c r="AO15" i="168"/>
  <c r="AO12" i="168"/>
  <c r="AO5" i="168"/>
  <c r="AO4" i="168"/>
  <c r="AO13" i="168"/>
  <c r="AO18" i="168"/>
  <c r="AO16" i="168"/>
  <c r="AO8" i="168"/>
  <c r="AO14" i="168"/>
  <c r="AO10" i="168"/>
  <c r="P43" i="168"/>
  <c r="AO11" i="168"/>
  <c r="AO7" i="168"/>
  <c r="AO9" i="168"/>
  <c r="AO6" i="168"/>
  <c r="AO19" i="168"/>
  <c r="P53" i="168"/>
  <c r="AX17" i="168"/>
  <c r="AX13" i="168"/>
  <c r="AX9" i="168"/>
  <c r="AX5" i="168"/>
  <c r="AX15" i="168"/>
  <c r="AX12" i="168"/>
  <c r="AX10" i="168"/>
  <c r="AX16" i="168"/>
  <c r="AX14" i="168"/>
  <c r="AX6" i="168"/>
  <c r="AX11" i="168"/>
  <c r="AX7" i="168"/>
  <c r="AX4" i="168"/>
  <c r="AX8" i="168"/>
  <c r="AX18" i="168"/>
  <c r="AX19" i="168"/>
  <c r="Y43" i="168"/>
  <c r="Y53" i="168"/>
  <c r="N43" i="168"/>
  <c r="AM12" i="168"/>
  <c r="AM8" i="168"/>
  <c r="AM19" i="168"/>
  <c r="AM9" i="168"/>
  <c r="AM6" i="168"/>
  <c r="AM13" i="168"/>
  <c r="AM5" i="168"/>
  <c r="AM4" i="168"/>
  <c r="AM18" i="168"/>
  <c r="AM11" i="168"/>
  <c r="AM16" i="168"/>
  <c r="AM15" i="168"/>
  <c r="AM7" i="168"/>
  <c r="AM17" i="168"/>
  <c r="AM10" i="168"/>
  <c r="AM14" i="168"/>
  <c r="N53" i="168"/>
  <c r="K43" i="168"/>
  <c r="AJ18" i="168"/>
  <c r="AJ14" i="168"/>
  <c r="AJ10" i="168"/>
  <c r="AJ6" i="168"/>
  <c r="AJ19" i="168"/>
  <c r="AJ13" i="168"/>
  <c r="AJ9" i="168"/>
  <c r="AJ7" i="168"/>
  <c r="AJ16" i="168"/>
  <c r="AJ15" i="168"/>
  <c r="AJ11" i="168"/>
  <c r="AJ12" i="168"/>
  <c r="AJ5" i="168"/>
  <c r="AJ17" i="168"/>
  <c r="AJ4" i="168"/>
  <c r="AJ8" i="168"/>
  <c r="K53" i="168"/>
  <c r="U33" i="168"/>
  <c r="U34" i="168" s="1"/>
  <c r="Q37" i="168"/>
  <c r="Q36" i="168"/>
  <c r="Q38" i="168" s="1"/>
  <c r="J36" i="168"/>
  <c r="J38" i="168" s="1"/>
  <c r="AN16" i="168"/>
  <c r="AN12" i="168"/>
  <c r="AN8" i="168"/>
  <c r="AN4" i="168"/>
  <c r="AN15" i="168"/>
  <c r="AN5" i="168"/>
  <c r="AN17" i="168"/>
  <c r="AN14" i="168"/>
  <c r="AN11" i="168"/>
  <c r="O43" i="168"/>
  <c r="AN9" i="168"/>
  <c r="AN6" i="168"/>
  <c r="AN18" i="168"/>
  <c r="AN10" i="168"/>
  <c r="AN19" i="168"/>
  <c r="AN13" i="168"/>
  <c r="AN7" i="168"/>
  <c r="O53" i="168"/>
  <c r="BD16" i="168"/>
  <c r="BD12" i="168"/>
  <c r="BD8" i="168"/>
  <c r="BD4" i="168"/>
  <c r="AE43" i="168"/>
  <c r="BD18" i="168"/>
  <c r="BD9" i="168"/>
  <c r="BD6" i="168"/>
  <c r="BD19" i="168"/>
  <c r="BD15" i="168"/>
  <c r="BD5" i="168"/>
  <c r="BD14" i="168"/>
  <c r="BD10" i="168"/>
  <c r="BD17" i="168"/>
  <c r="BD11" i="168"/>
  <c r="BD13" i="168"/>
  <c r="BD7" i="168"/>
  <c r="AE53" i="168"/>
  <c r="AC35" i="168"/>
  <c r="AC39" i="168"/>
  <c r="AA43" i="168"/>
  <c r="AZ18" i="168"/>
  <c r="AZ14" i="168"/>
  <c r="AZ10" i="168"/>
  <c r="AZ6" i="168"/>
  <c r="AZ17" i="168"/>
  <c r="AZ13" i="168"/>
  <c r="AZ11" i="168"/>
  <c r="AZ8" i="168"/>
  <c r="AZ4" i="168"/>
  <c r="AZ12" i="168"/>
  <c r="AZ7" i="168"/>
  <c r="AZ19" i="168"/>
  <c r="AZ9" i="168"/>
  <c r="AZ15" i="168"/>
  <c r="AZ16" i="168"/>
  <c r="AZ5" i="168"/>
  <c r="AA53" i="168"/>
  <c r="AP17" i="168"/>
  <c r="AP13" i="168"/>
  <c r="AP9" i="168"/>
  <c r="AP5" i="168"/>
  <c r="AP14" i="168"/>
  <c r="AP11" i="168"/>
  <c r="AP8" i="168"/>
  <c r="AP18" i="168"/>
  <c r="AP10" i="168"/>
  <c r="AP7" i="168"/>
  <c r="AP16" i="168"/>
  <c r="Q43" i="168"/>
  <c r="AP15" i="168"/>
  <c r="AP12" i="168"/>
  <c r="AP6" i="168"/>
  <c r="AP4" i="168"/>
  <c r="AP19" i="168"/>
  <c r="Q53" i="168"/>
  <c r="AD43" i="168"/>
  <c r="BC16" i="168"/>
  <c r="BC18" i="168"/>
  <c r="BC12" i="168"/>
  <c r="BC17" i="168"/>
  <c r="BC13" i="168"/>
  <c r="BC10" i="168"/>
  <c r="BC7" i="168"/>
  <c r="BC19" i="168"/>
  <c r="BC11" i="168"/>
  <c r="BC14" i="168"/>
  <c r="BC15" i="168"/>
  <c r="BC8" i="168"/>
  <c r="BC5" i="168"/>
  <c r="BC6" i="168"/>
  <c r="BC9" i="168"/>
  <c r="BC4" i="168"/>
  <c r="AD53" i="168"/>
  <c r="X33" i="168"/>
  <c r="X34" i="168" s="1"/>
  <c r="BA19" i="168"/>
  <c r="BA7" i="168"/>
  <c r="BA4" i="168"/>
  <c r="BA17" i="168"/>
  <c r="AB43" i="168"/>
  <c r="BA16" i="168"/>
  <c r="BA14" i="168"/>
  <c r="BA13" i="168"/>
  <c r="BA9" i="168"/>
  <c r="BA18" i="168"/>
  <c r="BA15" i="168"/>
  <c r="BA12" i="168"/>
  <c r="BA8" i="168"/>
  <c r="BA5" i="168"/>
  <c r="BA10" i="168"/>
  <c r="BA6" i="168"/>
  <c r="BA11" i="168"/>
  <c r="AB53" i="168"/>
  <c r="AT19" i="168"/>
  <c r="AT15" i="168"/>
  <c r="AT11" i="168"/>
  <c r="AT7" i="168"/>
  <c r="U43" i="168"/>
  <c r="AT18" i="168"/>
  <c r="AT16" i="168"/>
  <c r="AT12" i="168"/>
  <c r="AT13" i="168"/>
  <c r="AT10" i="168"/>
  <c r="AT6" i="168"/>
  <c r="AT14" i="168"/>
  <c r="AT9" i="168"/>
  <c r="AT4" i="168"/>
  <c r="AT17" i="168"/>
  <c r="AT8" i="168"/>
  <c r="AT5" i="168"/>
  <c r="U53" i="168"/>
  <c r="V33" i="168"/>
  <c r="V34" i="168" s="1"/>
  <c r="AF37" i="168"/>
  <c r="AF36" i="168"/>
  <c r="AF38" i="168" s="1"/>
  <c r="V43" i="168"/>
  <c r="AU9" i="168"/>
  <c r="AU6" i="168"/>
  <c r="AU19" i="168"/>
  <c r="AU15" i="168"/>
  <c r="AU18" i="168"/>
  <c r="AU16" i="168"/>
  <c r="AU14" i="168"/>
  <c r="AU10" i="168"/>
  <c r="AU12" i="168"/>
  <c r="AU7" i="168"/>
  <c r="AU8" i="168"/>
  <c r="AU4" i="168"/>
  <c r="AU5" i="168"/>
  <c r="AU11" i="168"/>
  <c r="AU13" i="168"/>
  <c r="AU17" i="168"/>
  <c r="V53" i="168"/>
  <c r="AF43" i="168"/>
  <c r="BE17" i="168"/>
  <c r="BE19" i="168"/>
  <c r="BE18" i="168"/>
  <c r="BE16" i="168"/>
  <c r="BE9" i="168"/>
  <c r="BE6" i="168"/>
  <c r="BE15" i="168"/>
  <c r="BE12" i="168"/>
  <c r="BE8" i="168"/>
  <c r="BE10" i="168"/>
  <c r="BE11" i="168"/>
  <c r="BE7" i="168"/>
  <c r="BE4" i="168"/>
  <c r="BE14" i="168"/>
  <c r="BE13" i="168"/>
  <c r="BE5" i="168"/>
  <c r="AF53" i="168"/>
  <c r="M43" i="168"/>
  <c r="AL19" i="168"/>
  <c r="AL15" i="168"/>
  <c r="AL11" i="168"/>
  <c r="AL7" i="168"/>
  <c r="AL9" i="168"/>
  <c r="AL6" i="168"/>
  <c r="AL16" i="168"/>
  <c r="AL17" i="168"/>
  <c r="AL10" i="168"/>
  <c r="AL18" i="168"/>
  <c r="AL14" i="168"/>
  <c r="AL13" i="168"/>
  <c r="AL12" i="168"/>
  <c r="AL8" i="168"/>
  <c r="AL4" i="168"/>
  <c r="AL5" i="168"/>
  <c r="M53" i="168"/>
  <c r="AS19" i="168"/>
  <c r="AS13" i="168"/>
  <c r="AS10" i="168"/>
  <c r="AS18" i="168"/>
  <c r="AS9" i="168"/>
  <c r="AS17" i="168"/>
  <c r="AS7" i="168"/>
  <c r="AS4" i="168"/>
  <c r="T43" i="168"/>
  <c r="AS11" i="168"/>
  <c r="AS5" i="168"/>
  <c r="AS12" i="168"/>
  <c r="AS14" i="168"/>
  <c r="AS16" i="168"/>
  <c r="AS8" i="168"/>
  <c r="AS6" i="168"/>
  <c r="AS15" i="168"/>
  <c r="T53" i="168"/>
  <c r="M39" i="168"/>
  <c r="M35" i="168"/>
  <c r="K37" i="168"/>
  <c r="K36" i="168"/>
  <c r="K38" i="168" s="1"/>
  <c r="Z43" i="168"/>
  <c r="AY18" i="168"/>
  <c r="AY14" i="168"/>
  <c r="AY11" i="168"/>
  <c r="AY8" i="168"/>
  <c r="AY10" i="168"/>
  <c r="AY7" i="168"/>
  <c r="AY5" i="168"/>
  <c r="AY6" i="168"/>
  <c r="AY17" i="168"/>
  <c r="AY13" i="168"/>
  <c r="AY4" i="168"/>
  <c r="AY16" i="168"/>
  <c r="AY19" i="168"/>
  <c r="AY9" i="168"/>
  <c r="AY15" i="168"/>
  <c r="AY12" i="168"/>
  <c r="Z53" i="168"/>
  <c r="W43" i="168"/>
  <c r="AV16" i="168"/>
  <c r="AV12" i="168"/>
  <c r="AV8" i="168"/>
  <c r="AV4" i="168"/>
  <c r="AV19" i="168"/>
  <c r="AV9" i="168"/>
  <c r="AV6" i="168"/>
  <c r="AV18" i="168"/>
  <c r="AV7" i="168"/>
  <c r="AV5" i="168"/>
  <c r="AV13" i="168"/>
  <c r="AV17" i="168"/>
  <c r="AV15" i="168"/>
  <c r="AV10" i="168"/>
  <c r="AV11" i="168"/>
  <c r="AV14" i="168"/>
  <c r="W53" i="168"/>
  <c r="W35" i="168"/>
  <c r="T39" i="168"/>
  <c r="T35" i="168"/>
  <c r="N39" i="168"/>
  <c r="N35" i="168"/>
  <c r="AW17" i="168"/>
  <c r="X43" i="168"/>
  <c r="AW15" i="168"/>
  <c r="AW12" i="168"/>
  <c r="AW5" i="168"/>
  <c r="AW14" i="168"/>
  <c r="AW11" i="168"/>
  <c r="AW8" i="168"/>
  <c r="AW19" i="168"/>
  <c r="AW10" i="168"/>
  <c r="AW9" i="168"/>
  <c r="AW16" i="168"/>
  <c r="AW13" i="168"/>
  <c r="AW6" i="168"/>
  <c r="AW4" i="168"/>
  <c r="AW18" i="168"/>
  <c r="AW7" i="168"/>
  <c r="X53" i="168"/>
  <c r="O37" i="168"/>
  <c r="O36" i="168"/>
  <c r="O38" i="168" s="1"/>
  <c r="Z39" i="168"/>
  <c r="Z35" i="168"/>
  <c r="AD37" i="168"/>
  <c r="AD36" i="168"/>
  <c r="AD38" i="168" s="1"/>
  <c r="L43" i="168"/>
  <c r="AK19" i="168"/>
  <c r="AK16" i="168"/>
  <c r="AK15" i="168"/>
  <c r="AK12" i="168"/>
  <c r="AK18" i="168"/>
  <c r="AK13" i="168"/>
  <c r="AK10" i="168"/>
  <c r="AK4" i="168"/>
  <c r="AK17" i="168"/>
  <c r="AK9" i="168"/>
  <c r="AK6" i="168"/>
  <c r="AK11" i="168"/>
  <c r="AK5" i="168"/>
  <c r="AK14" i="168"/>
  <c r="AK7" i="168"/>
  <c r="AK8" i="168"/>
  <c r="L53" i="168"/>
  <c r="AA37" i="168"/>
  <c r="AA36" i="168"/>
  <c r="AA38" i="168" s="1"/>
  <c r="J43" i="168"/>
  <c r="AI18" i="168"/>
  <c r="AI10" i="168"/>
  <c r="AI7" i="168"/>
  <c r="AI4" i="168"/>
  <c r="AI19" i="168"/>
  <c r="AI16" i="168"/>
  <c r="AI17" i="168"/>
  <c r="AI15" i="168"/>
  <c r="AI12" i="168"/>
  <c r="AI8" i="168"/>
  <c r="AI13" i="168"/>
  <c r="AI9" i="168"/>
  <c r="AI6" i="168"/>
  <c r="AI11" i="168"/>
  <c r="AI14" i="168"/>
  <c r="AI5" i="168"/>
  <c r="J53" i="168"/>
  <c r="S35" i="168"/>
  <c r="S39" i="168"/>
  <c r="AV18" i="166"/>
  <c r="AV19" i="166"/>
  <c r="AV15" i="166"/>
  <c r="AV17" i="166"/>
  <c r="AV10" i="166"/>
  <c r="AV6" i="166"/>
  <c r="AV8" i="166"/>
  <c r="AV12" i="166"/>
  <c r="AV11" i="166"/>
  <c r="AV7" i="166"/>
  <c r="AV13" i="166"/>
  <c r="AV5" i="166"/>
  <c r="AV4" i="166"/>
  <c r="W43" i="166"/>
  <c r="AV9" i="166"/>
  <c r="AV14" i="166"/>
  <c r="AV16" i="166"/>
  <c r="W53" i="166"/>
  <c r="U43" i="166"/>
  <c r="AT17" i="166"/>
  <c r="AT18" i="166"/>
  <c r="AT14" i="166"/>
  <c r="AT9" i="166"/>
  <c r="AT5" i="166"/>
  <c r="AT19" i="166"/>
  <c r="AT16" i="166"/>
  <c r="AT13" i="166"/>
  <c r="AT15" i="166"/>
  <c r="AT10" i="166"/>
  <c r="AT6" i="166"/>
  <c r="AT11" i="166"/>
  <c r="AT8" i="166"/>
  <c r="AT4" i="166"/>
  <c r="AT7" i="166"/>
  <c r="AT12" i="166"/>
  <c r="U53" i="166"/>
  <c r="AU19" i="166"/>
  <c r="AU16" i="166"/>
  <c r="AU13" i="166"/>
  <c r="AU17" i="166"/>
  <c r="AU10" i="166"/>
  <c r="AU6" i="166"/>
  <c r="AU7" i="166"/>
  <c r="AU18" i="166"/>
  <c r="AU15" i="166"/>
  <c r="AU11" i="166"/>
  <c r="V43" i="166"/>
  <c r="AU8" i="166"/>
  <c r="AU4" i="166"/>
  <c r="AU14" i="166"/>
  <c r="AU12" i="166"/>
  <c r="AU5" i="166"/>
  <c r="AU9" i="166"/>
  <c r="V53" i="166"/>
  <c r="Q39" i="166"/>
  <c r="Q35" i="166"/>
  <c r="S43" i="166"/>
  <c r="AR17" i="166"/>
  <c r="AR13" i="166"/>
  <c r="AR14" i="166"/>
  <c r="AR12" i="166"/>
  <c r="AR8" i="166"/>
  <c r="AR4" i="166"/>
  <c r="AR10" i="166"/>
  <c r="AR9" i="166"/>
  <c r="AR5" i="166"/>
  <c r="AR19" i="166"/>
  <c r="AR16" i="166"/>
  <c r="AR18" i="166"/>
  <c r="AR15" i="166"/>
  <c r="AR7" i="166"/>
  <c r="AR6" i="166"/>
  <c r="AR11" i="166"/>
  <c r="S53" i="166"/>
  <c r="BA14" i="166"/>
  <c r="BA9" i="166"/>
  <c r="BA10" i="166"/>
  <c r="BA6" i="166"/>
  <c r="BA17" i="166"/>
  <c r="BA5" i="166"/>
  <c r="BA16" i="166"/>
  <c r="BA13" i="166"/>
  <c r="AB43" i="166"/>
  <c r="BA18" i="166"/>
  <c r="BA7" i="166"/>
  <c r="BA4" i="166"/>
  <c r="BA11" i="166"/>
  <c r="BA8" i="166"/>
  <c r="BA12" i="166"/>
  <c r="BA19" i="166"/>
  <c r="BA15" i="166"/>
  <c r="AB53" i="166"/>
  <c r="P33" i="166"/>
  <c r="P34" i="166" s="1"/>
  <c r="AQ19" i="166"/>
  <c r="R43" i="166"/>
  <c r="AQ9" i="166"/>
  <c r="AQ5" i="166"/>
  <c r="AQ16" i="166"/>
  <c r="AQ14" i="166"/>
  <c r="AQ12" i="166"/>
  <c r="AQ8" i="166"/>
  <c r="AQ4" i="166"/>
  <c r="AQ17" i="166"/>
  <c r="AQ13" i="166"/>
  <c r="AQ10" i="166"/>
  <c r="AQ15" i="166"/>
  <c r="AQ7" i="166"/>
  <c r="AQ18" i="166"/>
  <c r="AQ11" i="166"/>
  <c r="AQ6" i="166"/>
  <c r="R53" i="166"/>
  <c r="X36" i="166"/>
  <c r="X38" i="166" s="1"/>
  <c r="X37" i="166"/>
  <c r="Z37" i="166"/>
  <c r="Z36" i="166"/>
  <c r="Z38" i="166" s="1"/>
  <c r="AD35" i="166"/>
  <c r="AD39" i="166"/>
  <c r="AF43" i="166"/>
  <c r="BE18" i="166"/>
  <c r="BE19" i="166"/>
  <c r="BE7" i="166"/>
  <c r="BE17" i="166"/>
  <c r="BE11" i="166"/>
  <c r="BE4" i="166"/>
  <c r="BE15" i="166"/>
  <c r="BE12" i="166"/>
  <c r="BE8" i="166"/>
  <c r="BE14" i="166"/>
  <c r="BE9" i="166"/>
  <c r="BE16" i="166"/>
  <c r="BE5" i="166"/>
  <c r="BE10" i="166"/>
  <c r="BE6" i="166"/>
  <c r="BE13" i="166"/>
  <c r="AF53" i="166"/>
  <c r="Y43" i="166"/>
  <c r="AX19" i="166"/>
  <c r="AX16" i="166"/>
  <c r="AX11" i="166"/>
  <c r="AX7" i="166"/>
  <c r="AX9" i="166"/>
  <c r="AX15" i="166"/>
  <c r="AX18" i="166"/>
  <c r="AX12" i="166"/>
  <c r="AX8" i="166"/>
  <c r="AX4" i="166"/>
  <c r="AX14" i="166"/>
  <c r="AX6" i="166"/>
  <c r="AX17" i="166"/>
  <c r="AX13" i="166"/>
  <c r="AX10" i="166"/>
  <c r="AX5" i="166"/>
  <c r="Y53" i="166"/>
  <c r="AA44" i="166"/>
  <c r="AA45" i="166"/>
  <c r="R33" i="166"/>
  <c r="R34" i="166" s="1"/>
  <c r="Y37" i="166"/>
  <c r="Y36" i="166"/>
  <c r="Y38" i="166" s="1"/>
  <c r="P43" i="166"/>
  <c r="AO18" i="166"/>
  <c r="AO19" i="166"/>
  <c r="AO4" i="166"/>
  <c r="AO15" i="166"/>
  <c r="AO11" i="166"/>
  <c r="AO7" i="166"/>
  <c r="AO14" i="166"/>
  <c r="AO12" i="166"/>
  <c r="AO8" i="166"/>
  <c r="AO13" i="166"/>
  <c r="AO16" i="166"/>
  <c r="AO9" i="166"/>
  <c r="AO5" i="166"/>
  <c r="AO6" i="166"/>
  <c r="AO17" i="166"/>
  <c r="AO10" i="166"/>
  <c r="P53" i="166"/>
  <c r="AD43" i="166"/>
  <c r="BC10" i="166"/>
  <c r="BC7" i="166"/>
  <c r="BC15" i="166"/>
  <c r="BC16" i="166"/>
  <c r="BC13" i="166"/>
  <c r="BC6" i="166"/>
  <c r="BC19" i="166"/>
  <c r="BC17" i="166"/>
  <c r="BC11" i="166"/>
  <c r="BC12" i="166"/>
  <c r="BC14" i="166"/>
  <c r="BC9" i="166"/>
  <c r="BC4" i="166"/>
  <c r="BC5" i="166"/>
  <c r="BC18" i="166"/>
  <c r="BC8" i="166"/>
  <c r="AD53" i="166"/>
  <c r="N37" i="166"/>
  <c r="N36" i="166"/>
  <c r="N38" i="166" s="1"/>
  <c r="AY19" i="166"/>
  <c r="AY15" i="166"/>
  <c r="AY8" i="166"/>
  <c r="AY5" i="166"/>
  <c r="AY18" i="166"/>
  <c r="AY12" i="166"/>
  <c r="AY4" i="166"/>
  <c r="AY13" i="166"/>
  <c r="AY14" i="166"/>
  <c r="AY9" i="166"/>
  <c r="AY17" i="166"/>
  <c r="AY11" i="166"/>
  <c r="Z43" i="166"/>
  <c r="AY10" i="166"/>
  <c r="AY7" i="166"/>
  <c r="AY6" i="166"/>
  <c r="AY16" i="166"/>
  <c r="Z53" i="166"/>
  <c r="AC33" i="166"/>
  <c r="AC34" i="166" s="1"/>
  <c r="AF33" i="166"/>
  <c r="AF34" i="166" s="1"/>
  <c r="AP19" i="166"/>
  <c r="Q43" i="166"/>
  <c r="AP16" i="166"/>
  <c r="AP15" i="166"/>
  <c r="AP11" i="166"/>
  <c r="AP7" i="166"/>
  <c r="AP17" i="166"/>
  <c r="AP9" i="166"/>
  <c r="AP14" i="166"/>
  <c r="AP12" i="166"/>
  <c r="AP8" i="166"/>
  <c r="AP4" i="166"/>
  <c r="AP13" i="166"/>
  <c r="AP10" i="166"/>
  <c r="AP6" i="166"/>
  <c r="AP18" i="166"/>
  <c r="AP5" i="166"/>
  <c r="Q53" i="166"/>
  <c r="T33" i="166"/>
  <c r="T34" i="166" s="1"/>
  <c r="N43" i="166"/>
  <c r="AM18" i="166"/>
  <c r="AM7" i="166"/>
  <c r="AM19" i="166"/>
  <c r="AM10" i="166"/>
  <c r="AM6" i="166"/>
  <c r="AM15" i="166"/>
  <c r="AM11" i="166"/>
  <c r="AM16" i="166"/>
  <c r="AM9" i="166"/>
  <c r="AM8" i="166"/>
  <c r="AM14" i="166"/>
  <c r="AM5" i="166"/>
  <c r="AM12" i="166"/>
  <c r="AM13" i="166"/>
  <c r="AM4" i="166"/>
  <c r="AM17" i="166"/>
  <c r="N53" i="166"/>
  <c r="M45" i="166"/>
  <c r="M44" i="166"/>
  <c r="J33" i="166"/>
  <c r="J34" i="166" s="1"/>
  <c r="M37" i="166"/>
  <c r="M36" i="166"/>
  <c r="M38" i="166" s="1"/>
  <c r="O43" i="166"/>
  <c r="AN18" i="166"/>
  <c r="AN19" i="166"/>
  <c r="AN15" i="166"/>
  <c r="AN10" i="166"/>
  <c r="AN6" i="166"/>
  <c r="AN14" i="166"/>
  <c r="AN12" i="166"/>
  <c r="AN11" i="166"/>
  <c r="AN7" i="166"/>
  <c r="AN5" i="166"/>
  <c r="AN16" i="166"/>
  <c r="AN9" i="166"/>
  <c r="AN17" i="166"/>
  <c r="AN13" i="166"/>
  <c r="AN8" i="166"/>
  <c r="AN4" i="166"/>
  <c r="O53" i="166"/>
  <c r="K43" i="166"/>
  <c r="AJ17" i="166"/>
  <c r="AJ12" i="166"/>
  <c r="AJ8" i="166"/>
  <c r="AJ4" i="166"/>
  <c r="AJ10" i="166"/>
  <c r="AJ18" i="166"/>
  <c r="AJ16" i="166"/>
  <c r="AJ13" i="166"/>
  <c r="AJ9" i="166"/>
  <c r="AJ5" i="166"/>
  <c r="AJ14" i="166"/>
  <c r="AJ11" i="166"/>
  <c r="AJ6" i="166"/>
  <c r="AJ19" i="166"/>
  <c r="AJ15" i="166"/>
  <c r="AJ7" i="166"/>
  <c r="K53" i="166"/>
  <c r="V33" i="166"/>
  <c r="V34" i="166" s="1"/>
  <c r="AB33" i="166"/>
  <c r="AB34" i="166" s="1"/>
  <c r="S33" i="166"/>
  <c r="S34" i="166" s="1"/>
  <c r="AC45" i="166"/>
  <c r="AC44" i="166"/>
  <c r="AI19" i="166"/>
  <c r="AI14" i="166"/>
  <c r="AI8" i="166"/>
  <c r="AI5" i="166"/>
  <c r="AI17" i="166"/>
  <c r="AI12" i="166"/>
  <c r="AI4" i="166"/>
  <c r="J43" i="166"/>
  <c r="AI18" i="166"/>
  <c r="AI16" i="166"/>
  <c r="AI13" i="166"/>
  <c r="AI9" i="166"/>
  <c r="AI15" i="166"/>
  <c r="AI7" i="166"/>
  <c r="AI11" i="166"/>
  <c r="AI6" i="166"/>
  <c r="AI10" i="166"/>
  <c r="J53" i="166"/>
  <c r="T43" i="166"/>
  <c r="AS9" i="166"/>
  <c r="AS6" i="166"/>
  <c r="AS18" i="166"/>
  <c r="AS5" i="166"/>
  <c r="AS10" i="166"/>
  <c r="AS19" i="166"/>
  <c r="AS17" i="166"/>
  <c r="AS16" i="166"/>
  <c r="AS13" i="166"/>
  <c r="AS15" i="166"/>
  <c r="AS7" i="166"/>
  <c r="AS11" i="166"/>
  <c r="AS4" i="166"/>
  <c r="AS12" i="166"/>
  <c r="AS8" i="166"/>
  <c r="AS14" i="166"/>
  <c r="T53" i="166"/>
  <c r="AK17" i="166"/>
  <c r="AK9" i="166"/>
  <c r="AK6" i="166"/>
  <c r="AK15" i="166"/>
  <c r="AK18" i="166"/>
  <c r="AK16" i="166"/>
  <c r="AK13" i="166"/>
  <c r="AK5" i="166"/>
  <c r="L43" i="166"/>
  <c r="AK10" i="166"/>
  <c r="AK19" i="166"/>
  <c r="AK12" i="166"/>
  <c r="AK7" i="166"/>
  <c r="AK8" i="166"/>
  <c r="AK4" i="166"/>
  <c r="AK14" i="166"/>
  <c r="AK11" i="166"/>
  <c r="L53" i="166"/>
  <c r="AA37" i="166"/>
  <c r="AA36" i="166"/>
  <c r="AA38" i="166" s="1"/>
  <c r="AE37" i="166"/>
  <c r="AE36" i="166"/>
  <c r="AE38" i="166" s="1"/>
  <c r="O35" i="166"/>
  <c r="O39" i="166"/>
  <c r="X43" i="166"/>
  <c r="AW18" i="166"/>
  <c r="AW19" i="166"/>
  <c r="AW4" i="166"/>
  <c r="AW11" i="166"/>
  <c r="AW7" i="166"/>
  <c r="AW15" i="166"/>
  <c r="AW12" i="166"/>
  <c r="AW8" i="166"/>
  <c r="AW14" i="166"/>
  <c r="AW13" i="166"/>
  <c r="AW10" i="166"/>
  <c r="AW5" i="166"/>
  <c r="AW6" i="166"/>
  <c r="AW17" i="166"/>
  <c r="AW16" i="166"/>
  <c r="AW9" i="166"/>
  <c r="X53" i="166"/>
  <c r="AE45" i="166"/>
  <c r="AE44" i="166"/>
  <c r="W35" i="166" l="1"/>
  <c r="U35" i="166"/>
  <c r="AF39" i="187"/>
  <c r="Y39" i="169"/>
  <c r="T39" i="170"/>
  <c r="AE41" i="187"/>
  <c r="J41" i="168"/>
  <c r="V35" i="188"/>
  <c r="V36" i="188" s="1"/>
  <c r="V38" i="188" s="1"/>
  <c r="P35" i="168"/>
  <c r="AB35" i="168"/>
  <c r="T35" i="169"/>
  <c r="J39" i="186"/>
  <c r="AC39" i="187"/>
  <c r="Y39" i="176"/>
  <c r="X36" i="187"/>
  <c r="X38" i="187" s="1"/>
  <c r="Y35" i="186"/>
  <c r="Y36" i="186" s="1"/>
  <c r="Y38" i="186" s="1"/>
  <c r="U39" i="169"/>
  <c r="S35" i="172"/>
  <c r="S36" i="172" s="1"/>
  <c r="S38" i="172" s="1"/>
  <c r="Q35" i="169"/>
  <c r="AA36" i="172"/>
  <c r="AA38" i="172" s="1"/>
  <c r="J35" i="179"/>
  <c r="R36" i="168"/>
  <c r="R38" i="168" s="1"/>
  <c r="U35" i="186"/>
  <c r="U36" i="186" s="1"/>
  <c r="U38" i="186" s="1"/>
  <c r="Y35" i="177"/>
  <c r="AF35" i="184"/>
  <c r="Y39" i="184"/>
  <c r="AE35" i="186"/>
  <c r="AE37" i="186" s="1"/>
  <c r="Y35" i="185"/>
  <c r="Y37" i="185" s="1"/>
  <c r="AC39" i="169"/>
  <c r="U35" i="179"/>
  <c r="W35" i="177"/>
  <c r="Z35" i="184"/>
  <c r="V41" i="178"/>
  <c r="S36" i="176"/>
  <c r="S38" i="176" s="1"/>
  <c r="U35" i="170"/>
  <c r="U35" i="188"/>
  <c r="U36" i="188" s="1"/>
  <c r="U38" i="188" s="1"/>
  <c r="Y35" i="168"/>
  <c r="Y37" i="168" s="1"/>
  <c r="AE35" i="168"/>
  <c r="AC35" i="170"/>
  <c r="AC39" i="177"/>
  <c r="AF35" i="178"/>
  <c r="R39" i="171"/>
  <c r="AE39" i="169"/>
  <c r="Q35" i="188"/>
  <c r="Q37" i="188" s="1"/>
  <c r="J35" i="171"/>
  <c r="J36" i="171" s="1"/>
  <c r="J38" i="171" s="1"/>
  <c r="Z35" i="171"/>
  <c r="AB39" i="179"/>
  <c r="R35" i="188"/>
  <c r="R36" i="188" s="1"/>
  <c r="R38" i="188" s="1"/>
  <c r="AB35" i="170"/>
  <c r="AC35" i="179"/>
  <c r="U41" i="187"/>
  <c r="S35" i="188"/>
  <c r="S37" i="188" s="1"/>
  <c r="L41" i="186"/>
  <c r="N41" i="186"/>
  <c r="AB39" i="172"/>
  <c r="T35" i="177"/>
  <c r="Q35" i="178"/>
  <c r="Q37" i="178" s="1"/>
  <c r="Q41" i="185"/>
  <c r="P35" i="177"/>
  <c r="P36" i="177" s="1"/>
  <c r="P38" i="177" s="1"/>
  <c r="Q35" i="177"/>
  <c r="Q37" i="177" s="1"/>
  <c r="N36" i="178"/>
  <c r="N38" i="178" s="1"/>
  <c r="N41" i="178" s="1"/>
  <c r="Z41" i="187"/>
  <c r="AB39" i="171"/>
  <c r="K35" i="177"/>
  <c r="V39" i="179"/>
  <c r="Q41" i="176"/>
  <c r="V35" i="170"/>
  <c r="AE35" i="177"/>
  <c r="AE37" i="177" s="1"/>
  <c r="AF39" i="171"/>
  <c r="U36" i="172"/>
  <c r="U38" i="172" s="1"/>
  <c r="AC39" i="178"/>
  <c r="X41" i="183"/>
  <c r="K35" i="171"/>
  <c r="W46" i="187"/>
  <c r="W47" i="187" s="1"/>
  <c r="W52" i="187" s="1"/>
  <c r="R46" i="187"/>
  <c r="R47" i="187" s="1"/>
  <c r="R48" i="187" s="1"/>
  <c r="W41" i="187"/>
  <c r="N46" i="188"/>
  <c r="N47" i="188" s="1"/>
  <c r="N52" i="188" s="1"/>
  <c r="U46" i="188"/>
  <c r="U47" i="188" s="1"/>
  <c r="U52" i="188" s="1"/>
  <c r="M41" i="188"/>
  <c r="AB46" i="188"/>
  <c r="AB47" i="188" s="1"/>
  <c r="AB52" i="188" s="1"/>
  <c r="S41" i="185"/>
  <c r="AE41" i="185"/>
  <c r="S46" i="185"/>
  <c r="S47" i="185" s="1"/>
  <c r="S52" i="185" s="1"/>
  <c r="Z41" i="185"/>
  <c r="X41" i="185"/>
  <c r="AC46" i="186"/>
  <c r="AC47" i="186" s="1"/>
  <c r="AC52" i="186" s="1"/>
  <c r="AB46" i="186"/>
  <c r="AB47" i="186" s="1"/>
  <c r="AB48" i="186" s="1"/>
  <c r="BF13" i="186"/>
  <c r="BG13" i="186" s="1"/>
  <c r="BH13" i="186" s="1"/>
  <c r="BF14" i="186"/>
  <c r="BG14" i="186" s="1"/>
  <c r="BH14" i="186" s="1"/>
  <c r="V46" i="186"/>
  <c r="V47" i="186" s="1"/>
  <c r="V52" i="186" s="1"/>
  <c r="X46" i="186"/>
  <c r="X47" i="186" s="1"/>
  <c r="X52" i="186" s="1"/>
  <c r="AA46" i="186"/>
  <c r="AA47" i="186" s="1"/>
  <c r="AA52" i="186" s="1"/>
  <c r="BF15" i="186"/>
  <c r="BG15" i="186" s="1"/>
  <c r="BH15" i="186" s="1"/>
  <c r="BF16" i="186"/>
  <c r="BG16" i="186" s="1"/>
  <c r="BH16" i="186" s="1"/>
  <c r="BF5" i="186"/>
  <c r="BG5" i="186" s="1"/>
  <c r="BH5" i="186" s="1"/>
  <c r="BF19" i="186"/>
  <c r="BG19" i="186" s="1"/>
  <c r="BH19" i="186" s="1"/>
  <c r="BF10" i="186"/>
  <c r="BG10" i="186" s="1"/>
  <c r="BH10" i="186" s="1"/>
  <c r="BF8" i="186"/>
  <c r="BG8" i="186" s="1"/>
  <c r="BH8" i="186" s="1"/>
  <c r="BF13" i="184"/>
  <c r="BG13" i="184" s="1"/>
  <c r="BH13" i="184" s="1"/>
  <c r="BF4" i="184"/>
  <c r="BG4" i="184" s="1"/>
  <c r="BF6" i="184"/>
  <c r="BG6" i="184" s="1"/>
  <c r="BH6" i="184" s="1"/>
  <c r="BF8" i="184"/>
  <c r="BG8" i="184" s="1"/>
  <c r="BH8" i="184" s="1"/>
  <c r="BF16" i="184"/>
  <c r="BG16" i="184" s="1"/>
  <c r="BH16" i="184" s="1"/>
  <c r="V46" i="184"/>
  <c r="V47" i="184" s="1"/>
  <c r="V48" i="184" s="1"/>
  <c r="BF19" i="184"/>
  <c r="BG19" i="184" s="1"/>
  <c r="BH19" i="184" s="1"/>
  <c r="BF14" i="184"/>
  <c r="BG14" i="184" s="1"/>
  <c r="BH14" i="184" s="1"/>
  <c r="BF7" i="184"/>
  <c r="BG7" i="184" s="1"/>
  <c r="BH7" i="184" s="1"/>
  <c r="Z46" i="184"/>
  <c r="Z47" i="184" s="1"/>
  <c r="Z52" i="184" s="1"/>
  <c r="BF12" i="184"/>
  <c r="BG12" i="184" s="1"/>
  <c r="BH12" i="184" s="1"/>
  <c r="BF11" i="184"/>
  <c r="BG11" i="184" s="1"/>
  <c r="BH11" i="184" s="1"/>
  <c r="AF46" i="184"/>
  <c r="AF47" i="184" s="1"/>
  <c r="AF52" i="184" s="1"/>
  <c r="P46" i="184"/>
  <c r="P47" i="184" s="1"/>
  <c r="P52" i="184" s="1"/>
  <c r="BF18" i="184"/>
  <c r="BG18" i="184" s="1"/>
  <c r="BH18" i="184" s="1"/>
  <c r="BF10" i="184"/>
  <c r="BG10" i="184" s="1"/>
  <c r="BH10" i="184" s="1"/>
  <c r="BF15" i="184"/>
  <c r="BG15" i="184" s="1"/>
  <c r="BH15" i="184" s="1"/>
  <c r="BF5" i="184"/>
  <c r="BG5" i="184" s="1"/>
  <c r="BH5" i="184" s="1"/>
  <c r="AG53" i="184"/>
  <c r="BF9" i="184"/>
  <c r="BG9" i="184" s="1"/>
  <c r="BH9" i="184" s="1"/>
  <c r="BF17" i="184"/>
  <c r="BG17" i="184" s="1"/>
  <c r="BH17" i="184" s="1"/>
  <c r="Q46" i="183"/>
  <c r="Q47" i="183" s="1"/>
  <c r="Q52" i="183" s="1"/>
  <c r="O37" i="187"/>
  <c r="O36" i="187"/>
  <c r="O38" i="187" s="1"/>
  <c r="BF4" i="188"/>
  <c r="J44" i="188"/>
  <c r="J45" i="188"/>
  <c r="BF11" i="187"/>
  <c r="BG11" i="187" s="1"/>
  <c r="BH11" i="187" s="1"/>
  <c r="BF13" i="187"/>
  <c r="BG13" i="187" s="1"/>
  <c r="BH13" i="187" s="1"/>
  <c r="AD37" i="188"/>
  <c r="AD36" i="188"/>
  <c r="AD38" i="188" s="1"/>
  <c r="AF37" i="188"/>
  <c r="AF36" i="188"/>
  <c r="AF38" i="188" s="1"/>
  <c r="O37" i="188"/>
  <c r="O36" i="188"/>
  <c r="O38" i="188" s="1"/>
  <c r="AA37" i="188"/>
  <c r="AA36" i="188"/>
  <c r="AA38" i="188" s="1"/>
  <c r="R37" i="188"/>
  <c r="L44" i="188"/>
  <c r="L45" i="188"/>
  <c r="S44" i="188"/>
  <c r="S45" i="188"/>
  <c r="M45" i="188"/>
  <c r="M44" i="188"/>
  <c r="BF18" i="188"/>
  <c r="BG18" i="188" s="1"/>
  <c r="BH18" i="188" s="1"/>
  <c r="BF6" i="188"/>
  <c r="BG6" i="188" s="1"/>
  <c r="BH6" i="188" s="1"/>
  <c r="T44" i="188"/>
  <c r="T45" i="188"/>
  <c r="BF14" i="187"/>
  <c r="BG14" i="187" s="1"/>
  <c r="BH14" i="187" s="1"/>
  <c r="O45" i="187"/>
  <c r="O44" i="187"/>
  <c r="AB45" i="187"/>
  <c r="AB44" i="187"/>
  <c r="Y39" i="188"/>
  <c r="Y35" i="188"/>
  <c r="R44" i="188"/>
  <c r="R45" i="188"/>
  <c r="AB41" i="187"/>
  <c r="BF17" i="188"/>
  <c r="BG17" i="188" s="1"/>
  <c r="BH17" i="188" s="1"/>
  <c r="BF10" i="188"/>
  <c r="BG10" i="188" s="1"/>
  <c r="BH10" i="188" s="1"/>
  <c r="Z44" i="187"/>
  <c r="Z45" i="187"/>
  <c r="P45" i="188"/>
  <c r="P44" i="188"/>
  <c r="AA37" i="187"/>
  <c r="AA36" i="187"/>
  <c r="AA38" i="187" s="1"/>
  <c r="BF16" i="187"/>
  <c r="BG16" i="187" s="1"/>
  <c r="BH16" i="187" s="1"/>
  <c r="BF15" i="187"/>
  <c r="BG15" i="187" s="1"/>
  <c r="BH15" i="187" s="1"/>
  <c r="M37" i="187"/>
  <c r="M36" i="187"/>
  <c r="M38" i="187" s="1"/>
  <c r="R37" i="187"/>
  <c r="R36" i="187"/>
  <c r="R38" i="187" s="1"/>
  <c r="Q45" i="188"/>
  <c r="Q44" i="188"/>
  <c r="Q37" i="187"/>
  <c r="Q36" i="187"/>
  <c r="Q38" i="187" s="1"/>
  <c r="T37" i="187"/>
  <c r="T36" i="187"/>
  <c r="T38" i="187" s="1"/>
  <c r="V44" i="187"/>
  <c r="V45" i="187"/>
  <c r="W35" i="188"/>
  <c r="W39" i="188"/>
  <c r="S39" i="187"/>
  <c r="S35" i="187"/>
  <c r="AD44" i="188"/>
  <c r="AD45" i="188"/>
  <c r="Y45" i="188"/>
  <c r="Y44" i="188"/>
  <c r="AC46" i="188"/>
  <c r="AC47" i="188" s="1"/>
  <c r="AC37" i="187"/>
  <c r="AC36" i="187"/>
  <c r="AC38" i="187" s="1"/>
  <c r="AC39" i="188"/>
  <c r="AC35" i="188"/>
  <c r="BF13" i="188"/>
  <c r="BG13" i="188" s="1"/>
  <c r="BH13" i="188" s="1"/>
  <c r="X45" i="188"/>
  <c r="X44" i="188"/>
  <c r="AE44" i="187"/>
  <c r="AE45" i="187"/>
  <c r="Z39" i="188"/>
  <c r="Z35" i="188"/>
  <c r="N37" i="187"/>
  <c r="N36" i="187"/>
  <c r="N38" i="187" s="1"/>
  <c r="P41" i="188"/>
  <c r="BF17" i="187"/>
  <c r="BG17" i="187" s="1"/>
  <c r="BH17" i="187" s="1"/>
  <c r="BF18" i="187"/>
  <c r="BG18" i="187" s="1"/>
  <c r="BH18" i="187" s="1"/>
  <c r="X37" i="188"/>
  <c r="X36" i="188"/>
  <c r="X38" i="188" s="1"/>
  <c r="U45" i="187"/>
  <c r="U44" i="187"/>
  <c r="K45" i="187"/>
  <c r="K44" i="187"/>
  <c r="AC44" i="187"/>
  <c r="AC45" i="187"/>
  <c r="X44" i="187"/>
  <c r="X45" i="187"/>
  <c r="K44" i="188"/>
  <c r="K45" i="188"/>
  <c r="M44" i="187"/>
  <c r="M45" i="187"/>
  <c r="N44" i="187"/>
  <c r="N45" i="187"/>
  <c r="T39" i="188"/>
  <c r="T35" i="188"/>
  <c r="BF8" i="188"/>
  <c r="BG8" i="188" s="1"/>
  <c r="BH8" i="188" s="1"/>
  <c r="BF16" i="188"/>
  <c r="BG16" i="188" s="1"/>
  <c r="BH16" i="188" s="1"/>
  <c r="K37" i="187"/>
  <c r="K36" i="187"/>
  <c r="K38" i="187" s="1"/>
  <c r="N37" i="188"/>
  <c r="N36" i="188"/>
  <c r="N38" i="188" s="1"/>
  <c r="AG53" i="187"/>
  <c r="BF19" i="187"/>
  <c r="BG19" i="187" s="1"/>
  <c r="BH19" i="187" s="1"/>
  <c r="J44" i="187"/>
  <c r="J45" i="187"/>
  <c r="V37" i="188"/>
  <c r="AD41" i="187"/>
  <c r="Q45" i="187"/>
  <c r="Q44" i="187"/>
  <c r="O45" i="188"/>
  <c r="O44" i="188"/>
  <c r="J41" i="188"/>
  <c r="AG53" i="188"/>
  <c r="BF14" i="188"/>
  <c r="BG14" i="188" s="1"/>
  <c r="BH14" i="188" s="1"/>
  <c r="BF11" i="188"/>
  <c r="BG11" i="188" s="1"/>
  <c r="BH11" i="188" s="1"/>
  <c r="T44" i="187"/>
  <c r="T45" i="187"/>
  <c r="W45" i="188"/>
  <c r="W44" i="188"/>
  <c r="V41" i="187"/>
  <c r="AF44" i="187"/>
  <c r="AF45" i="187"/>
  <c r="BF8" i="187"/>
  <c r="BG8" i="187" s="1"/>
  <c r="BH8" i="187" s="1"/>
  <c r="BF7" i="187"/>
  <c r="BG7" i="187" s="1"/>
  <c r="BH7" i="187" s="1"/>
  <c r="BF5" i="187"/>
  <c r="BG5" i="187" s="1"/>
  <c r="BH5" i="187" s="1"/>
  <c r="L37" i="188"/>
  <c r="L36" i="188"/>
  <c r="L38" i="188" s="1"/>
  <c r="AA44" i="188"/>
  <c r="AA45" i="188"/>
  <c r="AD45" i="187"/>
  <c r="AD44" i="187"/>
  <c r="P44" i="187"/>
  <c r="P45" i="187"/>
  <c r="J41" i="187"/>
  <c r="BF7" i="188"/>
  <c r="BG7" i="188" s="1"/>
  <c r="BH7" i="188" s="1"/>
  <c r="BF5" i="188"/>
  <c r="BG5" i="188" s="1"/>
  <c r="BH5" i="188" s="1"/>
  <c r="BF15" i="188"/>
  <c r="BG15" i="188" s="1"/>
  <c r="BH15" i="188" s="1"/>
  <c r="Z45" i="188"/>
  <c r="Z44" i="188"/>
  <c r="S45" i="187"/>
  <c r="S44" i="187"/>
  <c r="BF6" i="187"/>
  <c r="BG6" i="187" s="1"/>
  <c r="BH6" i="187" s="1"/>
  <c r="BF10" i="187"/>
  <c r="BG10" i="187" s="1"/>
  <c r="BH10" i="187" s="1"/>
  <c r="BF9" i="187"/>
  <c r="BG9" i="187" s="1"/>
  <c r="BH9" i="187" s="1"/>
  <c r="Y41" i="187"/>
  <c r="L45" i="187"/>
  <c r="L44" i="187"/>
  <c r="L37" i="187"/>
  <c r="L36" i="187"/>
  <c r="L38" i="187" s="1"/>
  <c r="X41" i="187"/>
  <c r="AE44" i="188"/>
  <c r="AE45" i="188"/>
  <c r="P39" i="187"/>
  <c r="P35" i="187"/>
  <c r="AF37" i="187"/>
  <c r="AF36" i="187"/>
  <c r="AF38" i="187" s="1"/>
  <c r="BF12" i="188"/>
  <c r="BG12" i="188" s="1"/>
  <c r="BH12" i="188" s="1"/>
  <c r="BF9" i="188"/>
  <c r="BG9" i="188" s="1"/>
  <c r="BH9" i="188" s="1"/>
  <c r="BF19" i="188"/>
  <c r="BG19" i="188" s="1"/>
  <c r="BH19" i="188" s="1"/>
  <c r="K39" i="188"/>
  <c r="K35" i="188"/>
  <c r="V44" i="188"/>
  <c r="V45" i="188"/>
  <c r="AA46" i="187"/>
  <c r="AA47" i="187" s="1"/>
  <c r="AF45" i="188"/>
  <c r="AF44" i="188"/>
  <c r="AB39" i="188"/>
  <c r="AB35" i="188"/>
  <c r="BF4" i="187"/>
  <c r="BF12" i="187"/>
  <c r="BG12" i="187" s="1"/>
  <c r="BH12" i="187" s="1"/>
  <c r="Y46" i="187"/>
  <c r="Y47" i="187" s="1"/>
  <c r="AE35" i="188"/>
  <c r="AE39" i="188"/>
  <c r="T39" i="186"/>
  <c r="T35" i="186"/>
  <c r="O46" i="186"/>
  <c r="O47" i="186" s="1"/>
  <c r="AG53" i="186"/>
  <c r="BF18" i="186"/>
  <c r="BG18" i="186" s="1"/>
  <c r="BH18" i="186" s="1"/>
  <c r="BF11" i="186"/>
  <c r="BG11" i="186" s="1"/>
  <c r="BH11" i="186" s="1"/>
  <c r="N45" i="186"/>
  <c r="N44" i="186"/>
  <c r="P44" i="185"/>
  <c r="P45" i="185"/>
  <c r="L37" i="185"/>
  <c r="L36" i="185"/>
  <c r="L38" i="185" s="1"/>
  <c r="T44" i="186"/>
  <c r="T45" i="186"/>
  <c r="Y44" i="185"/>
  <c r="Y45" i="185"/>
  <c r="N37" i="185"/>
  <c r="N36" i="185"/>
  <c r="N38" i="185" s="1"/>
  <c r="P45" i="186"/>
  <c r="P44" i="186"/>
  <c r="BF8" i="185"/>
  <c r="BG8" i="185" s="1"/>
  <c r="BH8" i="185" s="1"/>
  <c r="BF15" i="185"/>
  <c r="BG15" i="185" s="1"/>
  <c r="BH15" i="185" s="1"/>
  <c r="Z44" i="186"/>
  <c r="Z45" i="186"/>
  <c r="X39" i="186"/>
  <c r="X35" i="186"/>
  <c r="AB37" i="185"/>
  <c r="AB36" i="185"/>
  <c r="AB38" i="185" s="1"/>
  <c r="AE44" i="185"/>
  <c r="AE45" i="185"/>
  <c r="Q35" i="186"/>
  <c r="Q39" i="186"/>
  <c r="J41" i="185"/>
  <c r="AD45" i="185"/>
  <c r="AD44" i="185"/>
  <c r="T37" i="185"/>
  <c r="T36" i="185"/>
  <c r="T38" i="185" s="1"/>
  <c r="AB44" i="185"/>
  <c r="AB45" i="185"/>
  <c r="M45" i="186"/>
  <c r="M44" i="186"/>
  <c r="J37" i="186"/>
  <c r="J36" i="186"/>
  <c r="J38" i="186" s="1"/>
  <c r="BF10" i="185"/>
  <c r="BG10" i="185" s="1"/>
  <c r="BH10" i="185" s="1"/>
  <c r="BF9" i="185"/>
  <c r="BG9" i="185" s="1"/>
  <c r="BH9" i="185" s="1"/>
  <c r="AF44" i="185"/>
  <c r="AF45" i="185"/>
  <c r="M41" i="185"/>
  <c r="S44" i="186"/>
  <c r="S45" i="186"/>
  <c r="R35" i="186"/>
  <c r="R39" i="186"/>
  <c r="R45" i="185"/>
  <c r="R44" i="185"/>
  <c r="AA41" i="185"/>
  <c r="S39" i="186"/>
  <c r="S35" i="186"/>
  <c r="U35" i="185"/>
  <c r="U39" i="185"/>
  <c r="AG39" i="185" s="1"/>
  <c r="R16" i="112" s="1"/>
  <c r="AG53" i="185"/>
  <c r="BF14" i="185"/>
  <c r="BG14" i="185" s="1"/>
  <c r="BH14" i="185" s="1"/>
  <c r="J44" i="185"/>
  <c r="J45" i="185"/>
  <c r="AE45" i="186"/>
  <c r="AE44" i="186"/>
  <c r="V45" i="185"/>
  <c r="V44" i="185"/>
  <c r="U37" i="186"/>
  <c r="P37" i="186"/>
  <c r="P36" i="186"/>
  <c r="P38" i="186" s="1"/>
  <c r="V37" i="186"/>
  <c r="V36" i="186"/>
  <c r="V38" i="186" s="1"/>
  <c r="BF11" i="185"/>
  <c r="BG11" i="185" s="1"/>
  <c r="BH11" i="185" s="1"/>
  <c r="BF5" i="185"/>
  <c r="BG5" i="185" s="1"/>
  <c r="BH5" i="185" s="1"/>
  <c r="BF6" i="185"/>
  <c r="BG6" i="185" s="1"/>
  <c r="BH6" i="185" s="1"/>
  <c r="AC37" i="185"/>
  <c r="AC36" i="185"/>
  <c r="AC38" i="185" s="1"/>
  <c r="U45" i="186"/>
  <c r="U44" i="186"/>
  <c r="L46" i="186"/>
  <c r="L47" i="186" s="1"/>
  <c r="AD46" i="186"/>
  <c r="AD47" i="186" s="1"/>
  <c r="BF4" i="186"/>
  <c r="BF17" i="186"/>
  <c r="BG17" i="186" s="1"/>
  <c r="BH17" i="186" s="1"/>
  <c r="AF41" i="185"/>
  <c r="O41" i="186"/>
  <c r="M45" i="185"/>
  <c r="M44" i="185"/>
  <c r="Y37" i="186"/>
  <c r="AD37" i="185"/>
  <c r="AD36" i="185"/>
  <c r="AD38" i="185" s="1"/>
  <c r="O37" i="185"/>
  <c r="O36" i="185"/>
  <c r="O38" i="185" s="1"/>
  <c r="W44" i="185"/>
  <c r="W45" i="185"/>
  <c r="T46" i="185"/>
  <c r="T47" i="185" s="1"/>
  <c r="BF4" i="185"/>
  <c r="BF16" i="185"/>
  <c r="BG16" i="185" s="1"/>
  <c r="BH16" i="185" s="1"/>
  <c r="AF45" i="186"/>
  <c r="AF44" i="186"/>
  <c r="AA41" i="186"/>
  <c r="BF6" i="186"/>
  <c r="BG6" i="186" s="1"/>
  <c r="BH6" i="186" s="1"/>
  <c r="J44" i="186"/>
  <c r="J45" i="186"/>
  <c r="O44" i="185"/>
  <c r="O45" i="185"/>
  <c r="AB39" i="186"/>
  <c r="AB35" i="186"/>
  <c r="K41" i="186"/>
  <c r="W37" i="186"/>
  <c r="W36" i="186"/>
  <c r="W38" i="186" s="1"/>
  <c r="AC45" i="185"/>
  <c r="AC44" i="185"/>
  <c r="Q45" i="185"/>
  <c r="Q44" i="185"/>
  <c r="K44" i="186"/>
  <c r="K45" i="186"/>
  <c r="Z37" i="186"/>
  <c r="Z36" i="186"/>
  <c r="Z38" i="186" s="1"/>
  <c r="W46" i="186"/>
  <c r="W47" i="186" s="1"/>
  <c r="BF17" i="185"/>
  <c r="BG17" i="185" s="1"/>
  <c r="BH17" i="185" s="1"/>
  <c r="BF7" i="185"/>
  <c r="BG7" i="185" s="1"/>
  <c r="BH7" i="185" s="1"/>
  <c r="AA45" i="185"/>
  <c r="AA44" i="185"/>
  <c r="Y45" i="186"/>
  <c r="Y44" i="186"/>
  <c r="BF9" i="186"/>
  <c r="BG9" i="186" s="1"/>
  <c r="BH9" i="186" s="1"/>
  <c r="K41" i="185"/>
  <c r="Q44" i="186"/>
  <c r="Q45" i="186"/>
  <c r="Z44" i="185"/>
  <c r="Z45" i="185"/>
  <c r="X44" i="185"/>
  <c r="X45" i="185"/>
  <c r="BF13" i="185"/>
  <c r="BG13" i="185" s="1"/>
  <c r="BH13" i="185" s="1"/>
  <c r="BF19" i="185"/>
  <c r="BG19" i="185" s="1"/>
  <c r="BH19" i="185" s="1"/>
  <c r="U45" i="185"/>
  <c r="U44" i="185"/>
  <c r="K46" i="185"/>
  <c r="K47" i="185" s="1"/>
  <c r="AF37" i="186"/>
  <c r="AF36" i="186"/>
  <c r="AF38" i="186" s="1"/>
  <c r="BF12" i="186"/>
  <c r="BG12" i="186" s="1"/>
  <c r="BH12" i="186" s="1"/>
  <c r="BF7" i="186"/>
  <c r="BG7" i="186" s="1"/>
  <c r="BH7" i="186" s="1"/>
  <c r="AD37" i="186"/>
  <c r="AD36" i="186"/>
  <c r="AD38" i="186" s="1"/>
  <c r="N46" i="185"/>
  <c r="N47" i="185" s="1"/>
  <c r="M41" i="186"/>
  <c r="V37" i="185"/>
  <c r="V36" i="185"/>
  <c r="V38" i="185" s="1"/>
  <c r="R46" i="186"/>
  <c r="R47" i="186" s="1"/>
  <c r="W41" i="185"/>
  <c r="P41" i="185"/>
  <c r="L44" i="185"/>
  <c r="L45" i="185"/>
  <c r="AC39" i="186"/>
  <c r="AC35" i="186"/>
  <c r="BF18" i="185"/>
  <c r="BG18" i="185" s="1"/>
  <c r="BH18" i="185" s="1"/>
  <c r="BF12" i="185"/>
  <c r="BG12" i="185" s="1"/>
  <c r="BH12" i="185" s="1"/>
  <c r="O37" i="184"/>
  <c r="O36" i="184"/>
  <c r="O38" i="184" s="1"/>
  <c r="O44" i="184"/>
  <c r="O45" i="184"/>
  <c r="U35" i="184"/>
  <c r="U39" i="184"/>
  <c r="N44" i="184"/>
  <c r="N45" i="184"/>
  <c r="S44" i="184"/>
  <c r="S45" i="184"/>
  <c r="J37" i="184"/>
  <c r="J36" i="184"/>
  <c r="J38" i="184" s="1"/>
  <c r="W37" i="184"/>
  <c r="W36" i="184"/>
  <c r="W38" i="184" s="1"/>
  <c r="S37" i="184"/>
  <c r="S36" i="184"/>
  <c r="S38" i="184" s="1"/>
  <c r="W44" i="184"/>
  <c r="W45" i="184"/>
  <c r="X44" i="184"/>
  <c r="X45" i="184"/>
  <c r="L41" i="184"/>
  <c r="Q46" i="184"/>
  <c r="Q47" i="184" s="1"/>
  <c r="AD41" i="184"/>
  <c r="X41" i="184"/>
  <c r="AD45" i="184"/>
  <c r="AD44" i="184"/>
  <c r="AA41" i="184"/>
  <c r="AB35" i="184"/>
  <c r="AB39" i="184"/>
  <c r="AC44" i="184"/>
  <c r="AC45" i="184"/>
  <c r="AE44" i="184"/>
  <c r="AE45" i="184"/>
  <c r="Z37" i="184"/>
  <c r="Z36" i="184"/>
  <c r="Z38" i="184" s="1"/>
  <c r="K37" i="184"/>
  <c r="K36" i="184"/>
  <c r="K38" i="184" s="1"/>
  <c r="T45" i="184"/>
  <c r="T44" i="184"/>
  <c r="J46" i="184"/>
  <c r="J47" i="184" s="1"/>
  <c r="AF37" i="184"/>
  <c r="AF36" i="184"/>
  <c r="AF38" i="184" s="1"/>
  <c r="T37" i="184"/>
  <c r="T36" i="184"/>
  <c r="T38" i="184" s="1"/>
  <c r="R44" i="184"/>
  <c r="R45" i="184"/>
  <c r="AA46" i="184"/>
  <c r="AA47" i="184" s="1"/>
  <c r="Y46" i="184"/>
  <c r="Y47" i="184" s="1"/>
  <c r="M41" i="184"/>
  <c r="Y37" i="184"/>
  <c r="Y36" i="184"/>
  <c r="Y38" i="184" s="1"/>
  <c r="L45" i="184"/>
  <c r="L44" i="184"/>
  <c r="Q41" i="184"/>
  <c r="P37" i="184"/>
  <c r="P36" i="184"/>
  <c r="P38" i="184" s="1"/>
  <c r="V37" i="184"/>
  <c r="V36" i="184"/>
  <c r="V38" i="184" s="1"/>
  <c r="U44" i="184"/>
  <c r="U45" i="184"/>
  <c r="M44" i="184"/>
  <c r="M45" i="184"/>
  <c r="N37" i="184"/>
  <c r="N36" i="184"/>
  <c r="N38" i="184" s="1"/>
  <c r="K44" i="184"/>
  <c r="K45" i="184"/>
  <c r="AC37" i="184"/>
  <c r="AC36" i="184"/>
  <c r="AC38" i="184" s="1"/>
  <c r="R41" i="184"/>
  <c r="AB45" i="184"/>
  <c r="AB44" i="184"/>
  <c r="AE36" i="184"/>
  <c r="AE38" i="184" s="1"/>
  <c r="AE37" i="184"/>
  <c r="Z39" i="183"/>
  <c r="Z35" i="183"/>
  <c r="AC35" i="183"/>
  <c r="AC39" i="183"/>
  <c r="T45" i="183"/>
  <c r="T44" i="183"/>
  <c r="W45" i="183"/>
  <c r="W44" i="183"/>
  <c r="S35" i="183"/>
  <c r="S39" i="183"/>
  <c r="BF4" i="183"/>
  <c r="BF13" i="183"/>
  <c r="BG13" i="183" s="1"/>
  <c r="BH13" i="183" s="1"/>
  <c r="AE37" i="183"/>
  <c r="AE36" i="183"/>
  <c r="AE38" i="183" s="1"/>
  <c r="Q35" i="183"/>
  <c r="Q39" i="183"/>
  <c r="AA37" i="183"/>
  <c r="AA36" i="183"/>
  <c r="AA38" i="183" s="1"/>
  <c r="BF12" i="183"/>
  <c r="BG12" i="183" s="1"/>
  <c r="BH12" i="183" s="1"/>
  <c r="BF19" i="183"/>
  <c r="BG19" i="183" s="1"/>
  <c r="BH19" i="183" s="1"/>
  <c r="J44" i="183"/>
  <c r="J45" i="183"/>
  <c r="AF35" i="183"/>
  <c r="AF39" i="183"/>
  <c r="O37" i="183"/>
  <c r="O36" i="183"/>
  <c r="O38" i="183" s="1"/>
  <c r="K44" i="183"/>
  <c r="K45" i="183"/>
  <c r="T37" i="183"/>
  <c r="T36" i="183"/>
  <c r="T38" i="183" s="1"/>
  <c r="W37" i="183"/>
  <c r="W36" i="183"/>
  <c r="W38" i="183" s="1"/>
  <c r="L37" i="183"/>
  <c r="L36" i="183"/>
  <c r="L38" i="183" s="1"/>
  <c r="Y44" i="183"/>
  <c r="Y45" i="183"/>
  <c r="BF6" i="183"/>
  <c r="BG6" i="183" s="1"/>
  <c r="BH6" i="183" s="1"/>
  <c r="BF16" i="183"/>
  <c r="BG16" i="183" s="1"/>
  <c r="BH16" i="183" s="1"/>
  <c r="AC44" i="183"/>
  <c r="AC45" i="183"/>
  <c r="AD41" i="183"/>
  <c r="P45" i="183"/>
  <c r="P44" i="183"/>
  <c r="O45" i="183"/>
  <c r="O44" i="183"/>
  <c r="X45" i="183"/>
  <c r="X44" i="183"/>
  <c r="R44" i="183"/>
  <c r="R45" i="183"/>
  <c r="AE44" i="183"/>
  <c r="AE45" i="183"/>
  <c r="BF8" i="183"/>
  <c r="BG8" i="183" s="1"/>
  <c r="BH8" i="183" s="1"/>
  <c r="BF18" i="183"/>
  <c r="BG18" i="183" s="1"/>
  <c r="BH18" i="183" s="1"/>
  <c r="M37" i="183"/>
  <c r="M36" i="183"/>
  <c r="M38" i="183" s="1"/>
  <c r="S44" i="183"/>
  <c r="S45" i="183"/>
  <c r="V37" i="183"/>
  <c r="V36" i="183"/>
  <c r="V38" i="183" s="1"/>
  <c r="BF14" i="183"/>
  <c r="BG14" i="183" s="1"/>
  <c r="BH14" i="183" s="1"/>
  <c r="BF17" i="183"/>
  <c r="BG17" i="183" s="1"/>
  <c r="BH17" i="183" s="1"/>
  <c r="Z44" i="183"/>
  <c r="Z45" i="183"/>
  <c r="P37" i="183"/>
  <c r="P36" i="183"/>
  <c r="P38" i="183" s="1"/>
  <c r="BF10" i="183"/>
  <c r="BG10" i="183" s="1"/>
  <c r="BH10" i="183" s="1"/>
  <c r="BF7" i="183"/>
  <c r="BG7" i="183" s="1"/>
  <c r="BH7" i="183" s="1"/>
  <c r="AF44" i="183"/>
  <c r="AF45" i="183"/>
  <c r="AB35" i="183"/>
  <c r="AB39" i="183"/>
  <c r="L45" i="183"/>
  <c r="L44" i="183"/>
  <c r="V44" i="183"/>
  <c r="V45" i="183"/>
  <c r="AD44" i="183"/>
  <c r="AD45" i="183"/>
  <c r="U39" i="183"/>
  <c r="U35" i="183"/>
  <c r="U44" i="183"/>
  <c r="U45" i="183"/>
  <c r="AA44" i="183"/>
  <c r="AA45" i="183"/>
  <c r="J41" i="183"/>
  <c r="BF5" i="183"/>
  <c r="BG5" i="183" s="1"/>
  <c r="BH5" i="183" s="1"/>
  <c r="BF11" i="183"/>
  <c r="BG11" i="183" s="1"/>
  <c r="BH11" i="183" s="1"/>
  <c r="K35" i="183"/>
  <c r="K39" i="183"/>
  <c r="R39" i="183"/>
  <c r="R35" i="183"/>
  <c r="M46" i="183"/>
  <c r="M47" i="183" s="1"/>
  <c r="N37" i="183"/>
  <c r="N36" i="183"/>
  <c r="N38" i="183" s="1"/>
  <c r="N46" i="183"/>
  <c r="N47" i="183" s="1"/>
  <c r="Y41" i="183"/>
  <c r="AB45" i="183"/>
  <c r="AB44" i="183"/>
  <c r="AG53" i="183"/>
  <c r="BF9" i="183"/>
  <c r="BG9" i="183" s="1"/>
  <c r="BH9" i="183" s="1"/>
  <c r="BF15" i="183"/>
  <c r="BG15" i="183" s="1"/>
  <c r="BH15" i="183" s="1"/>
  <c r="AF39" i="177"/>
  <c r="L41" i="169"/>
  <c r="S39" i="179"/>
  <c r="J35" i="178"/>
  <c r="J36" i="178" s="1"/>
  <c r="J38" i="178" s="1"/>
  <c r="AF41" i="172"/>
  <c r="W46" i="179"/>
  <c r="W47" i="179" s="1"/>
  <c r="W48" i="179" s="1"/>
  <c r="AA41" i="179"/>
  <c r="R46" i="179"/>
  <c r="R47" i="179" s="1"/>
  <c r="R52" i="179" s="1"/>
  <c r="Z46" i="172"/>
  <c r="Z47" i="172" s="1"/>
  <c r="Z52" i="172" s="1"/>
  <c r="S46" i="176"/>
  <c r="S47" i="176" s="1"/>
  <c r="S52" i="176" s="1"/>
  <c r="AD41" i="176"/>
  <c r="J46" i="176"/>
  <c r="J47" i="176" s="1"/>
  <c r="J52" i="176" s="1"/>
  <c r="U46" i="177"/>
  <c r="U47" i="177" s="1"/>
  <c r="U48" i="177" s="1"/>
  <c r="BF12" i="170"/>
  <c r="BG12" i="170" s="1"/>
  <c r="BH12" i="170" s="1"/>
  <c r="N46" i="171"/>
  <c r="N47" i="171" s="1"/>
  <c r="N48" i="171" s="1"/>
  <c r="O46" i="179"/>
  <c r="O47" i="179" s="1"/>
  <c r="O48" i="179" s="1"/>
  <c r="W46" i="172"/>
  <c r="W47" i="172" s="1"/>
  <c r="W52" i="172" s="1"/>
  <c r="V46" i="179"/>
  <c r="V47" i="179" s="1"/>
  <c r="V52" i="179" s="1"/>
  <c r="BF11" i="172"/>
  <c r="BG11" i="172" s="1"/>
  <c r="BH11" i="172" s="1"/>
  <c r="BF15" i="170"/>
  <c r="BG15" i="170" s="1"/>
  <c r="BH15" i="170" s="1"/>
  <c r="BF12" i="171"/>
  <c r="BG12" i="171" s="1"/>
  <c r="BH12" i="171" s="1"/>
  <c r="BF19" i="171"/>
  <c r="BG19" i="171" s="1"/>
  <c r="BH19" i="171" s="1"/>
  <c r="BF16" i="170"/>
  <c r="BG16" i="170" s="1"/>
  <c r="BH16" i="170" s="1"/>
  <c r="BF18" i="170"/>
  <c r="BG18" i="170" s="1"/>
  <c r="BH18" i="170" s="1"/>
  <c r="AF46" i="169"/>
  <c r="AF47" i="169" s="1"/>
  <c r="AF52" i="169" s="1"/>
  <c r="BF9" i="176"/>
  <c r="BG9" i="176" s="1"/>
  <c r="BH9" i="176" s="1"/>
  <c r="BF18" i="172"/>
  <c r="BG18" i="172" s="1"/>
  <c r="BH18" i="172" s="1"/>
  <c r="BF12" i="172"/>
  <c r="BG12" i="172" s="1"/>
  <c r="BH12" i="172" s="1"/>
  <c r="U46" i="179"/>
  <c r="U47" i="179" s="1"/>
  <c r="U52" i="179" s="1"/>
  <c r="BF5" i="170"/>
  <c r="BG5" i="170" s="1"/>
  <c r="BH5" i="170" s="1"/>
  <c r="AG53" i="172"/>
  <c r="BF6" i="170"/>
  <c r="BG6" i="170" s="1"/>
  <c r="BH6" i="170" s="1"/>
  <c r="BF10" i="176"/>
  <c r="BG10" i="176" s="1"/>
  <c r="BH10" i="176" s="1"/>
  <c r="BF19" i="172"/>
  <c r="BG19" i="172" s="1"/>
  <c r="BH19" i="172" s="1"/>
  <c r="BF14" i="176"/>
  <c r="BG14" i="176" s="1"/>
  <c r="BH14" i="176" s="1"/>
  <c r="K35" i="178"/>
  <c r="K36" i="178" s="1"/>
  <c r="K38" i="178" s="1"/>
  <c r="BF8" i="172"/>
  <c r="BG8" i="172" s="1"/>
  <c r="BH8" i="172" s="1"/>
  <c r="T46" i="176"/>
  <c r="T47" i="176" s="1"/>
  <c r="T52" i="176" s="1"/>
  <c r="BF10" i="170"/>
  <c r="BG10" i="170" s="1"/>
  <c r="BH10" i="170" s="1"/>
  <c r="T46" i="171"/>
  <c r="T47" i="171" s="1"/>
  <c r="T52" i="171" s="1"/>
  <c r="BF4" i="170"/>
  <c r="BG4" i="170" s="1"/>
  <c r="BF10" i="172"/>
  <c r="BG10" i="172" s="1"/>
  <c r="BH10" i="172" s="1"/>
  <c r="BF4" i="172"/>
  <c r="BG4" i="172" s="1"/>
  <c r="BF8" i="176"/>
  <c r="BG8" i="176" s="1"/>
  <c r="BH8" i="176" s="1"/>
  <c r="V46" i="172"/>
  <c r="V47" i="172" s="1"/>
  <c r="V52" i="172" s="1"/>
  <c r="N46" i="179"/>
  <c r="N47" i="179" s="1"/>
  <c r="N52" i="179" s="1"/>
  <c r="BF19" i="170"/>
  <c r="BG19" i="170" s="1"/>
  <c r="BH19" i="170" s="1"/>
  <c r="BF16" i="176"/>
  <c r="BG16" i="176" s="1"/>
  <c r="BH16" i="176" s="1"/>
  <c r="BF15" i="176"/>
  <c r="BG15" i="176" s="1"/>
  <c r="BH15" i="176" s="1"/>
  <c r="BF13" i="176"/>
  <c r="BG13" i="176" s="1"/>
  <c r="BH13" i="176" s="1"/>
  <c r="BF5" i="172"/>
  <c r="BG5" i="172" s="1"/>
  <c r="BH5" i="172" s="1"/>
  <c r="BF6" i="176"/>
  <c r="BG6" i="176" s="1"/>
  <c r="BH6" i="176" s="1"/>
  <c r="BF17" i="176"/>
  <c r="BG17" i="176" s="1"/>
  <c r="BH17" i="176" s="1"/>
  <c r="AB46" i="171"/>
  <c r="AB47" i="171" s="1"/>
  <c r="AB52" i="171" s="1"/>
  <c r="BF7" i="172"/>
  <c r="BG7" i="172" s="1"/>
  <c r="BH7" i="172" s="1"/>
  <c r="BF5" i="176"/>
  <c r="BG5" i="176" s="1"/>
  <c r="BH5" i="176" s="1"/>
  <c r="BF4" i="176"/>
  <c r="BG4" i="176" s="1"/>
  <c r="AE41" i="179"/>
  <c r="BF8" i="179"/>
  <c r="BG8" i="179" s="1"/>
  <c r="BH8" i="179" s="1"/>
  <c r="BF19" i="176"/>
  <c r="BG19" i="176" s="1"/>
  <c r="BH19" i="176" s="1"/>
  <c r="BF12" i="176"/>
  <c r="BG12" i="176" s="1"/>
  <c r="BH12" i="176" s="1"/>
  <c r="BF16" i="172"/>
  <c r="BG16" i="172" s="1"/>
  <c r="BH16" i="172" s="1"/>
  <c r="U46" i="172"/>
  <c r="U47" i="172" s="1"/>
  <c r="U52" i="172" s="1"/>
  <c r="BF19" i="179"/>
  <c r="BG19" i="179" s="1"/>
  <c r="BH19" i="179" s="1"/>
  <c r="BF19" i="169"/>
  <c r="BG19" i="169" s="1"/>
  <c r="BH19" i="169" s="1"/>
  <c r="BF7" i="170"/>
  <c r="BG7" i="170" s="1"/>
  <c r="BH7" i="170" s="1"/>
  <c r="BF8" i="170"/>
  <c r="BG8" i="170" s="1"/>
  <c r="BH8" i="170" s="1"/>
  <c r="AB46" i="169"/>
  <c r="AB47" i="169" s="1"/>
  <c r="AB48" i="169" s="1"/>
  <c r="BF15" i="172"/>
  <c r="BG15" i="172" s="1"/>
  <c r="BH15" i="172" s="1"/>
  <c r="AG53" i="176"/>
  <c r="AA46" i="179"/>
  <c r="AA47" i="179" s="1"/>
  <c r="AA52" i="179" s="1"/>
  <c r="W41" i="169"/>
  <c r="BF13" i="170"/>
  <c r="BG13" i="170" s="1"/>
  <c r="BH13" i="170" s="1"/>
  <c r="BF17" i="170"/>
  <c r="BG17" i="170" s="1"/>
  <c r="BH17" i="170" s="1"/>
  <c r="BF9" i="170"/>
  <c r="BG9" i="170" s="1"/>
  <c r="BH9" i="170" s="1"/>
  <c r="U46" i="171"/>
  <c r="U47" i="171" s="1"/>
  <c r="U48" i="171" s="1"/>
  <c r="BF6" i="172"/>
  <c r="BG6" i="172" s="1"/>
  <c r="BH6" i="172" s="1"/>
  <c r="BF13" i="172"/>
  <c r="BG13" i="172" s="1"/>
  <c r="BH13" i="172" s="1"/>
  <c r="BF9" i="172"/>
  <c r="BG9" i="172" s="1"/>
  <c r="BH9" i="172" s="1"/>
  <c r="BF18" i="176"/>
  <c r="BG18" i="176" s="1"/>
  <c r="BH18" i="176" s="1"/>
  <c r="BF14" i="170"/>
  <c r="BG14" i="170" s="1"/>
  <c r="BH14" i="170" s="1"/>
  <c r="BF11" i="170"/>
  <c r="BG11" i="170" s="1"/>
  <c r="BH11" i="170" s="1"/>
  <c r="BF14" i="172"/>
  <c r="BG14" i="172" s="1"/>
  <c r="BH14" i="172" s="1"/>
  <c r="BF17" i="172"/>
  <c r="BG17" i="172" s="1"/>
  <c r="BH17" i="172" s="1"/>
  <c r="BF7" i="176"/>
  <c r="BG7" i="176" s="1"/>
  <c r="BH7" i="176" s="1"/>
  <c r="BF11" i="176"/>
  <c r="BG11" i="176" s="1"/>
  <c r="BH11" i="176" s="1"/>
  <c r="Y46" i="179"/>
  <c r="Y47" i="179" s="1"/>
  <c r="Y48" i="179" s="1"/>
  <c r="BF6" i="179"/>
  <c r="BG6" i="179" s="1"/>
  <c r="BH6" i="179" s="1"/>
  <c r="BF19" i="168"/>
  <c r="BG19" i="168" s="1"/>
  <c r="BH19" i="168" s="1"/>
  <c r="BF9" i="168"/>
  <c r="BG9" i="168" s="1"/>
  <c r="BH9" i="168" s="1"/>
  <c r="P41" i="176"/>
  <c r="AD41" i="179"/>
  <c r="AF41" i="176"/>
  <c r="AC41" i="176"/>
  <c r="AA41" i="168"/>
  <c r="Q41" i="168"/>
  <c r="L41" i="170"/>
  <c r="K41" i="170"/>
  <c r="AE41" i="170"/>
  <c r="W41" i="176"/>
  <c r="W41" i="171"/>
  <c r="M41" i="171"/>
  <c r="M41" i="178"/>
  <c r="U41" i="178"/>
  <c r="Q39" i="179"/>
  <c r="N41" i="171"/>
  <c r="S41" i="170"/>
  <c r="AA41" i="177"/>
  <c r="L41" i="172"/>
  <c r="U41" i="172"/>
  <c r="P35" i="178"/>
  <c r="P37" i="178" s="1"/>
  <c r="AD41" i="169"/>
  <c r="V41" i="169"/>
  <c r="R41" i="178"/>
  <c r="Z41" i="166"/>
  <c r="X41" i="166"/>
  <c r="AG53" i="179"/>
  <c r="Q36" i="178"/>
  <c r="Q38" i="178" s="1"/>
  <c r="L45" i="178"/>
  <c r="L44" i="178"/>
  <c r="T35" i="178"/>
  <c r="T39" i="178"/>
  <c r="BF18" i="178"/>
  <c r="BG18" i="178" s="1"/>
  <c r="BH18" i="178" s="1"/>
  <c r="BF14" i="178"/>
  <c r="BG14" i="178" s="1"/>
  <c r="BH14" i="178" s="1"/>
  <c r="BF13" i="178"/>
  <c r="BG13" i="178" s="1"/>
  <c r="BH13" i="178" s="1"/>
  <c r="N45" i="178"/>
  <c r="N44" i="178"/>
  <c r="V37" i="179"/>
  <c r="V36" i="179"/>
  <c r="V38" i="179" s="1"/>
  <c r="N37" i="179"/>
  <c r="N36" i="179"/>
  <c r="N38" i="179" s="1"/>
  <c r="X37" i="178"/>
  <c r="X36" i="178"/>
  <c r="X38" i="178" s="1"/>
  <c r="P46" i="179"/>
  <c r="P47" i="179" s="1"/>
  <c r="O41" i="178"/>
  <c r="BF7" i="179"/>
  <c r="BG7" i="179" s="1"/>
  <c r="BH7" i="179" s="1"/>
  <c r="BF5" i="179"/>
  <c r="BG5" i="179" s="1"/>
  <c r="BH5" i="179" s="1"/>
  <c r="BF12" i="179"/>
  <c r="BG12" i="179" s="1"/>
  <c r="BH12" i="179" s="1"/>
  <c r="R39" i="179"/>
  <c r="R35" i="179"/>
  <c r="AE46" i="179"/>
  <c r="AE47" i="179" s="1"/>
  <c r="BF5" i="178"/>
  <c r="BG5" i="178" s="1"/>
  <c r="BH5" i="178" s="1"/>
  <c r="J44" i="178"/>
  <c r="J45" i="178"/>
  <c r="BF17" i="178"/>
  <c r="BG17" i="178" s="1"/>
  <c r="BH17" i="178" s="1"/>
  <c r="AE41" i="178"/>
  <c r="W46" i="178"/>
  <c r="W47" i="178" s="1"/>
  <c r="L45" i="179"/>
  <c r="L44" i="179"/>
  <c r="T44" i="179"/>
  <c r="T45" i="179"/>
  <c r="S37" i="179"/>
  <c r="S36" i="179"/>
  <c r="S38" i="179" s="1"/>
  <c r="X37" i="179"/>
  <c r="X36" i="179"/>
  <c r="X38" i="179" s="1"/>
  <c r="K44" i="178"/>
  <c r="K45" i="178"/>
  <c r="U45" i="178"/>
  <c r="U44" i="178"/>
  <c r="K35" i="179"/>
  <c r="K39" i="179"/>
  <c r="Z35" i="178"/>
  <c r="Z39" i="178"/>
  <c r="BF9" i="179"/>
  <c r="BG9" i="179" s="1"/>
  <c r="BH9" i="179" s="1"/>
  <c r="J44" i="179"/>
  <c r="J45" i="179"/>
  <c r="BF16" i="179"/>
  <c r="BG16" i="179" s="1"/>
  <c r="BH16" i="179" s="1"/>
  <c r="V45" i="178"/>
  <c r="V44" i="178"/>
  <c r="O45" i="178"/>
  <c r="O44" i="178"/>
  <c r="AC37" i="178"/>
  <c r="AC36" i="178"/>
  <c r="AC38" i="178" s="1"/>
  <c r="AE45" i="178"/>
  <c r="AE44" i="178"/>
  <c r="BF6" i="178"/>
  <c r="BG6" i="178" s="1"/>
  <c r="BH6" i="178" s="1"/>
  <c r="M45" i="178"/>
  <c r="M44" i="178"/>
  <c r="BF15" i="178"/>
  <c r="BG15" i="178" s="1"/>
  <c r="BH15" i="178" s="1"/>
  <c r="BF9" i="178"/>
  <c r="BG9" i="178" s="1"/>
  <c r="BH9" i="178" s="1"/>
  <c r="AF35" i="179"/>
  <c r="AF39" i="179"/>
  <c r="Q37" i="179"/>
  <c r="Q36" i="179"/>
  <c r="Q38" i="179" s="1"/>
  <c r="X44" i="178"/>
  <c r="X45" i="178"/>
  <c r="AD45" i="178"/>
  <c r="AD44" i="178"/>
  <c r="S44" i="179"/>
  <c r="S45" i="179"/>
  <c r="T35" i="179"/>
  <c r="T39" i="179"/>
  <c r="BF11" i="179"/>
  <c r="BG11" i="179" s="1"/>
  <c r="BH11" i="179" s="1"/>
  <c r="AB37" i="179"/>
  <c r="AB36" i="179"/>
  <c r="AB38" i="179" s="1"/>
  <c r="K46" i="179"/>
  <c r="K47" i="179" s="1"/>
  <c r="Z39" i="179"/>
  <c r="Z35" i="179"/>
  <c r="R46" i="178"/>
  <c r="R47" i="178" s="1"/>
  <c r="O41" i="179"/>
  <c r="BF15" i="179"/>
  <c r="BG15" i="179" s="1"/>
  <c r="BH15" i="179" s="1"/>
  <c r="BF14" i="179"/>
  <c r="BG14" i="179" s="1"/>
  <c r="BH14" i="179" s="1"/>
  <c r="W35" i="179"/>
  <c r="W39" i="179"/>
  <c r="AA37" i="178"/>
  <c r="AA36" i="178"/>
  <c r="AA38" i="178" s="1"/>
  <c r="AF44" i="178"/>
  <c r="AF45" i="178"/>
  <c r="M41" i="179"/>
  <c r="BF12" i="178"/>
  <c r="BG12" i="178" s="1"/>
  <c r="BH12" i="178" s="1"/>
  <c r="BF4" i="178"/>
  <c r="L37" i="179"/>
  <c r="L36" i="179"/>
  <c r="L38" i="179" s="1"/>
  <c r="P44" i="178"/>
  <c r="P45" i="178"/>
  <c r="Y45" i="178"/>
  <c r="Y44" i="178"/>
  <c r="BF10" i="179"/>
  <c r="BG10" i="179" s="1"/>
  <c r="BH10" i="179" s="1"/>
  <c r="BF10" i="178"/>
  <c r="BG10" i="178" s="1"/>
  <c r="BH10" i="178" s="1"/>
  <c r="BF8" i="178"/>
  <c r="BG8" i="178" s="1"/>
  <c r="BH8" i="178" s="1"/>
  <c r="W37" i="178"/>
  <c r="W36" i="178"/>
  <c r="W38" i="178" s="1"/>
  <c r="AB44" i="178"/>
  <c r="AB45" i="178"/>
  <c r="S44" i="178"/>
  <c r="S45" i="178"/>
  <c r="BF17" i="179"/>
  <c r="BG17" i="179" s="1"/>
  <c r="BH17" i="179" s="1"/>
  <c r="AF37" i="178"/>
  <c r="AF36" i="178"/>
  <c r="AF38" i="178" s="1"/>
  <c r="AC44" i="179"/>
  <c r="AC45" i="179"/>
  <c r="AC44" i="178"/>
  <c r="AC45" i="178"/>
  <c r="Q52" i="179"/>
  <c r="Q48" i="179"/>
  <c r="AC37" i="179"/>
  <c r="AC36" i="179"/>
  <c r="AC38" i="179" s="1"/>
  <c r="M46" i="179"/>
  <c r="M47" i="179" s="1"/>
  <c r="BF18" i="179"/>
  <c r="BG18" i="179" s="1"/>
  <c r="BH18" i="179" s="1"/>
  <c r="Z45" i="178"/>
  <c r="Z44" i="178"/>
  <c r="X44" i="179"/>
  <c r="X45" i="179"/>
  <c r="L41" i="178"/>
  <c r="T44" i="178"/>
  <c r="T45" i="178"/>
  <c r="BF7" i="178"/>
  <c r="BG7" i="178" s="1"/>
  <c r="BH7" i="178" s="1"/>
  <c r="BF16" i="178"/>
  <c r="BG16" i="178" s="1"/>
  <c r="BH16" i="178" s="1"/>
  <c r="Q45" i="178"/>
  <c r="Q44" i="178"/>
  <c r="AF44" i="179"/>
  <c r="AF45" i="179"/>
  <c r="P35" i="179"/>
  <c r="P39" i="179"/>
  <c r="BF13" i="179"/>
  <c r="BG13" i="179" s="1"/>
  <c r="BH13" i="179" s="1"/>
  <c r="BF4" i="179"/>
  <c r="U37" i="179"/>
  <c r="U36" i="179"/>
  <c r="U38" i="179" s="1"/>
  <c r="Z44" i="179"/>
  <c r="Z45" i="179"/>
  <c r="Y37" i="178"/>
  <c r="Y36" i="178"/>
  <c r="Y38" i="178" s="1"/>
  <c r="AB44" i="179"/>
  <c r="AB45" i="179"/>
  <c r="AB37" i="178"/>
  <c r="AB36" i="178"/>
  <c r="AB38" i="178" s="1"/>
  <c r="AG53" i="178"/>
  <c r="BF11" i="178"/>
  <c r="BG11" i="178" s="1"/>
  <c r="BH11" i="178" s="1"/>
  <c r="BF19" i="178"/>
  <c r="BG19" i="178" s="1"/>
  <c r="BH19" i="178" s="1"/>
  <c r="Y37" i="179"/>
  <c r="Y36" i="179"/>
  <c r="Y38" i="179" s="1"/>
  <c r="AD46" i="179"/>
  <c r="AD47" i="179" s="1"/>
  <c r="S39" i="178"/>
  <c r="S35" i="178"/>
  <c r="AA44" i="178"/>
  <c r="AA45" i="178"/>
  <c r="J37" i="179"/>
  <c r="J36" i="179"/>
  <c r="J38" i="179" s="1"/>
  <c r="K44" i="172"/>
  <c r="K45" i="172"/>
  <c r="R44" i="177"/>
  <c r="R45" i="177"/>
  <c r="X44" i="172"/>
  <c r="X45" i="172"/>
  <c r="AA44" i="172"/>
  <c r="AA45" i="172"/>
  <c r="AB37" i="172"/>
  <c r="AB36" i="172"/>
  <c r="AB38" i="172" s="1"/>
  <c r="AF44" i="176"/>
  <c r="AF45" i="176"/>
  <c r="K44" i="177"/>
  <c r="K45" i="177"/>
  <c r="J37" i="176"/>
  <c r="J36" i="176"/>
  <c r="J38" i="176" s="1"/>
  <c r="AF45" i="172"/>
  <c r="AF44" i="172"/>
  <c r="AD45" i="172"/>
  <c r="AD44" i="172"/>
  <c r="AC37" i="172"/>
  <c r="AC36" i="172"/>
  <c r="AC38" i="172" s="1"/>
  <c r="AD44" i="177"/>
  <c r="AD45" i="177"/>
  <c r="R45" i="172"/>
  <c r="R44" i="172"/>
  <c r="P37" i="177"/>
  <c r="W35" i="172"/>
  <c r="W39" i="172"/>
  <c r="J41" i="172"/>
  <c r="T37" i="177"/>
  <c r="T36" i="177"/>
  <c r="T38" i="177" s="1"/>
  <c r="AG53" i="177"/>
  <c r="BF11" i="177"/>
  <c r="BG11" i="177" s="1"/>
  <c r="BH11" i="177" s="1"/>
  <c r="N45" i="172"/>
  <c r="N44" i="172"/>
  <c r="M44" i="172"/>
  <c r="M45" i="172"/>
  <c r="AE46" i="172"/>
  <c r="AE47" i="172" s="1"/>
  <c r="W37" i="177"/>
  <c r="W36" i="177"/>
  <c r="W38" i="177" s="1"/>
  <c r="X45" i="177"/>
  <c r="X44" i="177"/>
  <c r="Q45" i="176"/>
  <c r="Q44" i="176"/>
  <c r="T37" i="176"/>
  <c r="T36" i="176"/>
  <c r="T38" i="176" s="1"/>
  <c r="V39" i="176"/>
  <c r="V35" i="176"/>
  <c r="S39" i="177"/>
  <c r="S35" i="177"/>
  <c r="K37" i="177"/>
  <c r="K36" i="177"/>
  <c r="K38" i="177" s="1"/>
  <c r="AC45" i="177"/>
  <c r="AC44" i="177"/>
  <c r="BF5" i="177"/>
  <c r="BG5" i="177" s="1"/>
  <c r="BH5" i="177" s="1"/>
  <c r="J44" i="177"/>
  <c r="J45" i="177"/>
  <c r="BF15" i="177"/>
  <c r="BG15" i="177" s="1"/>
  <c r="BH15" i="177" s="1"/>
  <c r="Y45" i="177"/>
  <c r="Y44" i="177"/>
  <c r="L44" i="176"/>
  <c r="L45" i="176"/>
  <c r="AD37" i="172"/>
  <c r="AD36" i="172"/>
  <c r="AD38" i="172" s="1"/>
  <c r="S37" i="172"/>
  <c r="L37" i="176"/>
  <c r="L36" i="176"/>
  <c r="L38" i="176" s="1"/>
  <c r="AB44" i="172"/>
  <c r="AB45" i="172"/>
  <c r="N44" i="176"/>
  <c r="N45" i="176"/>
  <c r="T44" i="177"/>
  <c r="T45" i="177"/>
  <c r="BF8" i="177"/>
  <c r="BG8" i="177" s="1"/>
  <c r="BH8" i="177" s="1"/>
  <c r="BF14" i="177"/>
  <c r="BG14" i="177" s="1"/>
  <c r="BH14" i="177" s="1"/>
  <c r="BF19" i="177"/>
  <c r="BG19" i="177" s="1"/>
  <c r="BH19" i="177" s="1"/>
  <c r="X36" i="172"/>
  <c r="X38" i="172" s="1"/>
  <c r="X37" i="172"/>
  <c r="Z39" i="177"/>
  <c r="Z35" i="177"/>
  <c r="P37" i="172"/>
  <c r="P36" i="172"/>
  <c r="P38" i="172" s="1"/>
  <c r="AB39" i="176"/>
  <c r="AB35" i="176"/>
  <c r="W45" i="177"/>
  <c r="W44" i="177"/>
  <c r="M41" i="176"/>
  <c r="AC37" i="177"/>
  <c r="AC36" i="177"/>
  <c r="AC38" i="177" s="1"/>
  <c r="Q45" i="172"/>
  <c r="Q44" i="172"/>
  <c r="O41" i="176"/>
  <c r="AC46" i="172"/>
  <c r="AC47" i="172" s="1"/>
  <c r="AF45" i="177"/>
  <c r="AF44" i="177"/>
  <c r="N37" i="172"/>
  <c r="N36" i="172"/>
  <c r="N38" i="172" s="1"/>
  <c r="S41" i="176"/>
  <c r="M46" i="176"/>
  <c r="M47" i="176" s="1"/>
  <c r="N41" i="177"/>
  <c r="Z41" i="172"/>
  <c r="X41" i="177"/>
  <c r="BF18" i="177"/>
  <c r="BG18" i="177" s="1"/>
  <c r="BH18" i="177" s="1"/>
  <c r="BF17" i="177"/>
  <c r="BG17" i="177" s="1"/>
  <c r="BH17" i="177" s="1"/>
  <c r="N45" i="177"/>
  <c r="N44" i="177"/>
  <c r="AE45" i="176"/>
  <c r="AE44" i="176"/>
  <c r="AA41" i="176"/>
  <c r="Q36" i="177"/>
  <c r="Q38" i="177" s="1"/>
  <c r="K37" i="176"/>
  <c r="K36" i="176"/>
  <c r="K38" i="176" s="1"/>
  <c r="O45" i="177"/>
  <c r="O44" i="177"/>
  <c r="BF4" i="177"/>
  <c r="BF6" i="177"/>
  <c r="BG6" i="177" s="1"/>
  <c r="BH6" i="177" s="1"/>
  <c r="V44" i="176"/>
  <c r="V45" i="176"/>
  <c r="AC45" i="176"/>
  <c r="AC44" i="176"/>
  <c r="AE45" i="177"/>
  <c r="AE44" i="177"/>
  <c r="K44" i="176"/>
  <c r="K45" i="176"/>
  <c r="AD44" i="176"/>
  <c r="AD45" i="176"/>
  <c r="U39" i="177"/>
  <c r="U35" i="177"/>
  <c r="Y37" i="176"/>
  <c r="Y36" i="176"/>
  <c r="Y38" i="176" s="1"/>
  <c r="L44" i="177"/>
  <c r="L45" i="177"/>
  <c r="X37" i="176"/>
  <c r="X36" i="176"/>
  <c r="X38" i="176" s="1"/>
  <c r="Z44" i="177"/>
  <c r="Z45" i="177"/>
  <c r="AB44" i="177"/>
  <c r="AB45" i="177"/>
  <c r="AB45" i="176"/>
  <c r="AB44" i="176"/>
  <c r="Y44" i="176"/>
  <c r="Y45" i="176"/>
  <c r="U35" i="176"/>
  <c r="U39" i="176"/>
  <c r="AE37" i="176"/>
  <c r="AE36" i="176"/>
  <c r="AE38" i="176" s="1"/>
  <c r="K41" i="172"/>
  <c r="V45" i="177"/>
  <c r="V44" i="177"/>
  <c r="P46" i="172"/>
  <c r="P47" i="172" s="1"/>
  <c r="T44" i="172"/>
  <c r="T45" i="172"/>
  <c r="BF10" i="177"/>
  <c r="BG10" i="177" s="1"/>
  <c r="BH10" i="177" s="1"/>
  <c r="BF9" i="177"/>
  <c r="BG9" i="177" s="1"/>
  <c r="BH9" i="177" s="1"/>
  <c r="P45" i="177"/>
  <c r="P44" i="177"/>
  <c r="O45" i="172"/>
  <c r="O44" i="172"/>
  <c r="AA41" i="172"/>
  <c r="L44" i="172"/>
  <c r="L45" i="172"/>
  <c r="V35" i="172"/>
  <c r="V39" i="172"/>
  <c r="U46" i="176"/>
  <c r="U47" i="176" s="1"/>
  <c r="Y41" i="172"/>
  <c r="AB39" i="177"/>
  <c r="AB35" i="177"/>
  <c r="Z41" i="176"/>
  <c r="M41" i="172"/>
  <c r="O37" i="172"/>
  <c r="O36" i="172"/>
  <c r="O38" i="172" s="1"/>
  <c r="Q44" i="177"/>
  <c r="Q45" i="177"/>
  <c r="AE41" i="172"/>
  <c r="R39" i="177"/>
  <c r="R35" i="177"/>
  <c r="AD37" i="177"/>
  <c r="AD36" i="177"/>
  <c r="AD38" i="177" s="1"/>
  <c r="AA45" i="176"/>
  <c r="AA44" i="176"/>
  <c r="AE36" i="177"/>
  <c r="AE38" i="177" s="1"/>
  <c r="R45" i="176"/>
  <c r="R44" i="176"/>
  <c r="BF13" i="177"/>
  <c r="BG13" i="177" s="1"/>
  <c r="BH13" i="177" s="1"/>
  <c r="BF12" i="177"/>
  <c r="BG12" i="177" s="1"/>
  <c r="BH12" i="177" s="1"/>
  <c r="Z45" i="176"/>
  <c r="Z44" i="176"/>
  <c r="P45" i="176"/>
  <c r="P44" i="176"/>
  <c r="AA44" i="177"/>
  <c r="AA45" i="177"/>
  <c r="V37" i="177"/>
  <c r="V36" i="177"/>
  <c r="V38" i="177" s="1"/>
  <c r="J46" i="172"/>
  <c r="J47" i="172" s="1"/>
  <c r="R41" i="176"/>
  <c r="S44" i="177"/>
  <c r="S45" i="177"/>
  <c r="AF37" i="177"/>
  <c r="AF36" i="177"/>
  <c r="AF38" i="177" s="1"/>
  <c r="M41" i="177"/>
  <c r="Y46" i="172"/>
  <c r="Y47" i="172" s="1"/>
  <c r="N37" i="176"/>
  <c r="N36" i="176"/>
  <c r="N38" i="176" s="1"/>
  <c r="S44" i="172"/>
  <c r="S45" i="172"/>
  <c r="L37" i="177"/>
  <c r="L36" i="177"/>
  <c r="L38" i="177" s="1"/>
  <c r="X45" i="176"/>
  <c r="X44" i="176"/>
  <c r="M45" i="177"/>
  <c r="M44" i="177"/>
  <c r="O45" i="176"/>
  <c r="O44" i="176"/>
  <c r="O37" i="177"/>
  <c r="O36" i="177"/>
  <c r="O38" i="177" s="1"/>
  <c r="T37" i="172"/>
  <c r="T36" i="172"/>
  <c r="T38" i="172" s="1"/>
  <c r="J39" i="177"/>
  <c r="J35" i="177"/>
  <c r="Y37" i="177"/>
  <c r="Y36" i="177"/>
  <c r="Y38" i="177" s="1"/>
  <c r="W45" i="176"/>
  <c r="W44" i="176"/>
  <c r="BF16" i="177"/>
  <c r="BG16" i="177" s="1"/>
  <c r="BH16" i="177" s="1"/>
  <c r="BF7" i="177"/>
  <c r="BG7" i="177" s="1"/>
  <c r="BH7" i="177" s="1"/>
  <c r="O37" i="169"/>
  <c r="O36" i="169"/>
  <c r="O38" i="169" s="1"/>
  <c r="R37" i="169"/>
  <c r="R36" i="169"/>
  <c r="R38" i="169" s="1"/>
  <c r="BF7" i="169"/>
  <c r="BG7" i="169" s="1"/>
  <c r="BH7" i="169" s="1"/>
  <c r="BF14" i="171"/>
  <c r="BG14" i="171" s="1"/>
  <c r="BH14" i="171" s="1"/>
  <c r="Q39" i="170"/>
  <c r="Q35" i="170"/>
  <c r="BF12" i="169"/>
  <c r="BG12" i="169" s="1"/>
  <c r="BH12" i="169" s="1"/>
  <c r="K37" i="171"/>
  <c r="K36" i="171"/>
  <c r="K38" i="171" s="1"/>
  <c r="Y35" i="171"/>
  <c r="Y39" i="171"/>
  <c r="O44" i="169"/>
  <c r="O45" i="169"/>
  <c r="AD37" i="171"/>
  <c r="AD36" i="171"/>
  <c r="AD38" i="171" s="1"/>
  <c r="R44" i="169"/>
  <c r="R45" i="169"/>
  <c r="BF10" i="169"/>
  <c r="BG10" i="169" s="1"/>
  <c r="BH10" i="169" s="1"/>
  <c r="BF18" i="169"/>
  <c r="BG18" i="169" s="1"/>
  <c r="BH18" i="169" s="1"/>
  <c r="U39" i="171"/>
  <c r="U35" i="171"/>
  <c r="J44" i="171"/>
  <c r="J45" i="171"/>
  <c r="BF9" i="171"/>
  <c r="BG9" i="171" s="1"/>
  <c r="BH9" i="171" s="1"/>
  <c r="BF15" i="171"/>
  <c r="BG15" i="171" s="1"/>
  <c r="BH15" i="171" s="1"/>
  <c r="S44" i="169"/>
  <c r="S45" i="169"/>
  <c r="P44" i="169"/>
  <c r="P45" i="169"/>
  <c r="M46" i="169"/>
  <c r="M47" i="169" s="1"/>
  <c r="AE35" i="171"/>
  <c r="AE39" i="171"/>
  <c r="T45" i="169"/>
  <c r="T44" i="169"/>
  <c r="W39" i="170"/>
  <c r="W35" i="170"/>
  <c r="X44" i="169"/>
  <c r="X45" i="169"/>
  <c r="X45" i="171"/>
  <c r="X44" i="171"/>
  <c r="AD45" i="169"/>
  <c r="AD44" i="169"/>
  <c r="AB37" i="169"/>
  <c r="AB36" i="169"/>
  <c r="AB38" i="169" s="1"/>
  <c r="Z45" i="171"/>
  <c r="Z44" i="171"/>
  <c r="AC37" i="171"/>
  <c r="AC36" i="171"/>
  <c r="AC38" i="171" s="1"/>
  <c r="U37" i="170"/>
  <c r="U36" i="170"/>
  <c r="U38" i="170" s="1"/>
  <c r="W45" i="171"/>
  <c r="W44" i="171"/>
  <c r="T37" i="170"/>
  <c r="T36" i="170"/>
  <c r="T38" i="170" s="1"/>
  <c r="Q45" i="171"/>
  <c r="Q44" i="171"/>
  <c r="X44" i="170"/>
  <c r="X45" i="170"/>
  <c r="P44" i="170"/>
  <c r="P45" i="170"/>
  <c r="Q39" i="171"/>
  <c r="Q35" i="171"/>
  <c r="T39" i="171"/>
  <c r="T35" i="171"/>
  <c r="J37" i="171"/>
  <c r="U45" i="169"/>
  <c r="U44" i="169"/>
  <c r="N41" i="170"/>
  <c r="X39" i="171"/>
  <c r="X35" i="171"/>
  <c r="Y37" i="169"/>
  <c r="Y36" i="169"/>
  <c r="Y38" i="169" s="1"/>
  <c r="N44" i="170"/>
  <c r="N45" i="170"/>
  <c r="AF45" i="171"/>
  <c r="AF44" i="171"/>
  <c r="R44" i="171"/>
  <c r="R45" i="171"/>
  <c r="AB37" i="170"/>
  <c r="AB36" i="170"/>
  <c r="AB38" i="170" s="1"/>
  <c r="Q45" i="169"/>
  <c r="Q44" i="169"/>
  <c r="AF45" i="170"/>
  <c r="AF44" i="170"/>
  <c r="Y45" i="170"/>
  <c r="Y44" i="170"/>
  <c r="U37" i="169"/>
  <c r="U36" i="169"/>
  <c r="U38" i="169" s="1"/>
  <c r="AA44" i="170"/>
  <c r="AA45" i="170"/>
  <c r="T45" i="170"/>
  <c r="T44" i="170"/>
  <c r="AD44" i="170"/>
  <c r="AD45" i="170"/>
  <c r="BF17" i="169"/>
  <c r="BG17" i="169" s="1"/>
  <c r="BH17" i="169" s="1"/>
  <c r="V37" i="170"/>
  <c r="V36" i="170"/>
  <c r="V38" i="170" s="1"/>
  <c r="BF13" i="169"/>
  <c r="BG13" i="169" s="1"/>
  <c r="BH13" i="169" s="1"/>
  <c r="V46" i="171"/>
  <c r="V47" i="171" s="1"/>
  <c r="BF4" i="169"/>
  <c r="M45" i="170"/>
  <c r="M44" i="170"/>
  <c r="BF4" i="171"/>
  <c r="BF10" i="171"/>
  <c r="BG10" i="171" s="1"/>
  <c r="BH10" i="171" s="1"/>
  <c r="AE44" i="171"/>
  <c r="AE45" i="171"/>
  <c r="R35" i="170"/>
  <c r="R39" i="170"/>
  <c r="L44" i="170"/>
  <c r="L45" i="170"/>
  <c r="AG53" i="170"/>
  <c r="O37" i="170"/>
  <c r="O36" i="170"/>
  <c r="O38" i="170" s="1"/>
  <c r="L44" i="171"/>
  <c r="L45" i="171"/>
  <c r="AA46" i="171"/>
  <c r="AA47" i="171" s="1"/>
  <c r="AF37" i="171"/>
  <c r="AF36" i="171"/>
  <c r="AF38" i="171" s="1"/>
  <c r="AA41" i="170"/>
  <c r="N41" i="169"/>
  <c r="Y45" i="171"/>
  <c r="Y44" i="171"/>
  <c r="AG53" i="169"/>
  <c r="BF6" i="169"/>
  <c r="BG6" i="169" s="1"/>
  <c r="BH6" i="169" s="1"/>
  <c r="BF8" i="169"/>
  <c r="BG8" i="169" s="1"/>
  <c r="BH8" i="169" s="1"/>
  <c r="BF17" i="171"/>
  <c r="BG17" i="171" s="1"/>
  <c r="BH17" i="171" s="1"/>
  <c r="BF13" i="171"/>
  <c r="BG13" i="171" s="1"/>
  <c r="BH13" i="171" s="1"/>
  <c r="AC44" i="170"/>
  <c r="AC45" i="170"/>
  <c r="Y39" i="170"/>
  <c r="Y35" i="170"/>
  <c r="AA37" i="171"/>
  <c r="AA36" i="171"/>
  <c r="AA38" i="171" s="1"/>
  <c r="W45" i="169"/>
  <c r="W44" i="169"/>
  <c r="S45" i="170"/>
  <c r="S44" i="170"/>
  <c r="AC37" i="169"/>
  <c r="AC36" i="169"/>
  <c r="AC38" i="169" s="1"/>
  <c r="AE37" i="169"/>
  <c r="AE36" i="169"/>
  <c r="AE38" i="169" s="1"/>
  <c r="AB45" i="170"/>
  <c r="AB44" i="170"/>
  <c r="O41" i="171"/>
  <c r="AC46" i="171"/>
  <c r="AC47" i="171" s="1"/>
  <c r="M45" i="171"/>
  <c r="M44" i="171"/>
  <c r="S44" i="171"/>
  <c r="S45" i="171"/>
  <c r="W45" i="170"/>
  <c r="W44" i="170"/>
  <c r="AA44" i="169"/>
  <c r="AA45" i="169"/>
  <c r="Z44" i="170"/>
  <c r="Z45" i="170"/>
  <c r="AF37" i="169"/>
  <c r="AF36" i="169"/>
  <c r="AF38" i="169" s="1"/>
  <c r="Z37" i="169"/>
  <c r="Z36" i="169"/>
  <c r="Z38" i="169" s="1"/>
  <c r="L41" i="171"/>
  <c r="Y45" i="169"/>
  <c r="Y44" i="169"/>
  <c r="P45" i="171"/>
  <c r="P44" i="171"/>
  <c r="BF5" i="169"/>
  <c r="BG5" i="169" s="1"/>
  <c r="BH5" i="169" s="1"/>
  <c r="BF5" i="171"/>
  <c r="BG5" i="171" s="1"/>
  <c r="BH5" i="171" s="1"/>
  <c r="AC45" i="169"/>
  <c r="AC44" i="169"/>
  <c r="AE44" i="169"/>
  <c r="AE45" i="169"/>
  <c r="R44" i="170"/>
  <c r="R45" i="170"/>
  <c r="M37" i="170"/>
  <c r="M36" i="170"/>
  <c r="M38" i="170" s="1"/>
  <c r="S35" i="169"/>
  <c r="S39" i="169"/>
  <c r="J44" i="169"/>
  <c r="J45" i="169"/>
  <c r="BF16" i="169"/>
  <c r="BG16" i="169" s="1"/>
  <c r="BH16" i="169" s="1"/>
  <c r="L45" i="169"/>
  <c r="L44" i="169"/>
  <c r="BF8" i="171"/>
  <c r="BG8" i="171" s="1"/>
  <c r="BH8" i="171" s="1"/>
  <c r="BF7" i="171"/>
  <c r="BG7" i="171" s="1"/>
  <c r="BH7" i="171" s="1"/>
  <c r="Q37" i="169"/>
  <c r="Q36" i="169"/>
  <c r="Q38" i="169" s="1"/>
  <c r="K37" i="169"/>
  <c r="K36" i="169"/>
  <c r="K38" i="169" s="1"/>
  <c r="AB37" i="171"/>
  <c r="AB36" i="171"/>
  <c r="AB38" i="171" s="1"/>
  <c r="P41" i="170"/>
  <c r="AD46" i="171"/>
  <c r="AD47" i="171" s="1"/>
  <c r="O45" i="171"/>
  <c r="O44" i="171"/>
  <c r="R37" i="171"/>
  <c r="R36" i="171"/>
  <c r="R38" i="171" s="1"/>
  <c r="S39" i="171"/>
  <c r="S35" i="171"/>
  <c r="AC37" i="170"/>
  <c r="AC36" i="170"/>
  <c r="AC38" i="170" s="1"/>
  <c r="U44" i="170"/>
  <c r="U45" i="170"/>
  <c r="O45" i="170"/>
  <c r="O44" i="170"/>
  <c r="J35" i="170"/>
  <c r="J39" i="170"/>
  <c r="Z37" i="171"/>
  <c r="Z36" i="171"/>
  <c r="Z38" i="171" s="1"/>
  <c r="K44" i="171"/>
  <c r="K45" i="171"/>
  <c r="AE45" i="170"/>
  <c r="AE44" i="170"/>
  <c r="BF18" i="171"/>
  <c r="BG18" i="171" s="1"/>
  <c r="BH18" i="171" s="1"/>
  <c r="Z41" i="170"/>
  <c r="V35" i="171"/>
  <c r="V39" i="171"/>
  <c r="BF9" i="169"/>
  <c r="BG9" i="169" s="1"/>
  <c r="BH9" i="169" s="1"/>
  <c r="BF15" i="169"/>
  <c r="BG15" i="169" s="1"/>
  <c r="BH15" i="169" s="1"/>
  <c r="BF16" i="171"/>
  <c r="BG16" i="171" s="1"/>
  <c r="BH16" i="171" s="1"/>
  <c r="K45" i="170"/>
  <c r="K44" i="170"/>
  <c r="Z44" i="169"/>
  <c r="Z45" i="169"/>
  <c r="J35" i="169"/>
  <c r="J39" i="169"/>
  <c r="M41" i="169"/>
  <c r="BF14" i="169"/>
  <c r="BG14" i="169" s="1"/>
  <c r="BH14" i="169" s="1"/>
  <c r="BF11" i="169"/>
  <c r="BG11" i="169" s="1"/>
  <c r="BH11" i="169" s="1"/>
  <c r="X35" i="169"/>
  <c r="X39" i="169"/>
  <c r="AG53" i="171"/>
  <c r="BF6" i="171"/>
  <c r="BG6" i="171" s="1"/>
  <c r="BH6" i="171" s="1"/>
  <c r="BF11" i="171"/>
  <c r="BG11" i="171" s="1"/>
  <c r="BH11" i="171" s="1"/>
  <c r="K45" i="169"/>
  <c r="K44" i="169"/>
  <c r="P39" i="171"/>
  <c r="P35" i="171"/>
  <c r="T37" i="169"/>
  <c r="T36" i="169"/>
  <c r="T38" i="169" s="1"/>
  <c r="Q44" i="170"/>
  <c r="Q45" i="170"/>
  <c r="P39" i="169"/>
  <c r="P35" i="169"/>
  <c r="X37" i="170"/>
  <c r="X36" i="170"/>
  <c r="X38" i="170" s="1"/>
  <c r="J46" i="170"/>
  <c r="J47" i="170" s="1"/>
  <c r="N45" i="169"/>
  <c r="N44" i="169"/>
  <c r="AF37" i="170"/>
  <c r="AF36" i="170"/>
  <c r="AF38" i="170" s="1"/>
  <c r="V44" i="170"/>
  <c r="V45" i="170"/>
  <c r="V44" i="169"/>
  <c r="V45" i="169"/>
  <c r="M45" i="168"/>
  <c r="M44" i="168"/>
  <c r="K41" i="168"/>
  <c r="AF41" i="168"/>
  <c r="Y45" i="168"/>
  <c r="Y44" i="168"/>
  <c r="R41" i="168"/>
  <c r="M37" i="168"/>
  <c r="M36" i="168"/>
  <c r="M38" i="168" s="1"/>
  <c r="O45" i="168"/>
  <c r="O44" i="168"/>
  <c r="BF6" i="168"/>
  <c r="BG6" i="168" s="1"/>
  <c r="BH6" i="168" s="1"/>
  <c r="BF16" i="168"/>
  <c r="BG16" i="168" s="1"/>
  <c r="BH16" i="168" s="1"/>
  <c r="Z37" i="168"/>
  <c r="Z36" i="168"/>
  <c r="Z38" i="168" s="1"/>
  <c r="S44" i="168"/>
  <c r="S45" i="168"/>
  <c r="P45" i="168"/>
  <c r="P44" i="168"/>
  <c r="P37" i="168"/>
  <c r="P36" i="168"/>
  <c r="P38" i="168" s="1"/>
  <c r="W44" i="168"/>
  <c r="W45" i="168"/>
  <c r="BF8" i="168"/>
  <c r="BG8" i="168" s="1"/>
  <c r="BH8" i="168" s="1"/>
  <c r="O41" i="168"/>
  <c r="BF10" i="168"/>
  <c r="BG10" i="168" s="1"/>
  <c r="BH10" i="168" s="1"/>
  <c r="BF18" i="168"/>
  <c r="BG18" i="168" s="1"/>
  <c r="BH18" i="168" s="1"/>
  <c r="AE37" i="168"/>
  <c r="AE36" i="168"/>
  <c r="AE38" i="168" s="1"/>
  <c r="K44" i="168"/>
  <c r="K45" i="168"/>
  <c r="AC45" i="168"/>
  <c r="AC44" i="168"/>
  <c r="S37" i="168"/>
  <c r="S36" i="168"/>
  <c r="S38" i="168" s="1"/>
  <c r="N37" i="168"/>
  <c r="N36" i="168"/>
  <c r="N38" i="168" s="1"/>
  <c r="U45" i="168"/>
  <c r="U44" i="168"/>
  <c r="BF13" i="168"/>
  <c r="BG13" i="168" s="1"/>
  <c r="BH13" i="168" s="1"/>
  <c r="X39" i="168"/>
  <c r="X35" i="168"/>
  <c r="U35" i="168"/>
  <c r="U39" i="168"/>
  <c r="BF7" i="168"/>
  <c r="BG7" i="168" s="1"/>
  <c r="BH7" i="168" s="1"/>
  <c r="T37" i="168"/>
  <c r="T36" i="168"/>
  <c r="T38" i="168" s="1"/>
  <c r="V39" i="168"/>
  <c r="V35" i="168"/>
  <c r="AG53" i="168"/>
  <c r="L44" i="168"/>
  <c r="L45" i="168"/>
  <c r="AE45" i="168"/>
  <c r="AE44" i="168"/>
  <c r="BF17" i="168"/>
  <c r="BG17" i="168" s="1"/>
  <c r="BH17" i="168" s="1"/>
  <c r="X45" i="168"/>
  <c r="X44" i="168"/>
  <c r="Z45" i="168"/>
  <c r="Z44" i="168"/>
  <c r="T44" i="168"/>
  <c r="T45" i="168"/>
  <c r="AD45" i="168"/>
  <c r="AD44" i="168"/>
  <c r="AC37" i="168"/>
  <c r="AC36" i="168"/>
  <c r="AC38" i="168" s="1"/>
  <c r="BF4" i="168"/>
  <c r="BF12" i="168"/>
  <c r="BG12" i="168" s="1"/>
  <c r="BH12" i="168" s="1"/>
  <c r="AF44" i="168"/>
  <c r="AF45" i="168"/>
  <c r="AA44" i="168"/>
  <c r="AA45" i="168"/>
  <c r="BF5" i="168"/>
  <c r="BG5" i="168" s="1"/>
  <c r="BH5" i="168" s="1"/>
  <c r="BF15" i="168"/>
  <c r="BG15" i="168" s="1"/>
  <c r="BH15" i="168" s="1"/>
  <c r="W37" i="168"/>
  <c r="W36" i="168"/>
  <c r="W38" i="168" s="1"/>
  <c r="AB44" i="168"/>
  <c r="AB45" i="168"/>
  <c r="Q45" i="168"/>
  <c r="Q44" i="168"/>
  <c r="BF14" i="168"/>
  <c r="BG14" i="168" s="1"/>
  <c r="BH14" i="168" s="1"/>
  <c r="J44" i="168"/>
  <c r="J45" i="168"/>
  <c r="BF11" i="168"/>
  <c r="BG11" i="168" s="1"/>
  <c r="BH11" i="168" s="1"/>
  <c r="AD41" i="168"/>
  <c r="AB37" i="168"/>
  <c r="AB36" i="168"/>
  <c r="AB38" i="168" s="1"/>
  <c r="V44" i="168"/>
  <c r="V45" i="168"/>
  <c r="N45" i="168"/>
  <c r="N44" i="168"/>
  <c r="R45" i="168"/>
  <c r="R44" i="168"/>
  <c r="AC46" i="166"/>
  <c r="AC47" i="166" s="1"/>
  <c r="AC48" i="166" s="1"/>
  <c r="M46" i="166"/>
  <c r="M47" i="166" s="1"/>
  <c r="M52" i="166" s="1"/>
  <c r="AE46" i="166"/>
  <c r="AE47" i="166" s="1"/>
  <c r="AE48" i="166" s="1"/>
  <c r="BF13" i="166"/>
  <c r="BG13" i="166" s="1"/>
  <c r="BH13" i="166" s="1"/>
  <c r="AA46" i="166"/>
  <c r="AA47" i="166" s="1"/>
  <c r="AA52" i="166" s="1"/>
  <c r="BF9" i="166"/>
  <c r="BG9" i="166" s="1"/>
  <c r="BH9" i="166" s="1"/>
  <c r="BF5" i="166"/>
  <c r="BG5" i="166" s="1"/>
  <c r="BH5" i="166" s="1"/>
  <c r="T44" i="166"/>
  <c r="T45" i="166"/>
  <c r="P45" i="166"/>
  <c r="P44" i="166"/>
  <c r="BF14" i="166"/>
  <c r="BG14" i="166" s="1"/>
  <c r="BH14" i="166" s="1"/>
  <c r="J39" i="166"/>
  <c r="J35" i="166"/>
  <c r="Y41" i="166"/>
  <c r="O37" i="166"/>
  <c r="O36" i="166"/>
  <c r="O38" i="166" s="1"/>
  <c r="L44" i="166"/>
  <c r="L45" i="166"/>
  <c r="BF11" i="166"/>
  <c r="BG11" i="166" s="1"/>
  <c r="BH11" i="166" s="1"/>
  <c r="J44" i="166"/>
  <c r="J45" i="166"/>
  <c r="U37" i="166"/>
  <c r="U36" i="166"/>
  <c r="U38" i="166" s="1"/>
  <c r="Z45" i="166"/>
  <c r="Z44" i="166"/>
  <c r="R35" i="166"/>
  <c r="R39" i="166"/>
  <c r="S44" i="166"/>
  <c r="S45" i="166"/>
  <c r="U45" i="166"/>
  <c r="U44" i="166"/>
  <c r="T39" i="166"/>
  <c r="T35" i="166"/>
  <c r="AA41" i="166"/>
  <c r="Q44" i="166"/>
  <c r="Q45" i="166"/>
  <c r="BF19" i="166"/>
  <c r="BG19" i="166" s="1"/>
  <c r="BH19" i="166" s="1"/>
  <c r="N41" i="166"/>
  <c r="BF4" i="166"/>
  <c r="AF39" i="166"/>
  <c r="AF35" i="166"/>
  <c r="Q37" i="166"/>
  <c r="Q36" i="166"/>
  <c r="Q38" i="166" s="1"/>
  <c r="V39" i="166"/>
  <c r="V35" i="166"/>
  <c r="Y45" i="166"/>
  <c r="Y44" i="166"/>
  <c r="AB44" i="166"/>
  <c r="AB45" i="166"/>
  <c r="BF8" i="166"/>
  <c r="BG8" i="166" s="1"/>
  <c r="BH8" i="166" s="1"/>
  <c r="BF16" i="166"/>
  <c r="BG16" i="166" s="1"/>
  <c r="BH16" i="166" s="1"/>
  <c r="BF18" i="166"/>
  <c r="BG18" i="166" s="1"/>
  <c r="BH18" i="166" s="1"/>
  <c r="R44" i="166"/>
  <c r="R45" i="166"/>
  <c r="AE41" i="166"/>
  <c r="BF7" i="166"/>
  <c r="BG7" i="166" s="1"/>
  <c r="BH7" i="166" s="1"/>
  <c r="BF12" i="166"/>
  <c r="BG12" i="166" s="1"/>
  <c r="BH12" i="166" s="1"/>
  <c r="S39" i="166"/>
  <c r="S35" i="166"/>
  <c r="AC35" i="166"/>
  <c r="AC39" i="166"/>
  <c r="AD44" i="166"/>
  <c r="AD45" i="166"/>
  <c r="AD37" i="166"/>
  <c r="AD36" i="166"/>
  <c r="AD38" i="166" s="1"/>
  <c r="P39" i="166"/>
  <c r="P35" i="166"/>
  <c r="V45" i="166"/>
  <c r="V44" i="166"/>
  <c r="X45" i="166"/>
  <c r="X44" i="166"/>
  <c r="AG53" i="166"/>
  <c r="L5" i="112" s="1"/>
  <c r="L21" i="112" s="1"/>
  <c r="W45" i="166"/>
  <c r="W44" i="166"/>
  <c r="BF10" i="166"/>
  <c r="BG10" i="166" s="1"/>
  <c r="BH10" i="166" s="1"/>
  <c r="M41" i="166"/>
  <c r="BF6" i="166"/>
  <c r="BG6" i="166" s="1"/>
  <c r="BH6" i="166" s="1"/>
  <c r="K44" i="166"/>
  <c r="K45" i="166"/>
  <c r="AF45" i="166"/>
  <c r="AF44" i="166"/>
  <c r="W37" i="166"/>
  <c r="W36" i="166"/>
  <c r="W38" i="166" s="1"/>
  <c r="BF15" i="166"/>
  <c r="BG15" i="166" s="1"/>
  <c r="BH15" i="166" s="1"/>
  <c r="BF17" i="166"/>
  <c r="BG17" i="166" s="1"/>
  <c r="BH17" i="166" s="1"/>
  <c r="AB39" i="166"/>
  <c r="AB35" i="166"/>
  <c r="O45" i="166"/>
  <c r="O44" i="166"/>
  <c r="N45" i="166"/>
  <c r="N44" i="166"/>
  <c r="AE36" i="186" l="1"/>
  <c r="AE38" i="186" s="1"/>
  <c r="Y36" i="185"/>
  <c r="Y38" i="185" s="1"/>
  <c r="S36" i="188"/>
  <c r="S38" i="188" s="1"/>
  <c r="Q36" i="188"/>
  <c r="Q38" i="188" s="1"/>
  <c r="AG39" i="187"/>
  <c r="R20" i="112" s="1"/>
  <c r="Y36" i="168"/>
  <c r="Y38" i="168" s="1"/>
  <c r="Y41" i="168" s="1"/>
  <c r="U37" i="188"/>
  <c r="U41" i="188" s="1"/>
  <c r="K37" i="178"/>
  <c r="M41" i="183"/>
  <c r="N41" i="187"/>
  <c r="T41" i="187"/>
  <c r="W52" i="179"/>
  <c r="AD41" i="185"/>
  <c r="AG35" i="187"/>
  <c r="J20" i="119" s="1"/>
  <c r="AA41" i="188"/>
  <c r="N41" i="183"/>
  <c r="X41" i="188"/>
  <c r="AG39" i="184"/>
  <c r="R13" i="112" s="1"/>
  <c r="AC41" i="184"/>
  <c r="AF41" i="187"/>
  <c r="R52" i="187"/>
  <c r="W48" i="187"/>
  <c r="W49" i="187" s="1"/>
  <c r="W51" i="187" s="1"/>
  <c r="O46" i="187"/>
  <c r="O47" i="187" s="1"/>
  <c r="O52" i="187" s="1"/>
  <c r="AD46" i="187"/>
  <c r="AD47" i="187" s="1"/>
  <c r="AD48" i="187" s="1"/>
  <c r="U46" i="187"/>
  <c r="U47" i="187" s="1"/>
  <c r="U52" i="187" s="1"/>
  <c r="N46" i="187"/>
  <c r="N47" i="187" s="1"/>
  <c r="N48" i="187" s="1"/>
  <c r="AC46" i="187"/>
  <c r="AC47" i="187" s="1"/>
  <c r="AC48" i="187" s="1"/>
  <c r="AC41" i="187"/>
  <c r="L41" i="187"/>
  <c r="N48" i="188"/>
  <c r="N50" i="188" s="1"/>
  <c r="U48" i="188"/>
  <c r="U49" i="188" s="1"/>
  <c r="U51" i="188" s="1"/>
  <c r="AB48" i="188"/>
  <c r="AB50" i="188" s="1"/>
  <c r="AD46" i="188"/>
  <c r="AD47" i="188" s="1"/>
  <c r="AD48" i="188" s="1"/>
  <c r="T46" i="188"/>
  <c r="T47" i="188" s="1"/>
  <c r="T52" i="188" s="1"/>
  <c r="O46" i="188"/>
  <c r="O47" i="188" s="1"/>
  <c r="O48" i="188" s="1"/>
  <c r="X46" i="188"/>
  <c r="X47" i="188" s="1"/>
  <c r="X48" i="188" s="1"/>
  <c r="Y46" i="188"/>
  <c r="Y47" i="188" s="1"/>
  <c r="Y52" i="188" s="1"/>
  <c r="M46" i="188"/>
  <c r="M47" i="188" s="1"/>
  <c r="M52" i="188" s="1"/>
  <c r="K46" i="188"/>
  <c r="K47" i="188" s="1"/>
  <c r="K48" i="188" s="1"/>
  <c r="Q46" i="188"/>
  <c r="Q47" i="188" s="1"/>
  <c r="Q52" i="188" s="1"/>
  <c r="AG39" i="188"/>
  <c r="R17" i="112" s="1"/>
  <c r="V41" i="188"/>
  <c r="N41" i="188"/>
  <c r="AF46" i="188"/>
  <c r="AF47" i="188" s="1"/>
  <c r="AF48" i="188" s="1"/>
  <c r="L41" i="188"/>
  <c r="R46" i="188"/>
  <c r="R47" i="188" s="1"/>
  <c r="R52" i="188" s="1"/>
  <c r="S48" i="185"/>
  <c r="S50" i="185" s="1"/>
  <c r="Z46" i="185"/>
  <c r="Z47" i="185" s="1"/>
  <c r="Z48" i="185" s="1"/>
  <c r="Q46" i="185"/>
  <c r="Q47" i="185" s="1"/>
  <c r="Q48" i="185" s="1"/>
  <c r="M46" i="185"/>
  <c r="M47" i="185" s="1"/>
  <c r="M48" i="185" s="1"/>
  <c r="AD46" i="185"/>
  <c r="AD47" i="185" s="1"/>
  <c r="AD48" i="185" s="1"/>
  <c r="L46" i="185"/>
  <c r="L47" i="185" s="1"/>
  <c r="L52" i="185" s="1"/>
  <c r="AC46" i="185"/>
  <c r="AC47" i="185" s="1"/>
  <c r="AC52" i="185" s="1"/>
  <c r="J46" i="185"/>
  <c r="J47" i="185" s="1"/>
  <c r="J52" i="185" s="1"/>
  <c r="AF46" i="185"/>
  <c r="AF47" i="185" s="1"/>
  <c r="AF52" i="185" s="1"/>
  <c r="AB46" i="185"/>
  <c r="AB47" i="185" s="1"/>
  <c r="AB52" i="185" s="1"/>
  <c r="AE46" i="185"/>
  <c r="AE47" i="185" s="1"/>
  <c r="AE52" i="185" s="1"/>
  <c r="Y41" i="185"/>
  <c r="T41" i="185"/>
  <c r="AB52" i="186"/>
  <c r="AC48" i="186"/>
  <c r="AC50" i="186" s="1"/>
  <c r="N46" i="186"/>
  <c r="N47" i="186" s="1"/>
  <c r="N52" i="186" s="1"/>
  <c r="U46" i="186"/>
  <c r="U47" i="186" s="1"/>
  <c r="U52" i="186" s="1"/>
  <c r="X48" i="186"/>
  <c r="X50" i="186" s="1"/>
  <c r="V48" i="186"/>
  <c r="V49" i="186" s="1"/>
  <c r="V51" i="186" s="1"/>
  <c r="AA48" i="186"/>
  <c r="AA49" i="186" s="1"/>
  <c r="AA51" i="186" s="1"/>
  <c r="T46" i="186"/>
  <c r="T47" i="186" s="1"/>
  <c r="T52" i="186" s="1"/>
  <c r="Q46" i="186"/>
  <c r="Q47" i="186" s="1"/>
  <c r="Q52" i="186" s="1"/>
  <c r="J46" i="186"/>
  <c r="J47" i="186" s="1"/>
  <c r="J52" i="186" s="1"/>
  <c r="U41" i="186"/>
  <c r="K46" i="186"/>
  <c r="K47" i="186" s="1"/>
  <c r="K48" i="186" s="1"/>
  <c r="W41" i="186"/>
  <c r="S46" i="186"/>
  <c r="S47" i="186" s="1"/>
  <c r="S52" i="186" s="1"/>
  <c r="M46" i="186"/>
  <c r="M47" i="186" s="1"/>
  <c r="M52" i="186" s="1"/>
  <c r="AG39" i="186"/>
  <c r="R14" i="112" s="1"/>
  <c r="AF46" i="186"/>
  <c r="AF47" i="186" s="1"/>
  <c r="AF48" i="186" s="1"/>
  <c r="AE46" i="186"/>
  <c r="AE47" i="186" s="1"/>
  <c r="AE52" i="186" s="1"/>
  <c r="V52" i="184"/>
  <c r="Z48" i="184"/>
  <c r="Z50" i="184" s="1"/>
  <c r="AF48" i="184"/>
  <c r="AF50" i="184" s="1"/>
  <c r="U46" i="184"/>
  <c r="U47" i="184" s="1"/>
  <c r="U52" i="184" s="1"/>
  <c r="BF20" i="184"/>
  <c r="P48" i="184"/>
  <c r="P49" i="184" s="1"/>
  <c r="P51" i="184" s="1"/>
  <c r="W41" i="184"/>
  <c r="N46" i="184"/>
  <c r="N47" i="184" s="1"/>
  <c r="N48" i="184" s="1"/>
  <c r="T41" i="184"/>
  <c r="AE41" i="184"/>
  <c r="K46" i="184"/>
  <c r="K47" i="184" s="1"/>
  <c r="K52" i="184" s="1"/>
  <c r="V41" i="184"/>
  <c r="AF41" i="184"/>
  <c r="AB46" i="184"/>
  <c r="AB47" i="184" s="1"/>
  <c r="AB52" i="184" s="1"/>
  <c r="Q48" i="183"/>
  <c r="Q50" i="183" s="1"/>
  <c r="AB46" i="183"/>
  <c r="AB47" i="183" s="1"/>
  <c r="AB52" i="183" s="1"/>
  <c r="P46" i="183"/>
  <c r="P47" i="183" s="1"/>
  <c r="P48" i="183" s="1"/>
  <c r="AF46" i="183"/>
  <c r="AF47" i="183" s="1"/>
  <c r="AF52" i="183" s="1"/>
  <c r="AD46" i="183"/>
  <c r="AD47" i="183" s="1"/>
  <c r="AD52" i="183" s="1"/>
  <c r="O46" i="183"/>
  <c r="O47" i="183" s="1"/>
  <c r="O52" i="183" s="1"/>
  <c r="T41" i="183"/>
  <c r="J46" i="183"/>
  <c r="J47" i="183" s="1"/>
  <c r="J48" i="183" s="1"/>
  <c r="T46" i="183"/>
  <c r="T47" i="183" s="1"/>
  <c r="T52" i="183" s="1"/>
  <c r="L41" i="183"/>
  <c r="O41" i="183"/>
  <c r="U46" i="183"/>
  <c r="U47" i="183" s="1"/>
  <c r="U52" i="183" s="1"/>
  <c r="P41" i="183"/>
  <c r="AA52" i="187"/>
  <c r="AA48" i="187"/>
  <c r="S46" i="187"/>
  <c r="S47" i="187" s="1"/>
  <c r="P46" i="188"/>
  <c r="P47" i="188" s="1"/>
  <c r="Y52" i="187"/>
  <c r="Y48" i="187"/>
  <c r="AC37" i="188"/>
  <c r="AC36" i="188"/>
  <c r="AC38" i="188" s="1"/>
  <c r="Y37" i="188"/>
  <c r="Y36" i="188"/>
  <c r="Y38" i="188" s="1"/>
  <c r="V46" i="188"/>
  <c r="V47" i="188" s="1"/>
  <c r="L46" i="187"/>
  <c r="L47" i="187" s="1"/>
  <c r="Z46" i="188"/>
  <c r="Z47" i="188" s="1"/>
  <c r="P46" i="187"/>
  <c r="P47" i="187" s="1"/>
  <c r="T46" i="187"/>
  <c r="T47" i="187" s="1"/>
  <c r="X46" i="187"/>
  <c r="X47" i="187" s="1"/>
  <c r="Z37" i="188"/>
  <c r="Z36" i="188"/>
  <c r="Z38" i="188" s="1"/>
  <c r="S37" i="187"/>
  <c r="S36" i="187"/>
  <c r="S38" i="187" s="1"/>
  <c r="BF20" i="187"/>
  <c r="BG4" i="187"/>
  <c r="K37" i="188"/>
  <c r="K36" i="188"/>
  <c r="K38" i="188" s="1"/>
  <c r="AG35" i="188"/>
  <c r="J17" i="119" s="1"/>
  <c r="P37" i="187"/>
  <c r="P36" i="187"/>
  <c r="P38" i="187" s="1"/>
  <c r="Q46" i="187"/>
  <c r="Q47" i="187" s="1"/>
  <c r="Q41" i="188"/>
  <c r="K41" i="187"/>
  <c r="Q41" i="187"/>
  <c r="M41" i="187"/>
  <c r="Z46" i="187"/>
  <c r="Z47" i="187" s="1"/>
  <c r="AB46" i="187"/>
  <c r="AB47" i="187" s="1"/>
  <c r="S46" i="188"/>
  <c r="S47" i="188" s="1"/>
  <c r="O41" i="188"/>
  <c r="J46" i="188"/>
  <c r="J47" i="188" s="1"/>
  <c r="AB37" i="188"/>
  <c r="AB36" i="188"/>
  <c r="AB38" i="188" s="1"/>
  <c r="BF20" i="188"/>
  <c r="BG4" i="188"/>
  <c r="AF46" i="187"/>
  <c r="AF47" i="187" s="1"/>
  <c r="J46" i="187"/>
  <c r="J47" i="187" s="1"/>
  <c r="AE46" i="187"/>
  <c r="AE47" i="187" s="1"/>
  <c r="AC52" i="188"/>
  <c r="AC48" i="188"/>
  <c r="W37" i="188"/>
  <c r="W36" i="188"/>
  <c r="W38" i="188" s="1"/>
  <c r="L46" i="188"/>
  <c r="L47" i="188" s="1"/>
  <c r="AF41" i="188"/>
  <c r="AE37" i="188"/>
  <c r="AE36" i="188"/>
  <c r="AE38" i="188" s="1"/>
  <c r="AE46" i="188"/>
  <c r="AE47" i="188" s="1"/>
  <c r="AA46" i="188"/>
  <c r="AA47" i="188" s="1"/>
  <c r="R50" i="187"/>
  <c r="R49" i="187"/>
  <c r="R51" i="187" s="1"/>
  <c r="T37" i="188"/>
  <c r="T36" i="188"/>
  <c r="T38" i="188" s="1"/>
  <c r="M46" i="187"/>
  <c r="M47" i="187" s="1"/>
  <c r="S41" i="188"/>
  <c r="O41" i="187"/>
  <c r="W46" i="188"/>
  <c r="W47" i="188" s="1"/>
  <c r="K46" i="187"/>
  <c r="K47" i="187" s="1"/>
  <c r="V46" i="187"/>
  <c r="V47" i="187" s="1"/>
  <c r="R41" i="187"/>
  <c r="AA41" i="187"/>
  <c r="R41" i="188"/>
  <c r="AD41" i="188"/>
  <c r="U46" i="185"/>
  <c r="U47" i="185" s="1"/>
  <c r="AA46" i="185"/>
  <c r="AA47" i="185" s="1"/>
  <c r="T52" i="185"/>
  <c r="T48" i="185"/>
  <c r="BG4" i="186"/>
  <c r="BF20" i="186"/>
  <c r="V46" i="185"/>
  <c r="V47" i="185" s="1"/>
  <c r="S37" i="186"/>
  <c r="S36" i="186"/>
  <c r="S38" i="186" s="1"/>
  <c r="AG35" i="186"/>
  <c r="J14" i="119" s="1"/>
  <c r="AD52" i="186"/>
  <c r="AD48" i="186"/>
  <c r="AD41" i="186"/>
  <c r="AB37" i="186"/>
  <c r="AB36" i="186"/>
  <c r="AB38" i="186" s="1"/>
  <c r="W46" i="185"/>
  <c r="W47" i="185" s="1"/>
  <c r="Y41" i="186"/>
  <c r="L52" i="186"/>
  <c r="L48" i="186"/>
  <c r="AB50" i="186"/>
  <c r="AB49" i="186"/>
  <c r="AB51" i="186" s="1"/>
  <c r="AB41" i="185"/>
  <c r="P46" i="186"/>
  <c r="P47" i="186" s="1"/>
  <c r="R52" i="186"/>
  <c r="R48" i="186"/>
  <c r="V41" i="186"/>
  <c r="R46" i="185"/>
  <c r="R47" i="185" s="1"/>
  <c r="X37" i="186"/>
  <c r="X36" i="186"/>
  <c r="X38" i="186" s="1"/>
  <c r="L41" i="185"/>
  <c r="O52" i="186"/>
  <c r="O48" i="186"/>
  <c r="T37" i="186"/>
  <c r="T36" i="186"/>
  <c r="T38" i="186" s="1"/>
  <c r="V41" i="185"/>
  <c r="O46" i="185"/>
  <c r="O47" i="185" s="1"/>
  <c r="P41" i="186"/>
  <c r="U37" i="185"/>
  <c r="U36" i="185"/>
  <c r="U38" i="185" s="1"/>
  <c r="AG38" i="185" s="1"/>
  <c r="N16" i="112" s="1"/>
  <c r="N41" i="185"/>
  <c r="P46" i="185"/>
  <c r="P47" i="185" s="1"/>
  <c r="W52" i="186"/>
  <c r="W48" i="186"/>
  <c r="AC37" i="186"/>
  <c r="AC36" i="186"/>
  <c r="AC38" i="186" s="1"/>
  <c r="X46" i="185"/>
  <c r="X47" i="185" s="1"/>
  <c r="AF41" i="186"/>
  <c r="Y46" i="186"/>
  <c r="Y47" i="186" s="1"/>
  <c r="Z41" i="186"/>
  <c r="AE41" i="186"/>
  <c r="AC41" i="185"/>
  <c r="R37" i="186"/>
  <c r="R36" i="186"/>
  <c r="R38" i="186" s="1"/>
  <c r="Q37" i="186"/>
  <c r="Q36" i="186"/>
  <c r="Q38" i="186" s="1"/>
  <c r="Z46" i="186"/>
  <c r="Z47" i="186" s="1"/>
  <c r="O41" i="185"/>
  <c r="N52" i="185"/>
  <c r="N48" i="185"/>
  <c r="K52" i="185"/>
  <c r="K48" i="185"/>
  <c r="BF20" i="185"/>
  <c r="BG4" i="185"/>
  <c r="J41" i="186"/>
  <c r="Y46" i="185"/>
  <c r="Y47" i="185" s="1"/>
  <c r="AG35" i="185"/>
  <c r="J16" i="119" s="1"/>
  <c r="AD46" i="184"/>
  <c r="AD47" i="184" s="1"/>
  <c r="Y41" i="184"/>
  <c r="K41" i="184"/>
  <c r="AE46" i="184"/>
  <c r="AE47" i="184" s="1"/>
  <c r="X46" i="184"/>
  <c r="X47" i="184" s="1"/>
  <c r="U37" i="184"/>
  <c r="U36" i="184"/>
  <c r="U38" i="184" s="1"/>
  <c r="W46" i="184"/>
  <c r="W47" i="184" s="1"/>
  <c r="AG35" i="184"/>
  <c r="J13" i="119" s="1"/>
  <c r="N41" i="184"/>
  <c r="P41" i="184"/>
  <c r="AA52" i="184"/>
  <c r="AA48" i="184"/>
  <c r="BG20" i="184"/>
  <c r="BH4" i="184"/>
  <c r="J41" i="184"/>
  <c r="O46" i="184"/>
  <c r="O47" i="184" s="1"/>
  <c r="Y52" i="184"/>
  <c r="Y48" i="184"/>
  <c r="J52" i="184"/>
  <c r="J48" i="184"/>
  <c r="AC46" i="184"/>
  <c r="AC47" i="184" s="1"/>
  <c r="Z41" i="184"/>
  <c r="AB37" i="184"/>
  <c r="AB36" i="184"/>
  <c r="AB38" i="184" s="1"/>
  <c r="Q52" i="184"/>
  <c r="Q48" i="184"/>
  <c r="S41" i="184"/>
  <c r="M46" i="184"/>
  <c r="M47" i="184" s="1"/>
  <c r="L46" i="184"/>
  <c r="L47" i="184" s="1"/>
  <c r="R46" i="184"/>
  <c r="R47" i="184" s="1"/>
  <c r="T46" i="184"/>
  <c r="T47" i="184" s="1"/>
  <c r="V50" i="184"/>
  <c r="V49" i="184"/>
  <c r="V51" i="184" s="1"/>
  <c r="S46" i="184"/>
  <c r="S47" i="184" s="1"/>
  <c r="O41" i="184"/>
  <c r="W46" i="183"/>
  <c r="W47" i="183" s="1"/>
  <c r="Q37" i="183"/>
  <c r="Q36" i="183"/>
  <c r="Q38" i="183" s="1"/>
  <c r="R37" i="183"/>
  <c r="R36" i="183"/>
  <c r="R38" i="183" s="1"/>
  <c r="AA46" i="183"/>
  <c r="AA47" i="183" s="1"/>
  <c r="V46" i="183"/>
  <c r="V47" i="183" s="1"/>
  <c r="Y46" i="183"/>
  <c r="Y47" i="183" s="1"/>
  <c r="K46" i="183"/>
  <c r="K47" i="183" s="1"/>
  <c r="AE41" i="183"/>
  <c r="AG39" i="183"/>
  <c r="R12" i="112" s="1"/>
  <c r="L46" i="183"/>
  <c r="L47" i="183" s="1"/>
  <c r="V41" i="183"/>
  <c r="AE46" i="183"/>
  <c r="AE47" i="183" s="1"/>
  <c r="BF20" i="183"/>
  <c r="BG4" i="183"/>
  <c r="M52" i="183"/>
  <c r="M48" i="183"/>
  <c r="R46" i="183"/>
  <c r="R47" i="183" s="1"/>
  <c r="K37" i="183"/>
  <c r="K36" i="183"/>
  <c r="K38" i="183" s="1"/>
  <c r="AG35" i="183"/>
  <c r="J12" i="119" s="1"/>
  <c r="AC37" i="183"/>
  <c r="AC36" i="183"/>
  <c r="AC38" i="183" s="1"/>
  <c r="N52" i="183"/>
  <c r="N48" i="183"/>
  <c r="U37" i="183"/>
  <c r="U36" i="183"/>
  <c r="U38" i="183" s="1"/>
  <c r="S46" i="183"/>
  <c r="S47" i="183" s="1"/>
  <c r="Z37" i="183"/>
  <c r="Z36" i="183"/>
  <c r="Z38" i="183" s="1"/>
  <c r="AB37" i="183"/>
  <c r="AB36" i="183"/>
  <c r="AB38" i="183" s="1"/>
  <c r="Z46" i="183"/>
  <c r="Z47" i="183" s="1"/>
  <c r="X46" i="183"/>
  <c r="X47" i="183" s="1"/>
  <c r="AC46" i="183"/>
  <c r="AC47" i="183" s="1"/>
  <c r="W41" i="183"/>
  <c r="AF37" i="183"/>
  <c r="AF36" i="183"/>
  <c r="AF38" i="183" s="1"/>
  <c r="AA41" i="183"/>
  <c r="S37" i="183"/>
  <c r="S36" i="183"/>
  <c r="S38" i="183" s="1"/>
  <c r="J37" i="178"/>
  <c r="J41" i="178" s="1"/>
  <c r="Y41" i="178"/>
  <c r="AD46" i="178"/>
  <c r="AD47" i="178" s="1"/>
  <c r="AD48" i="178" s="1"/>
  <c r="AB46" i="178"/>
  <c r="AB47" i="178" s="1"/>
  <c r="AB48" i="178" s="1"/>
  <c r="Y46" i="178"/>
  <c r="Y47" i="178" s="1"/>
  <c r="Y52" i="178" s="1"/>
  <c r="M46" i="178"/>
  <c r="M47" i="178" s="1"/>
  <c r="M48" i="178" s="1"/>
  <c r="S46" i="178"/>
  <c r="S47" i="178" s="1"/>
  <c r="S52" i="178" s="1"/>
  <c r="AA48" i="179"/>
  <c r="AA50" i="179" s="1"/>
  <c r="O52" i="179"/>
  <c r="Y52" i="179"/>
  <c r="R48" i="179"/>
  <c r="R50" i="179" s="1"/>
  <c r="U48" i="179"/>
  <c r="U49" i="179" s="1"/>
  <c r="U51" i="179" s="1"/>
  <c r="Y41" i="179"/>
  <c r="Z46" i="179"/>
  <c r="Z47" i="179" s="1"/>
  <c r="Z48" i="179" s="1"/>
  <c r="N48" i="179"/>
  <c r="N50" i="179" s="1"/>
  <c r="AB41" i="179"/>
  <c r="V48" i="179"/>
  <c r="V50" i="179" s="1"/>
  <c r="Z48" i="172"/>
  <c r="Z49" i="172" s="1"/>
  <c r="Z51" i="172" s="1"/>
  <c r="V48" i="172"/>
  <c r="V50" i="172" s="1"/>
  <c r="U48" i="172"/>
  <c r="U50" i="172" s="1"/>
  <c r="W48" i="172"/>
  <c r="W50" i="172" s="1"/>
  <c r="AB41" i="172"/>
  <c r="S48" i="176"/>
  <c r="S49" i="176" s="1"/>
  <c r="S51" i="176" s="1"/>
  <c r="J48" i="176"/>
  <c r="J49" i="176" s="1"/>
  <c r="J51" i="176" s="1"/>
  <c r="W46" i="176"/>
  <c r="W47" i="176" s="1"/>
  <c r="W52" i="176" s="1"/>
  <c r="T48" i="176"/>
  <c r="T50" i="176" s="1"/>
  <c r="BF20" i="176"/>
  <c r="O46" i="176"/>
  <c r="O47" i="176" s="1"/>
  <c r="O48" i="176" s="1"/>
  <c r="U52" i="177"/>
  <c r="W46" i="177"/>
  <c r="W47" i="177" s="1"/>
  <c r="W48" i="177" s="1"/>
  <c r="K46" i="177"/>
  <c r="K47" i="177" s="1"/>
  <c r="K52" i="177" s="1"/>
  <c r="AB52" i="169"/>
  <c r="T46" i="169"/>
  <c r="T47" i="169" s="1"/>
  <c r="T48" i="169" s="1"/>
  <c r="AF48" i="169"/>
  <c r="AF49" i="169" s="1"/>
  <c r="AF51" i="169" s="1"/>
  <c r="L46" i="169"/>
  <c r="L47" i="169" s="1"/>
  <c r="L52" i="169" s="1"/>
  <c r="AD46" i="169"/>
  <c r="AD47" i="169" s="1"/>
  <c r="AD52" i="169" s="1"/>
  <c r="N46" i="169"/>
  <c r="N47" i="169" s="1"/>
  <c r="N48" i="169" s="1"/>
  <c r="W46" i="169"/>
  <c r="W47" i="169" s="1"/>
  <c r="W48" i="169" s="1"/>
  <c r="P46" i="169"/>
  <c r="P47" i="169" s="1"/>
  <c r="P48" i="169" s="1"/>
  <c r="O46" i="169"/>
  <c r="O47" i="169" s="1"/>
  <c r="O52" i="169" s="1"/>
  <c r="Q46" i="169"/>
  <c r="Q47" i="169" s="1"/>
  <c r="Q48" i="169" s="1"/>
  <c r="U46" i="169"/>
  <c r="U47" i="169" s="1"/>
  <c r="U52" i="169" s="1"/>
  <c r="AE46" i="170"/>
  <c r="AE47" i="170" s="1"/>
  <c r="AE52" i="170" s="1"/>
  <c r="O46" i="170"/>
  <c r="O47" i="170" s="1"/>
  <c r="O48" i="170" s="1"/>
  <c r="K46" i="170"/>
  <c r="K47" i="170" s="1"/>
  <c r="K48" i="170" s="1"/>
  <c r="BF20" i="170"/>
  <c r="W46" i="170"/>
  <c r="W47" i="170" s="1"/>
  <c r="W52" i="170" s="1"/>
  <c r="AB46" i="170"/>
  <c r="AB47" i="170" s="1"/>
  <c r="AB52" i="170" s="1"/>
  <c r="N52" i="171"/>
  <c r="Q46" i="171"/>
  <c r="Q47" i="171" s="1"/>
  <c r="Q52" i="171" s="1"/>
  <c r="T48" i="171"/>
  <c r="T50" i="171" s="1"/>
  <c r="AB48" i="171"/>
  <c r="AB49" i="171" s="1"/>
  <c r="AB51" i="171" s="1"/>
  <c r="AF46" i="171"/>
  <c r="AF47" i="171" s="1"/>
  <c r="AF52" i="171" s="1"/>
  <c r="X46" i="171"/>
  <c r="X47" i="171" s="1"/>
  <c r="X52" i="171" s="1"/>
  <c r="M46" i="171"/>
  <c r="M47" i="171" s="1"/>
  <c r="M48" i="171" s="1"/>
  <c r="U52" i="171"/>
  <c r="O46" i="171"/>
  <c r="O47" i="171" s="1"/>
  <c r="O48" i="171" s="1"/>
  <c r="Q46" i="168"/>
  <c r="Q47" i="168" s="1"/>
  <c r="Q52" i="168" s="1"/>
  <c r="R46" i="168"/>
  <c r="R47" i="168" s="1"/>
  <c r="R48" i="168" s="1"/>
  <c r="Y46" i="168"/>
  <c r="Y47" i="168" s="1"/>
  <c r="Y52" i="168" s="1"/>
  <c r="W41" i="178"/>
  <c r="X41" i="172"/>
  <c r="Y46" i="177"/>
  <c r="Y47" i="177" s="1"/>
  <c r="Y48" i="177" s="1"/>
  <c r="Q46" i="178"/>
  <c r="Q47" i="178" s="1"/>
  <c r="Q52" i="178" s="1"/>
  <c r="AG35" i="171"/>
  <c r="J7" i="119" s="1"/>
  <c r="AG39" i="170"/>
  <c r="R8" i="112" s="1"/>
  <c r="AG39" i="171"/>
  <c r="R7" i="112" s="1"/>
  <c r="Z46" i="171"/>
  <c r="Z47" i="171" s="1"/>
  <c r="Z52" i="171" s="1"/>
  <c r="V46" i="177"/>
  <c r="V47" i="177" s="1"/>
  <c r="V52" i="177" s="1"/>
  <c r="Y46" i="176"/>
  <c r="Y47" i="176" s="1"/>
  <c r="Y48" i="176" s="1"/>
  <c r="K46" i="176"/>
  <c r="K47" i="176" s="1"/>
  <c r="K52" i="176" s="1"/>
  <c r="AF46" i="177"/>
  <c r="AF47" i="177" s="1"/>
  <c r="AF52" i="177" s="1"/>
  <c r="AB46" i="172"/>
  <c r="AB47" i="172" s="1"/>
  <c r="AB48" i="172" s="1"/>
  <c r="J46" i="177"/>
  <c r="J47" i="177" s="1"/>
  <c r="J52" i="177" s="1"/>
  <c r="AF46" i="176"/>
  <c r="AF47" i="176" s="1"/>
  <c r="AF52" i="176" s="1"/>
  <c r="AG39" i="178"/>
  <c r="R19" i="112" s="1"/>
  <c r="AA41" i="178"/>
  <c r="O46" i="178"/>
  <c r="O47" i="178" s="1"/>
  <c r="O48" i="178" s="1"/>
  <c r="U46" i="178"/>
  <c r="U47" i="178" s="1"/>
  <c r="U52" i="178" s="1"/>
  <c r="L46" i="178"/>
  <c r="L47" i="178" s="1"/>
  <c r="L48" i="178" s="1"/>
  <c r="T41" i="169"/>
  <c r="AE46" i="171"/>
  <c r="AE47" i="171" s="1"/>
  <c r="AE52" i="171" s="1"/>
  <c r="AD41" i="177"/>
  <c r="AA46" i="169"/>
  <c r="AA47" i="169" s="1"/>
  <c r="AA52" i="169" s="1"/>
  <c r="Z46" i="168"/>
  <c r="Z47" i="168" s="1"/>
  <c r="Z52" i="168" s="1"/>
  <c r="L46" i="168"/>
  <c r="L47" i="168" s="1"/>
  <c r="L52" i="168" s="1"/>
  <c r="Y46" i="169"/>
  <c r="Y47" i="169" s="1"/>
  <c r="Y52" i="169" s="1"/>
  <c r="Y46" i="170"/>
  <c r="Y47" i="170" s="1"/>
  <c r="Y48" i="170" s="1"/>
  <c r="P46" i="176"/>
  <c r="P47" i="176" s="1"/>
  <c r="P52" i="176" s="1"/>
  <c r="AB46" i="176"/>
  <c r="AB47" i="176" s="1"/>
  <c r="AB52" i="176" s="1"/>
  <c r="L46" i="177"/>
  <c r="L47" i="177" s="1"/>
  <c r="L48" i="177" s="1"/>
  <c r="AE46" i="177"/>
  <c r="AE47" i="177" s="1"/>
  <c r="AE52" i="177" s="1"/>
  <c r="O46" i="177"/>
  <c r="O47" i="177" s="1"/>
  <c r="O52" i="177" s="1"/>
  <c r="X46" i="177"/>
  <c r="X47" i="177" s="1"/>
  <c r="X52" i="177" s="1"/>
  <c r="N46" i="172"/>
  <c r="N47" i="172" s="1"/>
  <c r="N48" i="172" s="1"/>
  <c r="AF46" i="172"/>
  <c r="AF47" i="172" s="1"/>
  <c r="AF48" i="172" s="1"/>
  <c r="X46" i="172"/>
  <c r="X47" i="172" s="1"/>
  <c r="X48" i="172" s="1"/>
  <c r="K46" i="172"/>
  <c r="K47" i="172" s="1"/>
  <c r="K52" i="172" s="1"/>
  <c r="AC41" i="178"/>
  <c r="X41" i="179"/>
  <c r="T46" i="179"/>
  <c r="T47" i="179" s="1"/>
  <c r="T52" i="179" s="1"/>
  <c r="AE46" i="176"/>
  <c r="AE47" i="176" s="1"/>
  <c r="AE52" i="176" s="1"/>
  <c r="AC46" i="177"/>
  <c r="AC47" i="177" s="1"/>
  <c r="AC48" i="177" s="1"/>
  <c r="P46" i="177"/>
  <c r="P47" i="177" s="1"/>
  <c r="P52" i="177" s="1"/>
  <c r="AC46" i="176"/>
  <c r="AC47" i="176" s="1"/>
  <c r="AC52" i="176" s="1"/>
  <c r="L46" i="179"/>
  <c r="L47" i="179" s="1"/>
  <c r="L52" i="179" s="1"/>
  <c r="P46" i="170"/>
  <c r="P47" i="170" s="1"/>
  <c r="P48" i="170" s="1"/>
  <c r="AB41" i="169"/>
  <c r="Z46" i="169"/>
  <c r="Z47" i="169" s="1"/>
  <c r="Z52" i="169" s="1"/>
  <c r="R46" i="171"/>
  <c r="R47" i="171" s="1"/>
  <c r="R48" i="171" s="1"/>
  <c r="Q46" i="177"/>
  <c r="Q47" i="177" s="1"/>
  <c r="Q52" i="177" s="1"/>
  <c r="S46" i="172"/>
  <c r="S47" i="172" s="1"/>
  <c r="S52" i="172" s="1"/>
  <c r="V46" i="169"/>
  <c r="V47" i="169" s="1"/>
  <c r="V52" i="169" s="1"/>
  <c r="AC46" i="170"/>
  <c r="AC47" i="170" s="1"/>
  <c r="AC48" i="170" s="1"/>
  <c r="K46" i="168"/>
  <c r="K47" i="168" s="1"/>
  <c r="K52" i="168" s="1"/>
  <c r="W46" i="168"/>
  <c r="W47" i="168" s="1"/>
  <c r="W52" i="168" s="1"/>
  <c r="K46" i="169"/>
  <c r="K47" i="169" s="1"/>
  <c r="K52" i="169" s="1"/>
  <c r="P46" i="171"/>
  <c r="P47" i="171" s="1"/>
  <c r="P52" i="171" s="1"/>
  <c r="M46" i="170"/>
  <c r="M47" i="170" s="1"/>
  <c r="M52" i="170" s="1"/>
  <c r="X46" i="176"/>
  <c r="X47" i="176" s="1"/>
  <c r="X52" i="176" s="1"/>
  <c r="R46" i="176"/>
  <c r="R47" i="176" s="1"/>
  <c r="R48" i="176" s="1"/>
  <c r="AA46" i="176"/>
  <c r="AA47" i="176" s="1"/>
  <c r="AA48" i="176" s="1"/>
  <c r="K41" i="177"/>
  <c r="Q46" i="176"/>
  <c r="Q47" i="176" s="1"/>
  <c r="Q52" i="176" s="1"/>
  <c r="W41" i="177"/>
  <c r="BF20" i="172"/>
  <c r="AA46" i="178"/>
  <c r="AA47" i="178" s="1"/>
  <c r="AA48" i="178" s="1"/>
  <c r="N46" i="178"/>
  <c r="N47" i="178" s="1"/>
  <c r="N52" i="178" s="1"/>
  <c r="X46" i="168"/>
  <c r="X47" i="168" s="1"/>
  <c r="X48" i="168" s="1"/>
  <c r="AC46" i="168"/>
  <c r="AC47" i="168" s="1"/>
  <c r="AC48" i="168" s="1"/>
  <c r="AB46" i="168"/>
  <c r="AB47" i="168" s="1"/>
  <c r="AB48" i="168" s="1"/>
  <c r="AF46" i="168"/>
  <c r="AF47" i="168" s="1"/>
  <c r="AF48" i="168" s="1"/>
  <c r="M46" i="168"/>
  <c r="M47" i="168" s="1"/>
  <c r="M52" i="168" s="1"/>
  <c r="AG35" i="179"/>
  <c r="J18" i="119" s="1"/>
  <c r="Z41" i="171"/>
  <c r="Z41" i="168"/>
  <c r="AG39" i="168"/>
  <c r="R6" i="112" s="1"/>
  <c r="AG39" i="176"/>
  <c r="R11" i="112" s="1"/>
  <c r="AC41" i="170"/>
  <c r="O41" i="170"/>
  <c r="T41" i="168"/>
  <c r="N41" i="172"/>
  <c r="Q41" i="166"/>
  <c r="P36" i="178"/>
  <c r="P38" i="178" s="1"/>
  <c r="P41" i="178" s="1"/>
  <c r="N41" i="179"/>
  <c r="T41" i="172"/>
  <c r="AB41" i="168"/>
  <c r="AG39" i="172"/>
  <c r="R15" i="112" s="1"/>
  <c r="AG39" i="179"/>
  <c r="R18" i="112" s="1"/>
  <c r="AF37" i="179"/>
  <c r="AF36" i="179"/>
  <c r="AF38" i="179" s="1"/>
  <c r="K41" i="178"/>
  <c r="Z46" i="178"/>
  <c r="Z47" i="178" s="1"/>
  <c r="AC46" i="179"/>
  <c r="AC47" i="179" s="1"/>
  <c r="P46" i="178"/>
  <c r="P47" i="178" s="1"/>
  <c r="R52" i="178"/>
  <c r="R48" i="178"/>
  <c r="T37" i="179"/>
  <c r="T36" i="179"/>
  <c r="T38" i="179" s="1"/>
  <c r="X46" i="178"/>
  <c r="X47" i="178" s="1"/>
  <c r="AE46" i="178"/>
  <c r="AE47" i="178" s="1"/>
  <c r="T37" i="178"/>
  <c r="T36" i="178"/>
  <c r="T38" i="178" s="1"/>
  <c r="O50" i="179"/>
  <c r="O49" i="179"/>
  <c r="O51" i="179" s="1"/>
  <c r="W37" i="179"/>
  <c r="W36" i="179"/>
  <c r="W38" i="179" s="1"/>
  <c r="R37" i="179"/>
  <c r="R36" i="179"/>
  <c r="R38" i="179" s="1"/>
  <c r="L41" i="179"/>
  <c r="Q50" i="179"/>
  <c r="Q49" i="179"/>
  <c r="Q51" i="179" s="1"/>
  <c r="BF20" i="178"/>
  <c r="BG4" i="178"/>
  <c r="Z37" i="179"/>
  <c r="Z36" i="179"/>
  <c r="Z38" i="179" s="1"/>
  <c r="Y50" i="179"/>
  <c r="Y49" i="179"/>
  <c r="Y51" i="179" s="1"/>
  <c r="AD52" i="179"/>
  <c r="AD48" i="179"/>
  <c r="AB41" i="178"/>
  <c r="BG4" i="179"/>
  <c r="BF20" i="179"/>
  <c r="AF41" i="178"/>
  <c r="AE52" i="179"/>
  <c r="AE48" i="179"/>
  <c r="X41" i="178"/>
  <c r="K37" i="179"/>
  <c r="K36" i="179"/>
  <c r="K38" i="179" s="1"/>
  <c r="P37" i="179"/>
  <c r="P36" i="179"/>
  <c r="P38" i="179" s="1"/>
  <c r="P52" i="179"/>
  <c r="P48" i="179"/>
  <c r="AF46" i="178"/>
  <c r="AF47" i="178" s="1"/>
  <c r="Q41" i="179"/>
  <c r="X46" i="179"/>
  <c r="X47" i="179" s="1"/>
  <c r="K52" i="179"/>
  <c r="K48" i="179"/>
  <c r="W50" i="179"/>
  <c r="W49" i="179"/>
  <c r="W51" i="179" s="1"/>
  <c r="K46" i="178"/>
  <c r="K47" i="178" s="1"/>
  <c r="V41" i="179"/>
  <c r="S37" i="178"/>
  <c r="S36" i="178"/>
  <c r="S38" i="178" s="1"/>
  <c r="AC41" i="179"/>
  <c r="S46" i="179"/>
  <c r="S47" i="179" s="1"/>
  <c r="J46" i="178"/>
  <c r="J47" i="178" s="1"/>
  <c r="U41" i="179"/>
  <c r="S41" i="179"/>
  <c r="Q41" i="178"/>
  <c r="Z37" i="178"/>
  <c r="Z36" i="178"/>
  <c r="Z38" i="178" s="1"/>
  <c r="J41" i="179"/>
  <c r="AB46" i="179"/>
  <c r="AB47" i="179" s="1"/>
  <c r="AF46" i="179"/>
  <c r="AF47" i="179" s="1"/>
  <c r="T46" i="178"/>
  <c r="T47" i="178" s="1"/>
  <c r="M52" i="179"/>
  <c r="M48" i="179"/>
  <c r="AC46" i="178"/>
  <c r="AC47" i="178" s="1"/>
  <c r="V46" i="178"/>
  <c r="V47" i="178" s="1"/>
  <c r="J46" i="179"/>
  <c r="J47" i="179" s="1"/>
  <c r="W52" i="178"/>
  <c r="W48" i="178"/>
  <c r="AG35" i="178"/>
  <c r="J19" i="119" s="1"/>
  <c r="N41" i="176"/>
  <c r="Z50" i="172"/>
  <c r="AF41" i="177"/>
  <c r="X41" i="176"/>
  <c r="Z46" i="176"/>
  <c r="Z47" i="176" s="1"/>
  <c r="U37" i="176"/>
  <c r="U36" i="176"/>
  <c r="U38" i="176" s="1"/>
  <c r="BG4" i="177"/>
  <c r="BF20" i="177"/>
  <c r="N46" i="177"/>
  <c r="N47" i="177" s="1"/>
  <c r="AE52" i="172"/>
  <c r="AE48" i="172"/>
  <c r="BH4" i="176"/>
  <c r="BG20" i="176"/>
  <c r="R37" i="177"/>
  <c r="R36" i="177"/>
  <c r="R38" i="177" s="1"/>
  <c r="U50" i="177"/>
  <c r="U49" i="177"/>
  <c r="U51" i="177" s="1"/>
  <c r="Z37" i="177"/>
  <c r="Z36" i="177"/>
  <c r="Z38" i="177" s="1"/>
  <c r="L46" i="176"/>
  <c r="L47" i="176" s="1"/>
  <c r="T41" i="176"/>
  <c r="T41" i="177"/>
  <c r="P41" i="177"/>
  <c r="AC41" i="172"/>
  <c r="AA46" i="172"/>
  <c r="AA47" i="172" s="1"/>
  <c r="R46" i="177"/>
  <c r="R47" i="177" s="1"/>
  <c r="BH4" i="172"/>
  <c r="BG20" i="172"/>
  <c r="J52" i="172"/>
  <c r="J48" i="172"/>
  <c r="S37" i="177"/>
  <c r="S36" i="177"/>
  <c r="S38" i="177" s="1"/>
  <c r="V37" i="172"/>
  <c r="V36" i="172"/>
  <c r="V38" i="172" s="1"/>
  <c r="P41" i="172"/>
  <c r="M46" i="172"/>
  <c r="M47" i="172" s="1"/>
  <c r="AD46" i="177"/>
  <c r="AD47" i="177" s="1"/>
  <c r="AE41" i="177"/>
  <c r="V41" i="177"/>
  <c r="O41" i="172"/>
  <c r="Y41" i="176"/>
  <c r="M52" i="176"/>
  <c r="M48" i="176"/>
  <c r="AC52" i="172"/>
  <c r="AC48" i="172"/>
  <c r="L41" i="176"/>
  <c r="V37" i="176"/>
  <c r="V36" i="176"/>
  <c r="V38" i="176" s="1"/>
  <c r="U52" i="176"/>
  <c r="U48" i="176"/>
  <c r="W37" i="172"/>
  <c r="W36" i="172"/>
  <c r="W38" i="172" s="1"/>
  <c r="U37" i="177"/>
  <c r="U36" i="177"/>
  <c r="U38" i="177" s="1"/>
  <c r="AG35" i="177"/>
  <c r="J10" i="119" s="1"/>
  <c r="J37" i="177"/>
  <c r="J36" i="177"/>
  <c r="J38" i="177" s="1"/>
  <c r="L41" i="177"/>
  <c r="AD46" i="176"/>
  <c r="AD47" i="176" s="1"/>
  <c r="Q41" i="177"/>
  <c r="AC41" i="177"/>
  <c r="AD41" i="172"/>
  <c r="O41" i="177"/>
  <c r="L46" i="172"/>
  <c r="L47" i="172" s="1"/>
  <c r="AB46" i="177"/>
  <c r="AB47" i="177" s="1"/>
  <c r="K41" i="176"/>
  <c r="AG39" i="177"/>
  <c r="R10" i="112" s="1"/>
  <c r="S46" i="177"/>
  <c r="S47" i="177" s="1"/>
  <c r="AA46" i="177"/>
  <c r="AA47" i="177" s="1"/>
  <c r="P52" i="172"/>
  <c r="P48" i="172"/>
  <c r="Y41" i="177"/>
  <c r="Y52" i="172"/>
  <c r="Y48" i="172"/>
  <c r="AB37" i="177"/>
  <c r="AB36" i="177"/>
  <c r="AB38" i="177" s="1"/>
  <c r="T46" i="172"/>
  <c r="T47" i="172" s="1"/>
  <c r="AE41" i="176"/>
  <c r="Z46" i="177"/>
  <c r="Z47" i="177" s="1"/>
  <c r="V46" i="176"/>
  <c r="V47" i="176" s="1"/>
  <c r="AG35" i="176"/>
  <c r="J11" i="119" s="1"/>
  <c r="M46" i="177"/>
  <c r="M47" i="177" s="1"/>
  <c r="O46" i="172"/>
  <c r="O47" i="172" s="1"/>
  <c r="Q46" i="172"/>
  <c r="Q47" i="172" s="1"/>
  <c r="AB37" i="176"/>
  <c r="AB36" i="176"/>
  <c r="AB38" i="176" s="1"/>
  <c r="T46" i="177"/>
  <c r="T47" i="177" s="1"/>
  <c r="N46" i="176"/>
  <c r="N47" i="176" s="1"/>
  <c r="S41" i="172"/>
  <c r="R46" i="172"/>
  <c r="R47" i="172" s="1"/>
  <c r="AD46" i="172"/>
  <c r="AD47" i="172" s="1"/>
  <c r="J41" i="176"/>
  <c r="AG35" i="172"/>
  <c r="J15" i="119" s="1"/>
  <c r="U50" i="171"/>
  <c r="U49" i="171"/>
  <c r="U51" i="171" s="1"/>
  <c r="S37" i="171"/>
  <c r="S36" i="171"/>
  <c r="S38" i="171" s="1"/>
  <c r="M41" i="170"/>
  <c r="AA46" i="170"/>
  <c r="AA47" i="170" s="1"/>
  <c r="X37" i="171"/>
  <c r="X36" i="171"/>
  <c r="X38" i="171" s="1"/>
  <c r="Z41" i="169"/>
  <c r="J52" i="170"/>
  <c r="J48" i="170"/>
  <c r="AD52" i="171"/>
  <c r="AD48" i="171"/>
  <c r="S37" i="169"/>
  <c r="S36" i="169"/>
  <c r="S38" i="169" s="1"/>
  <c r="AC52" i="171"/>
  <c r="AC48" i="171"/>
  <c r="S46" i="170"/>
  <c r="S47" i="170" s="1"/>
  <c r="W46" i="171"/>
  <c r="W47" i="171" s="1"/>
  <c r="W37" i="170"/>
  <c r="W36" i="170"/>
  <c r="W38" i="170" s="1"/>
  <c r="J41" i="171"/>
  <c r="S46" i="169"/>
  <c r="S47" i="169" s="1"/>
  <c r="Y37" i="171"/>
  <c r="Y36" i="171"/>
  <c r="Y38" i="171" s="1"/>
  <c r="R41" i="169"/>
  <c r="BF20" i="171"/>
  <c r="BG4" i="171"/>
  <c r="V46" i="170"/>
  <c r="V47" i="170" s="1"/>
  <c r="P37" i="169"/>
  <c r="P36" i="169"/>
  <c r="P38" i="169" s="1"/>
  <c r="U41" i="170"/>
  <c r="AF41" i="171"/>
  <c r="L46" i="170"/>
  <c r="L47" i="170" s="1"/>
  <c r="U41" i="169"/>
  <c r="AB41" i="170"/>
  <c r="T37" i="171"/>
  <c r="T36" i="171"/>
  <c r="T38" i="171" s="1"/>
  <c r="R46" i="169"/>
  <c r="R47" i="169" s="1"/>
  <c r="K41" i="169"/>
  <c r="N46" i="170"/>
  <c r="N47" i="170" s="1"/>
  <c r="P37" i="171"/>
  <c r="P36" i="171"/>
  <c r="P38" i="171" s="1"/>
  <c r="J37" i="170"/>
  <c r="AG35" i="170"/>
  <c r="J8" i="119" s="1"/>
  <c r="J36" i="170"/>
  <c r="J38" i="170" s="1"/>
  <c r="AB41" i="171"/>
  <c r="V41" i="170"/>
  <c r="X46" i="170"/>
  <c r="X47" i="170" s="1"/>
  <c r="R46" i="170"/>
  <c r="R47" i="170" s="1"/>
  <c r="AG39" i="169"/>
  <c r="R9" i="112" s="1"/>
  <c r="X37" i="169"/>
  <c r="X36" i="169"/>
  <c r="X38" i="169" s="1"/>
  <c r="X41" i="170"/>
  <c r="K41" i="171"/>
  <c r="AF41" i="170"/>
  <c r="R41" i="171"/>
  <c r="AF41" i="169"/>
  <c r="S46" i="171"/>
  <c r="S47" i="171" s="1"/>
  <c r="AE41" i="169"/>
  <c r="AA41" i="171"/>
  <c r="AA52" i="171"/>
  <c r="AA48" i="171"/>
  <c r="BG4" i="169"/>
  <c r="BF20" i="169"/>
  <c r="AC41" i="171"/>
  <c r="AE37" i="171"/>
  <c r="AE36" i="171"/>
  <c r="AE38" i="171" s="1"/>
  <c r="O41" i="169"/>
  <c r="Q46" i="170"/>
  <c r="Q47" i="170" s="1"/>
  <c r="AG35" i="169"/>
  <c r="J9" i="119" s="1"/>
  <c r="J37" i="169"/>
  <c r="J36" i="169"/>
  <c r="J38" i="169" s="1"/>
  <c r="J46" i="169"/>
  <c r="J47" i="169" s="1"/>
  <c r="AE46" i="169"/>
  <c r="AE47" i="169" s="1"/>
  <c r="Y37" i="170"/>
  <c r="Y36" i="170"/>
  <c r="Y38" i="170" s="1"/>
  <c r="R37" i="170"/>
  <c r="R36" i="170"/>
  <c r="R38" i="170" s="1"/>
  <c r="V52" i="171"/>
  <c r="V48" i="171"/>
  <c r="AD46" i="170"/>
  <c r="AD47" i="170" s="1"/>
  <c r="Q37" i="171"/>
  <c r="Q36" i="171"/>
  <c r="Q38" i="171" s="1"/>
  <c r="M52" i="169"/>
  <c r="M48" i="169"/>
  <c r="J46" i="171"/>
  <c r="J47" i="171" s="1"/>
  <c r="AD41" i="171"/>
  <c r="Q37" i="170"/>
  <c r="Q36" i="170"/>
  <c r="Q38" i="170" s="1"/>
  <c r="V37" i="171"/>
  <c r="V36" i="171"/>
  <c r="V38" i="171" s="1"/>
  <c r="K46" i="171"/>
  <c r="K47" i="171" s="1"/>
  <c r="U46" i="170"/>
  <c r="U47" i="170" s="1"/>
  <c r="Q41" i="169"/>
  <c r="AC46" i="169"/>
  <c r="AC47" i="169" s="1"/>
  <c r="Z46" i="170"/>
  <c r="Z47" i="170" s="1"/>
  <c r="AC41" i="169"/>
  <c r="Y46" i="171"/>
  <c r="Y47" i="171" s="1"/>
  <c r="L46" i="171"/>
  <c r="L47" i="171" s="1"/>
  <c r="N50" i="171"/>
  <c r="N49" i="171"/>
  <c r="N51" i="171" s="1"/>
  <c r="T46" i="170"/>
  <c r="T47" i="170" s="1"/>
  <c r="AF46" i="170"/>
  <c r="AF47" i="170" s="1"/>
  <c r="Y41" i="169"/>
  <c r="AB50" i="169"/>
  <c r="AB49" i="169"/>
  <c r="AB51" i="169" s="1"/>
  <c r="T41" i="170"/>
  <c r="X46" i="169"/>
  <c r="X47" i="169" s="1"/>
  <c r="U37" i="171"/>
  <c r="U36" i="171"/>
  <c r="U38" i="171" s="1"/>
  <c r="BG20" i="170"/>
  <c r="BH4" i="170"/>
  <c r="AE46" i="168"/>
  <c r="AE47" i="168" s="1"/>
  <c r="T46" i="168"/>
  <c r="T47" i="168" s="1"/>
  <c r="N41" i="168"/>
  <c r="U37" i="168"/>
  <c r="U36" i="168"/>
  <c r="U38" i="168" s="1"/>
  <c r="AE41" i="168"/>
  <c r="P41" i="168"/>
  <c r="P46" i="168"/>
  <c r="P47" i="168" s="1"/>
  <c r="O46" i="168"/>
  <c r="O47" i="168" s="1"/>
  <c r="W41" i="168"/>
  <c r="BF20" i="168"/>
  <c r="BG4" i="168"/>
  <c r="J46" i="168"/>
  <c r="J47" i="168" s="1"/>
  <c r="AG35" i="168"/>
  <c r="J6" i="119" s="1"/>
  <c r="S41" i="168"/>
  <c r="AC41" i="168"/>
  <c r="V46" i="168"/>
  <c r="V47" i="168" s="1"/>
  <c r="X37" i="168"/>
  <c r="X36" i="168"/>
  <c r="X38" i="168" s="1"/>
  <c r="V37" i="168"/>
  <c r="V36" i="168"/>
  <c r="V38" i="168" s="1"/>
  <c r="N46" i="168"/>
  <c r="N47" i="168" s="1"/>
  <c r="AA46" i="168"/>
  <c r="AA47" i="168" s="1"/>
  <c r="AD46" i="168"/>
  <c r="AD47" i="168" s="1"/>
  <c r="U46" i="168"/>
  <c r="U47" i="168" s="1"/>
  <c r="S46" i="168"/>
  <c r="S47" i="168" s="1"/>
  <c r="M41" i="168"/>
  <c r="Z46" i="166"/>
  <c r="Z47" i="166" s="1"/>
  <c r="Z52" i="166" s="1"/>
  <c r="M48" i="166"/>
  <c r="M50" i="166" s="1"/>
  <c r="AC52" i="166"/>
  <c r="V46" i="166"/>
  <c r="V47" i="166" s="1"/>
  <c r="V48" i="166" s="1"/>
  <c r="AA48" i="166"/>
  <c r="AA50" i="166" s="1"/>
  <c r="AE52" i="166"/>
  <c r="O46" i="166"/>
  <c r="O47" i="166" s="1"/>
  <c r="O52" i="166" s="1"/>
  <c r="AF46" i="166"/>
  <c r="AF47" i="166" s="1"/>
  <c r="AF48" i="166" s="1"/>
  <c r="R46" i="166"/>
  <c r="R47" i="166" s="1"/>
  <c r="R52" i="166" s="1"/>
  <c r="K46" i="166"/>
  <c r="K47" i="166" s="1"/>
  <c r="K48" i="166" s="1"/>
  <c r="P46" i="166"/>
  <c r="P47" i="166" s="1"/>
  <c r="P48" i="166" s="1"/>
  <c r="N46" i="166"/>
  <c r="N47" i="166" s="1"/>
  <c r="N48" i="166" s="1"/>
  <c r="Y46" i="166"/>
  <c r="Y47" i="166" s="1"/>
  <c r="Y48" i="166" s="1"/>
  <c r="U46" i="166"/>
  <c r="U47" i="166" s="1"/>
  <c r="U52" i="166" s="1"/>
  <c r="AF37" i="166"/>
  <c r="AF36" i="166"/>
  <c r="AF38" i="166" s="1"/>
  <c r="AG35" i="166"/>
  <c r="J5" i="119" s="1"/>
  <c r="J37" i="166"/>
  <c r="J36" i="166"/>
  <c r="J38" i="166" s="1"/>
  <c r="AB46" i="166"/>
  <c r="AB47" i="166" s="1"/>
  <c r="W41" i="166"/>
  <c r="W46" i="166"/>
  <c r="W47" i="166" s="1"/>
  <c r="AC37" i="166"/>
  <c r="AC36" i="166"/>
  <c r="AC38" i="166" s="1"/>
  <c r="T37" i="166"/>
  <c r="T36" i="166"/>
  <c r="T38" i="166" s="1"/>
  <c r="AE50" i="166"/>
  <c r="AE49" i="166"/>
  <c r="AE51" i="166" s="1"/>
  <c r="AG39" i="166"/>
  <c r="R5" i="112" s="1"/>
  <c r="P37" i="166"/>
  <c r="P36" i="166"/>
  <c r="P38" i="166" s="1"/>
  <c r="BG4" i="166"/>
  <c r="BF20" i="166"/>
  <c r="S37" i="166"/>
  <c r="S36" i="166"/>
  <c r="S38" i="166" s="1"/>
  <c r="V37" i="166"/>
  <c r="V36" i="166"/>
  <c r="V38" i="166" s="1"/>
  <c r="L46" i="166"/>
  <c r="L47" i="166" s="1"/>
  <c r="R37" i="166"/>
  <c r="R36" i="166"/>
  <c r="R38" i="166" s="1"/>
  <c r="AD46" i="166"/>
  <c r="AD47" i="166" s="1"/>
  <c r="J46" i="166"/>
  <c r="J47" i="166" s="1"/>
  <c r="AD41" i="166"/>
  <c r="U41" i="166"/>
  <c r="S46" i="166"/>
  <c r="S47" i="166" s="1"/>
  <c r="AB37" i="166"/>
  <c r="AB36" i="166"/>
  <c r="AB38" i="166" s="1"/>
  <c r="X46" i="166"/>
  <c r="X47" i="166" s="1"/>
  <c r="Q46" i="166"/>
  <c r="Q47" i="166" s="1"/>
  <c r="AC50" i="166"/>
  <c r="AC49" i="166"/>
  <c r="AC51" i="166" s="1"/>
  <c r="O41" i="166"/>
  <c r="T46" i="166"/>
  <c r="T47" i="166" s="1"/>
  <c r="R21" i="112" l="1"/>
  <c r="S50" i="176"/>
  <c r="AG38" i="184"/>
  <c r="N13" i="112" s="1"/>
  <c r="O52" i="170"/>
  <c r="S41" i="186"/>
  <c r="AG38" i="187"/>
  <c r="N20" i="112" s="1"/>
  <c r="AG37" i="186"/>
  <c r="W50" i="187"/>
  <c r="W54" i="187" s="1"/>
  <c r="O48" i="187"/>
  <c r="O49" i="187" s="1"/>
  <c r="O51" i="187" s="1"/>
  <c r="AD52" i="187"/>
  <c r="U48" i="187"/>
  <c r="U49" i="187" s="1"/>
  <c r="U51" i="187" s="1"/>
  <c r="AC52" i="187"/>
  <c r="N52" i="187"/>
  <c r="P41" i="187"/>
  <c r="S41" i="187"/>
  <c r="O52" i="188"/>
  <c r="N49" i="188"/>
  <c r="N51" i="188" s="1"/>
  <c r="N54" i="188" s="1"/>
  <c r="U50" i="188"/>
  <c r="U54" i="188" s="1"/>
  <c r="AD52" i="188"/>
  <c r="AB49" i="188"/>
  <c r="AB51" i="188" s="1"/>
  <c r="AB54" i="188" s="1"/>
  <c r="X52" i="188"/>
  <c r="Y48" i="188"/>
  <c r="Y50" i="188" s="1"/>
  <c r="T48" i="188"/>
  <c r="T50" i="188" s="1"/>
  <c r="M48" i="188"/>
  <c r="M49" i="188" s="1"/>
  <c r="M51" i="188" s="1"/>
  <c r="K52" i="188"/>
  <c r="Q48" i="188"/>
  <c r="Q50" i="188" s="1"/>
  <c r="AF52" i="188"/>
  <c r="AC41" i="188"/>
  <c r="R48" i="188"/>
  <c r="R50" i="188" s="1"/>
  <c r="S49" i="185"/>
  <c r="S51" i="185" s="1"/>
  <c r="S54" i="185" s="1"/>
  <c r="Z52" i="185"/>
  <c r="AE48" i="185"/>
  <c r="AE49" i="185" s="1"/>
  <c r="AE51" i="185" s="1"/>
  <c r="AB48" i="185"/>
  <c r="AB50" i="185" s="1"/>
  <c r="M52" i="185"/>
  <c r="Q52" i="185"/>
  <c r="AD52" i="185"/>
  <c r="AC48" i="185"/>
  <c r="AC50" i="185" s="1"/>
  <c r="L48" i="185"/>
  <c r="L50" i="185" s="1"/>
  <c r="J48" i="185"/>
  <c r="J50" i="185" s="1"/>
  <c r="AF48" i="185"/>
  <c r="AF50" i="185" s="1"/>
  <c r="AC49" i="186"/>
  <c r="AC51" i="186" s="1"/>
  <c r="AC54" i="186" s="1"/>
  <c r="U48" i="186"/>
  <c r="U50" i="186" s="1"/>
  <c r="N48" i="186"/>
  <c r="N49" i="186" s="1"/>
  <c r="N51" i="186" s="1"/>
  <c r="X49" i="186"/>
  <c r="X51" i="186" s="1"/>
  <c r="X54" i="186" s="1"/>
  <c r="AE48" i="186"/>
  <c r="AE50" i="186" s="1"/>
  <c r="V50" i="186"/>
  <c r="V54" i="186" s="1"/>
  <c r="J48" i="186"/>
  <c r="J50" i="186" s="1"/>
  <c r="AA50" i="186"/>
  <c r="AA54" i="186" s="1"/>
  <c r="AF52" i="186"/>
  <c r="T48" i="186"/>
  <c r="T50" i="186" s="1"/>
  <c r="Q48" i="186"/>
  <c r="Q50" i="186" s="1"/>
  <c r="K52" i="186"/>
  <c r="M48" i="186"/>
  <c r="M50" i="186" s="1"/>
  <c r="S48" i="186"/>
  <c r="S49" i="186" s="1"/>
  <c r="S51" i="186" s="1"/>
  <c r="AC41" i="186"/>
  <c r="AG38" i="186"/>
  <c r="N14" i="112" s="1"/>
  <c r="Z49" i="184"/>
  <c r="Z51" i="184" s="1"/>
  <c r="Z54" i="184" s="1"/>
  <c r="P50" i="184"/>
  <c r="P54" i="184" s="1"/>
  <c r="N52" i="184"/>
  <c r="AF49" i="184"/>
  <c r="AF51" i="184" s="1"/>
  <c r="U48" i="184"/>
  <c r="U49" i="184" s="1"/>
  <c r="U51" i="184" s="1"/>
  <c r="AB41" i="184"/>
  <c r="AB48" i="184"/>
  <c r="AB49" i="184" s="1"/>
  <c r="AB51" i="184" s="1"/>
  <c r="K48" i="184"/>
  <c r="K49" i="184" s="1"/>
  <c r="K51" i="184" s="1"/>
  <c r="AF48" i="183"/>
  <c r="AF50" i="183" s="1"/>
  <c r="Q49" i="183"/>
  <c r="Q51" i="183" s="1"/>
  <c r="Q54" i="183" s="1"/>
  <c r="AB48" i="183"/>
  <c r="AB50" i="183" s="1"/>
  <c r="P52" i="183"/>
  <c r="AD48" i="183"/>
  <c r="AD50" i="183" s="1"/>
  <c r="O48" i="183"/>
  <c r="O49" i="183" s="1"/>
  <c r="O51" i="183" s="1"/>
  <c r="J52" i="183"/>
  <c r="T48" i="183"/>
  <c r="T49" i="183" s="1"/>
  <c r="T51" i="183" s="1"/>
  <c r="U48" i="183"/>
  <c r="U50" i="183" s="1"/>
  <c r="X50" i="188"/>
  <c r="X49" i="188"/>
  <c r="X51" i="188" s="1"/>
  <c r="AA52" i="188"/>
  <c r="AA48" i="188"/>
  <c r="AE52" i="187"/>
  <c r="AE48" i="187"/>
  <c r="L52" i="187"/>
  <c r="L48" i="187"/>
  <c r="Y50" i="187"/>
  <c r="Y49" i="187"/>
  <c r="Y51" i="187" s="1"/>
  <c r="W52" i="188"/>
  <c r="W48" i="188"/>
  <c r="AE52" i="188"/>
  <c r="AE48" i="188"/>
  <c r="L52" i="188"/>
  <c r="L48" i="188"/>
  <c r="J52" i="187"/>
  <c r="J48" i="187"/>
  <c r="V52" i="188"/>
  <c r="V48" i="188"/>
  <c r="K50" i="188"/>
  <c r="K49" i="188"/>
  <c r="K51" i="188" s="1"/>
  <c r="AF50" i="188"/>
  <c r="AF49" i="188"/>
  <c r="AF51" i="188" s="1"/>
  <c r="AF52" i="187"/>
  <c r="AF48" i="187"/>
  <c r="AB41" i="188"/>
  <c r="AG38" i="188"/>
  <c r="N17" i="112" s="1"/>
  <c r="M52" i="187"/>
  <c r="M48" i="187"/>
  <c r="BG20" i="188"/>
  <c r="BH4" i="188"/>
  <c r="J52" i="188"/>
  <c r="J48" i="188"/>
  <c r="K41" i="188"/>
  <c r="AG37" i="188"/>
  <c r="Z41" i="188"/>
  <c r="S52" i="187"/>
  <c r="S48" i="187"/>
  <c r="Q52" i="187"/>
  <c r="Q48" i="187"/>
  <c r="AA50" i="187"/>
  <c r="AA49" i="187"/>
  <c r="AA51" i="187" s="1"/>
  <c r="BH4" i="187"/>
  <c r="BG20" i="187"/>
  <c r="X52" i="187"/>
  <c r="X48" i="187"/>
  <c r="T41" i="188"/>
  <c r="AE41" i="188"/>
  <c r="W41" i="188"/>
  <c r="S52" i="188"/>
  <c r="S48" i="188"/>
  <c r="AD50" i="187"/>
  <c r="AD49" i="187"/>
  <c r="AD51" i="187" s="1"/>
  <c r="T52" i="187"/>
  <c r="T48" i="187"/>
  <c r="Y41" i="188"/>
  <c r="V52" i="187"/>
  <c r="V48" i="187"/>
  <c r="AC50" i="187"/>
  <c r="AC49" i="187"/>
  <c r="AC51" i="187" s="1"/>
  <c r="AC50" i="188"/>
  <c r="AC49" i="188"/>
  <c r="AC51" i="188" s="1"/>
  <c r="AB52" i="187"/>
  <c r="AB48" i="187"/>
  <c r="P52" i="187"/>
  <c r="P48" i="187"/>
  <c r="AD50" i="188"/>
  <c r="AD49" i="188"/>
  <c r="AD51" i="188" s="1"/>
  <c r="O50" i="188"/>
  <c r="O49" i="188"/>
  <c r="O51" i="188" s="1"/>
  <c r="P52" i="188"/>
  <c r="P48" i="188"/>
  <c r="AG37" i="187"/>
  <c r="K52" i="187"/>
  <c r="K48" i="187"/>
  <c r="R54" i="187"/>
  <c r="N50" i="187"/>
  <c r="N49" i="187"/>
  <c r="N51" i="187" s="1"/>
  <c r="Z52" i="187"/>
  <c r="Z48" i="187"/>
  <c r="Z52" i="188"/>
  <c r="Z48" i="188"/>
  <c r="N50" i="185"/>
  <c r="N49" i="185"/>
  <c r="N51" i="185" s="1"/>
  <c r="Q41" i="186"/>
  <c r="AB41" i="186"/>
  <c r="BH4" i="186"/>
  <c r="BG20" i="186"/>
  <c r="Y52" i="185"/>
  <c r="Y48" i="185"/>
  <c r="Z52" i="186"/>
  <c r="Z48" i="186"/>
  <c r="O50" i="186"/>
  <c r="O49" i="186"/>
  <c r="O51" i="186" s="1"/>
  <c r="W52" i="185"/>
  <c r="W48" i="185"/>
  <c r="Q50" i="185"/>
  <c r="Q49" i="185"/>
  <c r="Q51" i="185" s="1"/>
  <c r="AA52" i="185"/>
  <c r="AA48" i="185"/>
  <c r="V52" i="185"/>
  <c r="V48" i="185"/>
  <c r="U52" i="185"/>
  <c r="U48" i="185"/>
  <c r="P52" i="186"/>
  <c r="P48" i="186"/>
  <c r="AF50" i="186"/>
  <c r="AF49" i="186"/>
  <c r="AF51" i="186" s="1"/>
  <c r="Z50" i="185"/>
  <c r="Z49" i="185"/>
  <c r="Z51" i="185" s="1"/>
  <c r="R41" i="186"/>
  <c r="Y52" i="186"/>
  <c r="Y48" i="186"/>
  <c r="O52" i="185"/>
  <c r="O48" i="185"/>
  <c r="L50" i="186"/>
  <c r="L49" i="186"/>
  <c r="L51" i="186" s="1"/>
  <c r="U41" i="185"/>
  <c r="AG41" i="185" s="1"/>
  <c r="B16" i="112" s="1"/>
  <c r="P52" i="185"/>
  <c r="P48" i="185"/>
  <c r="AD50" i="185"/>
  <c r="AD49" i="185"/>
  <c r="AD51" i="185" s="1"/>
  <c r="K50" i="186"/>
  <c r="K49" i="186"/>
  <c r="K51" i="186" s="1"/>
  <c r="BG20" i="185"/>
  <c r="BH4" i="185"/>
  <c r="M50" i="185"/>
  <c r="M49" i="185"/>
  <c r="M51" i="185" s="1"/>
  <c r="W50" i="186"/>
  <c r="W49" i="186"/>
  <c r="W51" i="186" s="1"/>
  <c r="T41" i="186"/>
  <c r="X41" i="186"/>
  <c r="AB54" i="186"/>
  <c r="AD50" i="186"/>
  <c r="AD49" i="186"/>
  <c r="AD51" i="186" s="1"/>
  <c r="T50" i="185"/>
  <c r="T49" i="185"/>
  <c r="T51" i="185" s="1"/>
  <c r="K50" i="185"/>
  <c r="K49" i="185"/>
  <c r="K51" i="185" s="1"/>
  <c r="X52" i="185"/>
  <c r="X48" i="185"/>
  <c r="R52" i="185"/>
  <c r="R48" i="185"/>
  <c r="R50" i="186"/>
  <c r="R49" i="186"/>
  <c r="R51" i="186" s="1"/>
  <c r="AG37" i="185"/>
  <c r="T52" i="184"/>
  <c r="T48" i="184"/>
  <c r="O52" i="184"/>
  <c r="O48" i="184"/>
  <c r="L52" i="184"/>
  <c r="L48" i="184"/>
  <c r="M52" i="184"/>
  <c r="M48" i="184"/>
  <c r="AC52" i="184"/>
  <c r="AC48" i="184"/>
  <c r="Q50" i="184"/>
  <c r="Q49" i="184"/>
  <c r="Q51" i="184" s="1"/>
  <c r="X52" i="184"/>
  <c r="X48" i="184"/>
  <c r="AA50" i="184"/>
  <c r="AA49" i="184"/>
  <c r="AA51" i="184" s="1"/>
  <c r="AE52" i="184"/>
  <c r="AE48" i="184"/>
  <c r="R52" i="184"/>
  <c r="R48" i="184"/>
  <c r="N50" i="184"/>
  <c r="N49" i="184"/>
  <c r="N51" i="184" s="1"/>
  <c r="AG37" i="184"/>
  <c r="AF54" i="184"/>
  <c r="BH22" i="184"/>
  <c r="BH20" i="184"/>
  <c r="S52" i="184"/>
  <c r="S48" i="184"/>
  <c r="J50" i="184"/>
  <c r="J49" i="184"/>
  <c r="J51" i="184" s="1"/>
  <c r="W52" i="184"/>
  <c r="W48" i="184"/>
  <c r="V54" i="184"/>
  <c r="Y50" i="184"/>
  <c r="Y49" i="184"/>
  <c r="Y51" i="184" s="1"/>
  <c r="U41" i="184"/>
  <c r="AD52" i="184"/>
  <c r="AD48" i="184"/>
  <c r="S52" i="183"/>
  <c r="S48" i="183"/>
  <c r="BG20" i="183"/>
  <c r="BH4" i="183"/>
  <c r="AG38" i="183"/>
  <c r="N12" i="112" s="1"/>
  <c r="K52" i="183"/>
  <c r="K48" i="183"/>
  <c r="Z52" i="183"/>
  <c r="Z48" i="183"/>
  <c r="K41" i="183"/>
  <c r="AG37" i="183"/>
  <c r="Y52" i="183"/>
  <c r="Y48" i="183"/>
  <c r="Q41" i="183"/>
  <c r="S41" i="183"/>
  <c r="AC41" i="183"/>
  <c r="V52" i="183"/>
  <c r="V48" i="183"/>
  <c r="AC52" i="183"/>
  <c r="AC48" i="183"/>
  <c r="X52" i="183"/>
  <c r="X48" i="183"/>
  <c r="U41" i="183"/>
  <c r="N50" i="183"/>
  <c r="N49" i="183"/>
  <c r="N51" i="183" s="1"/>
  <c r="R52" i="183"/>
  <c r="R48" i="183"/>
  <c r="P50" i="183"/>
  <c r="P49" i="183"/>
  <c r="P51" i="183" s="1"/>
  <c r="J50" i="183"/>
  <c r="J49" i="183"/>
  <c r="J51" i="183" s="1"/>
  <c r="AB41" i="183"/>
  <c r="AE52" i="183"/>
  <c r="AE48" i="183"/>
  <c r="R41" i="183"/>
  <c r="AF41" i="183"/>
  <c r="Z41" i="183"/>
  <c r="M50" i="183"/>
  <c r="M49" i="183"/>
  <c r="M51" i="183" s="1"/>
  <c r="L52" i="183"/>
  <c r="L48" i="183"/>
  <c r="AA52" i="183"/>
  <c r="AA48" i="183"/>
  <c r="W52" i="183"/>
  <c r="W48" i="183"/>
  <c r="AG38" i="176"/>
  <c r="N11" i="112" s="1"/>
  <c r="AD52" i="178"/>
  <c r="AB52" i="178"/>
  <c r="L52" i="178"/>
  <c r="Y48" i="178"/>
  <c r="Y50" i="178" s="1"/>
  <c r="O52" i="178"/>
  <c r="S48" i="178"/>
  <c r="S50" i="178" s="1"/>
  <c r="AA52" i="178"/>
  <c r="Q48" i="178"/>
  <c r="Q49" i="178" s="1"/>
  <c r="Q51" i="178" s="1"/>
  <c r="M52" i="178"/>
  <c r="U48" i="178"/>
  <c r="U49" i="178" s="1"/>
  <c r="U51" i="178" s="1"/>
  <c r="AA49" i="179"/>
  <c r="AA51" i="179" s="1"/>
  <c r="AA54" i="179" s="1"/>
  <c r="R49" i="179"/>
  <c r="R51" i="179" s="1"/>
  <c r="R54" i="179" s="1"/>
  <c r="U50" i="179"/>
  <c r="U54" i="179" s="1"/>
  <c r="Z52" i="179"/>
  <c r="L48" i="179"/>
  <c r="L50" i="179" s="1"/>
  <c r="T48" i="179"/>
  <c r="T49" i="179" s="1"/>
  <c r="T51" i="179" s="1"/>
  <c r="V49" i="179"/>
  <c r="V51" i="179" s="1"/>
  <c r="V54" i="179" s="1"/>
  <c r="N49" i="179"/>
  <c r="N51" i="179" s="1"/>
  <c r="N54" i="179" s="1"/>
  <c r="V49" i="172"/>
  <c r="V51" i="172" s="1"/>
  <c r="V54" i="172" s="1"/>
  <c r="U49" i="172"/>
  <c r="U51" i="172" s="1"/>
  <c r="U54" i="172" s="1"/>
  <c r="X52" i="172"/>
  <c r="AF52" i="172"/>
  <c r="W49" i="172"/>
  <c r="W51" i="172" s="1"/>
  <c r="W54" i="172" s="1"/>
  <c r="K48" i="172"/>
  <c r="K49" i="172" s="1"/>
  <c r="K51" i="172" s="1"/>
  <c r="N52" i="172"/>
  <c r="S48" i="172"/>
  <c r="S50" i="172" s="1"/>
  <c r="AB52" i="172"/>
  <c r="AG38" i="172"/>
  <c r="N15" i="112" s="1"/>
  <c r="J50" i="176"/>
  <c r="W48" i="176"/>
  <c r="W50" i="176" s="1"/>
  <c r="P48" i="176"/>
  <c r="P50" i="176" s="1"/>
  <c r="T49" i="176"/>
  <c r="T51" i="176" s="1"/>
  <c r="T54" i="176" s="1"/>
  <c r="O52" i="176"/>
  <c r="R52" i="176"/>
  <c r="AE48" i="176"/>
  <c r="AE50" i="176" s="1"/>
  <c r="AB48" i="176"/>
  <c r="AB50" i="176" s="1"/>
  <c r="AA52" i="176"/>
  <c r="X48" i="176"/>
  <c r="X49" i="176" s="1"/>
  <c r="X51" i="176" s="1"/>
  <c r="Y52" i="176"/>
  <c r="K48" i="176"/>
  <c r="K50" i="176" s="1"/>
  <c r="AF48" i="176"/>
  <c r="AF50" i="176" s="1"/>
  <c r="AC48" i="176"/>
  <c r="AC50" i="176" s="1"/>
  <c r="U41" i="176"/>
  <c r="W52" i="177"/>
  <c r="K48" i="177"/>
  <c r="K50" i="177" s="1"/>
  <c r="Q48" i="177"/>
  <c r="Q50" i="177" s="1"/>
  <c r="V48" i="177"/>
  <c r="V49" i="177" s="1"/>
  <c r="V51" i="177" s="1"/>
  <c r="L52" i="177"/>
  <c r="P48" i="177"/>
  <c r="P50" i="177" s="1"/>
  <c r="AE48" i="177"/>
  <c r="AE49" i="177" s="1"/>
  <c r="AE51" i="177" s="1"/>
  <c r="AC52" i="177"/>
  <c r="Y52" i="177"/>
  <c r="X48" i="177"/>
  <c r="X50" i="177" s="1"/>
  <c r="J48" i="177"/>
  <c r="J50" i="177" s="1"/>
  <c r="AF48" i="177"/>
  <c r="AF50" i="177" s="1"/>
  <c r="AF50" i="169"/>
  <c r="AF54" i="169" s="1"/>
  <c r="T52" i="169"/>
  <c r="L48" i="169"/>
  <c r="L50" i="169" s="1"/>
  <c r="AD48" i="169"/>
  <c r="AD49" i="169" s="1"/>
  <c r="AD51" i="169" s="1"/>
  <c r="W52" i="169"/>
  <c r="N52" i="169"/>
  <c r="P52" i="169"/>
  <c r="AA48" i="169"/>
  <c r="AA49" i="169" s="1"/>
  <c r="AA51" i="169" s="1"/>
  <c r="K48" i="169"/>
  <c r="K49" i="169" s="1"/>
  <c r="K51" i="169" s="1"/>
  <c r="O48" i="169"/>
  <c r="O50" i="169" s="1"/>
  <c r="Z48" i="169"/>
  <c r="Z49" i="169" s="1"/>
  <c r="Z51" i="169" s="1"/>
  <c r="U48" i="169"/>
  <c r="U49" i="169" s="1"/>
  <c r="U51" i="169" s="1"/>
  <c r="Q52" i="169"/>
  <c r="Y48" i="169"/>
  <c r="Y49" i="169" s="1"/>
  <c r="Y51" i="169" s="1"/>
  <c r="V48" i="169"/>
  <c r="V49" i="169" s="1"/>
  <c r="V51" i="169" s="1"/>
  <c r="K52" i="170"/>
  <c r="AE48" i="170"/>
  <c r="AE49" i="170" s="1"/>
  <c r="AE51" i="170" s="1"/>
  <c r="W48" i="170"/>
  <c r="W49" i="170" s="1"/>
  <c r="W51" i="170" s="1"/>
  <c r="P52" i="170"/>
  <c r="AC52" i="170"/>
  <c r="AB48" i="170"/>
  <c r="AB49" i="170" s="1"/>
  <c r="AB51" i="170" s="1"/>
  <c r="M48" i="170"/>
  <c r="M50" i="170" s="1"/>
  <c r="Y52" i="170"/>
  <c r="AB50" i="171"/>
  <c r="AB54" i="171" s="1"/>
  <c r="Q48" i="171"/>
  <c r="Q49" i="171" s="1"/>
  <c r="Q51" i="171" s="1"/>
  <c r="T49" i="171"/>
  <c r="T51" i="171" s="1"/>
  <c r="T54" i="171" s="1"/>
  <c r="AF48" i="171"/>
  <c r="AF50" i="171" s="1"/>
  <c r="M52" i="171"/>
  <c r="X48" i="171"/>
  <c r="X50" i="171" s="1"/>
  <c r="R52" i="171"/>
  <c r="O52" i="171"/>
  <c r="P48" i="171"/>
  <c r="P50" i="171" s="1"/>
  <c r="AE48" i="171"/>
  <c r="AE50" i="171" s="1"/>
  <c r="Z48" i="171"/>
  <c r="Z50" i="171" s="1"/>
  <c r="AB52" i="168"/>
  <c r="AF52" i="168"/>
  <c r="R52" i="168"/>
  <c r="Q48" i="168"/>
  <c r="Q49" i="168" s="1"/>
  <c r="Q51" i="168" s="1"/>
  <c r="Y48" i="168"/>
  <c r="Y50" i="168" s="1"/>
  <c r="M48" i="168"/>
  <c r="M50" i="168" s="1"/>
  <c r="W48" i="168"/>
  <c r="W49" i="168" s="1"/>
  <c r="W51" i="168" s="1"/>
  <c r="X52" i="168"/>
  <c r="AC52" i="168"/>
  <c r="K48" i="168"/>
  <c r="K49" i="168" s="1"/>
  <c r="K51" i="168" s="1"/>
  <c r="Z48" i="168"/>
  <c r="Z50" i="168" s="1"/>
  <c r="L48" i="168"/>
  <c r="L50" i="168" s="1"/>
  <c r="U41" i="177"/>
  <c r="V41" i="176"/>
  <c r="AG37" i="179"/>
  <c r="AG37" i="172"/>
  <c r="P41" i="169"/>
  <c r="Q48" i="176"/>
  <c r="Q50" i="176" s="1"/>
  <c r="U54" i="177"/>
  <c r="N48" i="178"/>
  <c r="N49" i="178" s="1"/>
  <c r="N51" i="178" s="1"/>
  <c r="O54" i="179"/>
  <c r="O48" i="177"/>
  <c r="O50" i="177" s="1"/>
  <c r="Y41" i="170"/>
  <c r="S41" i="171"/>
  <c r="AG38" i="178"/>
  <c r="N19" i="112" s="1"/>
  <c r="X41" i="169"/>
  <c r="W41" i="179"/>
  <c r="Z41" i="179"/>
  <c r="AG38" i="179"/>
  <c r="N18" i="112" s="1"/>
  <c r="AG38" i="171"/>
  <c r="N7" i="112" s="1"/>
  <c r="P41" i="171"/>
  <c r="AG38" i="168"/>
  <c r="N6" i="112" s="1"/>
  <c r="AC52" i="179"/>
  <c r="AC48" i="179"/>
  <c r="AC52" i="178"/>
  <c r="AC48" i="178"/>
  <c r="AB52" i="179"/>
  <c r="AB48" i="179"/>
  <c r="AD50" i="178"/>
  <c r="AD49" i="178"/>
  <c r="AD51" i="178" s="1"/>
  <c r="S41" i="178"/>
  <c r="W54" i="179"/>
  <c r="AF52" i="178"/>
  <c r="AF48" i="178"/>
  <c r="O50" i="178"/>
  <c r="O49" i="178"/>
  <c r="O51" i="178" s="1"/>
  <c r="BG20" i="179"/>
  <c r="BH4" i="179"/>
  <c r="Z52" i="178"/>
  <c r="Z48" i="178"/>
  <c r="AF41" i="179"/>
  <c r="M50" i="179"/>
  <c r="M49" i="179"/>
  <c r="M51" i="179" s="1"/>
  <c r="S52" i="179"/>
  <c r="S48" i="179"/>
  <c r="AB50" i="178"/>
  <c r="AB49" i="178"/>
  <c r="AB51" i="178" s="1"/>
  <c r="M50" i="178"/>
  <c r="M49" i="178"/>
  <c r="M51" i="178" s="1"/>
  <c r="Q54" i="179"/>
  <c r="T41" i="178"/>
  <c r="T41" i="179"/>
  <c r="Z50" i="179"/>
  <c r="Z49" i="179"/>
  <c r="Z51" i="179" s="1"/>
  <c r="J52" i="179"/>
  <c r="J48" i="179"/>
  <c r="X52" i="179"/>
  <c r="X48" i="179"/>
  <c r="P50" i="179"/>
  <c r="P49" i="179"/>
  <c r="P51" i="179" s="1"/>
  <c r="Y54" i="179"/>
  <c r="R41" i="179"/>
  <c r="R50" i="178"/>
  <c r="R49" i="178"/>
  <c r="R51" i="178" s="1"/>
  <c r="V52" i="178"/>
  <c r="V48" i="178"/>
  <c r="P41" i="179"/>
  <c r="L50" i="178"/>
  <c r="L49" i="178"/>
  <c r="L51" i="178" s="1"/>
  <c r="AD50" i="179"/>
  <c r="AD49" i="179"/>
  <c r="AD51" i="179" s="1"/>
  <c r="AF52" i="179"/>
  <c r="AF48" i="179"/>
  <c r="X52" i="178"/>
  <c r="X48" i="178"/>
  <c r="K52" i="178"/>
  <c r="K48" i="178"/>
  <c r="K50" i="179"/>
  <c r="K49" i="179"/>
  <c r="K51" i="179" s="1"/>
  <c r="AG37" i="178"/>
  <c r="W50" i="178"/>
  <c r="W49" i="178"/>
  <c r="W51" i="178" s="1"/>
  <c r="T52" i="178"/>
  <c r="T48" i="178"/>
  <c r="Z41" i="178"/>
  <c r="K41" i="179"/>
  <c r="AE52" i="178"/>
  <c r="AE48" i="178"/>
  <c r="P52" i="178"/>
  <c r="P48" i="178"/>
  <c r="J52" i="178"/>
  <c r="J48" i="178"/>
  <c r="AA50" i="178"/>
  <c r="AA49" i="178"/>
  <c r="AA51" i="178" s="1"/>
  <c r="AE50" i="179"/>
  <c r="AE49" i="179"/>
  <c r="AE51" i="179" s="1"/>
  <c r="BG20" i="178"/>
  <c r="BH4" i="178"/>
  <c r="J54" i="176"/>
  <c r="W50" i="177"/>
  <c r="W49" i="177"/>
  <c r="W51" i="177" s="1"/>
  <c r="R41" i="177"/>
  <c r="Y50" i="176"/>
  <c r="Y49" i="176"/>
  <c r="Y51" i="176" s="1"/>
  <c r="Y50" i="172"/>
  <c r="Y49" i="172"/>
  <c r="Y51" i="172" s="1"/>
  <c r="AD52" i="172"/>
  <c r="AD48" i="172"/>
  <c r="Q52" i="172"/>
  <c r="Q48" i="172"/>
  <c r="AG38" i="177"/>
  <c r="N10" i="112" s="1"/>
  <c r="Y50" i="177"/>
  <c r="Y49" i="177"/>
  <c r="Y51" i="177" s="1"/>
  <c r="N50" i="172"/>
  <c r="N49" i="172"/>
  <c r="N51" i="172" s="1"/>
  <c r="AB50" i="172"/>
  <c r="AB49" i="172"/>
  <c r="AB51" i="172" s="1"/>
  <c r="V41" i="172"/>
  <c r="BH20" i="172"/>
  <c r="BH22" i="172"/>
  <c r="Z41" i="177"/>
  <c r="BH22" i="176"/>
  <c r="BH20" i="176"/>
  <c r="AA50" i="176"/>
  <c r="AA49" i="176"/>
  <c r="AA51" i="176" s="1"/>
  <c r="Z54" i="172"/>
  <c r="AA52" i="177"/>
  <c r="AA48" i="177"/>
  <c r="U50" i="176"/>
  <c r="U49" i="176"/>
  <c r="U51" i="176" s="1"/>
  <c r="L52" i="176"/>
  <c r="L48" i="176"/>
  <c r="T52" i="177"/>
  <c r="T48" i="177"/>
  <c r="AD52" i="176"/>
  <c r="AD48" i="176"/>
  <c r="S54" i="176"/>
  <c r="AD52" i="177"/>
  <c r="AD48" i="177"/>
  <c r="R52" i="177"/>
  <c r="R48" i="177"/>
  <c r="N52" i="177"/>
  <c r="N48" i="177"/>
  <c r="R52" i="172"/>
  <c r="R48" i="172"/>
  <c r="J41" i="177"/>
  <c r="AG37" i="177"/>
  <c r="M50" i="176"/>
  <c r="M49" i="176"/>
  <c r="M51" i="176" s="1"/>
  <c r="S52" i="177"/>
  <c r="S48" i="177"/>
  <c r="X50" i="172"/>
  <c r="X49" i="172"/>
  <c r="X51" i="172" s="1"/>
  <c r="M52" i="177"/>
  <c r="M48" i="177"/>
  <c r="M52" i="172"/>
  <c r="M48" i="172"/>
  <c r="AE50" i="172"/>
  <c r="AE49" i="172"/>
  <c r="AE51" i="172" s="1"/>
  <c r="Z52" i="176"/>
  <c r="Z48" i="176"/>
  <c r="O52" i="172"/>
  <c r="O48" i="172"/>
  <c r="L52" i="172"/>
  <c r="L48" i="172"/>
  <c r="AC50" i="177"/>
  <c r="AC49" i="177"/>
  <c r="AC51" i="177" s="1"/>
  <c r="Z52" i="177"/>
  <c r="Z48" i="177"/>
  <c r="N52" i="176"/>
  <c r="N48" i="176"/>
  <c r="T52" i="172"/>
  <c r="T48" i="172"/>
  <c r="AB52" i="177"/>
  <c r="AB48" i="177"/>
  <c r="O50" i="176"/>
  <c r="O49" i="176"/>
  <c r="O51" i="176" s="1"/>
  <c r="R50" i="176"/>
  <c r="R49" i="176"/>
  <c r="R51" i="176" s="1"/>
  <c r="AF50" i="172"/>
  <c r="AF49" i="172"/>
  <c r="AF51" i="172" s="1"/>
  <c r="S41" i="177"/>
  <c r="AA52" i="172"/>
  <c r="AA48" i="172"/>
  <c r="AG37" i="176"/>
  <c r="AB41" i="176"/>
  <c r="V52" i="176"/>
  <c r="V48" i="176"/>
  <c r="AB41" i="177"/>
  <c r="P50" i="172"/>
  <c r="P49" i="172"/>
  <c r="P51" i="172" s="1"/>
  <c r="W41" i="172"/>
  <c r="L50" i="177"/>
  <c r="L49" i="177"/>
  <c r="L51" i="177" s="1"/>
  <c r="AC50" i="172"/>
  <c r="AC49" i="172"/>
  <c r="AC51" i="172" s="1"/>
  <c r="J50" i="172"/>
  <c r="J49" i="172"/>
  <c r="J51" i="172" s="1"/>
  <c r="BH4" i="177"/>
  <c r="BG20" i="177"/>
  <c r="AF52" i="170"/>
  <c r="AF48" i="170"/>
  <c r="BG20" i="169"/>
  <c r="BH4" i="169"/>
  <c r="S52" i="169"/>
  <c r="S48" i="169"/>
  <c r="S52" i="170"/>
  <c r="S48" i="170"/>
  <c r="Q41" i="170"/>
  <c r="M50" i="171"/>
  <c r="M49" i="171"/>
  <c r="M51" i="171" s="1"/>
  <c r="AA50" i="171"/>
  <c r="AA49" i="171"/>
  <c r="AA51" i="171" s="1"/>
  <c r="W50" i="169"/>
  <c r="W49" i="169"/>
  <c r="W51" i="169" s="1"/>
  <c r="AC50" i="171"/>
  <c r="AC49" i="171"/>
  <c r="AC51" i="171" s="1"/>
  <c r="U41" i="171"/>
  <c r="T52" i="170"/>
  <c r="T48" i="170"/>
  <c r="Q41" i="171"/>
  <c r="L52" i="170"/>
  <c r="L48" i="170"/>
  <c r="Q50" i="169"/>
  <c r="Q49" i="169"/>
  <c r="Q51" i="169" s="1"/>
  <c r="J50" i="170"/>
  <c r="J49" i="170"/>
  <c r="J51" i="170" s="1"/>
  <c r="AC52" i="169"/>
  <c r="AC48" i="169"/>
  <c r="AD52" i="170"/>
  <c r="AD48" i="170"/>
  <c r="N52" i="170"/>
  <c r="N48" i="170"/>
  <c r="N54" i="171"/>
  <c r="AE52" i="169"/>
  <c r="AE48" i="169"/>
  <c r="N50" i="169"/>
  <c r="N49" i="169"/>
  <c r="N51" i="169" s="1"/>
  <c r="K50" i="170"/>
  <c r="K49" i="170"/>
  <c r="K51" i="170" s="1"/>
  <c r="P50" i="170"/>
  <c r="P49" i="170"/>
  <c r="P51" i="170" s="1"/>
  <c r="U54" i="171"/>
  <c r="U52" i="170"/>
  <c r="U48" i="170"/>
  <c r="M50" i="169"/>
  <c r="M49" i="169"/>
  <c r="M51" i="169" s="1"/>
  <c r="R52" i="170"/>
  <c r="R48" i="170"/>
  <c r="J41" i="170"/>
  <c r="AG37" i="170"/>
  <c r="K52" i="171"/>
  <c r="K48" i="171"/>
  <c r="O50" i="171"/>
  <c r="O49" i="171"/>
  <c r="O51" i="171" s="1"/>
  <c r="Y50" i="170"/>
  <c r="Y49" i="170"/>
  <c r="Y51" i="170" s="1"/>
  <c r="J41" i="169"/>
  <c r="AG37" i="169"/>
  <c r="AG37" i="171"/>
  <c r="Q52" i="170"/>
  <c r="Q48" i="170"/>
  <c r="AG38" i="170"/>
  <c r="N8" i="112" s="1"/>
  <c r="V52" i="170"/>
  <c r="V48" i="170"/>
  <c r="W41" i="170"/>
  <c r="X52" i="169"/>
  <c r="X48" i="169"/>
  <c r="J52" i="171"/>
  <c r="J48" i="171"/>
  <c r="V50" i="171"/>
  <c r="V49" i="171"/>
  <c r="V51" i="171" s="1"/>
  <c r="W52" i="171"/>
  <c r="W48" i="171"/>
  <c r="L52" i="171"/>
  <c r="L48" i="171"/>
  <c r="J52" i="169"/>
  <c r="J48" i="169"/>
  <c r="R52" i="169"/>
  <c r="R48" i="169"/>
  <c r="S41" i="169"/>
  <c r="R50" i="171"/>
  <c r="R49" i="171"/>
  <c r="R51" i="171" s="1"/>
  <c r="Y52" i="171"/>
  <c r="Y48" i="171"/>
  <c r="S52" i="171"/>
  <c r="S48" i="171"/>
  <c r="O50" i="170"/>
  <c r="O49" i="170"/>
  <c r="O51" i="170" s="1"/>
  <c r="BG20" i="171"/>
  <c r="BH4" i="171"/>
  <c r="AD50" i="171"/>
  <c r="AD49" i="171"/>
  <c r="AD51" i="171" s="1"/>
  <c r="X41" i="171"/>
  <c r="AB54" i="169"/>
  <c r="R41" i="170"/>
  <c r="AC50" i="170"/>
  <c r="AC49" i="170"/>
  <c r="AC51" i="170" s="1"/>
  <c r="T41" i="171"/>
  <c r="AA52" i="170"/>
  <c r="AA48" i="170"/>
  <c r="BH20" i="170"/>
  <c r="BH22" i="170"/>
  <c r="Z52" i="170"/>
  <c r="Z48" i="170"/>
  <c r="V41" i="171"/>
  <c r="AG38" i="169"/>
  <c r="N9" i="112" s="1"/>
  <c r="AE41" i="171"/>
  <c r="X52" i="170"/>
  <c r="X48" i="170"/>
  <c r="T50" i="169"/>
  <c r="T49" i="169"/>
  <c r="T51" i="169" s="1"/>
  <c r="Y41" i="171"/>
  <c r="P50" i="169"/>
  <c r="P49" i="169"/>
  <c r="P51" i="169" s="1"/>
  <c r="R50" i="168"/>
  <c r="R49" i="168"/>
  <c r="R51" i="168" s="1"/>
  <c r="BH4" i="168"/>
  <c r="BG20" i="168"/>
  <c r="AB50" i="168"/>
  <c r="AB49" i="168"/>
  <c r="AB51" i="168" s="1"/>
  <c r="T52" i="168"/>
  <c r="T48" i="168"/>
  <c r="AC50" i="168"/>
  <c r="AC49" i="168"/>
  <c r="AC51" i="168" s="1"/>
  <c r="AF50" i="168"/>
  <c r="AF49" i="168"/>
  <c r="AF51" i="168" s="1"/>
  <c r="S52" i="168"/>
  <c r="S48" i="168"/>
  <c r="X41" i="168"/>
  <c r="U52" i="168"/>
  <c r="U48" i="168"/>
  <c r="V52" i="168"/>
  <c r="V48" i="168"/>
  <c r="AD52" i="168"/>
  <c r="AD48" i="168"/>
  <c r="V41" i="168"/>
  <c r="U41" i="168"/>
  <c r="AG37" i="168"/>
  <c r="F6" i="112" s="1"/>
  <c r="AA52" i="168"/>
  <c r="AA48" i="168"/>
  <c r="X50" i="168"/>
  <c r="X49" i="168"/>
  <c r="X51" i="168" s="1"/>
  <c r="O52" i="168"/>
  <c r="O48" i="168"/>
  <c r="AE52" i="168"/>
  <c r="AE48" i="168"/>
  <c r="N52" i="168"/>
  <c r="N48" i="168"/>
  <c r="J52" i="168"/>
  <c r="J48" i="168"/>
  <c r="P52" i="168"/>
  <c r="P48" i="168"/>
  <c r="Z48" i="166"/>
  <c r="Z50" i="166" s="1"/>
  <c r="AA49" i="166"/>
  <c r="AA51" i="166" s="1"/>
  <c r="AA54" i="166" s="1"/>
  <c r="M49" i="166"/>
  <c r="M51" i="166" s="1"/>
  <c r="M54" i="166" s="1"/>
  <c r="V52" i="166"/>
  <c r="K52" i="166"/>
  <c r="O48" i="166"/>
  <c r="O50" i="166" s="1"/>
  <c r="P52" i="166"/>
  <c r="AF52" i="166"/>
  <c r="R48" i="166"/>
  <c r="R50" i="166" s="1"/>
  <c r="N52" i="166"/>
  <c r="Y52" i="166"/>
  <c r="U48" i="166"/>
  <c r="U49" i="166" s="1"/>
  <c r="U51" i="166" s="1"/>
  <c r="X52" i="166"/>
  <c r="X48" i="166"/>
  <c r="AB52" i="166"/>
  <c r="AB48" i="166"/>
  <c r="T52" i="166"/>
  <c r="T48" i="166"/>
  <c r="R41" i="166"/>
  <c r="T41" i="166"/>
  <c r="AG38" i="166"/>
  <c r="N5" i="112" s="1"/>
  <c r="AB41" i="166"/>
  <c r="K50" i="166"/>
  <c r="K49" i="166"/>
  <c r="K51" i="166" s="1"/>
  <c r="L52" i="166"/>
  <c r="L48" i="166"/>
  <c r="BH4" i="166"/>
  <c r="BG20" i="166"/>
  <c r="P50" i="166"/>
  <c r="P49" i="166"/>
  <c r="P51" i="166" s="1"/>
  <c r="J41" i="166"/>
  <c r="AG37" i="166"/>
  <c r="S52" i="166"/>
  <c r="S48" i="166"/>
  <c r="AC54" i="166"/>
  <c r="V41" i="166"/>
  <c r="P41" i="166"/>
  <c r="Y50" i="166"/>
  <c r="Y49" i="166"/>
  <c r="Y51" i="166" s="1"/>
  <c r="Q52" i="166"/>
  <c r="Q48" i="166"/>
  <c r="AC41" i="166"/>
  <c r="AF41" i="166"/>
  <c r="AF50" i="166"/>
  <c r="AF49" i="166"/>
  <c r="AF51" i="166" s="1"/>
  <c r="J52" i="166"/>
  <c r="J48" i="166"/>
  <c r="S41" i="166"/>
  <c r="W52" i="166"/>
  <c r="W48" i="166"/>
  <c r="N50" i="166"/>
  <c r="N49" i="166"/>
  <c r="N51" i="166" s="1"/>
  <c r="V50" i="166"/>
  <c r="V49" i="166"/>
  <c r="V51" i="166" s="1"/>
  <c r="AD52" i="166"/>
  <c r="AD48" i="166"/>
  <c r="AE54" i="166"/>
  <c r="X50" i="176" l="1"/>
  <c r="C14" i="119"/>
  <c r="F14" i="112"/>
  <c r="C11" i="119"/>
  <c r="F11" i="112"/>
  <c r="C12" i="119"/>
  <c r="F12" i="112"/>
  <c r="C17" i="119"/>
  <c r="F17" i="112"/>
  <c r="C16" i="119"/>
  <c r="F16" i="112"/>
  <c r="N21" i="112"/>
  <c r="C19" i="119"/>
  <c r="F19" i="112"/>
  <c r="C13" i="119"/>
  <c r="F13" i="112"/>
  <c r="C9" i="119"/>
  <c r="F9" i="112"/>
  <c r="C7" i="119"/>
  <c r="F7" i="112"/>
  <c r="C15" i="119"/>
  <c r="F15" i="112"/>
  <c r="C8" i="119"/>
  <c r="F8" i="112"/>
  <c r="C10" i="119"/>
  <c r="F10" i="112"/>
  <c r="C5" i="119"/>
  <c r="D5" i="119" s="1"/>
  <c r="F5" i="112"/>
  <c r="C20" i="119"/>
  <c r="F20" i="112"/>
  <c r="C18" i="119"/>
  <c r="F18" i="112"/>
  <c r="AG41" i="184"/>
  <c r="B13" i="112" s="1"/>
  <c r="W50" i="170"/>
  <c r="W54" i="170" s="1"/>
  <c r="C6" i="119"/>
  <c r="D6" i="119" s="1"/>
  <c r="Q50" i="171"/>
  <c r="AG41" i="176"/>
  <c r="B11" i="112" s="1"/>
  <c r="O50" i="187"/>
  <c r="O54" i="187" s="1"/>
  <c r="U50" i="187"/>
  <c r="U54" i="187" s="1"/>
  <c r="AG41" i="187"/>
  <c r="B20" i="112" s="1"/>
  <c r="T49" i="188"/>
  <c r="T51" i="188" s="1"/>
  <c r="T54" i="188" s="1"/>
  <c r="Y49" i="188"/>
  <c r="Y51" i="188" s="1"/>
  <c r="Y54" i="188" s="1"/>
  <c r="M50" i="188"/>
  <c r="M54" i="188" s="1"/>
  <c r="Q49" i="188"/>
  <c r="Q51" i="188" s="1"/>
  <c r="Q54" i="188" s="1"/>
  <c r="R49" i="188"/>
  <c r="R51" i="188" s="1"/>
  <c r="R54" i="188" s="1"/>
  <c r="AE50" i="185"/>
  <c r="AE54" i="185" s="1"/>
  <c r="AB49" i="185"/>
  <c r="AB51" i="185" s="1"/>
  <c r="AB54" i="185" s="1"/>
  <c r="J49" i="185"/>
  <c r="J51" i="185" s="1"/>
  <c r="J54" i="185" s="1"/>
  <c r="AC49" i="185"/>
  <c r="AC51" i="185" s="1"/>
  <c r="AC54" i="185" s="1"/>
  <c r="L49" i="185"/>
  <c r="L51" i="185" s="1"/>
  <c r="L54" i="185" s="1"/>
  <c r="AF49" i="185"/>
  <c r="AF51" i="185" s="1"/>
  <c r="AF54" i="185" s="1"/>
  <c r="M54" i="185"/>
  <c r="K54" i="185"/>
  <c r="AG52" i="185"/>
  <c r="S16" i="112" s="1"/>
  <c r="T16" i="112" s="1"/>
  <c r="U49" i="186"/>
  <c r="U51" i="186" s="1"/>
  <c r="U54" i="186" s="1"/>
  <c r="N50" i="186"/>
  <c r="N54" i="186" s="1"/>
  <c r="J49" i="186"/>
  <c r="J51" i="186" s="1"/>
  <c r="J54" i="186" s="1"/>
  <c r="AE49" i="186"/>
  <c r="AE51" i="186" s="1"/>
  <c r="AE54" i="186" s="1"/>
  <c r="S50" i="186"/>
  <c r="S54" i="186" s="1"/>
  <c r="T49" i="186"/>
  <c r="T51" i="186" s="1"/>
  <c r="T54" i="186" s="1"/>
  <c r="M49" i="186"/>
  <c r="M51" i="186" s="1"/>
  <c r="M54" i="186" s="1"/>
  <c r="Q49" i="186"/>
  <c r="Q51" i="186" s="1"/>
  <c r="Q54" i="186" s="1"/>
  <c r="R54" i="186"/>
  <c r="AG52" i="186"/>
  <c r="S14" i="112" s="1"/>
  <c r="T14" i="112" s="1"/>
  <c r="AG41" i="186"/>
  <c r="B14" i="112" s="1"/>
  <c r="U50" i="184"/>
  <c r="U54" i="184" s="1"/>
  <c r="AB50" i="184"/>
  <c r="AB54" i="184" s="1"/>
  <c r="K50" i="184"/>
  <c r="K54" i="184" s="1"/>
  <c r="AA54" i="184"/>
  <c r="AG52" i="184"/>
  <c r="S13" i="112" s="1"/>
  <c r="T13" i="112" s="1"/>
  <c r="AF49" i="183"/>
  <c r="AF51" i="183" s="1"/>
  <c r="AF54" i="183" s="1"/>
  <c r="AB49" i="183"/>
  <c r="AB51" i="183" s="1"/>
  <c r="AB54" i="183" s="1"/>
  <c r="T50" i="183"/>
  <c r="T54" i="183" s="1"/>
  <c r="AD49" i="183"/>
  <c r="AD51" i="183" s="1"/>
  <c r="AD54" i="183" s="1"/>
  <c r="U49" i="183"/>
  <c r="U51" i="183" s="1"/>
  <c r="U54" i="183" s="1"/>
  <c r="O50" i="183"/>
  <c r="O54" i="183" s="1"/>
  <c r="N54" i="183"/>
  <c r="AG52" i="183"/>
  <c r="S12" i="112" s="1"/>
  <c r="T12" i="112" s="1"/>
  <c r="Q50" i="187"/>
  <c r="Q49" i="187"/>
  <c r="Q51" i="187" s="1"/>
  <c r="J50" i="188"/>
  <c r="J49" i="188"/>
  <c r="J51" i="188" s="1"/>
  <c r="L50" i="188"/>
  <c r="L49" i="188"/>
  <c r="L51" i="188" s="1"/>
  <c r="L50" i="187"/>
  <c r="L49" i="187"/>
  <c r="L51" i="187" s="1"/>
  <c r="BH22" i="187"/>
  <c r="BH20" i="187"/>
  <c r="AG52" i="188"/>
  <c r="S17" i="112" s="1"/>
  <c r="T17" i="112" s="1"/>
  <c r="AF54" i="188"/>
  <c r="N54" i="187"/>
  <c r="O54" i="188"/>
  <c r="AC54" i="188"/>
  <c r="S50" i="187"/>
  <c r="S49" i="187"/>
  <c r="S51" i="187" s="1"/>
  <c r="BH22" i="188"/>
  <c r="BH20" i="188"/>
  <c r="AE50" i="188"/>
  <c r="AE49" i="188"/>
  <c r="AE51" i="188" s="1"/>
  <c r="AE50" i="187"/>
  <c r="AE49" i="187"/>
  <c r="AE51" i="187" s="1"/>
  <c r="T50" i="187"/>
  <c r="T49" i="187"/>
  <c r="T51" i="187" s="1"/>
  <c r="K54" i="188"/>
  <c r="K50" i="187"/>
  <c r="K49" i="187"/>
  <c r="K51" i="187" s="1"/>
  <c r="M50" i="187"/>
  <c r="M49" i="187"/>
  <c r="M51" i="187" s="1"/>
  <c r="AF50" i="187"/>
  <c r="AF49" i="187"/>
  <c r="AF51" i="187" s="1"/>
  <c r="V50" i="188"/>
  <c r="V49" i="188"/>
  <c r="V51" i="188" s="1"/>
  <c r="W50" i="188"/>
  <c r="W49" i="188"/>
  <c r="W51" i="188" s="1"/>
  <c r="AA50" i="188"/>
  <c r="AA49" i="188"/>
  <c r="AA51" i="188" s="1"/>
  <c r="Z50" i="188"/>
  <c r="Z49" i="188"/>
  <c r="Z51" i="188" s="1"/>
  <c r="AD54" i="188"/>
  <c r="AC54" i="187"/>
  <c r="P50" i="187"/>
  <c r="P49" i="187"/>
  <c r="P51" i="187" s="1"/>
  <c r="AA54" i="187"/>
  <c r="AD54" i="187"/>
  <c r="X50" i="187"/>
  <c r="X49" i="187"/>
  <c r="X51" i="187" s="1"/>
  <c r="J50" i="187"/>
  <c r="J49" i="187"/>
  <c r="J51" i="187" s="1"/>
  <c r="Z50" i="187"/>
  <c r="Z49" i="187"/>
  <c r="Z51" i="187" s="1"/>
  <c r="P50" i="188"/>
  <c r="P49" i="188"/>
  <c r="P51" i="188" s="1"/>
  <c r="AB50" i="187"/>
  <c r="AB49" i="187"/>
  <c r="AB51" i="187" s="1"/>
  <c r="V50" i="187"/>
  <c r="V49" i="187"/>
  <c r="V51" i="187" s="1"/>
  <c r="S50" i="188"/>
  <c r="S49" i="188"/>
  <c r="S51" i="188" s="1"/>
  <c r="AG41" i="188"/>
  <c r="B17" i="112" s="1"/>
  <c r="AG52" i="187"/>
  <c r="S20" i="112" s="1"/>
  <c r="T20" i="112" s="1"/>
  <c r="Y54" i="187"/>
  <c r="X54" i="188"/>
  <c r="AF54" i="186"/>
  <c r="AD54" i="185"/>
  <c r="P50" i="186"/>
  <c r="P49" i="186"/>
  <c r="P51" i="186" s="1"/>
  <c r="AA50" i="185"/>
  <c r="AA49" i="185"/>
  <c r="AA51" i="185" s="1"/>
  <c r="W50" i="185"/>
  <c r="W49" i="185"/>
  <c r="W51" i="185" s="1"/>
  <c r="Z50" i="186"/>
  <c r="Z49" i="186"/>
  <c r="Z51" i="186" s="1"/>
  <c r="BH20" i="185"/>
  <c r="BH22" i="185"/>
  <c r="Y50" i="186"/>
  <c r="Y49" i="186"/>
  <c r="Y51" i="186" s="1"/>
  <c r="L54" i="186"/>
  <c r="T54" i="185"/>
  <c r="AD54" i="186"/>
  <c r="K54" i="186"/>
  <c r="U50" i="185"/>
  <c r="U49" i="185"/>
  <c r="U51" i="185" s="1"/>
  <c r="Y50" i="185"/>
  <c r="Y49" i="185"/>
  <c r="Y51" i="185" s="1"/>
  <c r="N54" i="185"/>
  <c r="V50" i="185"/>
  <c r="V49" i="185"/>
  <c r="V51" i="185" s="1"/>
  <c r="R50" i="185"/>
  <c r="R49" i="185"/>
  <c r="R51" i="185" s="1"/>
  <c r="BH22" i="186"/>
  <c r="BH20" i="186"/>
  <c r="O54" i="186"/>
  <c r="X50" i="185"/>
  <c r="X49" i="185"/>
  <c r="X51" i="185" s="1"/>
  <c r="W54" i="186"/>
  <c r="P50" i="185"/>
  <c r="P49" i="185"/>
  <c r="P51" i="185" s="1"/>
  <c r="Z54" i="185"/>
  <c r="Q54" i="185"/>
  <c r="O50" i="185"/>
  <c r="O49" i="185"/>
  <c r="O51" i="185" s="1"/>
  <c r="AD50" i="184"/>
  <c r="AD49" i="184"/>
  <c r="AD51" i="184" s="1"/>
  <c r="W50" i="184"/>
  <c r="W49" i="184"/>
  <c r="W51" i="184" s="1"/>
  <c r="R50" i="184"/>
  <c r="R49" i="184"/>
  <c r="R51" i="184" s="1"/>
  <c r="M50" i="184"/>
  <c r="M49" i="184"/>
  <c r="M51" i="184" s="1"/>
  <c r="AE50" i="184"/>
  <c r="AE49" i="184"/>
  <c r="AE51" i="184" s="1"/>
  <c r="Q54" i="184"/>
  <c r="L50" i="184"/>
  <c r="L49" i="184"/>
  <c r="L51" i="184" s="1"/>
  <c r="J54" i="184"/>
  <c r="AC50" i="184"/>
  <c r="AC49" i="184"/>
  <c r="AC51" i="184" s="1"/>
  <c r="Y54" i="184"/>
  <c r="S50" i="184"/>
  <c r="S49" i="184"/>
  <c r="S51" i="184" s="1"/>
  <c r="O50" i="184"/>
  <c r="O49" i="184"/>
  <c r="O51" i="184" s="1"/>
  <c r="T50" i="184"/>
  <c r="T49" i="184"/>
  <c r="T51" i="184" s="1"/>
  <c r="N54" i="184"/>
  <c r="X50" i="184"/>
  <c r="X49" i="184"/>
  <c r="X51" i="184" s="1"/>
  <c r="BH20" i="183"/>
  <c r="BH22" i="183"/>
  <c r="V50" i="183"/>
  <c r="V49" i="183"/>
  <c r="V51" i="183" s="1"/>
  <c r="AG41" i="183"/>
  <c r="B12" i="112" s="1"/>
  <c r="AE50" i="183"/>
  <c r="AE49" i="183"/>
  <c r="AE51" i="183" s="1"/>
  <c r="P54" i="183"/>
  <c r="Z50" i="183"/>
  <c r="Z49" i="183"/>
  <c r="Z51" i="183" s="1"/>
  <c r="M54" i="183"/>
  <c r="X50" i="183"/>
  <c r="X49" i="183"/>
  <c r="X51" i="183" s="1"/>
  <c r="L50" i="183"/>
  <c r="L49" i="183"/>
  <c r="L51" i="183" s="1"/>
  <c r="J54" i="183"/>
  <c r="W50" i="183"/>
  <c r="W49" i="183"/>
  <c r="W51" i="183" s="1"/>
  <c r="R50" i="183"/>
  <c r="R49" i="183"/>
  <c r="R51" i="183" s="1"/>
  <c r="K50" i="183"/>
  <c r="K49" i="183"/>
  <c r="K51" i="183" s="1"/>
  <c r="AC50" i="183"/>
  <c r="AC49" i="183"/>
  <c r="AC51" i="183" s="1"/>
  <c r="S50" i="183"/>
  <c r="S49" i="183"/>
  <c r="S51" i="183" s="1"/>
  <c r="AA50" i="183"/>
  <c r="AA49" i="183"/>
  <c r="AA51" i="183" s="1"/>
  <c r="Y50" i="183"/>
  <c r="Y49" i="183"/>
  <c r="Y51" i="183" s="1"/>
  <c r="S49" i="178"/>
  <c r="S51" i="178" s="1"/>
  <c r="S54" i="178" s="1"/>
  <c r="U50" i="178"/>
  <c r="U54" i="178" s="1"/>
  <c r="Y49" i="178"/>
  <c r="Y51" i="178" s="1"/>
  <c r="Y54" i="178" s="1"/>
  <c r="Q50" i="178"/>
  <c r="Q54" i="178" s="1"/>
  <c r="N50" i="178"/>
  <c r="N54" i="178" s="1"/>
  <c r="L49" i="179"/>
  <c r="L51" i="179" s="1"/>
  <c r="L54" i="179" s="1"/>
  <c r="T50" i="179"/>
  <c r="T54" i="179" s="1"/>
  <c r="AG41" i="179"/>
  <c r="B18" i="112" s="1"/>
  <c r="K50" i="172"/>
  <c r="K54" i="172" s="1"/>
  <c r="S49" i="172"/>
  <c r="S51" i="172" s="1"/>
  <c r="S54" i="172" s="1"/>
  <c r="W49" i="176"/>
  <c r="W51" i="176" s="1"/>
  <c r="W54" i="176" s="1"/>
  <c r="P49" i="176"/>
  <c r="P51" i="176" s="1"/>
  <c r="P54" i="176" s="1"/>
  <c r="AB49" i="176"/>
  <c r="AB51" i="176" s="1"/>
  <c r="AB54" i="176" s="1"/>
  <c r="AE49" i="176"/>
  <c r="AE51" i="176" s="1"/>
  <c r="AE54" i="176" s="1"/>
  <c r="K49" i="176"/>
  <c r="K51" i="176" s="1"/>
  <c r="K54" i="176" s="1"/>
  <c r="AF49" i="176"/>
  <c r="AF51" i="176" s="1"/>
  <c r="AF54" i="176" s="1"/>
  <c r="Q49" i="176"/>
  <c r="Q51" i="176" s="1"/>
  <c r="Q54" i="176" s="1"/>
  <c r="AC49" i="176"/>
  <c r="AC51" i="176" s="1"/>
  <c r="AC54" i="176" s="1"/>
  <c r="AE50" i="177"/>
  <c r="AE54" i="177" s="1"/>
  <c r="Q49" i="177"/>
  <c r="Q51" i="177" s="1"/>
  <c r="Q54" i="177" s="1"/>
  <c r="K49" i="177"/>
  <c r="K51" i="177" s="1"/>
  <c r="K54" i="177" s="1"/>
  <c r="AF49" i="177"/>
  <c r="AF51" i="177" s="1"/>
  <c r="AF54" i="177" s="1"/>
  <c r="V50" i="177"/>
  <c r="V54" i="177" s="1"/>
  <c r="X49" i="177"/>
  <c r="X51" i="177" s="1"/>
  <c r="X54" i="177" s="1"/>
  <c r="J49" i="177"/>
  <c r="J51" i="177" s="1"/>
  <c r="J54" i="177" s="1"/>
  <c r="P49" i="177"/>
  <c r="P51" i="177" s="1"/>
  <c r="P54" i="177" s="1"/>
  <c r="O49" i="177"/>
  <c r="O51" i="177" s="1"/>
  <c r="O54" i="177" s="1"/>
  <c r="AA50" i="169"/>
  <c r="AA54" i="169" s="1"/>
  <c r="AD50" i="169"/>
  <c r="AD54" i="169" s="1"/>
  <c r="L49" i="169"/>
  <c r="L51" i="169" s="1"/>
  <c r="L54" i="169" s="1"/>
  <c r="K50" i="169"/>
  <c r="K54" i="169" s="1"/>
  <c r="V50" i="169"/>
  <c r="V54" i="169" s="1"/>
  <c r="U50" i="169"/>
  <c r="U54" i="169" s="1"/>
  <c r="O49" i="169"/>
  <c r="O51" i="169" s="1"/>
  <c r="O54" i="169" s="1"/>
  <c r="Z50" i="169"/>
  <c r="Z54" i="169" s="1"/>
  <c r="Y50" i="169"/>
  <c r="Y54" i="169" s="1"/>
  <c r="AE50" i="170"/>
  <c r="AE54" i="170" s="1"/>
  <c r="AB50" i="170"/>
  <c r="AB54" i="170" s="1"/>
  <c r="M49" i="170"/>
  <c r="M51" i="170" s="1"/>
  <c r="M54" i="170" s="1"/>
  <c r="X49" i="171"/>
  <c r="X51" i="171" s="1"/>
  <c r="X54" i="171" s="1"/>
  <c r="AF49" i="171"/>
  <c r="AF51" i="171" s="1"/>
  <c r="AF54" i="171" s="1"/>
  <c r="AE49" i="171"/>
  <c r="AE51" i="171" s="1"/>
  <c r="AE54" i="171" s="1"/>
  <c r="P49" i="171"/>
  <c r="P51" i="171" s="1"/>
  <c r="P54" i="171" s="1"/>
  <c r="Z49" i="171"/>
  <c r="Z51" i="171" s="1"/>
  <c r="Z54" i="171" s="1"/>
  <c r="Q50" i="168"/>
  <c r="Q54" i="168" s="1"/>
  <c r="Y49" i="168"/>
  <c r="Y51" i="168" s="1"/>
  <c r="Y54" i="168" s="1"/>
  <c r="K50" i="168"/>
  <c r="K54" i="168" s="1"/>
  <c r="W50" i="168"/>
  <c r="W54" i="168" s="1"/>
  <c r="M49" i="168"/>
  <c r="M51" i="168" s="1"/>
  <c r="M54" i="168" s="1"/>
  <c r="L49" i="168"/>
  <c r="L51" i="168" s="1"/>
  <c r="L54" i="168" s="1"/>
  <c r="Z49" i="168"/>
  <c r="Z51" i="168" s="1"/>
  <c r="Z54" i="168" s="1"/>
  <c r="W54" i="169"/>
  <c r="AA54" i="178"/>
  <c r="AG41" i="172"/>
  <c r="B15" i="112" s="1"/>
  <c r="AG52" i="169"/>
  <c r="S9" i="112" s="1"/>
  <c r="T9" i="112" s="1"/>
  <c r="AG52" i="170"/>
  <c r="S8" i="112" s="1"/>
  <c r="T8" i="112" s="1"/>
  <c r="AG52" i="176"/>
  <c r="S11" i="112" s="1"/>
  <c r="T11" i="112" s="1"/>
  <c r="Y54" i="177"/>
  <c r="AG41" i="178"/>
  <c r="B19" i="112" s="1"/>
  <c r="AG52" i="179"/>
  <c r="S18" i="112" s="1"/>
  <c r="T18" i="112" s="1"/>
  <c r="N54" i="169"/>
  <c r="X54" i="176"/>
  <c r="AG41" i="171"/>
  <c r="B7" i="112" s="1"/>
  <c r="T54" i="169"/>
  <c r="O54" i="170"/>
  <c r="R54" i="171"/>
  <c r="AG52" i="177"/>
  <c r="S10" i="112" s="1"/>
  <c r="T10" i="112" s="1"/>
  <c r="Z54" i="179"/>
  <c r="AC54" i="170"/>
  <c r="AA54" i="171"/>
  <c r="AA54" i="176"/>
  <c r="AF54" i="168"/>
  <c r="AB54" i="168"/>
  <c r="AC54" i="172"/>
  <c r="AC54" i="177"/>
  <c r="AG52" i="172"/>
  <c r="S15" i="112" s="1"/>
  <c r="T15" i="112" s="1"/>
  <c r="AG41" i="168"/>
  <c r="B6" i="112" s="1"/>
  <c r="AC50" i="179"/>
  <c r="AC49" i="179"/>
  <c r="AC51" i="179" s="1"/>
  <c r="P54" i="179"/>
  <c r="AB54" i="178"/>
  <c r="BH20" i="179"/>
  <c r="BH22" i="179"/>
  <c r="AF50" i="179"/>
  <c r="AF49" i="179"/>
  <c r="AF51" i="179" s="1"/>
  <c r="AE50" i="178"/>
  <c r="AE49" i="178"/>
  <c r="AE51" i="178" s="1"/>
  <c r="BH20" i="178"/>
  <c r="BH22" i="178"/>
  <c r="X50" i="179"/>
  <c r="X49" i="179"/>
  <c r="X51" i="179" s="1"/>
  <c r="S50" i="179"/>
  <c r="S49" i="179"/>
  <c r="S51" i="179" s="1"/>
  <c r="J50" i="178"/>
  <c r="J49" i="178"/>
  <c r="J51" i="178" s="1"/>
  <c r="R54" i="178"/>
  <c r="Z50" i="178"/>
  <c r="Z49" i="178"/>
  <c r="Z51" i="178" s="1"/>
  <c r="AD54" i="178"/>
  <c r="AG52" i="178"/>
  <c r="S19" i="112" s="1"/>
  <c r="T19" i="112" s="1"/>
  <c r="W54" i="178"/>
  <c r="K54" i="179"/>
  <c r="X50" i="178"/>
  <c r="X49" i="178"/>
  <c r="X51" i="178" s="1"/>
  <c r="L54" i="178"/>
  <c r="O54" i="178"/>
  <c r="AB50" i="179"/>
  <c r="AB49" i="179"/>
  <c r="AB51" i="179" s="1"/>
  <c r="K50" i="178"/>
  <c r="K49" i="178"/>
  <c r="K51" i="178" s="1"/>
  <c r="V50" i="178"/>
  <c r="V49" i="178"/>
  <c r="V51" i="178" s="1"/>
  <c r="M54" i="178"/>
  <c r="AF50" i="178"/>
  <c r="AF49" i="178"/>
  <c r="AF51" i="178" s="1"/>
  <c r="AE54" i="179"/>
  <c r="P50" i="178"/>
  <c r="P49" i="178"/>
  <c r="P51" i="178" s="1"/>
  <c r="AC50" i="178"/>
  <c r="AC49" i="178"/>
  <c r="AC51" i="178" s="1"/>
  <c r="T50" i="178"/>
  <c r="T49" i="178"/>
  <c r="T51" i="178" s="1"/>
  <c r="AD54" i="179"/>
  <c r="J50" i="179"/>
  <c r="J49" i="179"/>
  <c r="J51" i="179" s="1"/>
  <c r="M54" i="179"/>
  <c r="R54" i="176"/>
  <c r="M54" i="176"/>
  <c r="BH20" i="177"/>
  <c r="BH22" i="177"/>
  <c r="J54" i="172"/>
  <c r="L50" i="172"/>
  <c r="L49" i="172"/>
  <c r="L51" i="172" s="1"/>
  <c r="Z50" i="176"/>
  <c r="Z49" i="176"/>
  <c r="Z51" i="176" s="1"/>
  <c r="AD50" i="176"/>
  <c r="AD49" i="176"/>
  <c r="AD51" i="176" s="1"/>
  <c r="T50" i="177"/>
  <c r="T49" i="177"/>
  <c r="T51" i="177" s="1"/>
  <c r="AA50" i="177"/>
  <c r="AA49" i="177"/>
  <c r="AA51" i="177" s="1"/>
  <c r="AD50" i="172"/>
  <c r="AD49" i="172"/>
  <c r="AD51" i="172" s="1"/>
  <c r="N54" i="172"/>
  <c r="W54" i="177"/>
  <c r="T50" i="172"/>
  <c r="T49" i="172"/>
  <c r="T51" i="172" s="1"/>
  <c r="V50" i="176"/>
  <c r="V49" i="176"/>
  <c r="V51" i="176" s="1"/>
  <c r="AE54" i="172"/>
  <c r="O50" i="172"/>
  <c r="O49" i="172"/>
  <c r="O51" i="172" s="1"/>
  <c r="L50" i="176"/>
  <c r="L49" i="176"/>
  <c r="L51" i="176" s="1"/>
  <c r="AD50" i="177"/>
  <c r="AD49" i="177"/>
  <c r="AD51" i="177" s="1"/>
  <c r="N50" i="176"/>
  <c r="N49" i="176"/>
  <c r="N51" i="176" s="1"/>
  <c r="O54" i="176"/>
  <c r="Z50" i="177"/>
  <c r="Z49" i="177"/>
  <c r="Z51" i="177" s="1"/>
  <c r="X54" i="172"/>
  <c r="Q50" i="172"/>
  <c r="Q49" i="172"/>
  <c r="Q51" i="172" s="1"/>
  <c r="L54" i="177"/>
  <c r="M50" i="177"/>
  <c r="M49" i="177"/>
  <c r="M51" i="177" s="1"/>
  <c r="AG41" i="177"/>
  <c r="B10" i="112" s="1"/>
  <c r="Y54" i="172"/>
  <c r="AF54" i="172"/>
  <c r="R50" i="172"/>
  <c r="R49" i="172"/>
  <c r="R51" i="172" s="1"/>
  <c r="P54" i="172"/>
  <c r="AA50" i="172"/>
  <c r="AA49" i="172"/>
  <c r="AA51" i="172" s="1"/>
  <c r="AB50" i="177"/>
  <c r="AB49" i="177"/>
  <c r="AB51" i="177" s="1"/>
  <c r="M50" i="172"/>
  <c r="M49" i="172"/>
  <c r="M51" i="172" s="1"/>
  <c r="S50" i="177"/>
  <c r="S49" i="177"/>
  <c r="S51" i="177" s="1"/>
  <c r="N50" i="177"/>
  <c r="N49" i="177"/>
  <c r="N51" i="177" s="1"/>
  <c r="R50" i="177"/>
  <c r="R49" i="177"/>
  <c r="R51" i="177" s="1"/>
  <c r="U54" i="176"/>
  <c r="AB54" i="172"/>
  <c r="Y54" i="176"/>
  <c r="T50" i="170"/>
  <c r="T49" i="170"/>
  <c r="T51" i="170" s="1"/>
  <c r="AG41" i="169"/>
  <c r="B9" i="112" s="1"/>
  <c r="P54" i="170"/>
  <c r="M54" i="171"/>
  <c r="S50" i="171"/>
  <c r="S49" i="171"/>
  <c r="S51" i="171" s="1"/>
  <c r="AD50" i="170"/>
  <c r="AD49" i="170"/>
  <c r="AD51" i="170" s="1"/>
  <c r="AA50" i="170"/>
  <c r="AA49" i="170"/>
  <c r="AA51" i="170" s="1"/>
  <c r="K50" i="171"/>
  <c r="K49" i="171"/>
  <c r="K51" i="171" s="1"/>
  <c r="U50" i="170"/>
  <c r="U49" i="170"/>
  <c r="U51" i="170" s="1"/>
  <c r="S50" i="169"/>
  <c r="S49" i="169"/>
  <c r="S51" i="169" s="1"/>
  <c r="Z50" i="170"/>
  <c r="Z49" i="170"/>
  <c r="Z51" i="170" s="1"/>
  <c r="J54" i="170"/>
  <c r="AG41" i="170"/>
  <c r="B8" i="112" s="1"/>
  <c r="AE50" i="169"/>
  <c r="AE49" i="169"/>
  <c r="AE51" i="169" s="1"/>
  <c r="Q54" i="169"/>
  <c r="Y54" i="170"/>
  <c r="AD54" i="171"/>
  <c r="Q54" i="171"/>
  <c r="X50" i="170"/>
  <c r="X49" i="170"/>
  <c r="X51" i="170" s="1"/>
  <c r="J50" i="169"/>
  <c r="J49" i="169"/>
  <c r="J51" i="169" s="1"/>
  <c r="V54" i="171"/>
  <c r="P54" i="169"/>
  <c r="L50" i="171"/>
  <c r="L49" i="171"/>
  <c r="L51" i="171" s="1"/>
  <c r="R50" i="169"/>
  <c r="R49" i="169"/>
  <c r="R51" i="169" s="1"/>
  <c r="AG52" i="171"/>
  <c r="S7" i="112" s="1"/>
  <c r="T7" i="112" s="1"/>
  <c r="Q50" i="170"/>
  <c r="Q49" i="170"/>
  <c r="Q51" i="170" s="1"/>
  <c r="K54" i="170"/>
  <c r="AC54" i="171"/>
  <c r="S50" i="170"/>
  <c r="S49" i="170"/>
  <c r="S51" i="170" s="1"/>
  <c r="AF50" i="170"/>
  <c r="AF49" i="170"/>
  <c r="AF51" i="170" s="1"/>
  <c r="V50" i="170"/>
  <c r="V49" i="170"/>
  <c r="V51" i="170" s="1"/>
  <c r="R50" i="170"/>
  <c r="R49" i="170"/>
  <c r="R51" i="170" s="1"/>
  <c r="BH20" i="169"/>
  <c r="BH22" i="169"/>
  <c r="BH22" i="171"/>
  <c r="BH20" i="171"/>
  <c r="J50" i="171"/>
  <c r="J49" i="171"/>
  <c r="J51" i="171" s="1"/>
  <c r="L50" i="170"/>
  <c r="L49" i="170"/>
  <c r="L51" i="170" s="1"/>
  <c r="Y50" i="171"/>
  <c r="Y49" i="171"/>
  <c r="Y51" i="171" s="1"/>
  <c r="W50" i="171"/>
  <c r="W49" i="171"/>
  <c r="W51" i="171" s="1"/>
  <c r="X50" i="169"/>
  <c r="X49" i="169"/>
  <c r="X51" i="169" s="1"/>
  <c r="O54" i="171"/>
  <c r="M54" i="169"/>
  <c r="N50" i="170"/>
  <c r="N49" i="170"/>
  <c r="N51" i="170" s="1"/>
  <c r="AC50" i="169"/>
  <c r="AC49" i="169"/>
  <c r="AC51" i="169" s="1"/>
  <c r="BH20" i="168"/>
  <c r="BH22" i="168"/>
  <c r="R54" i="168"/>
  <c r="X54" i="168"/>
  <c r="U50" i="168"/>
  <c r="U49" i="168"/>
  <c r="U51" i="168" s="1"/>
  <c r="AE50" i="168"/>
  <c r="AE49" i="168"/>
  <c r="AE51" i="168" s="1"/>
  <c r="T50" i="168"/>
  <c r="T49" i="168"/>
  <c r="T51" i="168" s="1"/>
  <c r="AA50" i="168"/>
  <c r="AA49" i="168"/>
  <c r="AA51" i="168" s="1"/>
  <c r="AC54" i="168"/>
  <c r="J50" i="168"/>
  <c r="J49" i="168"/>
  <c r="J51" i="168" s="1"/>
  <c r="AG52" i="168"/>
  <c r="S6" i="112" s="1"/>
  <c r="T6" i="112" s="1"/>
  <c r="V50" i="168"/>
  <c r="V49" i="168"/>
  <c r="V51" i="168" s="1"/>
  <c r="N50" i="168"/>
  <c r="N49" i="168"/>
  <c r="N51" i="168" s="1"/>
  <c r="AD50" i="168"/>
  <c r="AD49" i="168"/>
  <c r="AD51" i="168" s="1"/>
  <c r="P50" i="168"/>
  <c r="P49" i="168"/>
  <c r="P51" i="168" s="1"/>
  <c r="S50" i="168"/>
  <c r="S49" i="168"/>
  <c r="S51" i="168" s="1"/>
  <c r="O50" i="168"/>
  <c r="O49" i="168"/>
  <c r="O51" i="168" s="1"/>
  <c r="Z49" i="166"/>
  <c r="Z51" i="166" s="1"/>
  <c r="Z54" i="166" s="1"/>
  <c r="O49" i="166"/>
  <c r="O51" i="166" s="1"/>
  <c r="O54" i="166" s="1"/>
  <c r="R49" i="166"/>
  <c r="R51" i="166" s="1"/>
  <c r="R54" i="166" s="1"/>
  <c r="U50" i="166"/>
  <c r="U54" i="166" s="1"/>
  <c r="AF54" i="166"/>
  <c r="V54" i="166"/>
  <c r="AG41" i="166"/>
  <c r="B5" i="112" s="1"/>
  <c r="T50" i="166"/>
  <c r="T49" i="166"/>
  <c r="T51" i="166" s="1"/>
  <c r="AB50" i="166"/>
  <c r="AB49" i="166"/>
  <c r="AB51" i="166" s="1"/>
  <c r="W50" i="166"/>
  <c r="W49" i="166"/>
  <c r="W51" i="166" s="1"/>
  <c r="S50" i="166"/>
  <c r="S49" i="166"/>
  <c r="S51" i="166" s="1"/>
  <c r="N54" i="166"/>
  <c r="K54" i="166"/>
  <c r="P54" i="166"/>
  <c r="BH20" i="166"/>
  <c r="BH22" i="166"/>
  <c r="C5" i="120" s="1"/>
  <c r="D5" i="120" s="1"/>
  <c r="X50" i="166"/>
  <c r="X49" i="166"/>
  <c r="X51" i="166" s="1"/>
  <c r="AD50" i="166"/>
  <c r="AD49" i="166"/>
  <c r="AD51" i="166" s="1"/>
  <c r="Q50" i="166"/>
  <c r="Q49" i="166"/>
  <c r="Q51" i="166" s="1"/>
  <c r="J50" i="166"/>
  <c r="J49" i="166"/>
  <c r="J51" i="166" s="1"/>
  <c r="AG52" i="166"/>
  <c r="S5" i="112" s="1"/>
  <c r="Y54" i="166"/>
  <c r="L50" i="166"/>
  <c r="L49" i="166"/>
  <c r="L51" i="166" s="1"/>
  <c r="C21" i="119" l="1"/>
  <c r="S21" i="112"/>
  <c r="T5" i="112"/>
  <c r="T21" i="112" s="1"/>
  <c r="T23" i="112" s="1"/>
  <c r="L54" i="187"/>
  <c r="AE54" i="187"/>
  <c r="M54" i="187"/>
  <c r="Z54" i="187"/>
  <c r="S54" i="188"/>
  <c r="AA54" i="188"/>
  <c r="R54" i="185"/>
  <c r="AG51" i="185"/>
  <c r="O16" i="112" s="1"/>
  <c r="P16" i="112" s="1"/>
  <c r="Y54" i="186"/>
  <c r="AG51" i="186"/>
  <c r="O14" i="112" s="1"/>
  <c r="P14" i="112" s="1"/>
  <c r="AG51" i="184"/>
  <c r="O13" i="112" s="1"/>
  <c r="P13" i="112" s="1"/>
  <c r="AE54" i="183"/>
  <c r="AG50" i="183"/>
  <c r="G12" i="112" s="1"/>
  <c r="S54" i="183"/>
  <c r="Z54" i="183"/>
  <c r="AG51" i="183"/>
  <c r="O12" i="112" s="1"/>
  <c r="P12" i="112" s="1"/>
  <c r="AG51" i="187"/>
  <c r="O20" i="112" s="1"/>
  <c r="P20" i="112" s="1"/>
  <c r="P54" i="187"/>
  <c r="W54" i="188"/>
  <c r="K54" i="187"/>
  <c r="AE54" i="188"/>
  <c r="V54" i="187"/>
  <c r="J54" i="187"/>
  <c r="AG50" i="187"/>
  <c r="G20" i="112" s="1"/>
  <c r="L54" i="188"/>
  <c r="V54" i="188"/>
  <c r="AG51" i="188"/>
  <c r="O17" i="112" s="1"/>
  <c r="P17" i="112" s="1"/>
  <c r="AB54" i="187"/>
  <c r="X54" i="187"/>
  <c r="J54" i="188"/>
  <c r="AG50" i="188"/>
  <c r="G17" i="112" s="1"/>
  <c r="H17" i="112" s="1"/>
  <c r="Z54" i="188"/>
  <c r="AF54" i="187"/>
  <c r="T54" i="187"/>
  <c r="S54" i="187"/>
  <c r="P54" i="188"/>
  <c r="Q54" i="187"/>
  <c r="AA54" i="185"/>
  <c r="AG50" i="185"/>
  <c r="G16" i="112" s="1"/>
  <c r="X54" i="185"/>
  <c r="V54" i="185"/>
  <c r="P54" i="186"/>
  <c r="Z54" i="186"/>
  <c r="O54" i="185"/>
  <c r="P54" i="185"/>
  <c r="Y54" i="185"/>
  <c r="AG50" i="186"/>
  <c r="G14" i="112" s="1"/>
  <c r="U54" i="185"/>
  <c r="W54" i="185"/>
  <c r="O54" i="184"/>
  <c r="AG50" i="184"/>
  <c r="G13" i="112" s="1"/>
  <c r="M54" i="184"/>
  <c r="X54" i="184"/>
  <c r="L54" i="184"/>
  <c r="R54" i="184"/>
  <c r="S54" i="184"/>
  <c r="W54" i="184"/>
  <c r="T54" i="184"/>
  <c r="AE54" i="184"/>
  <c r="AC54" i="184"/>
  <c r="AD54" i="184"/>
  <c r="R54" i="183"/>
  <c r="X54" i="183"/>
  <c r="AC54" i="183"/>
  <c r="W54" i="183"/>
  <c r="V54" i="183"/>
  <c r="Y54" i="183"/>
  <c r="AA54" i="183"/>
  <c r="K54" i="183"/>
  <c r="L54" i="183"/>
  <c r="B21" i="112"/>
  <c r="T54" i="178"/>
  <c r="K54" i="171"/>
  <c r="AG50" i="170"/>
  <c r="G8" i="112" s="1"/>
  <c r="AG51" i="170"/>
  <c r="O8" i="112" s="1"/>
  <c r="P8" i="112" s="1"/>
  <c r="AB54" i="177"/>
  <c r="AD54" i="172"/>
  <c r="AG51" i="179"/>
  <c r="O18" i="112" s="1"/>
  <c r="P18" i="112" s="1"/>
  <c r="AG51" i="172"/>
  <c r="O15" i="112" s="1"/>
  <c r="P15" i="112" s="1"/>
  <c r="AG51" i="177"/>
  <c r="O10" i="112" s="1"/>
  <c r="P10" i="112" s="1"/>
  <c r="AD54" i="176"/>
  <c r="Q54" i="172"/>
  <c r="J54" i="179"/>
  <c r="AG50" i="179"/>
  <c r="G18" i="112" s="1"/>
  <c r="AE54" i="178"/>
  <c r="AF54" i="179"/>
  <c r="V54" i="178"/>
  <c r="AC54" i="178"/>
  <c r="P54" i="178"/>
  <c r="K54" i="178"/>
  <c r="S54" i="179"/>
  <c r="AC54" i="179"/>
  <c r="AB54" i="179"/>
  <c r="Z54" i="178"/>
  <c r="X54" i="179"/>
  <c r="AF54" i="178"/>
  <c r="X54" i="178"/>
  <c r="AG51" i="178"/>
  <c r="O19" i="112" s="1"/>
  <c r="P19" i="112" s="1"/>
  <c r="J54" i="178"/>
  <c r="AG50" i="178"/>
  <c r="G19" i="112" s="1"/>
  <c r="H19" i="112" s="1"/>
  <c r="R54" i="172"/>
  <c r="O54" i="172"/>
  <c r="Z54" i="176"/>
  <c r="R54" i="177"/>
  <c r="M54" i="172"/>
  <c r="M54" i="177"/>
  <c r="AD54" i="177"/>
  <c r="V54" i="176"/>
  <c r="AA54" i="172"/>
  <c r="Z54" i="177"/>
  <c r="AA54" i="177"/>
  <c r="L54" i="172"/>
  <c r="N54" i="177"/>
  <c r="T54" i="172"/>
  <c r="AG50" i="172"/>
  <c r="G15" i="112" s="1"/>
  <c r="AG51" i="176"/>
  <c r="O11" i="112" s="1"/>
  <c r="P11" i="112" s="1"/>
  <c r="AG50" i="177"/>
  <c r="G10" i="112" s="1"/>
  <c r="T54" i="177"/>
  <c r="S54" i="177"/>
  <c r="N54" i="176"/>
  <c r="L54" i="176"/>
  <c r="AG50" i="176"/>
  <c r="G11" i="112" s="1"/>
  <c r="L54" i="171"/>
  <c r="AG51" i="171"/>
  <c r="O7" i="112" s="1"/>
  <c r="P7" i="112" s="1"/>
  <c r="AA54" i="170"/>
  <c r="L54" i="170"/>
  <c r="X54" i="169"/>
  <c r="X54" i="170"/>
  <c r="Z54" i="170"/>
  <c r="J54" i="171"/>
  <c r="AG50" i="171"/>
  <c r="G7" i="112" s="1"/>
  <c r="V54" i="170"/>
  <c r="Q54" i="170"/>
  <c r="AC54" i="169"/>
  <c r="W54" i="171"/>
  <c r="S54" i="169"/>
  <c r="AD54" i="170"/>
  <c r="AF54" i="170"/>
  <c r="AE54" i="169"/>
  <c r="T54" i="170"/>
  <c r="N54" i="170"/>
  <c r="Y54" i="171"/>
  <c r="R54" i="169"/>
  <c r="AG51" i="169"/>
  <c r="O9" i="112" s="1"/>
  <c r="P9" i="112" s="1"/>
  <c r="U54" i="170"/>
  <c r="S54" i="171"/>
  <c r="S54" i="170"/>
  <c r="J54" i="169"/>
  <c r="AG50" i="169"/>
  <c r="G9" i="112" s="1"/>
  <c r="R54" i="170"/>
  <c r="S54" i="168"/>
  <c r="V54" i="168"/>
  <c r="U54" i="168"/>
  <c r="AA54" i="168"/>
  <c r="P54" i="168"/>
  <c r="AD54" i="168"/>
  <c r="T54" i="168"/>
  <c r="AG51" i="168"/>
  <c r="O6" i="112" s="1"/>
  <c r="P6" i="112" s="1"/>
  <c r="O54" i="168"/>
  <c r="N54" i="168"/>
  <c r="J54" i="168"/>
  <c r="AG50" i="168"/>
  <c r="G6" i="112" s="1"/>
  <c r="AE54" i="168"/>
  <c r="Q54" i="166"/>
  <c r="W54" i="166"/>
  <c r="L54" i="166"/>
  <c r="AD54" i="166"/>
  <c r="AB54" i="166"/>
  <c r="T54" i="166"/>
  <c r="AG51" i="166"/>
  <c r="O5" i="112" s="1"/>
  <c r="X54" i="166"/>
  <c r="J54" i="166"/>
  <c r="AG50" i="166"/>
  <c r="G5" i="112" s="1"/>
  <c r="S54" i="166"/>
  <c r="O21" i="112" l="1"/>
  <c r="P5" i="112"/>
  <c r="P21" i="112" s="1"/>
  <c r="P23" i="112" s="1"/>
  <c r="H9" i="112"/>
  <c r="H10" i="112"/>
  <c r="H18" i="112"/>
  <c r="H11" i="112"/>
  <c r="H12" i="112"/>
  <c r="H20" i="112"/>
  <c r="H13" i="112"/>
  <c r="H5" i="112"/>
  <c r="H6" i="112"/>
  <c r="H14" i="112"/>
  <c r="H7" i="112"/>
  <c r="H15" i="112"/>
  <c r="H8" i="112"/>
  <c r="H16" i="112"/>
  <c r="BH25" i="187"/>
  <c r="C20" i="112" s="1"/>
  <c r="AG54" i="187"/>
  <c r="AG55" i="187" s="1"/>
  <c r="BH25" i="188"/>
  <c r="C17" i="112" s="1"/>
  <c r="BH25" i="185"/>
  <c r="C16" i="112" s="1"/>
  <c r="AG54" i="185"/>
  <c r="AG55" i="185" s="1"/>
  <c r="BH25" i="186"/>
  <c r="C14" i="112" s="1"/>
  <c r="AG54" i="186"/>
  <c r="AG55" i="186" s="1"/>
  <c r="BH25" i="184"/>
  <c r="C13" i="112" s="1"/>
  <c r="AG54" i="184"/>
  <c r="AG55" i="184" s="1"/>
  <c r="BH25" i="183"/>
  <c r="C12" i="112" s="1"/>
  <c r="AG54" i="183"/>
  <c r="AG55" i="183" s="1"/>
  <c r="AG54" i="188"/>
  <c r="AG55" i="188" s="1"/>
  <c r="BH25" i="179"/>
  <c r="C18" i="112" s="1"/>
  <c r="D18" i="112" s="1"/>
  <c r="AG54" i="176"/>
  <c r="AG55" i="176" s="1"/>
  <c r="BH25" i="170"/>
  <c r="C8" i="112" s="1"/>
  <c r="BH25" i="171"/>
  <c r="C7" i="112" s="1"/>
  <c r="BH25" i="169"/>
  <c r="C9" i="112" s="1"/>
  <c r="AG54" i="170"/>
  <c r="AG55" i="170" s="1"/>
  <c r="BH25" i="177"/>
  <c r="C10" i="112" s="1"/>
  <c r="BH25" i="172"/>
  <c r="C15" i="112" s="1"/>
  <c r="AG54" i="177"/>
  <c r="AG55" i="177" s="1"/>
  <c r="BH25" i="178"/>
  <c r="C19" i="112" s="1"/>
  <c r="D19" i="112" s="1"/>
  <c r="AG54" i="172"/>
  <c r="AG55" i="172" s="1"/>
  <c r="AG54" i="178"/>
  <c r="AG55" i="178" s="1"/>
  <c r="AG54" i="179"/>
  <c r="AG55" i="179" s="1"/>
  <c r="BH25" i="176"/>
  <c r="C11" i="112" s="1"/>
  <c r="AG54" i="169"/>
  <c r="AG55" i="169" s="1"/>
  <c r="AG54" i="171"/>
  <c r="AG55" i="171" s="1"/>
  <c r="BH25" i="168"/>
  <c r="C6" i="112" s="1"/>
  <c r="AG54" i="168"/>
  <c r="AG55" i="168" s="1"/>
  <c r="BH25" i="166"/>
  <c r="C5" i="112" s="1"/>
  <c r="AG54" i="166"/>
  <c r="AG55" i="166" s="1"/>
  <c r="BH27" i="185" l="1"/>
  <c r="D16" i="112"/>
  <c r="BH27" i="188"/>
  <c r="D17" i="112"/>
  <c r="BH27" i="176"/>
  <c r="D11" i="112"/>
  <c r="BH27" i="169"/>
  <c r="D9" i="112"/>
  <c r="BH27" i="187"/>
  <c r="D20" i="112"/>
  <c r="BH27" i="171"/>
  <c r="D7" i="112"/>
  <c r="BH27" i="184"/>
  <c r="D13" i="112"/>
  <c r="BH27" i="170"/>
  <c r="D8" i="112"/>
  <c r="BH27" i="178"/>
  <c r="BH27" i="186"/>
  <c r="D14" i="112"/>
  <c r="BH27" i="168"/>
  <c r="D6" i="112"/>
  <c r="BH27" i="179"/>
  <c r="BH27" i="177"/>
  <c r="D10" i="112"/>
  <c r="BH27" i="183"/>
  <c r="D12" i="112"/>
  <c r="BH27" i="172"/>
  <c r="D15" i="112"/>
  <c r="BH27" i="166"/>
  <c r="AX11" i="114" l="1"/>
  <c r="Y39" i="114"/>
  <c r="T39" i="114"/>
  <c r="V39" i="114"/>
  <c r="W39" i="114"/>
  <c r="X39" i="114"/>
  <c r="AX10" i="114"/>
  <c r="D39" i="114"/>
  <c r="E39" i="114"/>
  <c r="F39" i="114"/>
  <c r="G39" i="114"/>
  <c r="H39" i="114"/>
  <c r="I39" i="114"/>
  <c r="Q39" i="114"/>
  <c r="R39" i="114"/>
  <c r="S39" i="114"/>
  <c r="U39" i="114"/>
  <c r="N39" i="114"/>
  <c r="O39" i="114"/>
  <c r="P39" i="114"/>
  <c r="L39" i="114"/>
  <c r="M39" i="114"/>
  <c r="K39" i="114"/>
  <c r="J39" i="114"/>
  <c r="AF23" i="125" l="1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E19" i="125"/>
  <c r="B19" i="125"/>
  <c r="C19" i="125" s="1"/>
  <c r="F18" i="125"/>
  <c r="M29" i="125" s="1"/>
  <c r="E18" i="125"/>
  <c r="B18" i="125"/>
  <c r="C18" i="125" s="1"/>
  <c r="F17" i="125"/>
  <c r="E17" i="125"/>
  <c r="B17" i="125"/>
  <c r="C17" i="125" s="1"/>
  <c r="F16" i="125"/>
  <c r="E16" i="125"/>
  <c r="B16" i="125"/>
  <c r="C16" i="125" s="1"/>
  <c r="F15" i="125"/>
  <c r="AA29" i="125" s="1"/>
  <c r="E15" i="125"/>
  <c r="B15" i="125"/>
  <c r="C15" i="125" s="1"/>
  <c r="F14" i="125"/>
  <c r="AD29" i="125" s="1"/>
  <c r="E14" i="125"/>
  <c r="B14" i="125"/>
  <c r="C14" i="125" s="1"/>
  <c r="F13" i="125"/>
  <c r="E13" i="125"/>
  <c r="B13" i="125"/>
  <c r="C13" i="125" s="1"/>
  <c r="F12" i="125"/>
  <c r="L29" i="125" s="1"/>
  <c r="E12" i="125"/>
  <c r="B12" i="125"/>
  <c r="C12" i="125" s="1"/>
  <c r="F11" i="125"/>
  <c r="N29" i="125" s="1"/>
  <c r="E11" i="125"/>
  <c r="B11" i="125"/>
  <c r="C11" i="125" s="1"/>
  <c r="F10" i="125"/>
  <c r="E10" i="125"/>
  <c r="B10" i="125"/>
  <c r="C10" i="125" s="1"/>
  <c r="F9" i="125"/>
  <c r="O29" i="125" s="1"/>
  <c r="E9" i="125"/>
  <c r="B9" i="125"/>
  <c r="C9" i="125" s="1"/>
  <c r="F8" i="125"/>
  <c r="E8" i="125"/>
  <c r="B8" i="125"/>
  <c r="C8" i="125" s="1"/>
  <c r="F7" i="125"/>
  <c r="E7" i="125"/>
  <c r="B7" i="125"/>
  <c r="C7" i="125" s="1"/>
  <c r="F6" i="125"/>
  <c r="E6" i="125"/>
  <c r="B6" i="125"/>
  <c r="C6" i="125" s="1"/>
  <c r="F5" i="125"/>
  <c r="E5" i="125"/>
  <c r="B5" i="125"/>
  <c r="C5" i="125" s="1"/>
  <c r="F4" i="125"/>
  <c r="E4" i="125"/>
  <c r="B4" i="125"/>
  <c r="AF3" i="125"/>
  <c r="AE3" i="125"/>
  <c r="AD3" i="125"/>
  <c r="AC3" i="125"/>
  <c r="AB3" i="125"/>
  <c r="AA3" i="125"/>
  <c r="Z3" i="125"/>
  <c r="Y3" i="125"/>
  <c r="X3" i="125"/>
  <c r="W3" i="125"/>
  <c r="V3" i="125"/>
  <c r="U3" i="125"/>
  <c r="T3" i="125"/>
  <c r="S3" i="125"/>
  <c r="R3" i="125"/>
  <c r="Q3" i="125"/>
  <c r="P3" i="125"/>
  <c r="O3" i="125"/>
  <c r="N3" i="125"/>
  <c r="M3" i="125"/>
  <c r="L3" i="125"/>
  <c r="K3" i="125"/>
  <c r="J3" i="125"/>
  <c r="AF2" i="125"/>
  <c r="AE2" i="125"/>
  <c r="AD2" i="125"/>
  <c r="AC2" i="125"/>
  <c r="AB2" i="125"/>
  <c r="AA2" i="125"/>
  <c r="Z2" i="125"/>
  <c r="Y2" i="125"/>
  <c r="X2" i="125"/>
  <c r="W2" i="125"/>
  <c r="V2" i="125"/>
  <c r="U2" i="125"/>
  <c r="T2" i="125"/>
  <c r="S2" i="125" a="1"/>
  <c r="S2" i="125" s="1"/>
  <c r="R2" i="125"/>
  <c r="Q2" i="125"/>
  <c r="P2" i="125"/>
  <c r="O2" i="125"/>
  <c r="N2" i="125"/>
  <c r="M2" i="125"/>
  <c r="L2" i="125"/>
  <c r="K2" i="125"/>
  <c r="J2" i="125"/>
  <c r="D20" i="120"/>
  <c r="D16" i="120"/>
  <c r="D12" i="120"/>
  <c r="D10" i="120"/>
  <c r="D8" i="120"/>
  <c r="D6" i="120"/>
  <c r="C72" i="118"/>
  <c r="D72" i="118"/>
  <c r="B72" i="118"/>
  <c r="B40" i="118"/>
  <c r="B4" i="118"/>
  <c r="D4" i="118" s="1"/>
  <c r="B24" i="119"/>
  <c r="B24" i="116"/>
  <c r="G12" i="118"/>
  <c r="I12" i="118" s="1"/>
  <c r="DH5" i="118"/>
  <c r="DJ5" i="118" s="1"/>
  <c r="DH6" i="118"/>
  <c r="DJ6" i="118" s="1"/>
  <c r="DH7" i="118"/>
  <c r="DJ7" i="118" s="1"/>
  <c r="DH8" i="118"/>
  <c r="DJ8" i="118" s="1"/>
  <c r="DH9" i="118"/>
  <c r="DJ9" i="118" s="1"/>
  <c r="DH10" i="118"/>
  <c r="DJ10" i="118" s="1"/>
  <c r="DH11" i="118"/>
  <c r="DJ11" i="118" s="1"/>
  <c r="DH12" i="118"/>
  <c r="DJ12" i="118" s="1"/>
  <c r="DH13" i="118"/>
  <c r="DJ13" i="118" s="1"/>
  <c r="DH14" i="118"/>
  <c r="DJ14" i="118" s="1"/>
  <c r="DH15" i="118"/>
  <c r="DJ15" i="118" s="1"/>
  <c r="DH16" i="118"/>
  <c r="DJ16" i="118" s="1"/>
  <c r="DH17" i="118"/>
  <c r="DJ17" i="118" s="1"/>
  <c r="DH18" i="118"/>
  <c r="DJ18" i="118" s="1"/>
  <c r="DH19" i="118"/>
  <c r="DJ19" i="118" s="1"/>
  <c r="DH20" i="118"/>
  <c r="DJ20" i="118" s="1"/>
  <c r="DH21" i="118"/>
  <c r="DJ21" i="118" s="1"/>
  <c r="DH22" i="118"/>
  <c r="DJ22" i="118" s="1"/>
  <c r="DH23" i="118"/>
  <c r="DJ23" i="118" s="1"/>
  <c r="DH24" i="118"/>
  <c r="DJ24" i="118" s="1"/>
  <c r="DH25" i="118"/>
  <c r="DJ25" i="118" s="1"/>
  <c r="DH26" i="118"/>
  <c r="DJ26" i="118" s="1"/>
  <c r="DH27" i="118"/>
  <c r="DJ27" i="118" s="1"/>
  <c r="DH28" i="118"/>
  <c r="DJ28" i="118" s="1"/>
  <c r="DH29" i="118"/>
  <c r="DJ29" i="118" s="1"/>
  <c r="DH30" i="118"/>
  <c r="DJ30" i="118" s="1"/>
  <c r="DH31" i="118"/>
  <c r="DJ31" i="118" s="1"/>
  <c r="DH32" i="118"/>
  <c r="DJ32" i="118" s="1"/>
  <c r="DH33" i="118"/>
  <c r="DJ33" i="118" s="1"/>
  <c r="DH4" i="118"/>
  <c r="DJ4" i="118" s="1"/>
  <c r="DJ35" i="118" s="1"/>
  <c r="DC5" i="118"/>
  <c r="DE5" i="118" s="1"/>
  <c r="DC6" i="118"/>
  <c r="DE6" i="118" s="1"/>
  <c r="DC7" i="118"/>
  <c r="DE7" i="118" s="1"/>
  <c r="DC8" i="118"/>
  <c r="DE8" i="118" s="1"/>
  <c r="DC9" i="118"/>
  <c r="DE9" i="118" s="1"/>
  <c r="DC10" i="118"/>
  <c r="DE10" i="118" s="1"/>
  <c r="DC11" i="118"/>
  <c r="DE11" i="118" s="1"/>
  <c r="DC12" i="118"/>
  <c r="DE12" i="118" s="1"/>
  <c r="DC13" i="118"/>
  <c r="DE13" i="118" s="1"/>
  <c r="DC14" i="118"/>
  <c r="DE14" i="118" s="1"/>
  <c r="DC15" i="118"/>
  <c r="DE15" i="118" s="1"/>
  <c r="DC16" i="118"/>
  <c r="DE16" i="118" s="1"/>
  <c r="DC17" i="118"/>
  <c r="DE17" i="118" s="1"/>
  <c r="DC18" i="118"/>
  <c r="DE18" i="118" s="1"/>
  <c r="DC19" i="118"/>
  <c r="DE19" i="118" s="1"/>
  <c r="DC20" i="118"/>
  <c r="DE20" i="118" s="1"/>
  <c r="DC21" i="118"/>
  <c r="DE21" i="118" s="1"/>
  <c r="DC22" i="118"/>
  <c r="DE22" i="118" s="1"/>
  <c r="DC23" i="118"/>
  <c r="DE23" i="118" s="1"/>
  <c r="DC24" i="118"/>
  <c r="DE24" i="118" s="1"/>
  <c r="DC25" i="118"/>
  <c r="DE25" i="118" s="1"/>
  <c r="DC26" i="118"/>
  <c r="DE26" i="118" s="1"/>
  <c r="DC27" i="118"/>
  <c r="DE27" i="118" s="1"/>
  <c r="DC28" i="118"/>
  <c r="DE28" i="118" s="1"/>
  <c r="DC29" i="118"/>
  <c r="DE29" i="118" s="1"/>
  <c r="DC30" i="118"/>
  <c r="DE30" i="118" s="1"/>
  <c r="DC31" i="118"/>
  <c r="DE31" i="118" s="1"/>
  <c r="DC32" i="118"/>
  <c r="DE32" i="118" s="1"/>
  <c r="DC33" i="118"/>
  <c r="DE33" i="118" s="1"/>
  <c r="DC4" i="118"/>
  <c r="DE4" i="118" s="1"/>
  <c r="CX5" i="118"/>
  <c r="CZ5" i="118" s="1"/>
  <c r="CX6" i="118"/>
  <c r="CZ6" i="118" s="1"/>
  <c r="CX7" i="118"/>
  <c r="CZ7" i="118" s="1"/>
  <c r="CX8" i="118"/>
  <c r="CZ8" i="118" s="1"/>
  <c r="CX9" i="118"/>
  <c r="CZ9" i="118" s="1"/>
  <c r="CX10" i="118"/>
  <c r="CZ10" i="118" s="1"/>
  <c r="CX11" i="118"/>
  <c r="CZ11" i="118" s="1"/>
  <c r="CX12" i="118"/>
  <c r="CZ12" i="118" s="1"/>
  <c r="CX13" i="118"/>
  <c r="CZ13" i="118" s="1"/>
  <c r="CX14" i="118"/>
  <c r="CZ14" i="118" s="1"/>
  <c r="CX15" i="118"/>
  <c r="CZ15" i="118" s="1"/>
  <c r="CX16" i="118"/>
  <c r="CZ16" i="118" s="1"/>
  <c r="CX17" i="118"/>
  <c r="CZ17" i="118" s="1"/>
  <c r="CX18" i="118"/>
  <c r="CZ18" i="118" s="1"/>
  <c r="CX19" i="118"/>
  <c r="CZ19" i="118" s="1"/>
  <c r="CX20" i="118"/>
  <c r="CZ20" i="118" s="1"/>
  <c r="CX21" i="118"/>
  <c r="CZ21" i="118" s="1"/>
  <c r="CX22" i="118"/>
  <c r="CZ22" i="118" s="1"/>
  <c r="CX23" i="118"/>
  <c r="CZ23" i="118" s="1"/>
  <c r="CX24" i="118"/>
  <c r="CZ24" i="118" s="1"/>
  <c r="CX25" i="118"/>
  <c r="CZ25" i="118" s="1"/>
  <c r="CX26" i="118"/>
  <c r="CZ26" i="118" s="1"/>
  <c r="CX27" i="118"/>
  <c r="CZ27" i="118" s="1"/>
  <c r="CX28" i="118"/>
  <c r="CZ28" i="118" s="1"/>
  <c r="CX29" i="118"/>
  <c r="CZ29" i="118" s="1"/>
  <c r="CX30" i="118"/>
  <c r="CZ30" i="118" s="1"/>
  <c r="CX31" i="118"/>
  <c r="CZ31" i="118" s="1"/>
  <c r="CX32" i="118"/>
  <c r="CZ32" i="118" s="1"/>
  <c r="CX33" i="118"/>
  <c r="CZ33" i="118" s="1"/>
  <c r="CX4" i="118"/>
  <c r="CZ4" i="118" s="1"/>
  <c r="CS5" i="118"/>
  <c r="CU5" i="118" s="1"/>
  <c r="CS6" i="118"/>
  <c r="CU6" i="118" s="1"/>
  <c r="CS7" i="118"/>
  <c r="CU7" i="118" s="1"/>
  <c r="CS8" i="118"/>
  <c r="CU8" i="118" s="1"/>
  <c r="CS9" i="118"/>
  <c r="CU9" i="118" s="1"/>
  <c r="CS10" i="118"/>
  <c r="CU10" i="118" s="1"/>
  <c r="CS11" i="118"/>
  <c r="CU11" i="118" s="1"/>
  <c r="CS12" i="118"/>
  <c r="CU12" i="118" s="1"/>
  <c r="CS13" i="118"/>
  <c r="CU13" i="118" s="1"/>
  <c r="CS14" i="118"/>
  <c r="CU14" i="118" s="1"/>
  <c r="CS15" i="118"/>
  <c r="CU15" i="118" s="1"/>
  <c r="CS16" i="118"/>
  <c r="CU16" i="118" s="1"/>
  <c r="CS17" i="118"/>
  <c r="CU17" i="118" s="1"/>
  <c r="CS18" i="118"/>
  <c r="CU18" i="118" s="1"/>
  <c r="CS19" i="118"/>
  <c r="CU19" i="118" s="1"/>
  <c r="CS20" i="118"/>
  <c r="CU20" i="118" s="1"/>
  <c r="CS21" i="118"/>
  <c r="CU21" i="118" s="1"/>
  <c r="CS22" i="118"/>
  <c r="CU22" i="118" s="1"/>
  <c r="CS23" i="118"/>
  <c r="CU23" i="118" s="1"/>
  <c r="CS24" i="118"/>
  <c r="CU24" i="118" s="1"/>
  <c r="CS25" i="118"/>
  <c r="CU25" i="118" s="1"/>
  <c r="CS26" i="118"/>
  <c r="CU26" i="118" s="1"/>
  <c r="CS27" i="118"/>
  <c r="CU27" i="118" s="1"/>
  <c r="CS28" i="118"/>
  <c r="CU28" i="118" s="1"/>
  <c r="CS29" i="118"/>
  <c r="CU29" i="118" s="1"/>
  <c r="CS30" i="118"/>
  <c r="CU30" i="118" s="1"/>
  <c r="CS31" i="118"/>
  <c r="CU31" i="118" s="1"/>
  <c r="CS32" i="118"/>
  <c r="CU32" i="118" s="1"/>
  <c r="CS33" i="118"/>
  <c r="CU33" i="118" s="1"/>
  <c r="CS4" i="118"/>
  <c r="CU4" i="118" s="1"/>
  <c r="CN5" i="118"/>
  <c r="CP5" i="118" s="1"/>
  <c r="CN6" i="118"/>
  <c r="CP6" i="118" s="1"/>
  <c r="CN7" i="118"/>
  <c r="CP7" i="118" s="1"/>
  <c r="CN8" i="118"/>
  <c r="CP8" i="118" s="1"/>
  <c r="CN9" i="118"/>
  <c r="CP9" i="118" s="1"/>
  <c r="CN10" i="118"/>
  <c r="CP10" i="118" s="1"/>
  <c r="CN11" i="118"/>
  <c r="CP11" i="118" s="1"/>
  <c r="CN12" i="118"/>
  <c r="CP12" i="118" s="1"/>
  <c r="CN13" i="118"/>
  <c r="CP13" i="118" s="1"/>
  <c r="CN14" i="118"/>
  <c r="CP14" i="118" s="1"/>
  <c r="CN15" i="118"/>
  <c r="CP15" i="118" s="1"/>
  <c r="CN16" i="118"/>
  <c r="CP16" i="118" s="1"/>
  <c r="CN17" i="118"/>
  <c r="CP17" i="118" s="1"/>
  <c r="CN18" i="118"/>
  <c r="CP18" i="118" s="1"/>
  <c r="CN19" i="118"/>
  <c r="CP19" i="118" s="1"/>
  <c r="CN20" i="118"/>
  <c r="CP20" i="118" s="1"/>
  <c r="CN21" i="118"/>
  <c r="CP21" i="118" s="1"/>
  <c r="CN22" i="118"/>
  <c r="CP22" i="118" s="1"/>
  <c r="CN23" i="118"/>
  <c r="CP23" i="118" s="1"/>
  <c r="CN24" i="118"/>
  <c r="CP24" i="118" s="1"/>
  <c r="CN25" i="118"/>
  <c r="CP25" i="118" s="1"/>
  <c r="CN26" i="118"/>
  <c r="CP26" i="118" s="1"/>
  <c r="CN27" i="118"/>
  <c r="CP27" i="118" s="1"/>
  <c r="CN28" i="118"/>
  <c r="CP28" i="118" s="1"/>
  <c r="CN29" i="118"/>
  <c r="CP29" i="118" s="1"/>
  <c r="CN30" i="118"/>
  <c r="CP30" i="118" s="1"/>
  <c r="CN31" i="118"/>
  <c r="CP31" i="118" s="1"/>
  <c r="CN32" i="118"/>
  <c r="CP32" i="118" s="1"/>
  <c r="CN33" i="118"/>
  <c r="CP33" i="118" s="1"/>
  <c r="CN4" i="118"/>
  <c r="CP4" i="118" s="1"/>
  <c r="CI5" i="118"/>
  <c r="CK5" i="118" s="1"/>
  <c r="CI6" i="118"/>
  <c r="CK6" i="118" s="1"/>
  <c r="CI7" i="118"/>
  <c r="CK7" i="118" s="1"/>
  <c r="CI8" i="118"/>
  <c r="CK8" i="118" s="1"/>
  <c r="CI9" i="118"/>
  <c r="CK9" i="118" s="1"/>
  <c r="CI10" i="118"/>
  <c r="CK10" i="118" s="1"/>
  <c r="CI11" i="118"/>
  <c r="CK11" i="118" s="1"/>
  <c r="CI12" i="118"/>
  <c r="CK12" i="118" s="1"/>
  <c r="CI13" i="118"/>
  <c r="CK13" i="118" s="1"/>
  <c r="CI14" i="118"/>
  <c r="CK14" i="118" s="1"/>
  <c r="CI15" i="118"/>
  <c r="CK15" i="118" s="1"/>
  <c r="CI16" i="118"/>
  <c r="CK16" i="118" s="1"/>
  <c r="CI17" i="118"/>
  <c r="CK17" i="118" s="1"/>
  <c r="CI18" i="118"/>
  <c r="CK18" i="118" s="1"/>
  <c r="CI19" i="118"/>
  <c r="CK19" i="118" s="1"/>
  <c r="CI20" i="118"/>
  <c r="CK20" i="118" s="1"/>
  <c r="CI21" i="118"/>
  <c r="CK21" i="118" s="1"/>
  <c r="CI22" i="118"/>
  <c r="CK22" i="118" s="1"/>
  <c r="CI23" i="118"/>
  <c r="CK23" i="118" s="1"/>
  <c r="CI24" i="118"/>
  <c r="CK24" i="118" s="1"/>
  <c r="CI25" i="118"/>
  <c r="CK25" i="118" s="1"/>
  <c r="CI26" i="118"/>
  <c r="CK26" i="118" s="1"/>
  <c r="CI27" i="118"/>
  <c r="CK27" i="118" s="1"/>
  <c r="CI28" i="118"/>
  <c r="CK28" i="118" s="1"/>
  <c r="CI29" i="118"/>
  <c r="CK29" i="118" s="1"/>
  <c r="CI30" i="118"/>
  <c r="CK30" i="118" s="1"/>
  <c r="CI31" i="118"/>
  <c r="CK31" i="118" s="1"/>
  <c r="CI32" i="118"/>
  <c r="CK32" i="118" s="1"/>
  <c r="CI33" i="118"/>
  <c r="CK33" i="118" s="1"/>
  <c r="CI4" i="118"/>
  <c r="CK4" i="118" s="1"/>
  <c r="CD5" i="118"/>
  <c r="CF5" i="118" s="1"/>
  <c r="CD6" i="118"/>
  <c r="CF6" i="118" s="1"/>
  <c r="CD7" i="118"/>
  <c r="CF7" i="118" s="1"/>
  <c r="CD8" i="118"/>
  <c r="CF8" i="118" s="1"/>
  <c r="CD9" i="118"/>
  <c r="CF9" i="118" s="1"/>
  <c r="CD10" i="118"/>
  <c r="CF10" i="118" s="1"/>
  <c r="CD11" i="118"/>
  <c r="CF11" i="118" s="1"/>
  <c r="CD12" i="118"/>
  <c r="CF12" i="118" s="1"/>
  <c r="CD13" i="118"/>
  <c r="CF13" i="118" s="1"/>
  <c r="CD14" i="118"/>
  <c r="CF14" i="118" s="1"/>
  <c r="CD15" i="118"/>
  <c r="CF15" i="118" s="1"/>
  <c r="CD16" i="118"/>
  <c r="CF16" i="118" s="1"/>
  <c r="CD17" i="118"/>
  <c r="CF17" i="118" s="1"/>
  <c r="CD18" i="118"/>
  <c r="CF18" i="118" s="1"/>
  <c r="CD19" i="118"/>
  <c r="CF19" i="118" s="1"/>
  <c r="CD20" i="118"/>
  <c r="CF20" i="118" s="1"/>
  <c r="CD21" i="118"/>
  <c r="CF21" i="118" s="1"/>
  <c r="CD22" i="118"/>
  <c r="CF22" i="118" s="1"/>
  <c r="CD23" i="118"/>
  <c r="CF23" i="118" s="1"/>
  <c r="CD24" i="118"/>
  <c r="CF24" i="118" s="1"/>
  <c r="CD25" i="118"/>
  <c r="CF25" i="118" s="1"/>
  <c r="CD26" i="118"/>
  <c r="CF26" i="118" s="1"/>
  <c r="CD27" i="118"/>
  <c r="CF27" i="118" s="1"/>
  <c r="CD28" i="118"/>
  <c r="CF28" i="118" s="1"/>
  <c r="CD29" i="118"/>
  <c r="CF29" i="118" s="1"/>
  <c r="CD30" i="118"/>
  <c r="CF30" i="118" s="1"/>
  <c r="CD31" i="118"/>
  <c r="CF31" i="118" s="1"/>
  <c r="CD32" i="118"/>
  <c r="CF32" i="118" s="1"/>
  <c r="CD33" i="118"/>
  <c r="CF33" i="118" s="1"/>
  <c r="CD4" i="118"/>
  <c r="CF4" i="118" s="1"/>
  <c r="BY5" i="118"/>
  <c r="CA5" i="118" s="1"/>
  <c r="BY6" i="118"/>
  <c r="CA6" i="118" s="1"/>
  <c r="BY7" i="118"/>
  <c r="CA7" i="118" s="1"/>
  <c r="BY8" i="118"/>
  <c r="CA8" i="118" s="1"/>
  <c r="BY9" i="118"/>
  <c r="CA9" i="118" s="1"/>
  <c r="BY10" i="118"/>
  <c r="CA10" i="118" s="1"/>
  <c r="BY11" i="118"/>
  <c r="CA11" i="118" s="1"/>
  <c r="BY12" i="118"/>
  <c r="CA12" i="118" s="1"/>
  <c r="BY13" i="118"/>
  <c r="CA13" i="118" s="1"/>
  <c r="BY14" i="118"/>
  <c r="CA14" i="118" s="1"/>
  <c r="BY15" i="118"/>
  <c r="CA15" i="118" s="1"/>
  <c r="BY16" i="118"/>
  <c r="CA16" i="118" s="1"/>
  <c r="BY17" i="118"/>
  <c r="CA17" i="118" s="1"/>
  <c r="BY18" i="118"/>
  <c r="CA18" i="118" s="1"/>
  <c r="BY19" i="118"/>
  <c r="CA19" i="118" s="1"/>
  <c r="BY20" i="118"/>
  <c r="CA20" i="118" s="1"/>
  <c r="BY21" i="118"/>
  <c r="CA21" i="118" s="1"/>
  <c r="BY22" i="118"/>
  <c r="CA22" i="118" s="1"/>
  <c r="BY23" i="118"/>
  <c r="CA23" i="118" s="1"/>
  <c r="BY24" i="118"/>
  <c r="CA24" i="118" s="1"/>
  <c r="BY25" i="118"/>
  <c r="CA25" i="118" s="1"/>
  <c r="BY26" i="118"/>
  <c r="CA26" i="118" s="1"/>
  <c r="BY27" i="118"/>
  <c r="CA27" i="118" s="1"/>
  <c r="BY28" i="118"/>
  <c r="CA28" i="118" s="1"/>
  <c r="BY29" i="118"/>
  <c r="CA29" i="118" s="1"/>
  <c r="BY30" i="118"/>
  <c r="CA30" i="118" s="1"/>
  <c r="BY31" i="118"/>
  <c r="CA31" i="118" s="1"/>
  <c r="BY32" i="118"/>
  <c r="CA32" i="118" s="1"/>
  <c r="BY33" i="118"/>
  <c r="CA33" i="118" s="1"/>
  <c r="BY4" i="118"/>
  <c r="CA4" i="118" s="1"/>
  <c r="CA35" i="118" s="1"/>
  <c r="BT5" i="118"/>
  <c r="BV5" i="118" s="1"/>
  <c r="BT6" i="118"/>
  <c r="BV6" i="118" s="1"/>
  <c r="BT7" i="118"/>
  <c r="BV7" i="118" s="1"/>
  <c r="BT8" i="118"/>
  <c r="BV8" i="118" s="1"/>
  <c r="BT9" i="118"/>
  <c r="BV9" i="118" s="1"/>
  <c r="BT10" i="118"/>
  <c r="BV10" i="118" s="1"/>
  <c r="BT11" i="118"/>
  <c r="BV11" i="118" s="1"/>
  <c r="BT12" i="118"/>
  <c r="BV12" i="118" s="1"/>
  <c r="BT13" i="118"/>
  <c r="BV13" i="118" s="1"/>
  <c r="BT14" i="118"/>
  <c r="BV14" i="118" s="1"/>
  <c r="BT15" i="118"/>
  <c r="BV15" i="118" s="1"/>
  <c r="BT16" i="118"/>
  <c r="BV16" i="118" s="1"/>
  <c r="BT17" i="118"/>
  <c r="BV17" i="118" s="1"/>
  <c r="BT18" i="118"/>
  <c r="BV18" i="118" s="1"/>
  <c r="BT19" i="118"/>
  <c r="BV19" i="118" s="1"/>
  <c r="BT20" i="118"/>
  <c r="BV20" i="118" s="1"/>
  <c r="BT21" i="118"/>
  <c r="BV21" i="118" s="1"/>
  <c r="BT22" i="118"/>
  <c r="BV22" i="118" s="1"/>
  <c r="BT23" i="118"/>
  <c r="BV23" i="118" s="1"/>
  <c r="BT24" i="118"/>
  <c r="BV24" i="118" s="1"/>
  <c r="BT25" i="118"/>
  <c r="BV25" i="118" s="1"/>
  <c r="BT26" i="118"/>
  <c r="BV26" i="118" s="1"/>
  <c r="BT27" i="118"/>
  <c r="BV27" i="118" s="1"/>
  <c r="BT28" i="118"/>
  <c r="BV28" i="118" s="1"/>
  <c r="BT29" i="118"/>
  <c r="BV29" i="118" s="1"/>
  <c r="BT30" i="118"/>
  <c r="BV30" i="118" s="1"/>
  <c r="BT31" i="118"/>
  <c r="BV31" i="118" s="1"/>
  <c r="BT32" i="118"/>
  <c r="BV32" i="118" s="1"/>
  <c r="BT33" i="118"/>
  <c r="BV33" i="118" s="1"/>
  <c r="BT4" i="118"/>
  <c r="BV4" i="118" s="1"/>
  <c r="BO5" i="118"/>
  <c r="BQ5" i="118" s="1"/>
  <c r="BO6" i="118"/>
  <c r="BQ6" i="118" s="1"/>
  <c r="BO7" i="118"/>
  <c r="BQ7" i="118" s="1"/>
  <c r="BO8" i="118"/>
  <c r="BQ8" i="118" s="1"/>
  <c r="BO9" i="118"/>
  <c r="BQ9" i="118" s="1"/>
  <c r="BO10" i="118"/>
  <c r="BQ10" i="118" s="1"/>
  <c r="BO11" i="118"/>
  <c r="BQ11" i="118" s="1"/>
  <c r="BO12" i="118"/>
  <c r="BQ12" i="118" s="1"/>
  <c r="BO13" i="118"/>
  <c r="BQ13" i="118" s="1"/>
  <c r="BO14" i="118"/>
  <c r="BQ14" i="118" s="1"/>
  <c r="BO15" i="118"/>
  <c r="BQ15" i="118" s="1"/>
  <c r="BO16" i="118"/>
  <c r="BQ16" i="118" s="1"/>
  <c r="BO17" i="118"/>
  <c r="BQ17" i="118" s="1"/>
  <c r="BO18" i="118"/>
  <c r="BQ18" i="118" s="1"/>
  <c r="BO19" i="118"/>
  <c r="BQ19" i="118" s="1"/>
  <c r="BO20" i="118"/>
  <c r="BQ20" i="118" s="1"/>
  <c r="BO21" i="118"/>
  <c r="BQ21" i="118" s="1"/>
  <c r="BO22" i="118"/>
  <c r="BQ22" i="118" s="1"/>
  <c r="BO23" i="118"/>
  <c r="BQ23" i="118" s="1"/>
  <c r="BO24" i="118"/>
  <c r="BQ24" i="118" s="1"/>
  <c r="BO25" i="118"/>
  <c r="BQ25" i="118" s="1"/>
  <c r="BO26" i="118"/>
  <c r="BQ26" i="118" s="1"/>
  <c r="BO27" i="118"/>
  <c r="BQ27" i="118" s="1"/>
  <c r="BO28" i="118"/>
  <c r="BQ28" i="118" s="1"/>
  <c r="BO29" i="118"/>
  <c r="BQ29" i="118" s="1"/>
  <c r="BO30" i="118"/>
  <c r="BQ30" i="118" s="1"/>
  <c r="BO31" i="118"/>
  <c r="BQ31" i="118" s="1"/>
  <c r="BO32" i="118"/>
  <c r="BQ32" i="118" s="1"/>
  <c r="BO33" i="118"/>
  <c r="BQ33" i="118" s="1"/>
  <c r="BO4" i="118"/>
  <c r="BQ4" i="118" s="1"/>
  <c r="BJ5" i="118"/>
  <c r="BL5" i="118" s="1"/>
  <c r="BJ6" i="118"/>
  <c r="BL6" i="118" s="1"/>
  <c r="BJ7" i="118"/>
  <c r="BL7" i="118" s="1"/>
  <c r="BJ8" i="118"/>
  <c r="BL8" i="118" s="1"/>
  <c r="BJ9" i="118"/>
  <c r="BL9" i="118" s="1"/>
  <c r="BJ10" i="118"/>
  <c r="BL10" i="118" s="1"/>
  <c r="BJ11" i="118"/>
  <c r="BL11" i="118" s="1"/>
  <c r="BJ12" i="118"/>
  <c r="BL12" i="118" s="1"/>
  <c r="BJ13" i="118"/>
  <c r="BL13" i="118" s="1"/>
  <c r="BJ14" i="118"/>
  <c r="BL14" i="118" s="1"/>
  <c r="BJ15" i="118"/>
  <c r="BL15" i="118" s="1"/>
  <c r="BJ16" i="118"/>
  <c r="BL16" i="118" s="1"/>
  <c r="BJ17" i="118"/>
  <c r="BL17" i="118" s="1"/>
  <c r="BJ18" i="118"/>
  <c r="BL18" i="118" s="1"/>
  <c r="BJ19" i="118"/>
  <c r="BL19" i="118" s="1"/>
  <c r="BJ20" i="118"/>
  <c r="BL20" i="118" s="1"/>
  <c r="BJ21" i="118"/>
  <c r="BL21" i="118" s="1"/>
  <c r="BJ22" i="118"/>
  <c r="BL22" i="118" s="1"/>
  <c r="BJ23" i="118"/>
  <c r="BL23" i="118" s="1"/>
  <c r="BJ24" i="118"/>
  <c r="BL24" i="118" s="1"/>
  <c r="BJ25" i="118"/>
  <c r="BL25" i="118" s="1"/>
  <c r="BJ26" i="118"/>
  <c r="BL26" i="118" s="1"/>
  <c r="BJ27" i="118"/>
  <c r="BL27" i="118" s="1"/>
  <c r="BJ28" i="118"/>
  <c r="BL28" i="118" s="1"/>
  <c r="BJ29" i="118"/>
  <c r="BL29" i="118" s="1"/>
  <c r="BJ30" i="118"/>
  <c r="BL30" i="118" s="1"/>
  <c r="BJ31" i="118"/>
  <c r="BL31" i="118" s="1"/>
  <c r="BJ32" i="118"/>
  <c r="BL32" i="118" s="1"/>
  <c r="BJ33" i="118"/>
  <c r="BL33" i="118" s="1"/>
  <c r="BJ4" i="118"/>
  <c r="BL4" i="118" s="1"/>
  <c r="BE5" i="118"/>
  <c r="BG5" i="118" s="1"/>
  <c r="BE6" i="118"/>
  <c r="BG6" i="118" s="1"/>
  <c r="BE7" i="118"/>
  <c r="BG7" i="118" s="1"/>
  <c r="BE8" i="118"/>
  <c r="BG8" i="118" s="1"/>
  <c r="BE9" i="118"/>
  <c r="BG9" i="118" s="1"/>
  <c r="BE10" i="118"/>
  <c r="BG10" i="118" s="1"/>
  <c r="BE11" i="118"/>
  <c r="BG11" i="118" s="1"/>
  <c r="BE12" i="118"/>
  <c r="BG12" i="118" s="1"/>
  <c r="BE13" i="118"/>
  <c r="BG13" i="118" s="1"/>
  <c r="BE14" i="118"/>
  <c r="BG14" i="118" s="1"/>
  <c r="BE15" i="118"/>
  <c r="BG15" i="118" s="1"/>
  <c r="BE16" i="118"/>
  <c r="BG16" i="118" s="1"/>
  <c r="BE17" i="118"/>
  <c r="BG17" i="118" s="1"/>
  <c r="BE18" i="118"/>
  <c r="BG18" i="118" s="1"/>
  <c r="BE19" i="118"/>
  <c r="BG19" i="118" s="1"/>
  <c r="BE20" i="118"/>
  <c r="BG20" i="118" s="1"/>
  <c r="BE21" i="118"/>
  <c r="BG21" i="118" s="1"/>
  <c r="BE22" i="118"/>
  <c r="BG22" i="118" s="1"/>
  <c r="BE23" i="118"/>
  <c r="BG23" i="118" s="1"/>
  <c r="BE24" i="118"/>
  <c r="BG24" i="118" s="1"/>
  <c r="BE25" i="118"/>
  <c r="BG25" i="118" s="1"/>
  <c r="BE26" i="118"/>
  <c r="BG26" i="118" s="1"/>
  <c r="BE27" i="118"/>
  <c r="BG27" i="118" s="1"/>
  <c r="BE28" i="118"/>
  <c r="BG28" i="118" s="1"/>
  <c r="BE29" i="118"/>
  <c r="BG29" i="118" s="1"/>
  <c r="BE30" i="118"/>
  <c r="BG30" i="118" s="1"/>
  <c r="BE31" i="118"/>
  <c r="BG31" i="118" s="1"/>
  <c r="BE32" i="118"/>
  <c r="BG32" i="118" s="1"/>
  <c r="BE33" i="118"/>
  <c r="BG33" i="118" s="1"/>
  <c r="BE4" i="118"/>
  <c r="BG4" i="118" s="1"/>
  <c r="AZ5" i="118"/>
  <c r="BB5" i="118" s="1"/>
  <c r="AZ6" i="118"/>
  <c r="BB6" i="118" s="1"/>
  <c r="AZ7" i="118"/>
  <c r="BB7" i="118" s="1"/>
  <c r="AZ8" i="118"/>
  <c r="BB8" i="118" s="1"/>
  <c r="AZ9" i="118"/>
  <c r="BB9" i="118" s="1"/>
  <c r="AZ10" i="118"/>
  <c r="BB10" i="118" s="1"/>
  <c r="AZ11" i="118"/>
  <c r="BB11" i="118" s="1"/>
  <c r="AZ12" i="118"/>
  <c r="BB12" i="118" s="1"/>
  <c r="AZ13" i="118"/>
  <c r="BB13" i="118" s="1"/>
  <c r="AZ14" i="118"/>
  <c r="BB14" i="118" s="1"/>
  <c r="AZ15" i="118"/>
  <c r="BB15" i="118" s="1"/>
  <c r="AZ16" i="118"/>
  <c r="BB16" i="118" s="1"/>
  <c r="AZ17" i="118"/>
  <c r="BB17" i="118" s="1"/>
  <c r="AZ18" i="118"/>
  <c r="BB18" i="118" s="1"/>
  <c r="AZ19" i="118"/>
  <c r="BB19" i="118" s="1"/>
  <c r="AZ20" i="118"/>
  <c r="BB20" i="118" s="1"/>
  <c r="AZ21" i="118"/>
  <c r="BB21" i="118" s="1"/>
  <c r="AZ22" i="118"/>
  <c r="BB22" i="118" s="1"/>
  <c r="AZ23" i="118"/>
  <c r="BB23" i="118" s="1"/>
  <c r="AZ24" i="118"/>
  <c r="BB24" i="118" s="1"/>
  <c r="AZ25" i="118"/>
  <c r="BB25" i="118" s="1"/>
  <c r="AZ26" i="118"/>
  <c r="BB26" i="118" s="1"/>
  <c r="AZ27" i="118"/>
  <c r="BB27" i="118" s="1"/>
  <c r="AZ28" i="118"/>
  <c r="BB28" i="118" s="1"/>
  <c r="AZ29" i="118"/>
  <c r="BB29" i="118" s="1"/>
  <c r="AZ30" i="118"/>
  <c r="BB30" i="118" s="1"/>
  <c r="AZ31" i="118"/>
  <c r="BB31" i="118" s="1"/>
  <c r="AZ32" i="118"/>
  <c r="BB32" i="118" s="1"/>
  <c r="AZ33" i="118"/>
  <c r="BB33" i="118" s="1"/>
  <c r="AZ4" i="118"/>
  <c r="BB4" i="118" s="1"/>
  <c r="AU5" i="118"/>
  <c r="AW5" i="118" s="1"/>
  <c r="AU6" i="118"/>
  <c r="AW6" i="118" s="1"/>
  <c r="AU7" i="118"/>
  <c r="AW7" i="118" s="1"/>
  <c r="AU8" i="118"/>
  <c r="AW8" i="118" s="1"/>
  <c r="AU9" i="118"/>
  <c r="AW9" i="118" s="1"/>
  <c r="AU10" i="118"/>
  <c r="AW10" i="118" s="1"/>
  <c r="AU11" i="118"/>
  <c r="AW11" i="118" s="1"/>
  <c r="AU12" i="118"/>
  <c r="AW12" i="118" s="1"/>
  <c r="AU13" i="118"/>
  <c r="AW13" i="118" s="1"/>
  <c r="AU14" i="118"/>
  <c r="AW14" i="118" s="1"/>
  <c r="AU15" i="118"/>
  <c r="AW15" i="118" s="1"/>
  <c r="AU16" i="118"/>
  <c r="AW16" i="118" s="1"/>
  <c r="AU17" i="118"/>
  <c r="AW17" i="118" s="1"/>
  <c r="AU18" i="118"/>
  <c r="AW18" i="118" s="1"/>
  <c r="AU19" i="118"/>
  <c r="AW19" i="118" s="1"/>
  <c r="AU20" i="118"/>
  <c r="AW20" i="118" s="1"/>
  <c r="AU21" i="118"/>
  <c r="AW21" i="118" s="1"/>
  <c r="AU22" i="118"/>
  <c r="AW22" i="118" s="1"/>
  <c r="AU23" i="118"/>
  <c r="AW23" i="118" s="1"/>
  <c r="AU24" i="118"/>
  <c r="AW24" i="118" s="1"/>
  <c r="AU25" i="118"/>
  <c r="AW25" i="118" s="1"/>
  <c r="AU26" i="118"/>
  <c r="AW26" i="118" s="1"/>
  <c r="AU27" i="118"/>
  <c r="AW27" i="118" s="1"/>
  <c r="AU28" i="118"/>
  <c r="AW28" i="118" s="1"/>
  <c r="AU29" i="118"/>
  <c r="AW29" i="118" s="1"/>
  <c r="AU30" i="118"/>
  <c r="AW30" i="118" s="1"/>
  <c r="AU31" i="118"/>
  <c r="AW31" i="118" s="1"/>
  <c r="AU32" i="118"/>
  <c r="AW32" i="118" s="1"/>
  <c r="AU33" i="118"/>
  <c r="AW33" i="118" s="1"/>
  <c r="AU4" i="118"/>
  <c r="AW4" i="118" s="1"/>
  <c r="AP5" i="118"/>
  <c r="AR5" i="118" s="1"/>
  <c r="AP6" i="118"/>
  <c r="AR6" i="118" s="1"/>
  <c r="AP7" i="118"/>
  <c r="AR7" i="118" s="1"/>
  <c r="AP8" i="118"/>
  <c r="AR8" i="118" s="1"/>
  <c r="AP9" i="118"/>
  <c r="AR9" i="118" s="1"/>
  <c r="AP10" i="118"/>
  <c r="AR10" i="118" s="1"/>
  <c r="AP11" i="118"/>
  <c r="AR11" i="118" s="1"/>
  <c r="AP12" i="118"/>
  <c r="AR12" i="118" s="1"/>
  <c r="AP13" i="118"/>
  <c r="AR13" i="118" s="1"/>
  <c r="AP14" i="118"/>
  <c r="AR14" i="118" s="1"/>
  <c r="AP15" i="118"/>
  <c r="AR15" i="118" s="1"/>
  <c r="AP16" i="118"/>
  <c r="AR16" i="118" s="1"/>
  <c r="AP17" i="118"/>
  <c r="AR17" i="118" s="1"/>
  <c r="AP18" i="118"/>
  <c r="AR18" i="118" s="1"/>
  <c r="AP19" i="118"/>
  <c r="AR19" i="118" s="1"/>
  <c r="AP20" i="118"/>
  <c r="AR20" i="118" s="1"/>
  <c r="AP21" i="118"/>
  <c r="AR21" i="118" s="1"/>
  <c r="AP22" i="118"/>
  <c r="AR22" i="118" s="1"/>
  <c r="AP23" i="118"/>
  <c r="AR23" i="118" s="1"/>
  <c r="AP24" i="118"/>
  <c r="AR24" i="118" s="1"/>
  <c r="AP25" i="118"/>
  <c r="AR25" i="118" s="1"/>
  <c r="AP26" i="118"/>
  <c r="AR26" i="118" s="1"/>
  <c r="AP27" i="118"/>
  <c r="AR27" i="118" s="1"/>
  <c r="AP28" i="118"/>
  <c r="AR28" i="118" s="1"/>
  <c r="AP29" i="118"/>
  <c r="AR29" i="118" s="1"/>
  <c r="AP30" i="118"/>
  <c r="AR30" i="118" s="1"/>
  <c r="AP31" i="118"/>
  <c r="AR31" i="118" s="1"/>
  <c r="AP32" i="118"/>
  <c r="AR32" i="118" s="1"/>
  <c r="AP33" i="118"/>
  <c r="AR33" i="118" s="1"/>
  <c r="AP4" i="118"/>
  <c r="AR4" i="118" s="1"/>
  <c r="AK5" i="118"/>
  <c r="AM5" i="118" s="1"/>
  <c r="AK6" i="118"/>
  <c r="AM6" i="118" s="1"/>
  <c r="AK7" i="118"/>
  <c r="AM7" i="118" s="1"/>
  <c r="AK8" i="118"/>
  <c r="AM8" i="118" s="1"/>
  <c r="AK9" i="118"/>
  <c r="AM9" i="118" s="1"/>
  <c r="AK10" i="118"/>
  <c r="AM10" i="118" s="1"/>
  <c r="AK11" i="118"/>
  <c r="AM11" i="118" s="1"/>
  <c r="AK12" i="118"/>
  <c r="AM12" i="118" s="1"/>
  <c r="AK13" i="118"/>
  <c r="AM13" i="118" s="1"/>
  <c r="AK14" i="118"/>
  <c r="AM14" i="118" s="1"/>
  <c r="AK15" i="118"/>
  <c r="AM15" i="118" s="1"/>
  <c r="AK16" i="118"/>
  <c r="AM16" i="118" s="1"/>
  <c r="AK17" i="118"/>
  <c r="AM17" i="118" s="1"/>
  <c r="AK18" i="118"/>
  <c r="AM18" i="118" s="1"/>
  <c r="AK19" i="118"/>
  <c r="AM19" i="118" s="1"/>
  <c r="AK20" i="118"/>
  <c r="AM20" i="118" s="1"/>
  <c r="AK21" i="118"/>
  <c r="AM21" i="118" s="1"/>
  <c r="AK22" i="118"/>
  <c r="AM22" i="118" s="1"/>
  <c r="AK23" i="118"/>
  <c r="AM23" i="118" s="1"/>
  <c r="AK24" i="118"/>
  <c r="AM24" i="118" s="1"/>
  <c r="AK25" i="118"/>
  <c r="AM25" i="118" s="1"/>
  <c r="AK26" i="118"/>
  <c r="AM26" i="118" s="1"/>
  <c r="AK27" i="118"/>
  <c r="AM27" i="118" s="1"/>
  <c r="AK28" i="118"/>
  <c r="AM28" i="118" s="1"/>
  <c r="AK29" i="118"/>
  <c r="AM29" i="118" s="1"/>
  <c r="AK30" i="118"/>
  <c r="AM30" i="118" s="1"/>
  <c r="AK31" i="118"/>
  <c r="AM31" i="118" s="1"/>
  <c r="AK32" i="118"/>
  <c r="AM32" i="118" s="1"/>
  <c r="AK33" i="118"/>
  <c r="AM33" i="118" s="1"/>
  <c r="AK4" i="118"/>
  <c r="AM4" i="118" s="1"/>
  <c r="AM35" i="118" s="1"/>
  <c r="AF5" i="118"/>
  <c r="AH5" i="118" s="1"/>
  <c r="AF6" i="118"/>
  <c r="AH6" i="118" s="1"/>
  <c r="AF7" i="118"/>
  <c r="AH7" i="118" s="1"/>
  <c r="AF8" i="118"/>
  <c r="AH8" i="118" s="1"/>
  <c r="AF9" i="118"/>
  <c r="AH9" i="118" s="1"/>
  <c r="AF10" i="118"/>
  <c r="AH10" i="118" s="1"/>
  <c r="AF11" i="118"/>
  <c r="AH11" i="118" s="1"/>
  <c r="AF12" i="118"/>
  <c r="AH12" i="118" s="1"/>
  <c r="AF13" i="118"/>
  <c r="AH13" i="118" s="1"/>
  <c r="AF14" i="118"/>
  <c r="AH14" i="118" s="1"/>
  <c r="AF15" i="118"/>
  <c r="AH15" i="118" s="1"/>
  <c r="AF16" i="118"/>
  <c r="AH16" i="118" s="1"/>
  <c r="AF17" i="118"/>
  <c r="AH17" i="118" s="1"/>
  <c r="AF18" i="118"/>
  <c r="AH18" i="118" s="1"/>
  <c r="AF19" i="118"/>
  <c r="AH19" i="118" s="1"/>
  <c r="AF20" i="118"/>
  <c r="AH20" i="118" s="1"/>
  <c r="AF21" i="118"/>
  <c r="AH21" i="118" s="1"/>
  <c r="AF22" i="118"/>
  <c r="AH22" i="118" s="1"/>
  <c r="AF23" i="118"/>
  <c r="AH23" i="118" s="1"/>
  <c r="AF24" i="118"/>
  <c r="AH24" i="118" s="1"/>
  <c r="AF25" i="118"/>
  <c r="AH25" i="118" s="1"/>
  <c r="AF26" i="118"/>
  <c r="AH26" i="118" s="1"/>
  <c r="AF27" i="118"/>
  <c r="AH27" i="118" s="1"/>
  <c r="AF28" i="118"/>
  <c r="AH28" i="118" s="1"/>
  <c r="AF29" i="118"/>
  <c r="AH29" i="118" s="1"/>
  <c r="AF30" i="118"/>
  <c r="AH30" i="118" s="1"/>
  <c r="AF31" i="118"/>
  <c r="AH31" i="118" s="1"/>
  <c r="AF32" i="118"/>
  <c r="AH32" i="118" s="1"/>
  <c r="AF33" i="118"/>
  <c r="AH33" i="118" s="1"/>
  <c r="AF4" i="118"/>
  <c r="AH4" i="118" s="1"/>
  <c r="AA5" i="118"/>
  <c r="AC5" i="118" s="1"/>
  <c r="AA6" i="118"/>
  <c r="AC6" i="118" s="1"/>
  <c r="AA7" i="118"/>
  <c r="AC7" i="118" s="1"/>
  <c r="AA8" i="118"/>
  <c r="AC8" i="118" s="1"/>
  <c r="AA9" i="118"/>
  <c r="AC9" i="118" s="1"/>
  <c r="AA10" i="118"/>
  <c r="AC10" i="118" s="1"/>
  <c r="AA11" i="118"/>
  <c r="AC11" i="118" s="1"/>
  <c r="AA12" i="118"/>
  <c r="AC12" i="118" s="1"/>
  <c r="AA13" i="118"/>
  <c r="AC13" i="118" s="1"/>
  <c r="AA14" i="118"/>
  <c r="AC14" i="118" s="1"/>
  <c r="AA15" i="118"/>
  <c r="AC15" i="118" s="1"/>
  <c r="AA16" i="118"/>
  <c r="AC16" i="118" s="1"/>
  <c r="AA17" i="118"/>
  <c r="AC17" i="118" s="1"/>
  <c r="AA18" i="118"/>
  <c r="AC18" i="118" s="1"/>
  <c r="AA19" i="118"/>
  <c r="AC19" i="118" s="1"/>
  <c r="AA20" i="118"/>
  <c r="AC20" i="118" s="1"/>
  <c r="AA21" i="118"/>
  <c r="AC21" i="118" s="1"/>
  <c r="AA22" i="118"/>
  <c r="AC22" i="118" s="1"/>
  <c r="AA23" i="118"/>
  <c r="AC23" i="118" s="1"/>
  <c r="AA24" i="118"/>
  <c r="AC24" i="118" s="1"/>
  <c r="AA25" i="118"/>
  <c r="AC25" i="118" s="1"/>
  <c r="AA26" i="118"/>
  <c r="AC26" i="118" s="1"/>
  <c r="AA27" i="118"/>
  <c r="AC27" i="118" s="1"/>
  <c r="AA28" i="118"/>
  <c r="AC28" i="118" s="1"/>
  <c r="AA29" i="118"/>
  <c r="AC29" i="118" s="1"/>
  <c r="AA30" i="118"/>
  <c r="AC30" i="118" s="1"/>
  <c r="AA31" i="118"/>
  <c r="AC31" i="118" s="1"/>
  <c r="AA32" i="118"/>
  <c r="AC32" i="118" s="1"/>
  <c r="AA33" i="118"/>
  <c r="AC33" i="118" s="1"/>
  <c r="AA4" i="118"/>
  <c r="AC4" i="118" s="1"/>
  <c r="V5" i="118"/>
  <c r="X5" i="118" s="1"/>
  <c r="V6" i="118"/>
  <c r="X6" i="118" s="1"/>
  <c r="V7" i="118"/>
  <c r="X7" i="118" s="1"/>
  <c r="V8" i="118"/>
  <c r="X8" i="118" s="1"/>
  <c r="V9" i="118"/>
  <c r="X9" i="118" s="1"/>
  <c r="V10" i="118"/>
  <c r="X10" i="118" s="1"/>
  <c r="V11" i="118"/>
  <c r="X11" i="118" s="1"/>
  <c r="V12" i="118"/>
  <c r="X12" i="118" s="1"/>
  <c r="V13" i="118"/>
  <c r="X13" i="118" s="1"/>
  <c r="V14" i="118"/>
  <c r="X14" i="118" s="1"/>
  <c r="V15" i="118"/>
  <c r="X15" i="118" s="1"/>
  <c r="V16" i="118"/>
  <c r="X16" i="118" s="1"/>
  <c r="V17" i="118"/>
  <c r="X17" i="118" s="1"/>
  <c r="V18" i="118"/>
  <c r="X18" i="118" s="1"/>
  <c r="V19" i="118"/>
  <c r="X19" i="118" s="1"/>
  <c r="V20" i="118"/>
  <c r="X20" i="118" s="1"/>
  <c r="V21" i="118"/>
  <c r="X21" i="118" s="1"/>
  <c r="V22" i="118"/>
  <c r="X22" i="118" s="1"/>
  <c r="V23" i="118"/>
  <c r="X23" i="118" s="1"/>
  <c r="V24" i="118"/>
  <c r="X24" i="118" s="1"/>
  <c r="V25" i="118"/>
  <c r="X25" i="118" s="1"/>
  <c r="V26" i="118"/>
  <c r="X26" i="118" s="1"/>
  <c r="V27" i="118"/>
  <c r="X27" i="118" s="1"/>
  <c r="V28" i="118"/>
  <c r="X28" i="118" s="1"/>
  <c r="V29" i="118"/>
  <c r="X29" i="118" s="1"/>
  <c r="V30" i="118"/>
  <c r="X30" i="118" s="1"/>
  <c r="V31" i="118"/>
  <c r="X31" i="118" s="1"/>
  <c r="V32" i="118"/>
  <c r="X32" i="118" s="1"/>
  <c r="V33" i="118"/>
  <c r="X33" i="118" s="1"/>
  <c r="V4" i="118"/>
  <c r="X4" i="118" s="1"/>
  <c r="Q5" i="118"/>
  <c r="S5" i="118" s="1"/>
  <c r="Q6" i="118"/>
  <c r="S6" i="118" s="1"/>
  <c r="Q7" i="118"/>
  <c r="S7" i="118" s="1"/>
  <c r="Q8" i="118"/>
  <c r="S8" i="118" s="1"/>
  <c r="Q9" i="118"/>
  <c r="S9" i="118" s="1"/>
  <c r="Q10" i="118"/>
  <c r="S10" i="118" s="1"/>
  <c r="Q11" i="118"/>
  <c r="S11" i="118" s="1"/>
  <c r="Q12" i="118"/>
  <c r="S12" i="118" s="1"/>
  <c r="Q13" i="118"/>
  <c r="S13" i="118" s="1"/>
  <c r="Q14" i="118"/>
  <c r="S14" i="118" s="1"/>
  <c r="Q15" i="118"/>
  <c r="S15" i="118" s="1"/>
  <c r="Q16" i="118"/>
  <c r="S16" i="118" s="1"/>
  <c r="Q17" i="118"/>
  <c r="S17" i="118" s="1"/>
  <c r="Q18" i="118"/>
  <c r="S18" i="118" s="1"/>
  <c r="Q19" i="118"/>
  <c r="S19" i="118" s="1"/>
  <c r="Q20" i="118"/>
  <c r="S20" i="118" s="1"/>
  <c r="Q21" i="118"/>
  <c r="S21" i="118" s="1"/>
  <c r="Q22" i="118"/>
  <c r="S22" i="118" s="1"/>
  <c r="Q23" i="118"/>
  <c r="S23" i="118" s="1"/>
  <c r="Q24" i="118"/>
  <c r="S24" i="118" s="1"/>
  <c r="Q25" i="118"/>
  <c r="S25" i="118" s="1"/>
  <c r="Q26" i="118"/>
  <c r="S26" i="118" s="1"/>
  <c r="Q27" i="118"/>
  <c r="S27" i="118" s="1"/>
  <c r="Q28" i="118"/>
  <c r="S28" i="118" s="1"/>
  <c r="Q29" i="118"/>
  <c r="S29" i="118" s="1"/>
  <c r="Q30" i="118"/>
  <c r="S30" i="118" s="1"/>
  <c r="Q31" i="118"/>
  <c r="S31" i="118" s="1"/>
  <c r="Q32" i="118"/>
  <c r="S32" i="118" s="1"/>
  <c r="Q33" i="118"/>
  <c r="S33" i="118" s="1"/>
  <c r="Q4" i="118"/>
  <c r="S4" i="118" s="1"/>
  <c r="L5" i="118"/>
  <c r="N5" i="118" s="1"/>
  <c r="L6" i="118"/>
  <c r="N6" i="118" s="1"/>
  <c r="L7" i="118"/>
  <c r="N7" i="118" s="1"/>
  <c r="L8" i="118"/>
  <c r="N8" i="118" s="1"/>
  <c r="L9" i="118"/>
  <c r="N9" i="118" s="1"/>
  <c r="L10" i="118"/>
  <c r="N10" i="118" s="1"/>
  <c r="L11" i="118"/>
  <c r="N11" i="118" s="1"/>
  <c r="L12" i="118"/>
  <c r="N12" i="118" s="1"/>
  <c r="L13" i="118"/>
  <c r="N13" i="118" s="1"/>
  <c r="L14" i="118"/>
  <c r="N14" i="118" s="1"/>
  <c r="L15" i="118"/>
  <c r="N15" i="118" s="1"/>
  <c r="L16" i="118"/>
  <c r="N16" i="118" s="1"/>
  <c r="L17" i="118"/>
  <c r="N17" i="118" s="1"/>
  <c r="L18" i="118"/>
  <c r="N18" i="118" s="1"/>
  <c r="L19" i="118"/>
  <c r="N19" i="118" s="1"/>
  <c r="L20" i="118"/>
  <c r="N20" i="118" s="1"/>
  <c r="L21" i="118"/>
  <c r="N21" i="118" s="1"/>
  <c r="L22" i="118"/>
  <c r="N22" i="118" s="1"/>
  <c r="L23" i="118"/>
  <c r="N23" i="118" s="1"/>
  <c r="L24" i="118"/>
  <c r="N24" i="118" s="1"/>
  <c r="L25" i="118"/>
  <c r="N25" i="118" s="1"/>
  <c r="L26" i="118"/>
  <c r="N26" i="118" s="1"/>
  <c r="L27" i="118"/>
  <c r="N27" i="118" s="1"/>
  <c r="L28" i="118"/>
  <c r="N28" i="118" s="1"/>
  <c r="L29" i="118"/>
  <c r="N29" i="118" s="1"/>
  <c r="L30" i="118"/>
  <c r="N30" i="118" s="1"/>
  <c r="L31" i="118"/>
  <c r="N31" i="118" s="1"/>
  <c r="L32" i="118"/>
  <c r="N32" i="118" s="1"/>
  <c r="L33" i="118"/>
  <c r="N33" i="118" s="1"/>
  <c r="L4" i="118"/>
  <c r="N4" i="118" s="1"/>
  <c r="G4" i="118"/>
  <c r="I4" i="118" s="1"/>
  <c r="I35" i="118" s="1"/>
  <c r="G5" i="118"/>
  <c r="I5" i="118" s="1"/>
  <c r="G6" i="118"/>
  <c r="I6" i="118" s="1"/>
  <c r="G7" i="118"/>
  <c r="I7" i="118" s="1"/>
  <c r="G8" i="118"/>
  <c r="I8" i="118" s="1"/>
  <c r="G9" i="118"/>
  <c r="I9" i="118" s="1"/>
  <c r="G10" i="118"/>
  <c r="I10" i="118" s="1"/>
  <c r="G11" i="118"/>
  <c r="I11" i="118" s="1"/>
  <c r="G13" i="118"/>
  <c r="I13" i="118" s="1"/>
  <c r="G14" i="118"/>
  <c r="I14" i="118" s="1"/>
  <c r="G15" i="118"/>
  <c r="I15" i="118" s="1"/>
  <c r="G16" i="118"/>
  <c r="I16" i="118" s="1"/>
  <c r="G17" i="118"/>
  <c r="I17" i="118" s="1"/>
  <c r="G18" i="118"/>
  <c r="I18" i="118" s="1"/>
  <c r="G19" i="118"/>
  <c r="I19" i="118" s="1"/>
  <c r="G20" i="118"/>
  <c r="I20" i="118" s="1"/>
  <c r="G21" i="118"/>
  <c r="I21" i="118" s="1"/>
  <c r="G22" i="118"/>
  <c r="I22" i="118" s="1"/>
  <c r="G23" i="118"/>
  <c r="I23" i="118" s="1"/>
  <c r="G24" i="118"/>
  <c r="I24" i="118" s="1"/>
  <c r="G25" i="118"/>
  <c r="I25" i="118" s="1"/>
  <c r="G26" i="118"/>
  <c r="I26" i="118" s="1"/>
  <c r="G27" i="118"/>
  <c r="I27" i="118" s="1"/>
  <c r="G28" i="118"/>
  <c r="I28" i="118" s="1"/>
  <c r="G29" i="118"/>
  <c r="I29" i="118" s="1"/>
  <c r="G30" i="118"/>
  <c r="I30" i="118" s="1"/>
  <c r="G31" i="118"/>
  <c r="I31" i="118" s="1"/>
  <c r="G32" i="118"/>
  <c r="I32" i="118" s="1"/>
  <c r="G33" i="118"/>
  <c r="I33" i="118" s="1"/>
  <c r="B5" i="118"/>
  <c r="D5" i="118" s="1"/>
  <c r="B6" i="118"/>
  <c r="D6" i="118" s="1"/>
  <c r="B7" i="118"/>
  <c r="D7" i="118" s="1"/>
  <c r="B8" i="118"/>
  <c r="D8" i="118" s="1"/>
  <c r="B9" i="118"/>
  <c r="D9" i="118" s="1"/>
  <c r="B10" i="118"/>
  <c r="D10" i="118" s="1"/>
  <c r="B11" i="118"/>
  <c r="D11" i="118" s="1"/>
  <c r="B12" i="118"/>
  <c r="D12" i="118" s="1"/>
  <c r="B13" i="118"/>
  <c r="D13" i="118" s="1"/>
  <c r="B14" i="118"/>
  <c r="D14" i="118" s="1"/>
  <c r="B15" i="118"/>
  <c r="D15" i="118" s="1"/>
  <c r="B16" i="118"/>
  <c r="D16" i="118" s="1"/>
  <c r="B17" i="118"/>
  <c r="D17" i="118" s="1"/>
  <c r="B18" i="118"/>
  <c r="D18" i="118" s="1"/>
  <c r="B19" i="118"/>
  <c r="D19" i="118" s="1"/>
  <c r="B20" i="118"/>
  <c r="D20" i="118" s="1"/>
  <c r="B21" i="118"/>
  <c r="D21" i="118" s="1"/>
  <c r="B22" i="118"/>
  <c r="D22" i="118" s="1"/>
  <c r="B23" i="118"/>
  <c r="D23" i="118" s="1"/>
  <c r="B24" i="118"/>
  <c r="D24" i="118" s="1"/>
  <c r="B25" i="118"/>
  <c r="D25" i="118" s="1"/>
  <c r="B26" i="118"/>
  <c r="D26" i="118" s="1"/>
  <c r="B27" i="118"/>
  <c r="D27" i="118" s="1"/>
  <c r="B28" i="118"/>
  <c r="D28" i="118" s="1"/>
  <c r="B29" i="118"/>
  <c r="D29" i="118" s="1"/>
  <c r="B30" i="118"/>
  <c r="D30" i="118" s="1"/>
  <c r="B31" i="118"/>
  <c r="D31" i="118" s="1"/>
  <c r="B32" i="118"/>
  <c r="D32" i="118" s="1"/>
  <c r="B33" i="118"/>
  <c r="D33" i="118" s="1"/>
  <c r="BJ28" i="28"/>
  <c r="BJ34" i="28"/>
  <c r="BJ6" i="28"/>
  <c r="BJ7" i="28"/>
  <c r="BJ8" i="28"/>
  <c r="BJ9" i="28"/>
  <c r="BJ10" i="28"/>
  <c r="BJ11" i="28"/>
  <c r="BJ12" i="28"/>
  <c r="BJ13" i="28"/>
  <c r="BJ14" i="28"/>
  <c r="BJ15" i="28"/>
  <c r="BJ16" i="28"/>
  <c r="BJ17" i="28"/>
  <c r="BJ18" i="28"/>
  <c r="BJ19" i="28"/>
  <c r="BJ20" i="28"/>
  <c r="BJ21" i="28"/>
  <c r="BJ22" i="28"/>
  <c r="BJ23" i="28"/>
  <c r="BJ24" i="28"/>
  <c r="BJ25" i="28"/>
  <c r="BJ26" i="28"/>
  <c r="BJ27" i="28"/>
  <c r="BJ29" i="28"/>
  <c r="BJ30" i="28"/>
  <c r="BJ31" i="28"/>
  <c r="BJ32" i="28"/>
  <c r="BJ33" i="28"/>
  <c r="BJ5" i="28"/>
  <c r="AB30" i="114"/>
  <c r="AB6" i="114"/>
  <c r="AB7" i="114"/>
  <c r="AB8" i="114"/>
  <c r="AB9" i="114"/>
  <c r="AB10" i="114"/>
  <c r="AB11" i="114"/>
  <c r="AB12" i="114"/>
  <c r="AB13" i="114"/>
  <c r="AB14" i="114"/>
  <c r="AB15" i="114"/>
  <c r="AB16" i="114"/>
  <c r="AB17" i="114"/>
  <c r="AB18" i="114"/>
  <c r="AB19" i="114"/>
  <c r="AB20" i="114"/>
  <c r="AB21" i="114"/>
  <c r="AB22" i="114"/>
  <c r="AB23" i="114"/>
  <c r="AB24" i="114"/>
  <c r="AB25" i="114"/>
  <c r="AB26" i="114"/>
  <c r="AB27" i="114"/>
  <c r="AB28" i="114"/>
  <c r="AB29" i="114"/>
  <c r="AB31" i="114"/>
  <c r="AB32" i="114"/>
  <c r="AB33" i="114"/>
  <c r="AB34" i="114"/>
  <c r="F18" i="116" l="1"/>
  <c r="Z29" i="125"/>
  <c r="K29" i="125"/>
  <c r="S29" i="125"/>
  <c r="P29" i="125"/>
  <c r="AC29" i="125"/>
  <c r="AC30" i="125" s="1"/>
  <c r="V29" i="125"/>
  <c r="U29" i="125"/>
  <c r="U30" i="125" s="1"/>
  <c r="Y29" i="125"/>
  <c r="AB29" i="125"/>
  <c r="AB30" i="125" s="1"/>
  <c r="J29" i="125"/>
  <c r="AF29" i="125"/>
  <c r="Q29" i="125"/>
  <c r="Q30" i="125" s="1"/>
  <c r="R29" i="125"/>
  <c r="R30" i="125" s="1"/>
  <c r="T29" i="125"/>
  <c r="T30" i="125" s="1"/>
  <c r="W29" i="125"/>
  <c r="F20" i="125"/>
  <c r="C4" i="125"/>
  <c r="F22" i="125"/>
  <c r="K30" i="125"/>
  <c r="S30" i="125"/>
  <c r="F20" i="116"/>
  <c r="X30" i="125"/>
  <c r="X32" i="125" s="1"/>
  <c r="O22" i="125"/>
  <c r="AA30" i="125"/>
  <c r="AA31" i="125" s="1"/>
  <c r="AD21" i="125"/>
  <c r="AD26" i="125" s="1"/>
  <c r="AC22" i="125"/>
  <c r="Q21" i="125"/>
  <c r="V21" i="125"/>
  <c r="U22" i="125"/>
  <c r="M30" i="125"/>
  <c r="X21" i="125"/>
  <c r="W22" i="125"/>
  <c r="N30" i="125"/>
  <c r="AD30" i="125"/>
  <c r="AC21" i="125"/>
  <c r="AB22" i="125"/>
  <c r="AE21" i="125"/>
  <c r="Y22" i="125"/>
  <c r="Q22" i="125"/>
  <c r="AF22" i="125"/>
  <c r="X22" i="125"/>
  <c r="P22" i="125"/>
  <c r="Z22" i="125"/>
  <c r="R22" i="125"/>
  <c r="J22" i="125"/>
  <c r="AE22" i="125"/>
  <c r="T22" i="125"/>
  <c r="AD22" i="125"/>
  <c r="S22" i="125"/>
  <c r="AA22" i="125"/>
  <c r="M22" i="125"/>
  <c r="V22" i="125"/>
  <c r="K22" i="125"/>
  <c r="L21" i="125"/>
  <c r="AE30" i="125"/>
  <c r="N21" i="125"/>
  <c r="L22" i="125"/>
  <c r="O30" i="125"/>
  <c r="L30" i="125"/>
  <c r="P21" i="125"/>
  <c r="N22" i="125"/>
  <c r="M21" i="125"/>
  <c r="W21" i="125"/>
  <c r="Z30" i="125"/>
  <c r="O21" i="125"/>
  <c r="Y21" i="125"/>
  <c r="T21" i="125"/>
  <c r="AA21" i="125"/>
  <c r="S21" i="125"/>
  <c r="K21" i="125"/>
  <c r="Z21" i="125"/>
  <c r="R21" i="125"/>
  <c r="J21" i="125"/>
  <c r="AB21" i="125"/>
  <c r="U21" i="125"/>
  <c r="AF21" i="125"/>
  <c r="D7" i="120"/>
  <c r="D11" i="120"/>
  <c r="D15" i="120"/>
  <c r="D19" i="120"/>
  <c r="B21" i="120"/>
  <c r="D9" i="120"/>
  <c r="D13" i="120"/>
  <c r="D14" i="120"/>
  <c r="D18" i="120"/>
  <c r="C21" i="120"/>
  <c r="K21" i="112"/>
  <c r="DL9" i="118"/>
  <c r="DG28" i="118"/>
  <c r="DL18" i="118"/>
  <c r="DG29" i="118"/>
  <c r="DL25" i="118"/>
  <c r="DL4" i="118"/>
  <c r="DK26" i="118"/>
  <c r="DL26" i="118"/>
  <c r="DK10" i="118"/>
  <c r="DL33" i="118"/>
  <c r="DL10" i="118"/>
  <c r="DG5" i="118"/>
  <c r="DL17" i="118"/>
  <c r="DG13" i="118"/>
  <c r="DK18" i="118"/>
  <c r="DG22" i="118"/>
  <c r="DL8" i="118"/>
  <c r="DL12" i="118"/>
  <c r="DL16" i="118"/>
  <c r="DL20" i="118"/>
  <c r="DL24" i="118"/>
  <c r="DL28" i="118"/>
  <c r="DL32" i="118"/>
  <c r="DG4" i="118"/>
  <c r="DF14" i="118"/>
  <c r="DF26" i="118"/>
  <c r="DK5" i="118"/>
  <c r="DK9" i="118"/>
  <c r="DK13" i="118"/>
  <c r="DK17" i="118"/>
  <c r="DK21" i="118"/>
  <c r="DK25" i="118"/>
  <c r="DK29" i="118"/>
  <c r="DK33" i="118"/>
  <c r="DG14" i="118"/>
  <c r="DG26" i="118"/>
  <c r="DL5" i="118"/>
  <c r="DL13" i="118"/>
  <c r="DL21" i="118"/>
  <c r="DL29" i="118"/>
  <c r="DF6" i="118"/>
  <c r="DF18" i="118"/>
  <c r="DK6" i="118"/>
  <c r="DK14" i="118"/>
  <c r="DK22" i="118"/>
  <c r="DK30" i="118"/>
  <c r="DG6" i="118"/>
  <c r="DG18" i="118"/>
  <c r="DL6" i="118"/>
  <c r="DL14" i="118"/>
  <c r="DL22" i="118"/>
  <c r="DL30" i="118"/>
  <c r="DF10" i="118"/>
  <c r="DG20" i="118"/>
  <c r="DF30" i="118"/>
  <c r="DK7" i="118"/>
  <c r="DK11" i="118"/>
  <c r="DK15" i="118"/>
  <c r="DK19" i="118"/>
  <c r="DK23" i="118"/>
  <c r="DK27" i="118"/>
  <c r="DK31" i="118"/>
  <c r="DG10" i="118"/>
  <c r="DG21" i="118"/>
  <c r="DG30" i="118"/>
  <c r="DL7" i="118"/>
  <c r="DL11" i="118"/>
  <c r="DL15" i="118"/>
  <c r="DL19" i="118"/>
  <c r="DL23" i="118"/>
  <c r="DL27" i="118"/>
  <c r="DL31" i="118"/>
  <c r="DG12" i="118"/>
  <c r="DF22" i="118"/>
  <c r="DK4" i="118"/>
  <c r="DK8" i="118"/>
  <c r="DK12" i="118"/>
  <c r="DK16" i="118"/>
  <c r="DK20" i="118"/>
  <c r="DK24" i="118"/>
  <c r="DK28" i="118"/>
  <c r="DK32" i="118"/>
  <c r="DB17" i="118"/>
  <c r="DG8" i="118"/>
  <c r="DG16" i="118"/>
  <c r="DG24" i="118"/>
  <c r="DG32" i="118"/>
  <c r="DA18" i="118"/>
  <c r="DF5" i="118"/>
  <c r="DF9" i="118"/>
  <c r="DF13" i="118"/>
  <c r="DF17" i="118"/>
  <c r="DF21" i="118"/>
  <c r="DF25" i="118"/>
  <c r="DF29" i="118"/>
  <c r="DF33" i="118"/>
  <c r="CW12" i="118"/>
  <c r="DB18" i="118"/>
  <c r="DG9" i="118"/>
  <c r="DG17" i="118"/>
  <c r="DG25" i="118"/>
  <c r="DG33" i="118"/>
  <c r="CW28" i="118"/>
  <c r="DB25" i="118"/>
  <c r="DB4" i="118"/>
  <c r="DA26" i="118"/>
  <c r="DB9" i="118"/>
  <c r="DB26" i="118"/>
  <c r="DF7" i="118"/>
  <c r="DF11" i="118"/>
  <c r="DF15" i="118"/>
  <c r="DF19" i="118"/>
  <c r="DF23" i="118"/>
  <c r="DF27" i="118"/>
  <c r="DF31" i="118"/>
  <c r="DA10" i="118"/>
  <c r="DB33" i="118"/>
  <c r="DG7" i="118"/>
  <c r="DG11" i="118"/>
  <c r="DG15" i="118"/>
  <c r="DG19" i="118"/>
  <c r="DG23" i="118"/>
  <c r="DG27" i="118"/>
  <c r="DG31" i="118"/>
  <c r="DB10" i="118"/>
  <c r="DF4" i="118"/>
  <c r="DF8" i="118"/>
  <c r="DF12" i="118"/>
  <c r="DF16" i="118"/>
  <c r="DF20" i="118"/>
  <c r="DF24" i="118"/>
  <c r="DF28" i="118"/>
  <c r="DF32" i="118"/>
  <c r="CR4" i="118"/>
  <c r="CV6" i="118"/>
  <c r="CV22" i="118"/>
  <c r="DB8" i="118"/>
  <c r="DB12" i="118"/>
  <c r="DB16" i="118"/>
  <c r="DB20" i="118"/>
  <c r="DB24" i="118"/>
  <c r="DB28" i="118"/>
  <c r="DB32" i="118"/>
  <c r="CQ10" i="118"/>
  <c r="CW6" i="118"/>
  <c r="CW22" i="118"/>
  <c r="DA5" i="118"/>
  <c r="DA9" i="118"/>
  <c r="DA13" i="118"/>
  <c r="DA17" i="118"/>
  <c r="DA21" i="118"/>
  <c r="DA25" i="118"/>
  <c r="DA29" i="118"/>
  <c r="DA33" i="118"/>
  <c r="CR16" i="118"/>
  <c r="CW8" i="118"/>
  <c r="CW24" i="118"/>
  <c r="DB5" i="118"/>
  <c r="DB13" i="118"/>
  <c r="DB21" i="118"/>
  <c r="DB29" i="118"/>
  <c r="CQ17" i="118"/>
  <c r="DA6" i="118"/>
  <c r="DA14" i="118"/>
  <c r="DA22" i="118"/>
  <c r="DA30" i="118"/>
  <c r="CR24" i="118"/>
  <c r="CV14" i="118"/>
  <c r="CV30" i="118"/>
  <c r="DB6" i="118"/>
  <c r="DB14" i="118"/>
  <c r="DB22" i="118"/>
  <c r="DB30" i="118"/>
  <c r="CH20" i="118"/>
  <c r="CQ26" i="118"/>
  <c r="CW14" i="118"/>
  <c r="CW30" i="118"/>
  <c r="DA7" i="118"/>
  <c r="DA11" i="118"/>
  <c r="DA15" i="118"/>
  <c r="DA19" i="118"/>
  <c r="DA23" i="118"/>
  <c r="DA27" i="118"/>
  <c r="DA31" i="118"/>
  <c r="CL18" i="118"/>
  <c r="CR26" i="118"/>
  <c r="CW16" i="118"/>
  <c r="CW32" i="118"/>
  <c r="DB7" i="118"/>
  <c r="DB11" i="118"/>
  <c r="DB15" i="118"/>
  <c r="DB19" i="118"/>
  <c r="DB23" i="118"/>
  <c r="DB27" i="118"/>
  <c r="DB31" i="118"/>
  <c r="CL26" i="118"/>
  <c r="CW4" i="118"/>
  <c r="CW20" i="118"/>
  <c r="DA4" i="118"/>
  <c r="DA8" i="118"/>
  <c r="DA12" i="118"/>
  <c r="DA16" i="118"/>
  <c r="DA20" i="118"/>
  <c r="DA24" i="118"/>
  <c r="DA28" i="118"/>
  <c r="DA32" i="118"/>
  <c r="CM4" i="118"/>
  <c r="CR10" i="118"/>
  <c r="CQ25" i="118"/>
  <c r="CV5" i="118"/>
  <c r="CV9" i="118"/>
  <c r="CV13" i="118"/>
  <c r="CV17" i="118"/>
  <c r="CV21" i="118"/>
  <c r="CV25" i="118"/>
  <c r="CV29" i="118"/>
  <c r="CV33" i="118"/>
  <c r="CQ13" i="118"/>
  <c r="CW5" i="118"/>
  <c r="CW9" i="118"/>
  <c r="CW13" i="118"/>
  <c r="CW17" i="118"/>
  <c r="CW21" i="118"/>
  <c r="CW25" i="118"/>
  <c r="CW29" i="118"/>
  <c r="CW33" i="118"/>
  <c r="CV10" i="118"/>
  <c r="CV18" i="118"/>
  <c r="CV26" i="118"/>
  <c r="CQ29" i="118"/>
  <c r="CW10" i="118"/>
  <c r="CW18" i="118"/>
  <c r="CW26" i="118"/>
  <c r="CQ5" i="118"/>
  <c r="CQ18" i="118"/>
  <c r="CR32" i="118"/>
  <c r="CV7" i="118"/>
  <c r="CV11" i="118"/>
  <c r="CV15" i="118"/>
  <c r="CV19" i="118"/>
  <c r="CV23" i="118"/>
  <c r="CV27" i="118"/>
  <c r="CV31" i="118"/>
  <c r="CR8" i="118"/>
  <c r="CR18" i="118"/>
  <c r="CQ33" i="118"/>
  <c r="CW7" i="118"/>
  <c r="CW11" i="118"/>
  <c r="CW15" i="118"/>
  <c r="CW19" i="118"/>
  <c r="CW23" i="118"/>
  <c r="CW27" i="118"/>
  <c r="CW31" i="118"/>
  <c r="CQ9" i="118"/>
  <c r="CQ21" i="118"/>
  <c r="CV4" i="118"/>
  <c r="CV8" i="118"/>
  <c r="CV12" i="118"/>
  <c r="CV16" i="118"/>
  <c r="CV20" i="118"/>
  <c r="CV24" i="118"/>
  <c r="CV28" i="118"/>
  <c r="CV32" i="118"/>
  <c r="CH16" i="118"/>
  <c r="CL17" i="118"/>
  <c r="CR12" i="118"/>
  <c r="CR20" i="118"/>
  <c r="CR28" i="118"/>
  <c r="CH24" i="118"/>
  <c r="CL22" i="118"/>
  <c r="CR5" i="118"/>
  <c r="CR9" i="118"/>
  <c r="CR13" i="118"/>
  <c r="CR17" i="118"/>
  <c r="CR21" i="118"/>
  <c r="CR25" i="118"/>
  <c r="CR29" i="118"/>
  <c r="CR33" i="118"/>
  <c r="CL25" i="118"/>
  <c r="CQ6" i="118"/>
  <c r="CQ14" i="118"/>
  <c r="CQ22" i="118"/>
  <c r="CQ30" i="118"/>
  <c r="CL6" i="118"/>
  <c r="CR6" i="118"/>
  <c r="CR14" i="118"/>
  <c r="CR22" i="118"/>
  <c r="CR30" i="118"/>
  <c r="CL9" i="118"/>
  <c r="CL30" i="118"/>
  <c r="CQ7" i="118"/>
  <c r="CQ11" i="118"/>
  <c r="CQ15" i="118"/>
  <c r="CQ19" i="118"/>
  <c r="CQ23" i="118"/>
  <c r="CQ27" i="118"/>
  <c r="CQ31" i="118"/>
  <c r="CL10" i="118"/>
  <c r="CL33" i="118"/>
  <c r="CR7" i="118"/>
  <c r="CR11" i="118"/>
  <c r="CR15" i="118"/>
  <c r="CR19" i="118"/>
  <c r="CR23" i="118"/>
  <c r="CR27" i="118"/>
  <c r="CR31" i="118"/>
  <c r="CL14" i="118"/>
  <c r="CQ4" i="118"/>
  <c r="CQ8" i="118"/>
  <c r="CQ12" i="118"/>
  <c r="CQ16" i="118"/>
  <c r="CQ20" i="118"/>
  <c r="CQ24" i="118"/>
  <c r="CQ28" i="118"/>
  <c r="CQ32" i="118"/>
  <c r="BS29" i="118"/>
  <c r="CM8" i="118"/>
  <c r="CM12" i="118"/>
  <c r="CM16" i="118"/>
  <c r="CM20" i="118"/>
  <c r="CM24" i="118"/>
  <c r="CM28" i="118"/>
  <c r="CM32" i="118"/>
  <c r="CB17" i="118"/>
  <c r="CL5" i="118"/>
  <c r="CL13" i="118"/>
  <c r="CL21" i="118"/>
  <c r="CL29" i="118"/>
  <c r="CC24" i="118"/>
  <c r="CG22" i="118"/>
  <c r="CM5" i="118"/>
  <c r="CM9" i="118"/>
  <c r="CM13" i="118"/>
  <c r="CM17" i="118"/>
  <c r="CM21" i="118"/>
  <c r="CM25" i="118"/>
  <c r="CM29" i="118"/>
  <c r="CM33" i="118"/>
  <c r="CB25" i="118"/>
  <c r="CG6" i="118"/>
  <c r="CH28" i="118"/>
  <c r="CM6" i="118"/>
  <c r="CM10" i="118"/>
  <c r="CM14" i="118"/>
  <c r="CM18" i="118"/>
  <c r="CM22" i="118"/>
  <c r="CM26" i="118"/>
  <c r="CM30" i="118"/>
  <c r="CH8" i="118"/>
  <c r="CG30" i="118"/>
  <c r="CL7" i="118"/>
  <c r="CL11" i="118"/>
  <c r="CL15" i="118"/>
  <c r="CL19" i="118"/>
  <c r="CL23" i="118"/>
  <c r="CL27" i="118"/>
  <c r="CL31" i="118"/>
  <c r="CH12" i="118"/>
  <c r="CH32" i="118"/>
  <c r="CM7" i="118"/>
  <c r="CM11" i="118"/>
  <c r="CM15" i="118"/>
  <c r="CM19" i="118"/>
  <c r="CM23" i="118"/>
  <c r="CM27" i="118"/>
  <c r="CM31" i="118"/>
  <c r="BS5" i="118"/>
  <c r="CG14" i="118"/>
  <c r="CL4" i="118"/>
  <c r="CL8" i="118"/>
  <c r="CL12" i="118"/>
  <c r="CL16" i="118"/>
  <c r="CL20" i="118"/>
  <c r="CL24" i="118"/>
  <c r="CL28" i="118"/>
  <c r="CL32" i="118"/>
  <c r="CH4" i="118"/>
  <c r="CC20" i="118"/>
  <c r="CG5" i="118"/>
  <c r="CG9" i="118"/>
  <c r="CG13" i="118"/>
  <c r="CG17" i="118"/>
  <c r="CG21" i="118"/>
  <c r="CG25" i="118"/>
  <c r="CG29" i="118"/>
  <c r="CG33" i="118"/>
  <c r="CH5" i="118"/>
  <c r="CH9" i="118"/>
  <c r="CH13" i="118"/>
  <c r="CH17" i="118"/>
  <c r="CH21" i="118"/>
  <c r="CH25" i="118"/>
  <c r="CH29" i="118"/>
  <c r="CH33" i="118"/>
  <c r="CG10" i="118"/>
  <c r="CG18" i="118"/>
  <c r="CG26" i="118"/>
  <c r="CC8" i="118"/>
  <c r="CC28" i="118"/>
  <c r="CH6" i="118"/>
  <c r="CH10" i="118"/>
  <c r="CH14" i="118"/>
  <c r="CH18" i="118"/>
  <c r="CH22" i="118"/>
  <c r="CH26" i="118"/>
  <c r="CH30" i="118"/>
  <c r="CB9" i="118"/>
  <c r="CC32" i="118"/>
  <c r="CG7" i="118"/>
  <c r="CG11" i="118"/>
  <c r="CG15" i="118"/>
  <c r="CG19" i="118"/>
  <c r="CG23" i="118"/>
  <c r="CG27" i="118"/>
  <c r="CG31" i="118"/>
  <c r="CC12" i="118"/>
  <c r="CB33" i="118"/>
  <c r="CH7" i="118"/>
  <c r="CH11" i="118"/>
  <c r="CH15" i="118"/>
  <c r="CH19" i="118"/>
  <c r="CH23" i="118"/>
  <c r="CH27" i="118"/>
  <c r="CH31" i="118"/>
  <c r="CC16" i="118"/>
  <c r="CG4" i="118"/>
  <c r="CG8" i="118"/>
  <c r="CG12" i="118"/>
  <c r="CG16" i="118"/>
  <c r="CG20" i="118"/>
  <c r="CG24" i="118"/>
  <c r="CG28" i="118"/>
  <c r="CG32" i="118"/>
  <c r="BX16" i="118"/>
  <c r="CC4" i="118"/>
  <c r="BX20" i="118"/>
  <c r="CB5" i="118"/>
  <c r="CB13" i="118"/>
  <c r="CB21" i="118"/>
  <c r="CB29" i="118"/>
  <c r="BS21" i="118"/>
  <c r="BW21" i="118"/>
  <c r="CC5" i="118"/>
  <c r="CC9" i="118"/>
  <c r="CC13" i="118"/>
  <c r="CC17" i="118"/>
  <c r="CC21" i="118"/>
  <c r="CC25" i="118"/>
  <c r="CC29" i="118"/>
  <c r="CC33" i="118"/>
  <c r="BX24" i="118"/>
  <c r="CB6" i="118"/>
  <c r="CB10" i="118"/>
  <c r="CB14" i="118"/>
  <c r="CB18" i="118"/>
  <c r="CB22" i="118"/>
  <c r="CB26" i="118"/>
  <c r="CB30" i="118"/>
  <c r="BW5" i="118"/>
  <c r="BX28" i="118"/>
  <c r="CC6" i="118"/>
  <c r="CC10" i="118"/>
  <c r="CC14" i="118"/>
  <c r="CC18" i="118"/>
  <c r="CC22" i="118"/>
  <c r="CC26" i="118"/>
  <c r="CC30" i="118"/>
  <c r="BX8" i="118"/>
  <c r="BW29" i="118"/>
  <c r="CB7" i="118"/>
  <c r="CB11" i="118"/>
  <c r="CB15" i="118"/>
  <c r="CB19" i="118"/>
  <c r="CB23" i="118"/>
  <c r="CB27" i="118"/>
  <c r="CB31" i="118"/>
  <c r="BX12" i="118"/>
  <c r="BX32" i="118"/>
  <c r="CC7" i="118"/>
  <c r="CC11" i="118"/>
  <c r="CC15" i="118"/>
  <c r="CC19" i="118"/>
  <c r="CC23" i="118"/>
  <c r="CC27" i="118"/>
  <c r="CC31" i="118"/>
  <c r="BW13" i="118"/>
  <c r="CB4" i="118"/>
  <c r="CB8" i="118"/>
  <c r="CB12" i="118"/>
  <c r="CB16" i="118"/>
  <c r="CB20" i="118"/>
  <c r="CB24" i="118"/>
  <c r="CB28" i="118"/>
  <c r="CB32" i="118"/>
  <c r="BS17" i="118"/>
  <c r="BX4" i="118"/>
  <c r="BW9" i="118"/>
  <c r="BW17" i="118"/>
  <c r="BW25" i="118"/>
  <c r="BW33" i="118"/>
  <c r="BS24" i="118"/>
  <c r="BX5" i="118"/>
  <c r="BX9" i="118"/>
  <c r="BX13" i="118"/>
  <c r="BX17" i="118"/>
  <c r="BX21" i="118"/>
  <c r="BX25" i="118"/>
  <c r="BX29" i="118"/>
  <c r="BX33" i="118"/>
  <c r="BS25" i="118"/>
  <c r="BW6" i="118"/>
  <c r="BW10" i="118"/>
  <c r="BW14" i="118"/>
  <c r="BW18" i="118"/>
  <c r="BW22" i="118"/>
  <c r="BW26" i="118"/>
  <c r="BW30" i="118"/>
  <c r="BS8" i="118"/>
  <c r="BX6" i="118"/>
  <c r="BX10" i="118"/>
  <c r="BX14" i="118"/>
  <c r="BX18" i="118"/>
  <c r="BX22" i="118"/>
  <c r="BX26" i="118"/>
  <c r="BX30" i="118"/>
  <c r="BS9" i="118"/>
  <c r="BS32" i="118"/>
  <c r="BW7" i="118"/>
  <c r="BW11" i="118"/>
  <c r="BW15" i="118"/>
  <c r="BW19" i="118"/>
  <c r="BW23" i="118"/>
  <c r="BW27" i="118"/>
  <c r="BW31" i="118"/>
  <c r="BS13" i="118"/>
  <c r="BS33" i="118"/>
  <c r="BX7" i="118"/>
  <c r="BX11" i="118"/>
  <c r="BX15" i="118"/>
  <c r="BX19" i="118"/>
  <c r="BX23" i="118"/>
  <c r="BX27" i="118"/>
  <c r="BX31" i="118"/>
  <c r="BS16" i="118"/>
  <c r="BW4" i="118"/>
  <c r="BW8" i="118"/>
  <c r="BW12" i="118"/>
  <c r="BW16" i="118"/>
  <c r="BW20" i="118"/>
  <c r="BW24" i="118"/>
  <c r="BW28" i="118"/>
  <c r="BW32" i="118"/>
  <c r="BN13" i="118"/>
  <c r="BS4" i="118"/>
  <c r="BS12" i="118"/>
  <c r="BS20" i="118"/>
  <c r="BS28" i="118"/>
  <c r="BN17" i="118"/>
  <c r="BR5" i="118"/>
  <c r="BR9" i="118"/>
  <c r="BR13" i="118"/>
  <c r="BR17" i="118"/>
  <c r="BR21" i="118"/>
  <c r="BR25" i="118"/>
  <c r="BR29" i="118"/>
  <c r="BR33" i="118"/>
  <c r="BN20" i="118"/>
  <c r="BN21" i="118"/>
  <c r="BR6" i="118"/>
  <c r="BR10" i="118"/>
  <c r="BR14" i="118"/>
  <c r="BR18" i="118"/>
  <c r="BR22" i="118"/>
  <c r="BR26" i="118"/>
  <c r="BR30" i="118"/>
  <c r="BN25" i="118"/>
  <c r="BS6" i="118"/>
  <c r="BS10" i="118"/>
  <c r="BS14" i="118"/>
  <c r="BS18" i="118"/>
  <c r="BS22" i="118"/>
  <c r="BS26" i="118"/>
  <c r="BS30" i="118"/>
  <c r="BN5" i="118"/>
  <c r="BN28" i="118"/>
  <c r="BR7" i="118"/>
  <c r="BR11" i="118"/>
  <c r="BR15" i="118"/>
  <c r="BR19" i="118"/>
  <c r="BR23" i="118"/>
  <c r="BR27" i="118"/>
  <c r="BR31" i="118"/>
  <c r="BN9" i="118"/>
  <c r="BN29" i="118"/>
  <c r="BS7" i="118"/>
  <c r="BS11" i="118"/>
  <c r="BS15" i="118"/>
  <c r="BS19" i="118"/>
  <c r="BS23" i="118"/>
  <c r="BS27" i="118"/>
  <c r="BS31" i="118"/>
  <c r="BN12" i="118"/>
  <c r="BR4" i="118"/>
  <c r="BR8" i="118"/>
  <c r="BR12" i="118"/>
  <c r="BR16" i="118"/>
  <c r="BR20" i="118"/>
  <c r="BR24" i="118"/>
  <c r="BR28" i="118"/>
  <c r="BR32" i="118"/>
  <c r="BN4" i="118"/>
  <c r="BN8" i="118"/>
  <c r="BN16" i="118"/>
  <c r="BN24" i="118"/>
  <c r="BN32" i="118"/>
  <c r="BM5" i="118"/>
  <c r="BM9" i="118"/>
  <c r="BM13" i="118"/>
  <c r="BM17" i="118"/>
  <c r="BM21" i="118"/>
  <c r="BM25" i="118"/>
  <c r="BM29" i="118"/>
  <c r="BM33" i="118"/>
  <c r="BN33" i="118"/>
  <c r="BM6" i="118"/>
  <c r="BM10" i="118"/>
  <c r="BM14" i="118"/>
  <c r="BM18" i="118"/>
  <c r="BM22" i="118"/>
  <c r="BM26" i="118"/>
  <c r="BM30" i="118"/>
  <c r="BN6" i="118"/>
  <c r="BN10" i="118"/>
  <c r="BN14" i="118"/>
  <c r="BN18" i="118"/>
  <c r="BN22" i="118"/>
  <c r="BN26" i="118"/>
  <c r="BN30" i="118"/>
  <c r="BM7" i="118"/>
  <c r="BM11" i="118"/>
  <c r="BM15" i="118"/>
  <c r="BM19" i="118"/>
  <c r="BM23" i="118"/>
  <c r="BM27" i="118"/>
  <c r="BM31" i="118"/>
  <c r="BN7" i="118"/>
  <c r="BN11" i="118"/>
  <c r="BN15" i="118"/>
  <c r="BN19" i="118"/>
  <c r="BN23" i="118"/>
  <c r="BN27" i="118"/>
  <c r="BN31" i="118"/>
  <c r="BM4" i="118"/>
  <c r="BM8" i="118"/>
  <c r="BM12" i="118"/>
  <c r="BM16" i="118"/>
  <c r="BM20" i="118"/>
  <c r="BM24" i="118"/>
  <c r="BM28" i="118"/>
  <c r="BM32" i="118"/>
  <c r="BD8" i="118"/>
  <c r="BI4" i="118"/>
  <c r="BI8" i="118"/>
  <c r="BI12" i="118"/>
  <c r="BI16" i="118"/>
  <c r="BI20" i="118"/>
  <c r="BI24" i="118"/>
  <c r="BI28" i="118"/>
  <c r="BI32" i="118"/>
  <c r="BD12" i="118"/>
  <c r="BH5" i="118"/>
  <c r="BH9" i="118"/>
  <c r="BH13" i="118"/>
  <c r="BH17" i="118"/>
  <c r="BH21" i="118"/>
  <c r="BH25" i="118"/>
  <c r="BH29" i="118"/>
  <c r="BH33" i="118"/>
  <c r="BD16" i="118"/>
  <c r="BI5" i="118"/>
  <c r="BI9" i="118"/>
  <c r="BI13" i="118"/>
  <c r="BI17" i="118"/>
  <c r="BI21" i="118"/>
  <c r="BI25" i="118"/>
  <c r="BI29" i="118"/>
  <c r="BI33" i="118"/>
  <c r="BD20" i="118"/>
  <c r="BH6" i="118"/>
  <c r="BH10" i="118"/>
  <c r="BH14" i="118"/>
  <c r="BH18" i="118"/>
  <c r="BH22" i="118"/>
  <c r="BH26" i="118"/>
  <c r="BH30" i="118"/>
  <c r="BD24" i="118"/>
  <c r="BI6" i="118"/>
  <c r="BI10" i="118"/>
  <c r="BI14" i="118"/>
  <c r="BI18" i="118"/>
  <c r="BI22" i="118"/>
  <c r="BI26" i="118"/>
  <c r="BI30" i="118"/>
  <c r="BD28" i="118"/>
  <c r="BH7" i="118"/>
  <c r="BH11" i="118"/>
  <c r="BH15" i="118"/>
  <c r="BH19" i="118"/>
  <c r="BH23" i="118"/>
  <c r="BH27" i="118"/>
  <c r="BH31" i="118"/>
  <c r="BD32" i="118"/>
  <c r="BI7" i="118"/>
  <c r="BI11" i="118"/>
  <c r="BI15" i="118"/>
  <c r="BI19" i="118"/>
  <c r="BI23" i="118"/>
  <c r="BI27" i="118"/>
  <c r="BI31" i="118"/>
  <c r="BD4" i="118"/>
  <c r="BH4" i="118"/>
  <c r="BH8" i="118"/>
  <c r="BH12" i="118"/>
  <c r="BH16" i="118"/>
  <c r="BH20" i="118"/>
  <c r="BH24" i="118"/>
  <c r="BH28" i="118"/>
  <c r="BH32" i="118"/>
  <c r="BC5" i="118"/>
  <c r="BC9" i="118"/>
  <c r="BC13" i="118"/>
  <c r="BC17" i="118"/>
  <c r="BC21" i="118"/>
  <c r="BC25" i="118"/>
  <c r="BC29" i="118"/>
  <c r="BC33" i="118"/>
  <c r="AY8" i="118"/>
  <c r="BD5" i="118"/>
  <c r="BD9" i="118"/>
  <c r="BD13" i="118"/>
  <c r="BD17" i="118"/>
  <c r="BD21" i="118"/>
  <c r="BD25" i="118"/>
  <c r="BD29" i="118"/>
  <c r="BD33" i="118"/>
  <c r="AY12" i="118"/>
  <c r="BC6" i="118"/>
  <c r="BC10" i="118"/>
  <c r="BC14" i="118"/>
  <c r="BC18" i="118"/>
  <c r="BC22" i="118"/>
  <c r="BC26" i="118"/>
  <c r="BC30" i="118"/>
  <c r="AY16" i="118"/>
  <c r="BD6" i="118"/>
  <c r="BD10" i="118"/>
  <c r="BD14" i="118"/>
  <c r="BD18" i="118"/>
  <c r="BD22" i="118"/>
  <c r="BD26" i="118"/>
  <c r="BD30" i="118"/>
  <c r="AY20" i="118"/>
  <c r="BC7" i="118"/>
  <c r="BC11" i="118"/>
  <c r="BC15" i="118"/>
  <c r="BC19" i="118"/>
  <c r="BC23" i="118"/>
  <c r="BC27" i="118"/>
  <c r="BC31" i="118"/>
  <c r="AY24" i="118"/>
  <c r="BD7" i="118"/>
  <c r="BD11" i="118"/>
  <c r="BD15" i="118"/>
  <c r="BD19" i="118"/>
  <c r="BD23" i="118"/>
  <c r="BD27" i="118"/>
  <c r="BD31" i="118"/>
  <c r="BC4" i="118"/>
  <c r="BC8" i="118"/>
  <c r="BC12" i="118"/>
  <c r="BC16" i="118"/>
  <c r="BC20" i="118"/>
  <c r="BC24" i="118"/>
  <c r="BC28" i="118"/>
  <c r="BC32" i="118"/>
  <c r="AY4" i="118"/>
  <c r="AY28" i="118"/>
  <c r="AY32" i="118"/>
  <c r="AX5" i="118"/>
  <c r="AX9" i="118"/>
  <c r="AX13" i="118"/>
  <c r="AX17" i="118"/>
  <c r="AX21" i="118"/>
  <c r="AX25" i="118"/>
  <c r="AX29" i="118"/>
  <c r="AX33" i="118"/>
  <c r="AY5" i="118"/>
  <c r="AY9" i="118"/>
  <c r="AY13" i="118"/>
  <c r="AY17" i="118"/>
  <c r="AY21" i="118"/>
  <c r="AY25" i="118"/>
  <c r="AY29" i="118"/>
  <c r="AY33" i="118"/>
  <c r="AX6" i="118"/>
  <c r="AX10" i="118"/>
  <c r="AX14" i="118"/>
  <c r="AX18" i="118"/>
  <c r="AX22" i="118"/>
  <c r="AX26" i="118"/>
  <c r="AX30" i="118"/>
  <c r="AT12" i="118"/>
  <c r="AY6" i="118"/>
  <c r="AY10" i="118"/>
  <c r="AY14" i="118"/>
  <c r="AY18" i="118"/>
  <c r="AY22" i="118"/>
  <c r="AY26" i="118"/>
  <c r="AY30" i="118"/>
  <c r="AT20" i="118"/>
  <c r="AX7" i="118"/>
  <c r="AX11" i="118"/>
  <c r="AX15" i="118"/>
  <c r="AX19" i="118"/>
  <c r="AX23" i="118"/>
  <c r="AX27" i="118"/>
  <c r="AX31" i="118"/>
  <c r="AT28" i="118"/>
  <c r="AY7" i="118"/>
  <c r="AY11" i="118"/>
  <c r="AY15" i="118"/>
  <c r="AY19" i="118"/>
  <c r="AY23" i="118"/>
  <c r="AY27" i="118"/>
  <c r="AY31" i="118"/>
  <c r="AX4" i="118"/>
  <c r="AX8" i="118"/>
  <c r="AX12" i="118"/>
  <c r="AX16" i="118"/>
  <c r="AX20" i="118"/>
  <c r="AX24" i="118"/>
  <c r="AX28" i="118"/>
  <c r="AX32" i="118"/>
  <c r="AT4" i="118"/>
  <c r="AT8" i="118"/>
  <c r="AT16" i="118"/>
  <c r="AT24" i="118"/>
  <c r="AT32" i="118"/>
  <c r="AS5" i="118"/>
  <c r="AS9" i="118"/>
  <c r="AS13" i="118"/>
  <c r="AS17" i="118"/>
  <c r="AS21" i="118"/>
  <c r="AS25" i="118"/>
  <c r="AS29" i="118"/>
  <c r="AS33" i="118"/>
  <c r="AT5" i="118"/>
  <c r="AT9" i="118"/>
  <c r="AT13" i="118"/>
  <c r="AT17" i="118"/>
  <c r="AT21" i="118"/>
  <c r="AT25" i="118"/>
  <c r="AT29" i="118"/>
  <c r="AT33" i="118"/>
  <c r="AS6" i="118"/>
  <c r="AS10" i="118"/>
  <c r="AS14" i="118"/>
  <c r="AS18" i="118"/>
  <c r="AS22" i="118"/>
  <c r="AS26" i="118"/>
  <c r="AS30" i="118"/>
  <c r="AT6" i="118"/>
  <c r="AT10" i="118"/>
  <c r="AT14" i="118"/>
  <c r="AT18" i="118"/>
  <c r="AT22" i="118"/>
  <c r="AT26" i="118"/>
  <c r="AT30" i="118"/>
  <c r="AS7" i="118"/>
  <c r="AS11" i="118"/>
  <c r="AS15" i="118"/>
  <c r="AS19" i="118"/>
  <c r="AS23" i="118"/>
  <c r="AS27" i="118"/>
  <c r="AS31" i="118"/>
  <c r="AT7" i="118"/>
  <c r="AT11" i="118"/>
  <c r="AT15" i="118"/>
  <c r="AT19" i="118"/>
  <c r="AT23" i="118"/>
  <c r="AT27" i="118"/>
  <c r="AT31" i="118"/>
  <c r="AS4" i="118"/>
  <c r="AS8" i="118"/>
  <c r="AS12" i="118"/>
  <c r="AS16" i="118"/>
  <c r="AS20" i="118"/>
  <c r="AS24" i="118"/>
  <c r="AS28" i="118"/>
  <c r="AS32" i="118"/>
  <c r="AO4" i="118"/>
  <c r="AO8" i="118"/>
  <c r="AO12" i="118"/>
  <c r="AO16" i="118"/>
  <c r="AO20" i="118"/>
  <c r="AO24" i="118"/>
  <c r="AO28" i="118"/>
  <c r="AO32" i="118"/>
  <c r="AN5" i="118"/>
  <c r="AN9" i="118"/>
  <c r="AN13" i="118"/>
  <c r="AN17" i="118"/>
  <c r="AN21" i="118"/>
  <c r="AN25" i="118"/>
  <c r="AN29" i="118"/>
  <c r="AN33" i="118"/>
  <c r="AO5" i="118"/>
  <c r="AO9" i="118"/>
  <c r="AO13" i="118"/>
  <c r="AO17" i="118"/>
  <c r="AO21" i="118"/>
  <c r="AO25" i="118"/>
  <c r="AO29" i="118"/>
  <c r="AO33" i="118"/>
  <c r="AN6" i="118"/>
  <c r="AN10" i="118"/>
  <c r="AN14" i="118"/>
  <c r="AN18" i="118"/>
  <c r="AN22" i="118"/>
  <c r="AN26" i="118"/>
  <c r="AN30" i="118"/>
  <c r="AO6" i="118"/>
  <c r="AO10" i="118"/>
  <c r="AO14" i="118"/>
  <c r="AO18" i="118"/>
  <c r="AO22" i="118"/>
  <c r="AO26" i="118"/>
  <c r="AO30" i="118"/>
  <c r="AN7" i="118"/>
  <c r="AN11" i="118"/>
  <c r="AN15" i="118"/>
  <c r="AN19" i="118"/>
  <c r="AN23" i="118"/>
  <c r="AN27" i="118"/>
  <c r="AN31" i="118"/>
  <c r="AO7" i="118"/>
  <c r="AO11" i="118"/>
  <c r="AO15" i="118"/>
  <c r="AO19" i="118"/>
  <c r="AO23" i="118"/>
  <c r="AO27" i="118"/>
  <c r="AO31" i="118"/>
  <c r="AN4" i="118"/>
  <c r="AN8" i="118"/>
  <c r="AN12" i="118"/>
  <c r="AN16" i="118"/>
  <c r="AN20" i="118"/>
  <c r="AN24" i="118"/>
  <c r="AN28" i="118"/>
  <c r="AN32" i="118"/>
  <c r="AJ4" i="118"/>
  <c r="AJ8" i="118"/>
  <c r="AJ12" i="118"/>
  <c r="AJ16" i="118"/>
  <c r="AJ20" i="118"/>
  <c r="AJ24" i="118"/>
  <c r="AJ28" i="118"/>
  <c r="AJ32" i="118"/>
  <c r="AI5" i="118"/>
  <c r="AI9" i="118"/>
  <c r="AI13" i="118"/>
  <c r="AI17" i="118"/>
  <c r="AI21" i="118"/>
  <c r="AI25" i="118"/>
  <c r="AI29" i="118"/>
  <c r="AI33" i="118"/>
  <c r="AJ5" i="118"/>
  <c r="AJ9" i="118"/>
  <c r="AJ13" i="118"/>
  <c r="AJ17" i="118"/>
  <c r="AJ21" i="118"/>
  <c r="AJ25" i="118"/>
  <c r="AJ29" i="118"/>
  <c r="AJ33" i="118"/>
  <c r="AI6" i="118"/>
  <c r="AI10" i="118"/>
  <c r="AI14" i="118"/>
  <c r="AI18" i="118"/>
  <c r="AI22" i="118"/>
  <c r="AI26" i="118"/>
  <c r="AI30" i="118"/>
  <c r="AJ6" i="118"/>
  <c r="AJ10" i="118"/>
  <c r="AJ14" i="118"/>
  <c r="AJ18" i="118"/>
  <c r="AJ22" i="118"/>
  <c r="AJ26" i="118"/>
  <c r="AJ30" i="118"/>
  <c r="AI7" i="118"/>
  <c r="AI11" i="118"/>
  <c r="AI15" i="118"/>
  <c r="AI19" i="118"/>
  <c r="AI23" i="118"/>
  <c r="AI27" i="118"/>
  <c r="AI31" i="118"/>
  <c r="AJ7" i="118"/>
  <c r="AJ11" i="118"/>
  <c r="AJ15" i="118"/>
  <c r="AJ19" i="118"/>
  <c r="AJ23" i="118"/>
  <c r="AJ27" i="118"/>
  <c r="AJ31" i="118"/>
  <c r="AI4" i="118"/>
  <c r="AI8" i="118"/>
  <c r="AI12" i="118"/>
  <c r="AI16" i="118"/>
  <c r="AI20" i="118"/>
  <c r="AI24" i="118"/>
  <c r="AI28" i="118"/>
  <c r="AI32" i="118"/>
  <c r="AE4" i="118"/>
  <c r="AE8" i="118"/>
  <c r="AE12" i="118"/>
  <c r="AE16" i="118"/>
  <c r="AE20" i="118"/>
  <c r="AE24" i="118"/>
  <c r="AE28" i="118"/>
  <c r="AE32" i="118"/>
  <c r="AD5" i="118"/>
  <c r="AD9" i="118"/>
  <c r="AD13" i="118"/>
  <c r="AD17" i="118"/>
  <c r="AD21" i="118"/>
  <c r="AD25" i="118"/>
  <c r="AD29" i="118"/>
  <c r="AD33" i="118"/>
  <c r="AE5" i="118"/>
  <c r="AE9" i="118"/>
  <c r="AE13" i="118"/>
  <c r="AE17" i="118"/>
  <c r="AE21" i="118"/>
  <c r="AE25" i="118"/>
  <c r="AE29" i="118"/>
  <c r="AE33" i="118"/>
  <c r="AD6" i="118"/>
  <c r="AD10" i="118"/>
  <c r="AD14" i="118"/>
  <c r="AD18" i="118"/>
  <c r="AD22" i="118"/>
  <c r="AD26" i="118"/>
  <c r="AD30" i="118"/>
  <c r="AE6" i="118"/>
  <c r="AE10" i="118"/>
  <c r="AE14" i="118"/>
  <c r="AE18" i="118"/>
  <c r="AE22" i="118"/>
  <c r="AE26" i="118"/>
  <c r="AE30" i="118"/>
  <c r="AD7" i="118"/>
  <c r="AD11" i="118"/>
  <c r="AD15" i="118"/>
  <c r="AD19" i="118"/>
  <c r="AD23" i="118"/>
  <c r="AD27" i="118"/>
  <c r="AD31" i="118"/>
  <c r="AE7" i="118"/>
  <c r="AE11" i="118"/>
  <c r="AE15" i="118"/>
  <c r="AE19" i="118"/>
  <c r="AE23" i="118"/>
  <c r="AE27" i="118"/>
  <c r="AE31" i="118"/>
  <c r="AD4" i="118"/>
  <c r="AD8" i="118"/>
  <c r="AD12" i="118"/>
  <c r="AD16" i="118"/>
  <c r="AD20" i="118"/>
  <c r="AD24" i="118"/>
  <c r="AD28" i="118"/>
  <c r="AD32" i="118"/>
  <c r="Z4" i="118"/>
  <c r="Z8" i="118"/>
  <c r="Z12" i="118"/>
  <c r="Z16" i="118"/>
  <c r="Z20" i="118"/>
  <c r="Z24" i="118"/>
  <c r="Z28" i="118"/>
  <c r="Z32" i="118"/>
  <c r="Y5" i="118"/>
  <c r="Y9" i="118"/>
  <c r="Y13" i="118"/>
  <c r="Y17" i="118"/>
  <c r="Y21" i="118"/>
  <c r="Y25" i="118"/>
  <c r="Y29" i="118"/>
  <c r="Y33" i="118"/>
  <c r="Z5" i="118"/>
  <c r="Z9" i="118"/>
  <c r="Z13" i="118"/>
  <c r="Z17" i="118"/>
  <c r="Z21" i="118"/>
  <c r="Z25" i="118"/>
  <c r="Z29" i="118"/>
  <c r="Z33" i="118"/>
  <c r="Y6" i="118"/>
  <c r="Y10" i="118"/>
  <c r="Y14" i="118"/>
  <c r="Y18" i="118"/>
  <c r="Y22" i="118"/>
  <c r="Y26" i="118"/>
  <c r="Y30" i="118"/>
  <c r="Z6" i="118"/>
  <c r="Z10" i="118"/>
  <c r="Z14" i="118"/>
  <c r="Z18" i="118"/>
  <c r="Z22" i="118"/>
  <c r="Z26" i="118"/>
  <c r="Z30" i="118"/>
  <c r="Y7" i="118"/>
  <c r="Y11" i="118"/>
  <c r="Y15" i="118"/>
  <c r="Y19" i="118"/>
  <c r="Y23" i="118"/>
  <c r="Y27" i="118"/>
  <c r="Y31" i="118"/>
  <c r="Z7" i="118"/>
  <c r="Z11" i="118"/>
  <c r="Z15" i="118"/>
  <c r="Z19" i="118"/>
  <c r="Z23" i="118"/>
  <c r="Z27" i="118"/>
  <c r="Z31" i="118"/>
  <c r="Y4" i="118"/>
  <c r="Y8" i="118"/>
  <c r="Y12" i="118"/>
  <c r="Y16" i="118"/>
  <c r="Y20" i="118"/>
  <c r="Y24" i="118"/>
  <c r="Y28" i="118"/>
  <c r="Y32" i="118"/>
  <c r="U4" i="118"/>
  <c r="U8" i="118"/>
  <c r="U12" i="118"/>
  <c r="U16" i="118"/>
  <c r="U20" i="118"/>
  <c r="U24" i="118"/>
  <c r="U28" i="118"/>
  <c r="U32" i="118"/>
  <c r="T5" i="118"/>
  <c r="T9" i="118"/>
  <c r="T13" i="118"/>
  <c r="T17" i="118"/>
  <c r="T21" i="118"/>
  <c r="T25" i="118"/>
  <c r="T29" i="118"/>
  <c r="T33" i="118"/>
  <c r="P4" i="118"/>
  <c r="U5" i="118"/>
  <c r="U9" i="118"/>
  <c r="U13" i="118"/>
  <c r="U17" i="118"/>
  <c r="U21" i="118"/>
  <c r="U25" i="118"/>
  <c r="U29" i="118"/>
  <c r="U33" i="118"/>
  <c r="P8" i="118"/>
  <c r="T6" i="118"/>
  <c r="T10" i="118"/>
  <c r="T14" i="118"/>
  <c r="T18" i="118"/>
  <c r="T22" i="118"/>
  <c r="T26" i="118"/>
  <c r="T30" i="118"/>
  <c r="P16" i="118"/>
  <c r="U6" i="118"/>
  <c r="U10" i="118"/>
  <c r="U14" i="118"/>
  <c r="U18" i="118"/>
  <c r="U22" i="118"/>
  <c r="U26" i="118"/>
  <c r="U30" i="118"/>
  <c r="P24" i="118"/>
  <c r="T7" i="118"/>
  <c r="T11" i="118"/>
  <c r="T15" i="118"/>
  <c r="T19" i="118"/>
  <c r="T23" i="118"/>
  <c r="T27" i="118"/>
  <c r="T31" i="118"/>
  <c r="P32" i="118"/>
  <c r="U7" i="118"/>
  <c r="U11" i="118"/>
  <c r="U15" i="118"/>
  <c r="U19" i="118"/>
  <c r="U23" i="118"/>
  <c r="U27" i="118"/>
  <c r="U31" i="118"/>
  <c r="T4" i="118"/>
  <c r="T8" i="118"/>
  <c r="T12" i="118"/>
  <c r="T16" i="118"/>
  <c r="T20" i="118"/>
  <c r="T24" i="118"/>
  <c r="T28" i="118"/>
  <c r="T32" i="118"/>
  <c r="P12" i="118"/>
  <c r="P20" i="118"/>
  <c r="P28" i="118"/>
  <c r="O5" i="118"/>
  <c r="O9" i="118"/>
  <c r="O13" i="118"/>
  <c r="O17" i="118"/>
  <c r="O21" i="118"/>
  <c r="O25" i="118"/>
  <c r="O29" i="118"/>
  <c r="O33" i="118"/>
  <c r="P5" i="118"/>
  <c r="P9" i="118"/>
  <c r="P13" i="118"/>
  <c r="P17" i="118"/>
  <c r="P21" i="118"/>
  <c r="P25" i="118"/>
  <c r="P29" i="118"/>
  <c r="P33" i="118"/>
  <c r="O6" i="118"/>
  <c r="O10" i="118"/>
  <c r="O14" i="118"/>
  <c r="O18" i="118"/>
  <c r="O22" i="118"/>
  <c r="O26" i="118"/>
  <c r="O30" i="118"/>
  <c r="P6" i="118"/>
  <c r="P10" i="118"/>
  <c r="P14" i="118"/>
  <c r="P18" i="118"/>
  <c r="P22" i="118"/>
  <c r="P26" i="118"/>
  <c r="P30" i="118"/>
  <c r="E4" i="118"/>
  <c r="O7" i="118"/>
  <c r="O11" i="118"/>
  <c r="O15" i="118"/>
  <c r="O19" i="118"/>
  <c r="O23" i="118"/>
  <c r="O27" i="118"/>
  <c r="O31" i="118"/>
  <c r="AR35" i="118"/>
  <c r="F4" i="118"/>
  <c r="P7" i="118"/>
  <c r="P11" i="118"/>
  <c r="P15" i="118"/>
  <c r="P19" i="118"/>
  <c r="P23" i="118"/>
  <c r="P27" i="118"/>
  <c r="P31" i="118"/>
  <c r="O4" i="118"/>
  <c r="O8" i="118"/>
  <c r="O12" i="118"/>
  <c r="O16" i="118"/>
  <c r="O20" i="118"/>
  <c r="O24" i="118"/>
  <c r="O28" i="118"/>
  <c r="O32" i="118"/>
  <c r="F8" i="118"/>
  <c r="F12" i="118"/>
  <c r="F16" i="118"/>
  <c r="F20" i="118"/>
  <c r="F24" i="118"/>
  <c r="F28" i="118"/>
  <c r="F32" i="118"/>
  <c r="E5" i="118"/>
  <c r="E9" i="118"/>
  <c r="E13" i="118"/>
  <c r="E17" i="118"/>
  <c r="E21" i="118"/>
  <c r="E25" i="118"/>
  <c r="E29" i="118"/>
  <c r="E33" i="118"/>
  <c r="F5" i="118"/>
  <c r="F9" i="118"/>
  <c r="F13" i="118"/>
  <c r="F17" i="118"/>
  <c r="F21" i="118"/>
  <c r="F25" i="118"/>
  <c r="F29" i="118"/>
  <c r="F33" i="118"/>
  <c r="E6" i="118"/>
  <c r="E10" i="118"/>
  <c r="E14" i="118"/>
  <c r="E18" i="118"/>
  <c r="E22" i="118"/>
  <c r="E26" i="118"/>
  <c r="E30" i="118"/>
  <c r="F6" i="118"/>
  <c r="F10" i="118"/>
  <c r="F14" i="118"/>
  <c r="F18" i="118"/>
  <c r="F22" i="118"/>
  <c r="F26" i="118"/>
  <c r="F30" i="118"/>
  <c r="E7" i="118"/>
  <c r="E11" i="118"/>
  <c r="E15" i="118"/>
  <c r="E19" i="118"/>
  <c r="E23" i="118"/>
  <c r="E27" i="118"/>
  <c r="E31" i="118"/>
  <c r="F7" i="118"/>
  <c r="F11" i="118"/>
  <c r="F15" i="118"/>
  <c r="F19" i="118"/>
  <c r="F23" i="118"/>
  <c r="F27" i="118"/>
  <c r="F31" i="118"/>
  <c r="E8" i="118"/>
  <c r="E12" i="118"/>
  <c r="E16" i="118"/>
  <c r="E20" i="118"/>
  <c r="E24" i="118"/>
  <c r="E28" i="118"/>
  <c r="E32" i="118"/>
  <c r="J32" i="118"/>
  <c r="J24" i="118"/>
  <c r="J16" i="118"/>
  <c r="J8" i="118"/>
  <c r="K28" i="118"/>
  <c r="K20" i="118"/>
  <c r="K12" i="118"/>
  <c r="J31" i="118"/>
  <c r="J23" i="118"/>
  <c r="J15" i="118"/>
  <c r="J7" i="118"/>
  <c r="K27" i="118"/>
  <c r="K19" i="118"/>
  <c r="K11" i="118"/>
  <c r="J30" i="118"/>
  <c r="J22" i="118"/>
  <c r="J14" i="118"/>
  <c r="J6" i="118"/>
  <c r="K4" i="118"/>
  <c r="K26" i="118"/>
  <c r="K18" i="118"/>
  <c r="K10" i="118"/>
  <c r="J29" i="118"/>
  <c r="J21" i="118"/>
  <c r="J13" i="118"/>
  <c r="J5" i="118"/>
  <c r="K33" i="118"/>
  <c r="K25" i="118"/>
  <c r="K17" i="118"/>
  <c r="K9" i="118"/>
  <c r="J28" i="118"/>
  <c r="J20" i="118"/>
  <c r="J12" i="118"/>
  <c r="K32" i="118"/>
  <c r="K24" i="118"/>
  <c r="K16" i="118"/>
  <c r="K8" i="118"/>
  <c r="J27" i="118"/>
  <c r="J19" i="118"/>
  <c r="J11" i="118"/>
  <c r="K31" i="118"/>
  <c r="K23" i="118"/>
  <c r="K15" i="118"/>
  <c r="K7" i="118"/>
  <c r="J4" i="118"/>
  <c r="J26" i="118"/>
  <c r="J18" i="118"/>
  <c r="J10" i="118"/>
  <c r="K30" i="118"/>
  <c r="K22" i="118"/>
  <c r="K14" i="118"/>
  <c r="K6" i="118"/>
  <c r="J33" i="118"/>
  <c r="J25" i="118"/>
  <c r="J17" i="118"/>
  <c r="J9" i="118"/>
  <c r="K29" i="118"/>
  <c r="K21" i="118"/>
  <c r="K13" i="118"/>
  <c r="K5" i="118"/>
  <c r="BQ35" i="118"/>
  <c r="X35" i="118"/>
  <c r="BL35" i="118"/>
  <c r="CF35" i="118"/>
  <c r="CZ35" i="118"/>
  <c r="AW35" i="118"/>
  <c r="CK35" i="118"/>
  <c r="S35" i="118"/>
  <c r="AH35" i="118"/>
  <c r="BV35" i="118"/>
  <c r="AC35" i="118"/>
  <c r="D35" i="118"/>
  <c r="BG35" i="118"/>
  <c r="CU35" i="118"/>
  <c r="DE35" i="118"/>
  <c r="N35" i="118"/>
  <c r="BB35" i="118"/>
  <c r="CP35" i="118"/>
  <c r="B21" i="119"/>
  <c r="I21" i="119"/>
  <c r="F11" i="116"/>
  <c r="E17" i="116"/>
  <c r="E10" i="116"/>
  <c r="F9" i="116"/>
  <c r="E20" i="116"/>
  <c r="F12" i="116"/>
  <c r="E9" i="116"/>
  <c r="F10" i="116"/>
  <c r="F17" i="116"/>
  <c r="E12" i="116"/>
  <c r="E11" i="116"/>
  <c r="D17" i="116"/>
  <c r="D6" i="116"/>
  <c r="D13" i="116"/>
  <c r="D9" i="116"/>
  <c r="D16" i="116"/>
  <c r="D8" i="116"/>
  <c r="D5" i="116"/>
  <c r="D7" i="116"/>
  <c r="D10" i="116"/>
  <c r="D20" i="116"/>
  <c r="D18" i="116"/>
  <c r="D11" i="116"/>
  <c r="D12" i="116"/>
  <c r="C21" i="116"/>
  <c r="F5" i="116" l="1"/>
  <c r="E18" i="116"/>
  <c r="J21" i="112"/>
  <c r="L23" i="112" s="1"/>
  <c r="D21" i="120"/>
  <c r="AA32" i="125"/>
  <c r="AA33" i="125" s="1"/>
  <c r="AA34" i="125" s="1"/>
  <c r="AA39" i="125" s="1"/>
  <c r="X31" i="125"/>
  <c r="X33" i="125" s="1"/>
  <c r="X34" i="125" s="1"/>
  <c r="AD40" i="125"/>
  <c r="AD25" i="125"/>
  <c r="AD27" i="125" s="1"/>
  <c r="AD28" i="125" s="1"/>
  <c r="K40" i="125"/>
  <c r="K25" i="125"/>
  <c r="K26" i="125"/>
  <c r="AB25" i="125"/>
  <c r="AB40" i="125"/>
  <c r="AB26" i="125"/>
  <c r="W26" i="125"/>
  <c r="W25" i="125"/>
  <c r="W40" i="125"/>
  <c r="J40" i="125"/>
  <c r="J25" i="125"/>
  <c r="J26" i="125"/>
  <c r="M26" i="125"/>
  <c r="M40" i="125"/>
  <c r="M25" i="125"/>
  <c r="L32" i="125"/>
  <c r="L31" i="125"/>
  <c r="O31" i="125"/>
  <c r="O32" i="125"/>
  <c r="AE26" i="125"/>
  <c r="AE40" i="125"/>
  <c r="AE25" i="125"/>
  <c r="R40" i="125"/>
  <c r="R25" i="125"/>
  <c r="R26" i="125"/>
  <c r="U32" i="125"/>
  <c r="U31" i="125"/>
  <c r="Z40" i="125"/>
  <c r="Z25" i="125"/>
  <c r="Z26" i="125"/>
  <c r="T40" i="125"/>
  <c r="T25" i="125"/>
  <c r="T26" i="125"/>
  <c r="J30" i="125"/>
  <c r="N25" i="125"/>
  <c r="N26" i="125"/>
  <c r="N40" i="125"/>
  <c r="AE32" i="125"/>
  <c r="AE31" i="125"/>
  <c r="AC32" i="125"/>
  <c r="AC31" i="125"/>
  <c r="K32" i="125"/>
  <c r="K31" i="125"/>
  <c r="AC40" i="125"/>
  <c r="AC25" i="125"/>
  <c r="AC26" i="125"/>
  <c r="V25" i="125"/>
  <c r="V26" i="125"/>
  <c r="V40" i="125"/>
  <c r="U26" i="125"/>
  <c r="U40" i="125"/>
  <c r="U25" i="125"/>
  <c r="S40" i="125"/>
  <c r="S25" i="125"/>
  <c r="S26" i="125"/>
  <c r="Y26" i="125"/>
  <c r="Y40" i="125"/>
  <c r="Y25" i="125"/>
  <c r="P30" i="125"/>
  <c r="L26" i="125"/>
  <c r="L40" i="125"/>
  <c r="L25" i="125"/>
  <c r="Q31" i="125"/>
  <c r="Q32" i="125"/>
  <c r="X26" i="125"/>
  <c r="X25" i="125"/>
  <c r="X40" i="125"/>
  <c r="AB32" i="125"/>
  <c r="AB31" i="125"/>
  <c r="Q40" i="125"/>
  <c r="Q25" i="125"/>
  <c r="Q26" i="125"/>
  <c r="AF26" i="125"/>
  <c r="AF40" i="125"/>
  <c r="AF25" i="125"/>
  <c r="AA40" i="125"/>
  <c r="AA25" i="125"/>
  <c r="AA26" i="125"/>
  <c r="O26" i="125"/>
  <c r="O40" i="125"/>
  <c r="O25" i="125"/>
  <c r="AD32" i="125"/>
  <c r="AD31" i="125"/>
  <c r="Y30" i="125"/>
  <c r="W30" i="125"/>
  <c r="V30" i="125"/>
  <c r="Z31" i="125"/>
  <c r="Z32" i="125"/>
  <c r="P26" i="125"/>
  <c r="P25" i="125"/>
  <c r="P40" i="125"/>
  <c r="N31" i="125"/>
  <c r="N32" i="125"/>
  <c r="T32" i="125"/>
  <c r="T31" i="125"/>
  <c r="AF30" i="125"/>
  <c r="M32" i="125"/>
  <c r="M31" i="125"/>
  <c r="DM35" i="118"/>
  <c r="E36" i="118"/>
  <c r="DL39" i="118"/>
  <c r="DL36" i="118"/>
  <c r="DK37" i="118"/>
  <c r="DK38" i="118" s="1"/>
  <c r="DK36" i="118"/>
  <c r="DG39" i="118"/>
  <c r="DB39" i="118"/>
  <c r="DF37" i="118"/>
  <c r="DF38" i="118" s="1"/>
  <c r="DF36" i="118"/>
  <c r="DB36" i="118"/>
  <c r="DG36" i="118"/>
  <c r="CW39" i="118"/>
  <c r="DA37" i="118"/>
  <c r="DA38" i="118" s="1"/>
  <c r="DA36" i="118"/>
  <c r="CW36" i="118"/>
  <c r="CV37" i="118"/>
  <c r="CV38" i="118" s="1"/>
  <c r="CV36" i="118"/>
  <c r="CR39" i="118"/>
  <c r="CR36" i="118"/>
  <c r="CQ37" i="118"/>
  <c r="CQ38" i="118" s="1"/>
  <c r="CQ36" i="118"/>
  <c r="CM39" i="118"/>
  <c r="CM36" i="118"/>
  <c r="CL37" i="118"/>
  <c r="CL38" i="118" s="1"/>
  <c r="CL36" i="118"/>
  <c r="CG37" i="118"/>
  <c r="CG38" i="118" s="1"/>
  <c r="CG36" i="118"/>
  <c r="CH39" i="118"/>
  <c r="CH36" i="118"/>
  <c r="CB37" i="118"/>
  <c r="CB38" i="118" s="1"/>
  <c r="CB36" i="118"/>
  <c r="CC39" i="118"/>
  <c r="CC36" i="118"/>
  <c r="BW37" i="118"/>
  <c r="BW38" i="118" s="1"/>
  <c r="BW36" i="118"/>
  <c r="BX39" i="118"/>
  <c r="BX36" i="118"/>
  <c r="BR37" i="118"/>
  <c r="BR38" i="118" s="1"/>
  <c r="BR36" i="118"/>
  <c r="BS39" i="118"/>
  <c r="BS36" i="118"/>
  <c r="BM37" i="118"/>
  <c r="BM38" i="118" s="1"/>
  <c r="BM36" i="118"/>
  <c r="BN39" i="118"/>
  <c r="BN36" i="118"/>
  <c r="BD36" i="118"/>
  <c r="BD39" i="118"/>
  <c r="BH37" i="118"/>
  <c r="BH38" i="118" s="1"/>
  <c r="BH36" i="118"/>
  <c r="BI39" i="118"/>
  <c r="BI36" i="118"/>
  <c r="BC37" i="118"/>
  <c r="BC38" i="118" s="1"/>
  <c r="BC36" i="118"/>
  <c r="AX37" i="118"/>
  <c r="AX38" i="118" s="1"/>
  <c r="AX36" i="118"/>
  <c r="AY39" i="118"/>
  <c r="AY36" i="118"/>
  <c r="AS37" i="118"/>
  <c r="AS38" i="118" s="1"/>
  <c r="AS36" i="118"/>
  <c r="AT39" i="118"/>
  <c r="AT36" i="118"/>
  <c r="AN37" i="118"/>
  <c r="AN38" i="118" s="1"/>
  <c r="AN36" i="118"/>
  <c r="AO39" i="118"/>
  <c r="AO36" i="118"/>
  <c r="AI37" i="118"/>
  <c r="AI38" i="118" s="1"/>
  <c r="AI36" i="118"/>
  <c r="AJ39" i="118"/>
  <c r="AJ36" i="118"/>
  <c r="AD37" i="118"/>
  <c r="AD38" i="118" s="1"/>
  <c r="AD36" i="118"/>
  <c r="AE39" i="118"/>
  <c r="AE36" i="118"/>
  <c r="Y37" i="118"/>
  <c r="Y38" i="118" s="1"/>
  <c r="Y36" i="118"/>
  <c r="Z39" i="118"/>
  <c r="Z36" i="118"/>
  <c r="P39" i="118"/>
  <c r="T37" i="118"/>
  <c r="T38" i="118" s="1"/>
  <c r="T36" i="118"/>
  <c r="U39" i="118"/>
  <c r="U36" i="118"/>
  <c r="O37" i="118"/>
  <c r="O38" i="118" s="1"/>
  <c r="O36" i="118"/>
  <c r="F39" i="118"/>
  <c r="P36" i="118"/>
  <c r="F36" i="118"/>
  <c r="E37" i="118"/>
  <c r="E38" i="118" s="1"/>
  <c r="K36" i="118"/>
  <c r="K39" i="118"/>
  <c r="J36" i="118"/>
  <c r="J37" i="118"/>
  <c r="J38" i="118" s="1"/>
  <c r="F19" i="116"/>
  <c r="E19" i="116"/>
  <c r="F6" i="116"/>
  <c r="E6" i="116"/>
  <c r="E8" i="116"/>
  <c r="F8" i="116"/>
  <c r="F14" i="116"/>
  <c r="E14" i="116"/>
  <c r="F7" i="116"/>
  <c r="E7" i="116"/>
  <c r="E5" i="116"/>
  <c r="E16" i="116"/>
  <c r="F16" i="116"/>
  <c r="F15" i="116"/>
  <c r="E15" i="116"/>
  <c r="D19" i="116"/>
  <c r="D14" i="116"/>
  <c r="B21" i="116"/>
  <c r="F13" i="116"/>
  <c r="E13" i="116"/>
  <c r="D15" i="116"/>
  <c r="F22" i="116" l="1"/>
  <c r="F26" i="116" s="1"/>
  <c r="M33" i="125"/>
  <c r="M34" i="125" s="1"/>
  <c r="M39" i="125" s="1"/>
  <c r="U33" i="125"/>
  <c r="U34" i="125" s="1"/>
  <c r="U39" i="125" s="1"/>
  <c r="AA35" i="125"/>
  <c r="Q33" i="125"/>
  <c r="Q34" i="125" s="1"/>
  <c r="Q39" i="125" s="1"/>
  <c r="J27" i="125"/>
  <c r="D21" i="116"/>
  <c r="AG40" i="125"/>
  <c r="K33" i="125"/>
  <c r="K34" i="125" s="1"/>
  <c r="K35" i="125" s="1"/>
  <c r="AB33" i="125"/>
  <c r="AB34" i="125" s="1"/>
  <c r="AB35" i="125" s="1"/>
  <c r="AE33" i="125"/>
  <c r="AE34" i="125" s="1"/>
  <c r="AE39" i="125" s="1"/>
  <c r="L27" i="125"/>
  <c r="L28" i="125" s="1"/>
  <c r="L53" i="125" s="1"/>
  <c r="P27" i="125"/>
  <c r="P28" i="125" s="1"/>
  <c r="P43" i="125" s="1"/>
  <c r="Z33" i="125"/>
  <c r="Z34" i="125" s="1"/>
  <c r="Z35" i="125" s="1"/>
  <c r="X27" i="125"/>
  <c r="X28" i="125" s="1"/>
  <c r="X53" i="125" s="1"/>
  <c r="AE27" i="125"/>
  <c r="AE28" i="125" s="1"/>
  <c r="AE53" i="125" s="1"/>
  <c r="AA27" i="125"/>
  <c r="AA28" i="125" s="1"/>
  <c r="AZ17" i="125" s="1"/>
  <c r="R27" i="125"/>
  <c r="R28" i="125" s="1"/>
  <c r="AQ9" i="125" s="1"/>
  <c r="K27" i="125"/>
  <c r="K28" i="125" s="1"/>
  <c r="AJ4" i="125" s="1"/>
  <c r="AF31" i="125"/>
  <c r="AF32" i="125"/>
  <c r="V32" i="125"/>
  <c r="V31" i="125"/>
  <c r="Q27" i="125"/>
  <c r="Q28" i="125" s="1"/>
  <c r="S27" i="125"/>
  <c r="S28" i="125" s="1"/>
  <c r="L33" i="125"/>
  <c r="L34" i="125" s="1"/>
  <c r="AB27" i="125"/>
  <c r="AB28" i="125" s="1"/>
  <c r="W31" i="125"/>
  <c r="W32" i="125"/>
  <c r="T33" i="125"/>
  <c r="T34" i="125" s="1"/>
  <c r="R31" i="125"/>
  <c r="R32" i="125"/>
  <c r="P31" i="125"/>
  <c r="P32" i="125"/>
  <c r="V27" i="125"/>
  <c r="V28" i="125" s="1"/>
  <c r="AC33" i="125"/>
  <c r="AC34" i="125" s="1"/>
  <c r="N27" i="125"/>
  <c r="N28" i="125" s="1"/>
  <c r="Z27" i="125"/>
  <c r="Z28" i="125" s="1"/>
  <c r="S32" i="125"/>
  <c r="S31" i="125"/>
  <c r="Y31" i="125"/>
  <c r="Y32" i="125"/>
  <c r="J31" i="125"/>
  <c r="J32" i="125"/>
  <c r="X35" i="125"/>
  <c r="X39" i="125"/>
  <c r="N33" i="125"/>
  <c r="N34" i="125" s="1"/>
  <c r="AD33" i="125"/>
  <c r="AD34" i="125" s="1"/>
  <c r="O27" i="125"/>
  <c r="O28" i="125" s="1"/>
  <c r="AC27" i="125"/>
  <c r="AC28" i="125" s="1"/>
  <c r="M27" i="125"/>
  <c r="M28" i="125" s="1"/>
  <c r="AZ5" i="125"/>
  <c r="AZ19" i="125"/>
  <c r="AF27" i="125"/>
  <c r="AF28" i="125" s="1"/>
  <c r="Y27" i="125"/>
  <c r="Y28" i="125" s="1"/>
  <c r="AA53" i="125"/>
  <c r="U27" i="125"/>
  <c r="U28" i="125" s="1"/>
  <c r="T27" i="125"/>
  <c r="T28" i="125" s="1"/>
  <c r="BC19" i="125"/>
  <c r="BC17" i="125"/>
  <c r="BC11" i="125"/>
  <c r="BC5" i="125"/>
  <c r="BC12" i="125"/>
  <c r="BC18" i="125"/>
  <c r="BC15" i="125"/>
  <c r="BC14" i="125"/>
  <c r="AD43" i="125"/>
  <c r="BC16" i="125"/>
  <c r="BC8" i="125"/>
  <c r="BC13" i="125"/>
  <c r="BC10" i="125"/>
  <c r="BC6" i="125"/>
  <c r="BC4" i="125"/>
  <c r="BC9" i="125"/>
  <c r="BC7" i="125"/>
  <c r="AD53" i="125"/>
  <c r="O33" i="125"/>
  <c r="O34" i="125" s="1"/>
  <c r="W27" i="125"/>
  <c r="W28" i="125" s="1"/>
  <c r="DM38" i="118"/>
  <c r="DM39" i="118"/>
  <c r="E21" i="116"/>
  <c r="F21" i="116"/>
  <c r="E22" i="116"/>
  <c r="E24" i="116" s="1"/>
  <c r="BD16" i="125" l="1"/>
  <c r="AW4" i="125"/>
  <c r="AZ4" i="125"/>
  <c r="AQ16" i="125"/>
  <c r="X43" i="125"/>
  <c r="X45" i="125" s="1"/>
  <c r="AZ10" i="125"/>
  <c r="Q35" i="125"/>
  <c r="Q37" i="125" s="1"/>
  <c r="AQ6" i="125"/>
  <c r="AB39" i="125"/>
  <c r="BD7" i="125"/>
  <c r="V33" i="125"/>
  <c r="V34" i="125" s="1"/>
  <c r="V35" i="125" s="1"/>
  <c r="R53" i="125"/>
  <c r="AZ14" i="125"/>
  <c r="U35" i="125"/>
  <c r="U37" i="125" s="1"/>
  <c r="AZ16" i="125"/>
  <c r="AE43" i="125"/>
  <c r="AE44" i="125" s="1"/>
  <c r="AZ12" i="125"/>
  <c r="BD9" i="125"/>
  <c r="AZ11" i="125"/>
  <c r="M35" i="125"/>
  <c r="M37" i="125" s="1"/>
  <c r="AQ8" i="125"/>
  <c r="AW15" i="125"/>
  <c r="L17" i="119"/>
  <c r="M17" i="119"/>
  <c r="K17" i="119"/>
  <c r="AW9" i="125"/>
  <c r="AW11" i="125"/>
  <c r="K9" i="119"/>
  <c r="M9" i="119"/>
  <c r="L9" i="119"/>
  <c r="M16" i="119"/>
  <c r="K16" i="119"/>
  <c r="L16" i="119"/>
  <c r="AZ18" i="125"/>
  <c r="AA43" i="125"/>
  <c r="AA45" i="125" s="1"/>
  <c r="BD4" i="125"/>
  <c r="AW12" i="125"/>
  <c r="K39" i="125"/>
  <c r="AZ7" i="125"/>
  <c r="Z39" i="125"/>
  <c r="BD18" i="125"/>
  <c r="AQ14" i="125"/>
  <c r="AW19" i="125"/>
  <c r="AZ6" i="125"/>
  <c r="BD10" i="125"/>
  <c r="AQ17" i="125"/>
  <c r="AW10" i="125"/>
  <c r="M10" i="119"/>
  <c r="K10" i="119"/>
  <c r="L10" i="119"/>
  <c r="AO14" i="125"/>
  <c r="AO15" i="125"/>
  <c r="AA37" i="125"/>
  <c r="AA36" i="125"/>
  <c r="AA38" i="125" s="1"/>
  <c r="AE35" i="125"/>
  <c r="AE36" i="125" s="1"/>
  <c r="AE38" i="125" s="1"/>
  <c r="AO10" i="125"/>
  <c r="AZ13" i="125"/>
  <c r="AZ15" i="125"/>
  <c r="R43" i="125"/>
  <c r="R45" i="125" s="1"/>
  <c r="AO12" i="125"/>
  <c r="AW5" i="125"/>
  <c r="AW16" i="125"/>
  <c r="AO7" i="125"/>
  <c r="AO13" i="125"/>
  <c r="AO5" i="125"/>
  <c r="J28" i="125"/>
  <c r="J33" i="125"/>
  <c r="J34" i="125" s="1"/>
  <c r="J39" i="125" s="1"/>
  <c r="AK15" i="125"/>
  <c r="L43" i="125"/>
  <c r="L44" i="125" s="1"/>
  <c r="AK4" i="125"/>
  <c r="AK8" i="125"/>
  <c r="AK19" i="125"/>
  <c r="AK12" i="125"/>
  <c r="AK14" i="125"/>
  <c r="AK16" i="125"/>
  <c r="AK7" i="125"/>
  <c r="AK13" i="125"/>
  <c r="AK9" i="125"/>
  <c r="AK10" i="125"/>
  <c r="AK5" i="125"/>
  <c r="AK17" i="125"/>
  <c r="AK6" i="125"/>
  <c r="AK11" i="125"/>
  <c r="AK18" i="125"/>
  <c r="AJ13" i="125"/>
  <c r="AJ19" i="125"/>
  <c r="AJ5" i="125"/>
  <c r="AJ12" i="125"/>
  <c r="K53" i="125"/>
  <c r="AJ6" i="125"/>
  <c r="AJ10" i="125"/>
  <c r="AJ8" i="125"/>
  <c r="AQ7" i="125"/>
  <c r="AQ19" i="125"/>
  <c r="AQ13" i="125"/>
  <c r="AQ4" i="125"/>
  <c r="AQ18" i="125"/>
  <c r="K43" i="125"/>
  <c r="K44" i="125" s="1"/>
  <c r="AJ18" i="125"/>
  <c r="AJ15" i="125"/>
  <c r="AJ14" i="125"/>
  <c r="AJ7" i="125"/>
  <c r="AJ16" i="125"/>
  <c r="AJ9" i="125"/>
  <c r="AJ11" i="125"/>
  <c r="AJ17" i="125"/>
  <c r="AQ12" i="125"/>
  <c r="AQ15" i="125"/>
  <c r="AQ5" i="125"/>
  <c r="AQ11" i="125"/>
  <c r="AQ10" i="125"/>
  <c r="BD19" i="125"/>
  <c r="BD15" i="125"/>
  <c r="AO16" i="125"/>
  <c r="AO8" i="125"/>
  <c r="AW6" i="125"/>
  <c r="AW13" i="125"/>
  <c r="S33" i="125"/>
  <c r="S34" i="125" s="1"/>
  <c r="S35" i="125" s="1"/>
  <c r="AZ8" i="125"/>
  <c r="AZ9" i="125"/>
  <c r="P53" i="125"/>
  <c r="BD5" i="125"/>
  <c r="BD13" i="125"/>
  <c r="AO6" i="125"/>
  <c r="AO18" i="125"/>
  <c r="AW18" i="125"/>
  <c r="AW8" i="125"/>
  <c r="BD14" i="125"/>
  <c r="BD17" i="125"/>
  <c r="BD6" i="125"/>
  <c r="AO9" i="125"/>
  <c r="AO4" i="125"/>
  <c r="AO19" i="125"/>
  <c r="AW17" i="125"/>
  <c r="AW14" i="125"/>
  <c r="BD11" i="125"/>
  <c r="BD8" i="125"/>
  <c r="BD12" i="125"/>
  <c r="AO11" i="125"/>
  <c r="AO17" i="125"/>
  <c r="R33" i="125"/>
  <c r="R34" i="125" s="1"/>
  <c r="R35" i="125" s="1"/>
  <c r="AW7" i="125"/>
  <c r="AS18" i="125"/>
  <c r="T43" i="125"/>
  <c r="AS17" i="125"/>
  <c r="AS10" i="125"/>
  <c r="AS19" i="125"/>
  <c r="AS16" i="125"/>
  <c r="AS13" i="125"/>
  <c r="AS7" i="125"/>
  <c r="AS12" i="125"/>
  <c r="AS5" i="125"/>
  <c r="AS11" i="125"/>
  <c r="AS15" i="125"/>
  <c r="AS14" i="125"/>
  <c r="AS9" i="125"/>
  <c r="AS4" i="125"/>
  <c r="AS6" i="125"/>
  <c r="AS8" i="125"/>
  <c r="T53" i="125"/>
  <c r="BB18" i="125"/>
  <c r="BB19" i="125"/>
  <c r="BB10" i="125"/>
  <c r="BB4" i="125"/>
  <c r="BB17" i="125"/>
  <c r="BB11" i="125"/>
  <c r="AC43" i="125"/>
  <c r="BB16" i="125"/>
  <c r="BB14" i="125"/>
  <c r="BB8" i="125"/>
  <c r="BB7" i="125"/>
  <c r="BB15" i="125"/>
  <c r="BB5" i="125"/>
  <c r="BB13" i="125"/>
  <c r="BB12" i="125"/>
  <c r="BB6" i="125"/>
  <c r="BB9" i="125"/>
  <c r="AC53" i="125"/>
  <c r="AU19" i="125"/>
  <c r="AU11" i="125"/>
  <c r="AU5" i="125"/>
  <c r="AU12" i="125"/>
  <c r="AU18" i="125"/>
  <c r="V43" i="125"/>
  <c r="AU10" i="125"/>
  <c r="AU9" i="125"/>
  <c r="AU16" i="125"/>
  <c r="AU15" i="125"/>
  <c r="AU14" i="125"/>
  <c r="AU7" i="125"/>
  <c r="AU6" i="125"/>
  <c r="AU4" i="125"/>
  <c r="AU17" i="125"/>
  <c r="AU13" i="125"/>
  <c r="AU8" i="125"/>
  <c r="V53" i="125"/>
  <c r="AT18" i="125"/>
  <c r="AT19" i="125"/>
  <c r="AT17" i="125"/>
  <c r="AT10" i="125"/>
  <c r="AT4" i="125"/>
  <c r="AT11" i="125"/>
  <c r="AT14" i="125"/>
  <c r="AT8" i="125"/>
  <c r="AT15" i="125"/>
  <c r="AT12" i="125"/>
  <c r="AT5" i="125"/>
  <c r="U43" i="125"/>
  <c r="AT9" i="125"/>
  <c r="AT16" i="125"/>
  <c r="AT7" i="125"/>
  <c r="AT6" i="125"/>
  <c r="AT13" i="125"/>
  <c r="U53" i="125"/>
  <c r="O43" i="125"/>
  <c r="AN16" i="125"/>
  <c r="AN12" i="125"/>
  <c r="AN6" i="125"/>
  <c r="AN19" i="125"/>
  <c r="AN18" i="125"/>
  <c r="AN13" i="125"/>
  <c r="AN7" i="125"/>
  <c r="AN9" i="125"/>
  <c r="AN17" i="125"/>
  <c r="AN11" i="125"/>
  <c r="AN8" i="125"/>
  <c r="AN4" i="125"/>
  <c r="AN10" i="125"/>
  <c r="AN15" i="125"/>
  <c r="AN14" i="125"/>
  <c r="AN5" i="125"/>
  <c r="O53" i="125"/>
  <c r="AV12" i="125"/>
  <c r="AV6" i="125"/>
  <c r="AV16" i="125"/>
  <c r="AV13" i="125"/>
  <c r="AV7" i="125"/>
  <c r="AV15" i="125"/>
  <c r="AV9" i="125"/>
  <c r="AV17" i="125"/>
  <c r="AV19" i="125"/>
  <c r="AV5" i="125"/>
  <c r="W43" i="125"/>
  <c r="AV14" i="125"/>
  <c r="AV11" i="125"/>
  <c r="AV4" i="125"/>
  <c r="AV8" i="125"/>
  <c r="AV18" i="125"/>
  <c r="AV10" i="125"/>
  <c r="W53" i="125"/>
  <c r="AD39" i="125"/>
  <c r="AD35" i="125"/>
  <c r="P33" i="125"/>
  <c r="P34" i="125" s="1"/>
  <c r="O35" i="125"/>
  <c r="O39" i="125"/>
  <c r="K37" i="125"/>
  <c r="K36" i="125"/>
  <c r="K38" i="125" s="1"/>
  <c r="Z37" i="125"/>
  <c r="Z36" i="125"/>
  <c r="Z38" i="125" s="1"/>
  <c r="N35" i="125"/>
  <c r="N39" i="125"/>
  <c r="W33" i="125"/>
  <c r="W34" i="125" s="1"/>
  <c r="Q43" i="125"/>
  <c r="AP15" i="125"/>
  <c r="AP14" i="125"/>
  <c r="AP8" i="125"/>
  <c r="AP10" i="125"/>
  <c r="AP16" i="125"/>
  <c r="AP12" i="125"/>
  <c r="AP18" i="125"/>
  <c r="AP7" i="125"/>
  <c r="AP4" i="125"/>
  <c r="AP13" i="125"/>
  <c r="AP6" i="125"/>
  <c r="AP19" i="125"/>
  <c r="AP5" i="125"/>
  <c r="AP11" i="125"/>
  <c r="AP9" i="125"/>
  <c r="AP17" i="125"/>
  <c r="Q53" i="125"/>
  <c r="AB37" i="125"/>
  <c r="AB36" i="125"/>
  <c r="AB38" i="125" s="1"/>
  <c r="P45" i="125"/>
  <c r="P44" i="125"/>
  <c r="BA18" i="125"/>
  <c r="AB43" i="125"/>
  <c r="BA15" i="125"/>
  <c r="BA10" i="125"/>
  <c r="BA13" i="125"/>
  <c r="BA7" i="125"/>
  <c r="BA19" i="125"/>
  <c r="BA9" i="125"/>
  <c r="BA14" i="125"/>
  <c r="BA17" i="125"/>
  <c r="BA16" i="125"/>
  <c r="BA8" i="125"/>
  <c r="BA5" i="125"/>
  <c r="BA12" i="125"/>
  <c r="BA4" i="125"/>
  <c r="BA11" i="125"/>
  <c r="BA6" i="125"/>
  <c r="AB53" i="125"/>
  <c r="AD44" i="125"/>
  <c r="AD45" i="125"/>
  <c r="AX15" i="125"/>
  <c r="Y43" i="125"/>
  <c r="AX14" i="125"/>
  <c r="AX8" i="125"/>
  <c r="AX19" i="125"/>
  <c r="AX18" i="125"/>
  <c r="AX17" i="125"/>
  <c r="AX10" i="125"/>
  <c r="AX12" i="125"/>
  <c r="AX11" i="125"/>
  <c r="AX9" i="125"/>
  <c r="AX4" i="125"/>
  <c r="AX6" i="125"/>
  <c r="AX16" i="125"/>
  <c r="AX7" i="125"/>
  <c r="AX13" i="125"/>
  <c r="AX5" i="125"/>
  <c r="Y53" i="125"/>
  <c r="X37" i="125"/>
  <c r="X36" i="125"/>
  <c r="X38" i="125" s="1"/>
  <c r="Z43" i="125"/>
  <c r="AY16" i="125"/>
  <c r="AY19" i="125"/>
  <c r="AY18" i="125"/>
  <c r="AY9" i="125"/>
  <c r="AY11" i="125"/>
  <c r="AY13" i="125"/>
  <c r="AY4" i="125"/>
  <c r="AY6" i="125"/>
  <c r="AY15" i="125"/>
  <c r="AY14" i="125"/>
  <c r="AY7" i="125"/>
  <c r="AY17" i="125"/>
  <c r="AY8" i="125"/>
  <c r="AY10" i="125"/>
  <c r="AY5" i="125"/>
  <c r="AY12" i="125"/>
  <c r="Z53" i="125"/>
  <c r="T35" i="125"/>
  <c r="T39" i="125"/>
  <c r="BE13" i="125"/>
  <c r="BE7" i="125"/>
  <c r="AF43" i="125"/>
  <c r="BE16" i="125"/>
  <c r="BE14" i="125"/>
  <c r="BE8" i="125"/>
  <c r="BE19" i="125"/>
  <c r="BE18" i="125"/>
  <c r="BE15" i="125"/>
  <c r="BE17" i="125"/>
  <c r="BE5" i="125"/>
  <c r="BE10" i="125"/>
  <c r="BE12" i="125"/>
  <c r="BE4" i="125"/>
  <c r="BE6" i="125"/>
  <c r="BE11" i="125"/>
  <c r="BE9" i="125"/>
  <c r="AF53" i="125"/>
  <c r="Y33" i="125"/>
  <c r="Y34" i="125" s="1"/>
  <c r="AM19" i="125"/>
  <c r="AM11" i="125"/>
  <c r="AM5" i="125"/>
  <c r="N43" i="125"/>
  <c r="AM16" i="125"/>
  <c r="AM12" i="125"/>
  <c r="AM15" i="125"/>
  <c r="AM17" i="125"/>
  <c r="AM14" i="125"/>
  <c r="AM9" i="125"/>
  <c r="AM18" i="125"/>
  <c r="AM7" i="125"/>
  <c r="AM13" i="125"/>
  <c r="AM8" i="125"/>
  <c r="AM6" i="125"/>
  <c r="AM4" i="125"/>
  <c r="AM10" i="125"/>
  <c r="N53" i="125"/>
  <c r="L35" i="125"/>
  <c r="L39" i="125"/>
  <c r="AL18" i="125"/>
  <c r="AL19" i="125"/>
  <c r="AL10" i="125"/>
  <c r="AL4" i="125"/>
  <c r="AL11" i="125"/>
  <c r="AL14" i="125"/>
  <c r="AL8" i="125"/>
  <c r="AL16" i="125"/>
  <c r="AL15" i="125"/>
  <c r="AL5" i="125"/>
  <c r="AL17" i="125"/>
  <c r="AL9" i="125"/>
  <c r="AL7" i="125"/>
  <c r="AL13" i="125"/>
  <c r="M43" i="125"/>
  <c r="AL12" i="125"/>
  <c r="AL6" i="125"/>
  <c r="M53" i="125"/>
  <c r="AC39" i="125"/>
  <c r="AC35" i="125"/>
  <c r="S43" i="125"/>
  <c r="AR17" i="125"/>
  <c r="AR15" i="125"/>
  <c r="AR9" i="125"/>
  <c r="AR12" i="125"/>
  <c r="AR14" i="125"/>
  <c r="AR13" i="125"/>
  <c r="AR8" i="125"/>
  <c r="AR19" i="125"/>
  <c r="AR10" i="125"/>
  <c r="AR5" i="125"/>
  <c r="AR11" i="125"/>
  <c r="AR16" i="125"/>
  <c r="AR7" i="125"/>
  <c r="AR4" i="125"/>
  <c r="AR18" i="125"/>
  <c r="AR6" i="125"/>
  <c r="S53" i="125"/>
  <c r="AF33" i="125"/>
  <c r="AF34" i="125" s="1"/>
  <c r="L45" i="125" l="1"/>
  <c r="L46" i="125" s="1"/>
  <c r="L47" i="125" s="1"/>
  <c r="L52" i="125" s="1"/>
  <c r="Q36" i="125"/>
  <c r="Q38" i="125" s="1"/>
  <c r="X44" i="125"/>
  <c r="AA44" i="125"/>
  <c r="AA46" i="125" s="1"/>
  <c r="AA47" i="125" s="1"/>
  <c r="U36" i="125"/>
  <c r="U38" i="125" s="1"/>
  <c r="U41" i="125" s="1"/>
  <c r="M36" i="125"/>
  <c r="M38" i="125" s="1"/>
  <c r="M41" i="125" s="1"/>
  <c r="AB41" i="125"/>
  <c r="R39" i="125"/>
  <c r="K41" i="125"/>
  <c r="AA41" i="125"/>
  <c r="AE45" i="125"/>
  <c r="Q41" i="125"/>
  <c r="V39" i="125"/>
  <c r="X41" i="125"/>
  <c r="Z41" i="125"/>
  <c r="R44" i="125"/>
  <c r="R46" i="125" s="1"/>
  <c r="R47" i="125" s="1"/>
  <c r="K7" i="119"/>
  <c r="L7" i="119"/>
  <c r="M7" i="119"/>
  <c r="M20" i="119"/>
  <c r="K20" i="119"/>
  <c r="L20" i="119"/>
  <c r="M11" i="119"/>
  <c r="K11" i="119"/>
  <c r="L11" i="119"/>
  <c r="M18" i="119"/>
  <c r="L18" i="119"/>
  <c r="K18" i="119"/>
  <c r="L8" i="119"/>
  <c r="M8" i="119"/>
  <c r="K8" i="119"/>
  <c r="K5" i="119"/>
  <c r="M5" i="119"/>
  <c r="L5" i="119"/>
  <c r="K12" i="119"/>
  <c r="L12" i="119"/>
  <c r="M12" i="119"/>
  <c r="D7" i="119"/>
  <c r="E7" i="119"/>
  <c r="F7" i="119"/>
  <c r="J35" i="125"/>
  <c r="J37" i="125" s="1"/>
  <c r="M15" i="119"/>
  <c r="K15" i="119"/>
  <c r="L15" i="119"/>
  <c r="L14" i="119"/>
  <c r="K14" i="119"/>
  <c r="M14" i="119"/>
  <c r="M19" i="119"/>
  <c r="K19" i="119"/>
  <c r="L19" i="119"/>
  <c r="F10" i="119"/>
  <c r="E10" i="119"/>
  <c r="D10" i="119"/>
  <c r="M13" i="119"/>
  <c r="K13" i="119"/>
  <c r="L13" i="119"/>
  <c r="M6" i="119"/>
  <c r="L6" i="119"/>
  <c r="K6" i="119"/>
  <c r="AE37" i="125"/>
  <c r="AE41" i="125" s="1"/>
  <c r="P46" i="125"/>
  <c r="P47" i="125" s="1"/>
  <c r="P52" i="125" s="1"/>
  <c r="J43" i="125"/>
  <c r="AI19" i="125"/>
  <c r="BF19" i="125" s="1"/>
  <c r="BG19" i="125" s="1"/>
  <c r="BH19" i="125" s="1"/>
  <c r="AI12" i="125"/>
  <c r="BF12" i="125" s="1"/>
  <c r="BG12" i="125" s="1"/>
  <c r="BH12" i="125" s="1"/>
  <c r="AI18" i="125"/>
  <c r="BF18" i="125" s="1"/>
  <c r="BG18" i="125" s="1"/>
  <c r="BH18" i="125" s="1"/>
  <c r="AI8" i="125"/>
  <c r="BF8" i="125" s="1"/>
  <c r="BG8" i="125" s="1"/>
  <c r="BH8" i="125" s="1"/>
  <c r="AI11" i="125"/>
  <c r="BF11" i="125" s="1"/>
  <c r="BG11" i="125" s="1"/>
  <c r="BH11" i="125" s="1"/>
  <c r="AI4" i="125"/>
  <c r="BF4" i="125" s="1"/>
  <c r="BG4" i="125" s="1"/>
  <c r="AI10" i="125"/>
  <c r="BF10" i="125" s="1"/>
  <c r="BG10" i="125" s="1"/>
  <c r="BH10" i="125" s="1"/>
  <c r="AI16" i="125"/>
  <c r="BF16" i="125" s="1"/>
  <c r="BG16" i="125" s="1"/>
  <c r="BH16" i="125" s="1"/>
  <c r="AI13" i="125"/>
  <c r="BF13" i="125" s="1"/>
  <c r="BG13" i="125" s="1"/>
  <c r="BH13" i="125" s="1"/>
  <c r="AI6" i="125"/>
  <c r="BF6" i="125" s="1"/>
  <c r="BG6" i="125" s="1"/>
  <c r="BH6" i="125" s="1"/>
  <c r="AI15" i="125"/>
  <c r="BF15" i="125" s="1"/>
  <c r="BG15" i="125" s="1"/>
  <c r="BH15" i="125" s="1"/>
  <c r="AI14" i="125"/>
  <c r="BF14" i="125" s="1"/>
  <c r="BG14" i="125" s="1"/>
  <c r="BH14" i="125" s="1"/>
  <c r="AI17" i="125"/>
  <c r="BF17" i="125" s="1"/>
  <c r="BG17" i="125" s="1"/>
  <c r="BH17" i="125" s="1"/>
  <c r="AI5" i="125"/>
  <c r="BF5" i="125" s="1"/>
  <c r="BG5" i="125" s="1"/>
  <c r="BH5" i="125" s="1"/>
  <c r="AI9" i="125"/>
  <c r="BF9" i="125" s="1"/>
  <c r="BG9" i="125" s="1"/>
  <c r="BH9" i="125" s="1"/>
  <c r="AI7" i="125"/>
  <c r="BF7" i="125" s="1"/>
  <c r="BG7" i="125" s="1"/>
  <c r="BH7" i="125" s="1"/>
  <c r="J53" i="125"/>
  <c r="AG53" i="125" s="1"/>
  <c r="K45" i="125"/>
  <c r="K46" i="125" s="1"/>
  <c r="K47" i="125" s="1"/>
  <c r="S39" i="125"/>
  <c r="S44" i="125"/>
  <c r="S45" i="125"/>
  <c r="AB44" i="125"/>
  <c r="AB45" i="125"/>
  <c r="W44" i="125"/>
  <c r="W45" i="125"/>
  <c r="V44" i="125"/>
  <c r="V45" i="125"/>
  <c r="AC45" i="125"/>
  <c r="AC44" i="125"/>
  <c r="AC37" i="125"/>
  <c r="AC36" i="125"/>
  <c r="AC38" i="125" s="1"/>
  <c r="S37" i="125"/>
  <c r="S36" i="125"/>
  <c r="S38" i="125" s="1"/>
  <c r="Q45" i="125"/>
  <c r="Q44" i="125"/>
  <c r="P35" i="125"/>
  <c r="P39" i="125"/>
  <c r="O45" i="125"/>
  <c r="O44" i="125"/>
  <c r="AE46" i="125"/>
  <c r="AE47" i="125" s="1"/>
  <c r="Y35" i="125"/>
  <c r="Y39" i="125"/>
  <c r="T37" i="125"/>
  <c r="T36" i="125"/>
  <c r="T38" i="125" s="1"/>
  <c r="R37" i="125"/>
  <c r="R36" i="125"/>
  <c r="R38" i="125" s="1"/>
  <c r="W39" i="125"/>
  <c r="W35" i="125"/>
  <c r="T44" i="125"/>
  <c r="T45" i="125"/>
  <c r="AF35" i="125"/>
  <c r="AF39" i="125"/>
  <c r="L37" i="125"/>
  <c r="L36" i="125"/>
  <c r="L38" i="125" s="1"/>
  <c r="N44" i="125"/>
  <c r="N45" i="125"/>
  <c r="AF44" i="125"/>
  <c r="AF45" i="125"/>
  <c r="AD46" i="125"/>
  <c r="AD47" i="125" s="1"/>
  <c r="AD37" i="125"/>
  <c r="AD36" i="125"/>
  <c r="AD38" i="125" s="1"/>
  <c r="Y45" i="125"/>
  <c r="Y44" i="125"/>
  <c r="N37" i="125"/>
  <c r="N36" i="125"/>
  <c r="N38" i="125" s="1"/>
  <c r="M45" i="125"/>
  <c r="M44" i="125"/>
  <c r="V37" i="125"/>
  <c r="V36" i="125"/>
  <c r="V38" i="125" s="1"/>
  <c r="O37" i="125"/>
  <c r="O36" i="125"/>
  <c r="O38" i="125" s="1"/>
  <c r="Z45" i="125"/>
  <c r="Z44" i="125"/>
  <c r="X46" i="125"/>
  <c r="X47" i="125" s="1"/>
  <c r="U45" i="125"/>
  <c r="U44" i="125"/>
  <c r="AA48" i="125" l="1"/>
  <c r="AA52" i="125"/>
  <c r="P48" i="125"/>
  <c r="P49" i="125" s="1"/>
  <c r="P51" i="125" s="1"/>
  <c r="L48" i="125"/>
  <c r="L50" i="125" s="1"/>
  <c r="J36" i="125"/>
  <c r="J38" i="125" s="1"/>
  <c r="J41" i="125" s="1"/>
  <c r="N41" i="125"/>
  <c r="O41" i="125"/>
  <c r="AG39" i="125"/>
  <c r="V41" i="125"/>
  <c r="R41" i="125"/>
  <c r="AD41" i="125"/>
  <c r="S41" i="125"/>
  <c r="T41" i="125"/>
  <c r="AC41" i="125"/>
  <c r="L41" i="125"/>
  <c r="M22" i="119"/>
  <c r="M26" i="119" s="1"/>
  <c r="K21" i="119"/>
  <c r="J21" i="119"/>
  <c r="F19" i="119"/>
  <c r="D19" i="119"/>
  <c r="E19" i="119"/>
  <c r="E12" i="119"/>
  <c r="F12" i="119"/>
  <c r="D12" i="119"/>
  <c r="E14" i="119"/>
  <c r="D14" i="119"/>
  <c r="F14" i="119"/>
  <c r="E20" i="119"/>
  <c r="F20" i="119"/>
  <c r="D20" i="119"/>
  <c r="D18" i="119"/>
  <c r="E18" i="119"/>
  <c r="F18" i="119"/>
  <c r="F17" i="119"/>
  <c r="D17" i="119"/>
  <c r="E17" i="119"/>
  <c r="E16" i="119"/>
  <c r="F16" i="119"/>
  <c r="D16" i="119"/>
  <c r="D9" i="119"/>
  <c r="E9" i="119"/>
  <c r="F9" i="119"/>
  <c r="F13" i="119"/>
  <c r="E13" i="119"/>
  <c r="D13" i="119"/>
  <c r="E11" i="119"/>
  <c r="F11" i="119"/>
  <c r="D11" i="119"/>
  <c r="E6" i="119"/>
  <c r="F6" i="119"/>
  <c r="F8" i="119"/>
  <c r="D8" i="119"/>
  <c r="E8" i="119"/>
  <c r="D15" i="119"/>
  <c r="E15" i="119"/>
  <c r="F15" i="119"/>
  <c r="M46" i="125"/>
  <c r="M47" i="125" s="1"/>
  <c r="M52" i="125" s="1"/>
  <c r="AG35" i="125"/>
  <c r="Y46" i="125"/>
  <c r="Y47" i="125" s="1"/>
  <c r="Y48" i="125" s="1"/>
  <c r="J44" i="125"/>
  <c r="J45" i="125"/>
  <c r="O46" i="125"/>
  <c r="O47" i="125" s="1"/>
  <c r="O52" i="125" s="1"/>
  <c r="AF46" i="125"/>
  <c r="AF47" i="125" s="1"/>
  <c r="AF52" i="125" s="1"/>
  <c r="T46" i="125"/>
  <c r="T47" i="125" s="1"/>
  <c r="T48" i="125" s="1"/>
  <c r="W46" i="125"/>
  <c r="W47" i="125" s="1"/>
  <c r="W52" i="125" s="1"/>
  <c r="AC46" i="125"/>
  <c r="AC47" i="125" s="1"/>
  <c r="AC48" i="125" s="1"/>
  <c r="Q46" i="125"/>
  <c r="Q47" i="125" s="1"/>
  <c r="Q48" i="125" s="1"/>
  <c r="BF20" i="125"/>
  <c r="X52" i="125"/>
  <c r="X48" i="125"/>
  <c r="K52" i="125"/>
  <c r="K48" i="125"/>
  <c r="R52" i="125"/>
  <c r="R48" i="125"/>
  <c r="N46" i="125"/>
  <c r="N47" i="125" s="1"/>
  <c r="W37" i="125"/>
  <c r="W36" i="125"/>
  <c r="W38" i="125" s="1"/>
  <c r="Y37" i="125"/>
  <c r="Y36" i="125"/>
  <c r="Y38" i="125" s="1"/>
  <c r="Z46" i="125"/>
  <c r="Z47" i="125" s="1"/>
  <c r="AA50" i="125"/>
  <c r="AA49" i="125"/>
  <c r="AA51" i="125" s="1"/>
  <c r="AB46" i="125"/>
  <c r="AB47" i="125" s="1"/>
  <c r="P37" i="125"/>
  <c r="P36" i="125"/>
  <c r="P38" i="125" s="1"/>
  <c r="S46" i="125"/>
  <c r="S47" i="125" s="1"/>
  <c r="AD52" i="125"/>
  <c r="AD48" i="125"/>
  <c r="AF37" i="125"/>
  <c r="AF36" i="125"/>
  <c r="AF38" i="125" s="1"/>
  <c r="U46" i="125"/>
  <c r="U47" i="125" s="1"/>
  <c r="AE52" i="125"/>
  <c r="AE48" i="125"/>
  <c r="V46" i="125"/>
  <c r="V47" i="125" s="1"/>
  <c r="BG20" i="125"/>
  <c r="BH4" i="125"/>
  <c r="L49" i="125" l="1"/>
  <c r="L51" i="125" s="1"/>
  <c r="P50" i="125"/>
  <c r="D21" i="119"/>
  <c r="AA54" i="125"/>
  <c r="AF41" i="125"/>
  <c r="AG38" i="125"/>
  <c r="W41" i="125"/>
  <c r="T52" i="125"/>
  <c r="L54" i="125"/>
  <c r="P54" i="125"/>
  <c r="Y41" i="125"/>
  <c r="P41" i="125"/>
  <c r="L22" i="119"/>
  <c r="L24" i="119" s="1"/>
  <c r="L21" i="119"/>
  <c r="M48" i="125"/>
  <c r="M50" i="125" s="1"/>
  <c r="M21" i="119"/>
  <c r="Y52" i="125"/>
  <c r="E5" i="119"/>
  <c r="F5" i="119"/>
  <c r="H21" i="112"/>
  <c r="AC52" i="125"/>
  <c r="O48" i="125"/>
  <c r="O50" i="125" s="1"/>
  <c r="AF48" i="125"/>
  <c r="AF49" i="125" s="1"/>
  <c r="AF51" i="125" s="1"/>
  <c r="J46" i="125"/>
  <c r="J47" i="125" s="1"/>
  <c r="AG37" i="125"/>
  <c r="Q52" i="125"/>
  <c r="W48" i="125"/>
  <c r="W50" i="125" s="1"/>
  <c r="V52" i="125"/>
  <c r="V48" i="125"/>
  <c r="AE50" i="125"/>
  <c r="AE49" i="125"/>
  <c r="AE51" i="125" s="1"/>
  <c r="AC50" i="125"/>
  <c r="AC49" i="125"/>
  <c r="AC51" i="125" s="1"/>
  <c r="Z52" i="125"/>
  <c r="Z48" i="125"/>
  <c r="X50" i="125"/>
  <c r="X49" i="125"/>
  <c r="X51" i="125" s="1"/>
  <c r="U52" i="125"/>
  <c r="U48" i="125"/>
  <c r="S52" i="125"/>
  <c r="S48" i="125"/>
  <c r="BH20" i="125"/>
  <c r="BH22" i="125"/>
  <c r="Q50" i="125"/>
  <c r="Q49" i="125"/>
  <c r="Q51" i="125" s="1"/>
  <c r="K50" i="125"/>
  <c r="K49" i="125"/>
  <c r="K51" i="125" s="1"/>
  <c r="N52" i="125"/>
  <c r="N48" i="125"/>
  <c r="Y50" i="125"/>
  <c r="Y49" i="125"/>
  <c r="Y51" i="125" s="1"/>
  <c r="T50" i="125"/>
  <c r="T49" i="125"/>
  <c r="T51" i="125" s="1"/>
  <c r="O49" i="125"/>
  <c r="O51" i="125" s="1"/>
  <c r="AF50" i="125"/>
  <c r="R50" i="125"/>
  <c r="R49" i="125"/>
  <c r="R51" i="125" s="1"/>
  <c r="AD50" i="125"/>
  <c r="AD49" i="125"/>
  <c r="AD51" i="125" s="1"/>
  <c r="AB52" i="125"/>
  <c r="AB48" i="125"/>
  <c r="F21" i="112"/>
  <c r="H23" i="112" l="1"/>
  <c r="W49" i="125"/>
  <c r="W51" i="125" s="1"/>
  <c r="W54" i="125" s="1"/>
  <c r="F21" i="119"/>
  <c r="F22" i="119"/>
  <c r="F26" i="119" s="1"/>
  <c r="E22" i="119"/>
  <c r="E24" i="119" s="1"/>
  <c r="E21" i="119"/>
  <c r="AD54" i="125"/>
  <c r="Y54" i="125"/>
  <c r="AG41" i="125"/>
  <c r="AC54" i="125"/>
  <c r="AE54" i="125"/>
  <c r="R54" i="125"/>
  <c r="AF54" i="125"/>
  <c r="K54" i="125"/>
  <c r="O54" i="125"/>
  <c r="T54" i="125"/>
  <c r="Q54" i="125"/>
  <c r="X54" i="125"/>
  <c r="M49" i="125"/>
  <c r="M51" i="125" s="1"/>
  <c r="M54" i="125" s="1"/>
  <c r="J52" i="125"/>
  <c r="AG52" i="125" s="1"/>
  <c r="J48" i="125"/>
  <c r="Z50" i="125"/>
  <c r="Z49" i="125"/>
  <c r="Z51" i="125" s="1"/>
  <c r="S50" i="125"/>
  <c r="S49" i="125"/>
  <c r="S51" i="125" s="1"/>
  <c r="AB50" i="125"/>
  <c r="AB49" i="125"/>
  <c r="AB51" i="125" s="1"/>
  <c r="U50" i="125"/>
  <c r="U49" i="125"/>
  <c r="U51" i="125" s="1"/>
  <c r="N50" i="125"/>
  <c r="N49" i="125"/>
  <c r="N51" i="125" s="1"/>
  <c r="V50" i="125"/>
  <c r="V49" i="125"/>
  <c r="V51" i="125" s="1"/>
  <c r="U54" i="125" l="1"/>
  <c r="AB54" i="125"/>
  <c r="V54" i="125"/>
  <c r="S54" i="125"/>
  <c r="Z54" i="125"/>
  <c r="N54" i="125"/>
  <c r="J49" i="125"/>
  <c r="J50" i="125"/>
  <c r="J51" i="125" l="1"/>
  <c r="AG51" i="125" s="1"/>
  <c r="C21" i="112"/>
  <c r="D5" i="112"/>
  <c r="AG50" i="125"/>
  <c r="G21" i="112"/>
  <c r="J54" i="125" l="1"/>
  <c r="AG54" i="125" s="1"/>
  <c r="AG55" i="125" s="1"/>
  <c r="BH25" i="125"/>
  <c r="BH27" i="125" s="1"/>
  <c r="D21" i="112" l="1"/>
  <c r="D23" i="1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<sst xmlns="http://schemas.openxmlformats.org/spreadsheetml/2006/main" count="3884" uniqueCount="219">
  <si>
    <t>p</t>
  </si>
  <si>
    <t>Mean</t>
  </si>
  <si>
    <t>g</t>
  </si>
  <si>
    <t>Co</t>
  </si>
  <si>
    <t>Cu</t>
  </si>
  <si>
    <t>Critical ratio</t>
  </si>
  <si>
    <t>unit cost</t>
  </si>
  <si>
    <t>z</t>
  </si>
  <si>
    <t>L(z)</t>
  </si>
  <si>
    <t>expected lost sales</t>
  </si>
  <si>
    <t>expected sales</t>
  </si>
  <si>
    <t>expected leftovers</t>
  </si>
  <si>
    <t>expected revenue</t>
  </si>
  <si>
    <t>expaected salvage</t>
  </si>
  <si>
    <t>expaected penalty</t>
  </si>
  <si>
    <t>cost</t>
  </si>
  <si>
    <t>pdf</t>
  </si>
  <si>
    <t>cdf</t>
  </si>
  <si>
    <t>ลูกชิ้นหมู</t>
  </si>
  <si>
    <t>หมูเด้ง</t>
  </si>
  <si>
    <t>หมูชิ้น</t>
  </si>
  <si>
    <t>ข้าวซอยไก่</t>
  </si>
  <si>
    <t>น่องไก่</t>
  </si>
  <si>
    <t>meat</t>
  </si>
  <si>
    <t>Menu</t>
  </si>
  <si>
    <t>Method</t>
  </si>
  <si>
    <t>S.D.</t>
  </si>
  <si>
    <t>holtwinter_multiplicative_damp</t>
  </si>
  <si>
    <t>ses</t>
  </si>
  <si>
    <t>fbprophet</t>
  </si>
  <si>
    <t>price</t>
  </si>
  <si>
    <t>Optimal quantity</t>
  </si>
  <si>
    <t>unit salvage</t>
  </si>
  <si>
    <t xml:space="preserve">unit penalty </t>
  </si>
  <si>
    <t>Current quantity</t>
  </si>
  <si>
    <t>Current profit</t>
  </si>
  <si>
    <t>New profit</t>
  </si>
  <si>
    <t>new cost</t>
  </si>
  <si>
    <t>New Policy</t>
  </si>
  <si>
    <t>Total</t>
  </si>
  <si>
    <t>New order quantity</t>
  </si>
  <si>
    <t># of unit</t>
  </si>
  <si>
    <t>profit - cost of mat</t>
  </si>
  <si>
    <t>unit size (kg)</t>
  </si>
  <si>
    <t>Day</t>
  </si>
  <si>
    <t>index</t>
  </si>
  <si>
    <t>ตับ</t>
  </si>
  <si>
    <t>หมูสับ</t>
  </si>
  <si>
    <t>เลือดหมู</t>
  </si>
  <si>
    <t>เลือดไก่</t>
  </si>
  <si>
    <t>กุ้ง</t>
  </si>
  <si>
    <t>กุ้งแม่น้ำ</t>
  </si>
  <si>
    <t>หมึกอาเจน</t>
  </si>
  <si>
    <t>หมึกกล้วย</t>
  </si>
  <si>
    <t>ลูกชิ้นปลา</t>
  </si>
  <si>
    <t>หมูกรอบ</t>
  </si>
  <si>
    <t>ปลาทู</t>
  </si>
  <si>
    <t>เล้ง</t>
  </si>
  <si>
    <t>RMSE</t>
  </si>
  <si>
    <t>1</t>
  </si>
  <si>
    <t>2</t>
  </si>
  <si>
    <t>3</t>
  </si>
  <si>
    <t>ก๋วยเตี๋ยวต้มยำเครื่องทะลัก</t>
  </si>
  <si>
    <t>holt</t>
  </si>
  <si>
    <t>0.84</t>
  </si>
  <si>
    <t>ต้มยำหมึก</t>
  </si>
  <si>
    <t>3.44</t>
  </si>
  <si>
    <t>หมูต้มยำขลุกขลิก</t>
  </si>
  <si>
    <t>xgb</t>
  </si>
  <si>
    <t>ยำเกี๊ยวกรอบ</t>
  </si>
  <si>
    <t>7.89</t>
  </si>
  <si>
    <t>ขนมจีนน้ำเงี้ยว</t>
  </si>
  <si>
    <t>holt_damp</t>
  </si>
  <si>
    <t>12.45</t>
  </si>
  <si>
    <t>หมูต้มยำ</t>
  </si>
  <si>
    <t>arima</t>
  </si>
  <si>
    <t>ต้มเลือดหมู</t>
  </si>
  <si>
    <t>ข้าวผัดหมู</t>
  </si>
  <si>
    <t>holtwinter_additive</t>
  </si>
  <si>
    <t>9.22</t>
  </si>
  <si>
    <t>ยำขนมจีนปลาทู</t>
  </si>
  <si>
    <t>1.97</t>
  </si>
  <si>
    <t>ต้มยำหมึกยัดไส้</t>
  </si>
  <si>
    <t>1.55</t>
  </si>
  <si>
    <t>เล้งแซ่บ</t>
  </si>
  <si>
    <t>3.22</t>
  </si>
  <si>
    <t>ข้าวน้ำพริกปลาทู</t>
  </si>
  <si>
    <t>2.07</t>
  </si>
  <si>
    <t>ต้มยำกุ้ง</t>
  </si>
  <si>
    <t>3.07</t>
  </si>
  <si>
    <t>7.25</t>
  </si>
  <si>
    <t>ยำวุ้นเส้นทะเล</t>
  </si>
  <si>
    <t>หมูจัมโบ้</t>
  </si>
  <si>
    <t>1.42</t>
  </si>
  <si>
    <t>ซี่โครง</t>
  </si>
  <si>
    <t xml:space="preserve">salvage </t>
  </si>
  <si>
    <t>ต้นทุนวัตถุดิบ (THB)</t>
  </si>
  <si>
    <t xml:space="preserve">penalty </t>
  </si>
  <si>
    <t xml:space="preserve">purchase unit </t>
  </si>
  <si>
    <t xml:space="preserve">ปัจจุบัน </t>
  </si>
  <si>
    <t>ปริมาณที่สั่ง (kg)</t>
  </si>
  <si>
    <t xml:space="preserve">สูงสุด </t>
  </si>
  <si>
    <t>หมูเด้งต้มยำ</t>
  </si>
  <si>
    <t>19.81</t>
  </si>
  <si>
    <t>4.80</t>
  </si>
  <si>
    <t>15.60</t>
  </si>
  <si>
    <t>ต้มยำทะเล</t>
  </si>
  <si>
    <t>ข้าวผัดพริกเผาทะเล</t>
  </si>
  <si>
    <t>2.89</t>
  </si>
  <si>
    <t>8.55</t>
  </si>
  <si>
    <t>3.36</t>
  </si>
  <si>
    <t>6.29</t>
  </si>
  <si>
    <t>ข้าวกะเพราหมู</t>
  </si>
  <si>
    <t>7.77</t>
  </si>
  <si>
    <t>ข้าวหมูผัดพริกแกงใต้</t>
  </si>
  <si>
    <t>holtwinter_multiplicative</t>
  </si>
  <si>
    <t>1.56</t>
  </si>
  <si>
    <t>ต้มยำกุ้งแม่น้ำ</t>
  </si>
  <si>
    <t>1.21</t>
  </si>
  <si>
    <t>ลวกจิ้มหมู</t>
  </si>
  <si>
    <t>1.19</t>
  </si>
  <si>
    <t>Date</t>
  </si>
  <si>
    <t xml:space="preserve"> Price (THB/kg)</t>
  </si>
  <si>
    <t>(kg/pack)</t>
  </si>
  <si>
    <t>Order (kg)</t>
  </si>
  <si>
    <t>Sat</t>
  </si>
  <si>
    <t>new year</t>
  </si>
  <si>
    <t>Standard deviation</t>
  </si>
  <si>
    <t xml:space="preserve">order </t>
  </si>
  <si>
    <t>= (unit size)*(# of unit)</t>
  </si>
  <si>
    <t>Diff</t>
  </si>
  <si>
    <t>cost of raw mat</t>
  </si>
  <si>
    <t>diff between now &amp; new</t>
  </si>
  <si>
    <t>Meat</t>
  </si>
  <si>
    <t>diff</t>
  </si>
  <si>
    <t>current</t>
  </si>
  <si>
    <t>new</t>
  </si>
  <si>
    <t xml:space="preserve">total cost </t>
  </si>
  <si>
    <t>Sum of quantity</t>
  </si>
  <si>
    <t>Column Labels</t>
  </si>
  <si>
    <t>Row Labels</t>
  </si>
  <si>
    <t>Grand Total</t>
  </si>
  <si>
    <t>Price</t>
  </si>
  <si>
    <t>Sales</t>
  </si>
  <si>
    <t>Avg/Day</t>
  </si>
  <si>
    <t>Daily expected profit</t>
  </si>
  <si>
    <t>Daily exepected revenue</t>
  </si>
  <si>
    <t>Current</t>
  </si>
  <si>
    <t>Daily demand</t>
  </si>
  <si>
    <t>Forecast</t>
  </si>
  <si>
    <t>Actual</t>
  </si>
  <si>
    <t>MAPE</t>
  </si>
  <si>
    <t>APE</t>
  </si>
  <si>
    <t>MAPE (%)</t>
  </si>
  <si>
    <t>Error</t>
  </si>
  <si>
    <t>n</t>
  </si>
  <si>
    <t>MAD</t>
  </si>
  <si>
    <t xml:space="preserve"> |Error| </t>
  </si>
  <si>
    <t>Daily revenue</t>
  </si>
  <si>
    <t xml:space="preserve">Daily sales </t>
  </si>
  <si>
    <t>a</t>
  </si>
  <si>
    <t>f</t>
  </si>
  <si>
    <r>
      <t>Forecast</t>
    </r>
    <r>
      <rPr>
        <b/>
        <vertAlign val="superscript"/>
        <sz val="14"/>
        <color rgb="FF00B050"/>
        <rFont val="TH SarabunPSK"/>
        <family val="2"/>
      </rPr>
      <t>f</t>
    </r>
  </si>
  <si>
    <r>
      <t>Actual</t>
    </r>
    <r>
      <rPr>
        <b/>
        <vertAlign val="superscript"/>
        <sz val="14"/>
        <color rgb="FF00B050"/>
        <rFont val="TH SarabunPSK"/>
        <family val="2"/>
      </rPr>
      <t>a</t>
    </r>
  </si>
  <si>
    <t>ยอดขายที่เกิดขึ้นจริง (จน.ที่ขายได้ทุกเมนู X ราคาขาย)</t>
  </si>
  <si>
    <r>
      <t>Actual</t>
    </r>
    <r>
      <rPr>
        <b/>
        <vertAlign val="superscript"/>
        <sz val="14"/>
        <color rgb="FF00B050"/>
        <rFont val="TH SarabunPSK"/>
        <family val="2"/>
      </rPr>
      <t>a1</t>
    </r>
  </si>
  <si>
    <r>
      <t>expected</t>
    </r>
    <r>
      <rPr>
        <b/>
        <vertAlign val="superscript"/>
        <sz val="14"/>
        <color rgb="FF00B050"/>
        <rFont val="TH SarabunPSK"/>
        <family val="2"/>
      </rPr>
      <t>e1</t>
    </r>
    <r>
      <rPr>
        <sz val="14"/>
        <rFont val="TH SarabunPSK"/>
        <family val="2"/>
      </rPr>
      <t xml:space="preserve"> </t>
    </r>
  </si>
  <si>
    <r>
      <t>Actual</t>
    </r>
    <r>
      <rPr>
        <b/>
        <vertAlign val="superscript"/>
        <sz val="14"/>
        <color rgb="FF00B050"/>
        <rFont val="TH SarabunPSK"/>
        <family val="2"/>
      </rPr>
      <t>a2</t>
    </r>
  </si>
  <si>
    <r>
      <t>expected</t>
    </r>
    <r>
      <rPr>
        <b/>
        <vertAlign val="superscript"/>
        <sz val="14"/>
        <color rgb="FF00B050"/>
        <rFont val="TH SarabunPSK"/>
        <family val="2"/>
      </rPr>
      <t>e2</t>
    </r>
  </si>
  <si>
    <t>a1</t>
  </si>
  <si>
    <t>e1</t>
  </si>
  <si>
    <t>ยอดขายที่คาดว่าจะได้จาก forecast demand (forecast demand all menu X ราคาขาย)</t>
  </si>
  <si>
    <t>a2</t>
  </si>
  <si>
    <t>e2</t>
  </si>
  <si>
    <t xml:space="preserve">จำนวนที่ขายได้จริงรวมทุกเมนู </t>
  </si>
  <si>
    <t xml:space="preserve">จำนวนที่คาดว่าจะขายได้ expected sales all menu </t>
  </si>
  <si>
    <t>ยอดขายที่คาดว่าจะได้จาก expected sales all menu X ราคาขาย (expected revenue)</t>
  </si>
  <si>
    <t>ยอดขายที่เกิดขึ้นจริง (จำนวนที่ขายได้จริงทุกเมนู X ราคาขาย)</t>
  </si>
  <si>
    <t>MSE</t>
  </si>
  <si>
    <t>SMAPE</t>
  </si>
  <si>
    <r>
      <t>|Error|</t>
    </r>
    <r>
      <rPr>
        <vertAlign val="superscript"/>
        <sz val="16"/>
        <color theme="1"/>
        <rFont val="TH SarabunPSK"/>
        <family val="2"/>
      </rPr>
      <t>2</t>
    </r>
  </si>
  <si>
    <t>Avg</t>
  </si>
  <si>
    <t>Cost of raw mat</t>
  </si>
  <si>
    <t>Daily expected Cost</t>
  </si>
  <si>
    <t>MAD : Median Absolute Deviation or Mean Absolute Deviation</t>
  </si>
  <si>
    <t>c</t>
  </si>
  <si>
    <t>h</t>
  </si>
  <si>
    <t>p-c+g</t>
  </si>
  <si>
    <t>c-h</t>
  </si>
  <si>
    <t>ยำ</t>
  </si>
  <si>
    <t>ชิ้นปลา</t>
  </si>
  <si>
    <t>หมึก</t>
  </si>
  <si>
    <t>ต้มเลือด</t>
  </si>
  <si>
    <t>ข้วผัดหมู</t>
  </si>
  <si>
    <t>น้ำเงี้ยว</t>
  </si>
  <si>
    <t>ยำเกี๊ยว</t>
  </si>
  <si>
    <t>จัมโบ้</t>
  </si>
  <si>
    <t>ลวกจิ้ม</t>
  </si>
  <si>
    <t>พริกแกงหมู</t>
  </si>
  <si>
    <t>ABE</t>
  </si>
  <si>
    <t>Daily expected salvage</t>
  </si>
  <si>
    <t>Daily expected penalty</t>
  </si>
  <si>
    <t>% change</t>
  </si>
  <si>
    <t>ปริมาณที่สั่ง (หน่วย)</t>
  </si>
  <si>
    <t>หน่วย</t>
  </si>
  <si>
    <t>pack</t>
  </si>
  <si>
    <t>kilogram</t>
  </si>
  <si>
    <t>เข่ง</t>
  </si>
  <si>
    <t>ก้อน</t>
  </si>
  <si>
    <t>Newsvendor Problem -- 16 Days</t>
  </si>
  <si>
    <t>Newsvendor Problem  16 Days</t>
  </si>
  <si>
    <t xml:space="preserve">Day </t>
  </si>
  <si>
    <t>Daily Rev</t>
  </si>
  <si>
    <t>Rev</t>
  </si>
  <si>
    <t>หมึกยัดไส้</t>
  </si>
  <si>
    <t>กะเพรา</t>
  </si>
  <si>
    <t>ขลุกขลิก</t>
  </si>
  <si>
    <t>พริกเผาทะเล</t>
  </si>
  <si>
    <t>เครื่องทะลัก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</si>
</sst>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THB&quot;* #,##0.00_);_(&quot;THB&quot;* \(#,##0.00\);_(&quot;THB&quot;* &quot;-&quot;??_);_(@_)"/>
    <numFmt numFmtId="43" formatCode="_(* #,##0.00_);_(* \(#,##0.00\);_(* &quot;-&quot;??_);_(@_)"/>
    <numFmt numFmtId="164" formatCode="[$-409]d\-mmm;@"/>
    <numFmt numFmtId="165" formatCode="0.0"/>
    <numFmt numFmtId="166" formatCode="yyyy\-mm\-dd;@"/>
    <numFmt numFmtId="167" formatCode="_(* #,##0_);_(* \(#,##0\);_(* &quot;-&quot;??_);_(@_)"/>
  </numFmts>
  <fonts count="7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H SarabunPSK"/>
      <family val="2"/>
    </font>
    <font>
      <b/>
      <sz val="14"/>
      <color rgb="FFFF29ED"/>
      <name val="TH SarabunPSK"/>
      <family val="2"/>
    </font>
    <font>
      <b/>
      <sz val="14"/>
      <color theme="1"/>
      <name val="TH SarabunPSK"/>
      <family val="2"/>
    </font>
    <font>
      <b/>
      <sz val="14"/>
      <color rgb="FFC00000"/>
      <name val="TH SarabunPSK"/>
      <family val="2"/>
    </font>
    <font>
      <sz val="14"/>
      <color theme="4" tint="-0.499984740745262"/>
      <name val="TH SarabunPSK"/>
      <family val="2"/>
    </font>
    <font>
      <sz val="14"/>
      <color rgb="FF000000"/>
      <name val="TH SarabunPSK"/>
      <family val="2"/>
    </font>
    <font>
      <sz val="14"/>
      <color theme="0" tint="-0.499984740745262"/>
      <name val="TH SarabunPSK"/>
      <family val="2"/>
    </font>
    <font>
      <sz val="14"/>
      <color theme="0" tint="-0.14999847407452621"/>
      <name val="TH SarabunPSK"/>
      <family val="2"/>
    </font>
    <font>
      <sz val="14"/>
      <color rgb="FF3A3A3A"/>
      <name val="TH SarabunPSK"/>
      <family val="2"/>
    </font>
    <font>
      <b/>
      <sz val="14"/>
      <color rgb="FF004300"/>
      <name val="TH SarabunPSK"/>
      <family val="2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sz val="16"/>
      <color rgb="FFFF0000"/>
      <name val="TH SarabunPSK"/>
      <family val="2"/>
    </font>
    <font>
      <b/>
      <sz val="16"/>
      <color rgb="FFC00000"/>
      <name val="TH SarabunPSK"/>
      <family val="2"/>
    </font>
    <font>
      <sz val="10"/>
      <color theme="1"/>
      <name val="TH SarabunPSK"/>
      <family val="2"/>
    </font>
    <font>
      <b/>
      <sz val="12"/>
      <name val="TH SarabunPSK"/>
      <family val="2"/>
    </font>
    <font>
      <b/>
      <sz val="14"/>
      <color rgb="FFFF0000"/>
      <name val="TH SarabunPSK"/>
      <family val="2"/>
    </font>
    <font>
      <sz val="14"/>
      <color rgb="FF3D43FF"/>
      <name val="TH SarabunPSK"/>
      <family val="2"/>
    </font>
    <font>
      <b/>
      <sz val="14"/>
      <color rgb="FF000000"/>
      <name val="TH SarabunPSK"/>
      <family val="2"/>
    </font>
    <font>
      <b/>
      <sz val="16"/>
      <name val="TH SarabunPSK"/>
      <family val="2"/>
    </font>
    <font>
      <b/>
      <sz val="18"/>
      <color rgb="FF3D43FF"/>
      <name val="TH SarabunPSK"/>
      <family val="2"/>
    </font>
    <font>
      <sz val="16"/>
      <color rgb="FF00EC00"/>
      <name val="TH SarabunPSK"/>
      <family val="2"/>
    </font>
    <font>
      <sz val="16"/>
      <color rgb="FF00B050"/>
      <name val="TH SarabunPSK"/>
      <family val="2"/>
    </font>
    <font>
      <sz val="16"/>
      <color theme="0" tint="-0.34998626667073579"/>
      <name val="TH SarabunPSK"/>
      <family val="2"/>
    </font>
    <font>
      <b/>
      <sz val="14"/>
      <color rgb="FFFF0091"/>
      <name val="TH SarabunPSK"/>
      <family val="2"/>
    </font>
    <font>
      <b/>
      <sz val="14"/>
      <color rgb="FF00B050"/>
      <name val="TH SarabunPSK"/>
      <family val="2"/>
    </font>
    <font>
      <b/>
      <sz val="16"/>
      <color rgb="FFFF0091"/>
      <name val="TH SarabunPSK"/>
      <family val="2"/>
    </font>
    <font>
      <b/>
      <sz val="16"/>
      <color theme="0"/>
      <name val="TH SarabunPSK"/>
      <family val="2"/>
    </font>
    <font>
      <b/>
      <sz val="16"/>
      <color rgb="FF00B050"/>
      <name val="TH SarabunPSK"/>
      <family val="2"/>
    </font>
    <font>
      <b/>
      <sz val="16"/>
      <color theme="5" tint="-0.249977111117893"/>
      <name val="TH SarabunPSK"/>
      <family val="2"/>
    </font>
    <font>
      <b/>
      <sz val="14"/>
      <color rgb="FF3D43FF"/>
      <name val="TH SarabunPSK"/>
      <family val="2"/>
    </font>
    <font>
      <b/>
      <sz val="18"/>
      <color theme="0"/>
      <name val="TH SarabunPSK"/>
      <family val="2"/>
    </font>
    <font>
      <b/>
      <sz val="14"/>
      <color rgb="FF002060"/>
      <name val="TH SarabunPSK"/>
      <family val="2"/>
    </font>
    <font>
      <sz val="14"/>
      <color rgb="FF002060"/>
      <name val="TH SarabunPSK"/>
      <family val="2"/>
    </font>
    <font>
      <sz val="12"/>
      <color theme="0"/>
      <name val="TH SarabunPSK"/>
      <family val="2"/>
    </font>
    <font>
      <sz val="14"/>
      <color rgb="FFFFFFFF"/>
      <name val="TH SarabunPSK"/>
      <family val="2"/>
    </font>
    <font>
      <sz val="10"/>
      <name val="Arial"/>
      <family val="2"/>
    </font>
    <font>
      <b/>
      <sz val="16"/>
      <color theme="3"/>
      <name val="TH SarabunPSK"/>
      <family val="2"/>
    </font>
    <font>
      <b/>
      <sz val="11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4"/>
      <name val="TH SarabunPSK"/>
      <family val="2"/>
    </font>
    <font>
      <sz val="14"/>
      <name val="TH SarabunPSK"/>
      <family val="2"/>
    </font>
    <font>
      <i/>
      <sz val="14"/>
      <name val="TH SarabunPSK"/>
      <family val="2"/>
    </font>
    <font>
      <b/>
      <sz val="14"/>
      <color theme="0"/>
      <name val="TH SarabunPSK"/>
      <family val="2"/>
    </font>
    <font>
      <b/>
      <sz val="14"/>
      <color theme="5" tint="-0.499984740745262"/>
      <name val="TH SarabunPSK"/>
      <family val="2"/>
    </font>
    <font>
      <b/>
      <sz val="14"/>
      <color rgb="FFFF00A0"/>
      <name val="TH SarabunPSK"/>
      <family val="2"/>
    </font>
    <font>
      <b/>
      <sz val="16"/>
      <color theme="4" tint="-0.499984740745262"/>
      <name val="TH SarabunPSK"/>
      <family val="2"/>
    </font>
    <font>
      <sz val="14"/>
      <color rgb="FFFF00A0"/>
      <name val="TH SarabunPSK"/>
      <family val="2"/>
    </font>
    <font>
      <sz val="14"/>
      <color rgb="FF00B050"/>
      <name val="TH SarabunPSK"/>
      <family val="2"/>
    </font>
    <font>
      <b/>
      <vertAlign val="superscript"/>
      <sz val="14"/>
      <color rgb="FF00B050"/>
      <name val="TH SarabunPSK"/>
      <family val="2"/>
    </font>
    <font>
      <vertAlign val="superscript"/>
      <sz val="16"/>
      <color theme="1"/>
      <name val="TH SarabunPSK"/>
      <family val="2"/>
    </font>
    <font>
      <b/>
      <sz val="17"/>
      <color theme="9" tint="-0.499984740745262"/>
      <name val="TH SarabunPSK"/>
      <family val="2"/>
    </font>
    <font>
      <b/>
      <sz val="17"/>
      <color rgb="FFC00000"/>
      <name val="TH SarabunPSK"/>
      <family val="2"/>
    </font>
    <font>
      <sz val="16"/>
      <color rgb="FF0A0101"/>
      <name val="Helvetica Neue"/>
      <family val="2"/>
    </font>
    <font>
      <sz val="16"/>
      <color rgb="FFFF00A0"/>
      <name val="TH SarabunPSK"/>
      <family val="2"/>
    </font>
    <font>
      <b/>
      <sz val="11"/>
      <color rgb="FF00B050"/>
      <name val="Calibri"/>
      <family val="2"/>
      <scheme val="minor"/>
    </font>
    <font>
      <sz val="11"/>
      <color rgb="FFFF00A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4"/>
      <name val="TH SarabunPSK"/>
      <family val="2"/>
    </font>
    <font>
      <sz val="14"/>
      <color rgb="FF00B0F0"/>
      <name val="TH SarabunPSK"/>
      <family val="2"/>
    </font>
    <font>
      <sz val="16"/>
      <color theme="2" tint="-9.9978637043366805E-2"/>
      <name val="TH SarabunPSK"/>
      <family val="2"/>
    </font>
    <font>
      <sz val="16"/>
      <color rgb="FF3D43FF"/>
      <name val="TH SarabunPSK"/>
      <family val="2"/>
    </font>
    <font>
      <sz val="11"/>
      <color rgb="FF3D43FF"/>
      <name val="Calibri"/>
      <family val="2"/>
      <scheme val="minor"/>
    </font>
    <font>
      <sz val="11"/>
      <name val="Calibri"/>
      <family val="2"/>
      <scheme val="minor"/>
    </font>
    <font>
      <sz val="16"/>
      <name val="TH SarabunPSK"/>
      <family val="2"/>
    </font>
    <font>
      <b/>
      <sz val="18"/>
      <name val="TH SarabunPSK"/>
      <family val="2"/>
    </font>
    <font>
      <b/>
      <sz val="1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6FDFC"/>
        <bgColor indexed="64"/>
      </patternFill>
    </fill>
    <fill>
      <patternFill patternType="solid">
        <fgColor rgb="FFFFF2FF"/>
        <bgColor indexed="64"/>
      </patternFill>
    </fill>
    <fill>
      <patternFill patternType="solid">
        <fgColor rgb="FFFF009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6FFEA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CE9CE"/>
        <bgColor indexed="64"/>
      </patternFill>
    </fill>
    <fill>
      <patternFill patternType="solid">
        <fgColor rgb="FFE5FB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AFFD8"/>
        <bgColor indexed="64"/>
      </patternFill>
    </fill>
    <fill>
      <patternFill patternType="solid">
        <fgColor rgb="FFFAFFD8"/>
        <bgColor rgb="FF000000"/>
      </patternFill>
    </fill>
    <fill>
      <patternFill patternType="solid">
        <fgColor rgb="FFFFF0F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EDFD"/>
        <bgColor indexed="64"/>
      </patternFill>
    </fill>
    <fill>
      <patternFill patternType="solid">
        <fgColor rgb="FFF0EEFE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6E9FF"/>
        <bgColor indexed="64"/>
      </patternFill>
    </fill>
    <fill>
      <patternFill patternType="solid">
        <fgColor rgb="FFFFE3C8"/>
        <bgColor indexed="64"/>
      </patternFill>
    </fill>
    <fill>
      <patternFill patternType="solid">
        <fgColor rgb="FFF2FFF0"/>
        <bgColor indexed="64"/>
      </patternFill>
    </fill>
    <fill>
      <patternFill patternType="solid">
        <fgColor theme="0" tint="-4.9989318521683403E-2"/>
        <bgColor indexed="64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  <xf numFmtId="0" fontId="39" fillId="0" borderId="0"/>
  </cellStyleXfs>
  <cellXfs count="450">
    <xf numFmtId="0" fontId="0" fillId="0" borderId="0" xfId="0"/>
    <xf numFmtId="0" fontId="5" fillId="0" borderId="0" xfId="0" applyFont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0" borderId="0" xfId="2" applyNumberFormat="1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0" fontId="11" fillId="0" borderId="0" xfId="0" quotePrefix="1" applyFont="1"/>
    <xf numFmtId="43" fontId="3" fillId="0" borderId="0" xfId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3" fontId="12" fillId="0" borderId="0" xfId="1" applyFont="1" applyFill="1" applyBorder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6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 vertical="center"/>
    </xf>
    <xf numFmtId="0" fontId="13" fillId="0" borderId="0" xfId="3" applyFont="1" applyAlignment="1">
      <alignment horizontal="center" vertical="center"/>
    </xf>
    <xf numFmtId="0" fontId="22" fillId="0" borderId="6" xfId="3" applyFont="1" applyBorder="1" applyAlignment="1">
      <alignment horizontal="center" vertical="center"/>
    </xf>
    <xf numFmtId="0" fontId="13" fillId="0" borderId="6" xfId="3" applyFont="1" applyBorder="1" applyAlignment="1">
      <alignment horizontal="left" vertical="center"/>
    </xf>
    <xf numFmtId="0" fontId="13" fillId="0" borderId="6" xfId="3" applyFont="1" applyBorder="1" applyAlignment="1">
      <alignment horizontal="center" vertical="center"/>
    </xf>
    <xf numFmtId="0" fontId="13" fillId="0" borderId="0" xfId="3" applyFont="1" applyAlignment="1">
      <alignment horizontal="left" vertical="center"/>
    </xf>
    <xf numFmtId="0" fontId="13" fillId="2" borderId="0" xfId="0" applyFont="1" applyFill="1" applyAlignment="1">
      <alignment horizontal="center" vertical="center"/>
    </xf>
    <xf numFmtId="16" fontId="13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6" xfId="0" applyFont="1" applyFill="1" applyBorder="1" applyAlignment="1">
      <alignment horizontal="center" vertical="center"/>
    </xf>
    <xf numFmtId="0" fontId="18" fillId="0" borderId="0" xfId="0" applyFont="1" applyFill="1" applyBorder="1"/>
    <xf numFmtId="0" fontId="3" fillId="0" borderId="0" xfId="0" quotePrefix="1" applyFont="1" applyAlignment="1">
      <alignment horizontal="left" vertical="center"/>
    </xf>
    <xf numFmtId="43" fontId="29" fillId="3" borderId="0" xfId="0" applyNumberFormat="1" applyFont="1" applyFill="1" applyAlignment="1">
      <alignment horizontal="center" vertical="center"/>
    </xf>
    <xf numFmtId="43" fontId="31" fillId="6" borderId="0" xfId="0" quotePrefix="1" applyNumberFormat="1" applyFont="1" applyFill="1" applyAlignment="1">
      <alignment horizontal="center" vertical="center"/>
    </xf>
    <xf numFmtId="43" fontId="32" fillId="8" borderId="0" xfId="1" applyFont="1" applyFill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5" fillId="9" borderId="7" xfId="0" applyFont="1" applyFill="1" applyBorder="1" applyAlignment="1">
      <alignment horizontal="center" vertical="center"/>
    </xf>
    <xf numFmtId="2" fontId="3" fillId="0" borderId="7" xfId="0" applyNumberFormat="1" applyFont="1" applyFill="1" applyBorder="1" applyAlignment="1">
      <alignment horizontal="center" vertical="center"/>
    </xf>
    <xf numFmtId="2" fontId="3" fillId="0" borderId="7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43" fontId="3" fillId="0" borderId="5" xfId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43" fontId="28" fillId="0" borderId="0" xfId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1" fontId="3" fillId="11" borderId="7" xfId="0" applyNumberFormat="1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34" fillId="10" borderId="5" xfId="0" applyFont="1" applyFill="1" applyBorder="1" applyAlignment="1">
      <alignment horizontal="center"/>
    </xf>
    <xf numFmtId="0" fontId="23" fillId="9" borderId="8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3" fillId="9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43" fontId="3" fillId="0" borderId="0" xfId="1" applyFont="1" applyFill="1" applyBorder="1" applyAlignment="1">
      <alignment horizontal="center" vertical="center"/>
    </xf>
    <xf numFmtId="43" fontId="27" fillId="0" borderId="0" xfId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2" fontId="3" fillId="0" borderId="2" xfId="0" applyNumberFormat="1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 wrapText="1"/>
    </xf>
    <xf numFmtId="1" fontId="21" fillId="12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2" fontId="36" fillId="0" borderId="2" xfId="0" applyNumberFormat="1" applyFont="1" applyFill="1" applyBorder="1" applyAlignment="1">
      <alignment horizontal="center" vertical="center"/>
    </xf>
    <xf numFmtId="0" fontId="16" fillId="0" borderId="2" xfId="0" applyFont="1" applyFill="1" applyBorder="1" applyAlignment="1">
      <alignment horizontal="center" vertical="center"/>
    </xf>
    <xf numFmtId="0" fontId="27" fillId="0" borderId="15" xfId="0" applyFont="1" applyFill="1" applyBorder="1" applyAlignment="1">
      <alignment horizontal="center" vertical="center"/>
    </xf>
    <xf numFmtId="2" fontId="27" fillId="0" borderId="15" xfId="0" applyNumberFormat="1" applyFont="1" applyFill="1" applyBorder="1" applyAlignment="1">
      <alignment horizontal="center" vertical="center"/>
    </xf>
    <xf numFmtId="0" fontId="3" fillId="11" borderId="12" xfId="0" applyFont="1" applyFill="1" applyBorder="1" applyAlignment="1">
      <alignment horizontal="center" vertical="center"/>
    </xf>
    <xf numFmtId="0" fontId="6" fillId="13" borderId="14" xfId="0" applyFont="1" applyFill="1" applyBorder="1" applyAlignment="1">
      <alignment horizontal="left" vertical="center"/>
    </xf>
    <xf numFmtId="0" fontId="34" fillId="10" borderId="3" xfId="0" applyFont="1" applyFill="1" applyBorder="1" applyAlignment="1">
      <alignment horizontal="center"/>
    </xf>
    <xf numFmtId="0" fontId="37" fillId="10" borderId="3" xfId="3" applyFont="1" applyFill="1" applyBorder="1" applyAlignment="1">
      <alignment horizontal="center" wrapText="1"/>
    </xf>
    <xf numFmtId="0" fontId="37" fillId="10" borderId="13" xfId="3" applyFont="1" applyFill="1" applyBorder="1" applyAlignment="1">
      <alignment horizontal="center" wrapText="1"/>
    </xf>
    <xf numFmtId="0" fontId="37" fillId="10" borderId="2" xfId="3" applyFont="1" applyFill="1" applyBorder="1" applyAlignment="1">
      <alignment horizontal="center" wrapText="1"/>
    </xf>
    <xf numFmtId="165" fontId="19" fillId="3" borderId="8" xfId="0" applyNumberFormat="1" applyFont="1" applyFill="1" applyBorder="1" applyAlignment="1">
      <alignment horizontal="center" vertical="center"/>
    </xf>
    <xf numFmtId="0" fontId="8" fillId="0" borderId="0" xfId="0" applyFont="1"/>
    <xf numFmtId="0" fontId="21" fillId="0" borderId="0" xfId="0" applyFont="1"/>
    <xf numFmtId="0" fontId="3" fillId="0" borderId="0" xfId="0" applyFont="1"/>
    <xf numFmtId="0" fontId="28" fillId="0" borderId="0" xfId="0" applyFont="1"/>
    <xf numFmtId="0" fontId="38" fillId="0" borderId="0" xfId="0" applyFont="1"/>
    <xf numFmtId="43" fontId="40" fillId="0" borderId="0" xfId="1" applyFont="1" applyFill="1" applyAlignment="1">
      <alignment horizontal="center" vertical="center"/>
    </xf>
    <xf numFmtId="0" fontId="40" fillId="0" borderId="0" xfId="0" applyFont="1" applyFill="1" applyAlignment="1">
      <alignment horizontal="center" vertical="center"/>
    </xf>
    <xf numFmtId="0" fontId="2" fillId="0" borderId="0" xfId="3"/>
    <xf numFmtId="0" fontId="0" fillId="0" borderId="0" xfId="0" pivotButton="1"/>
    <xf numFmtId="166" fontId="0" fillId="0" borderId="0" xfId="0" applyNumberFormat="1" applyAlignment="1">
      <alignment horizontal="left"/>
    </xf>
    <xf numFmtId="0" fontId="0" fillId="0" borderId="0" xfId="0" applyNumberFormat="1"/>
    <xf numFmtId="0" fontId="2" fillId="0" borderId="0" xfId="3" applyBorder="1"/>
    <xf numFmtId="0" fontId="13" fillId="0" borderId="0" xfId="3" applyFont="1" applyBorder="1" applyAlignment="1">
      <alignment horizontal="center" vertical="center"/>
    </xf>
    <xf numFmtId="0" fontId="41" fillId="0" borderId="0" xfId="3" applyFont="1"/>
    <xf numFmtId="0" fontId="42" fillId="9" borderId="0" xfId="3" applyFont="1" applyFill="1"/>
    <xf numFmtId="0" fontId="2" fillId="0" borderId="0" xfId="3" applyFont="1" applyBorder="1" applyAlignment="1">
      <alignment horizontal="center" vertical="center"/>
    </xf>
    <xf numFmtId="0" fontId="2" fillId="0" borderId="0" xfId="3" applyFont="1" applyAlignment="1">
      <alignment horizontal="center" vertical="center"/>
    </xf>
    <xf numFmtId="43" fontId="43" fillId="0" borderId="0" xfId="1" applyFont="1" applyFill="1" applyAlignment="1">
      <alignment horizontal="center" vertical="center"/>
    </xf>
    <xf numFmtId="0" fontId="42" fillId="9" borderId="0" xfId="3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1" fontId="0" fillId="0" borderId="0" xfId="0" applyNumberFormat="1"/>
    <xf numFmtId="1" fontId="2" fillId="0" borderId="0" xfId="3" applyNumberFormat="1"/>
    <xf numFmtId="0" fontId="45" fillId="0" borderId="22" xfId="4" applyFont="1" applyBorder="1"/>
    <xf numFmtId="0" fontId="45" fillId="0" borderId="0" xfId="4" applyFont="1" applyBorder="1"/>
    <xf numFmtId="0" fontId="45" fillId="0" borderId="0" xfId="4" applyFont="1"/>
    <xf numFmtId="0" fontId="45" fillId="0" borderId="28" xfId="4" applyFont="1" applyBorder="1"/>
    <xf numFmtId="0" fontId="45" fillId="0" borderId="0" xfId="4" applyFont="1" applyAlignment="1">
      <alignment horizontal="center"/>
    </xf>
    <xf numFmtId="0" fontId="45" fillId="0" borderId="31" xfId="4" applyFont="1" applyBorder="1" applyAlignment="1">
      <alignment horizontal="center"/>
    </xf>
    <xf numFmtId="0" fontId="45" fillId="0" borderId="7" xfId="4" applyFont="1" applyBorder="1" applyAlignment="1">
      <alignment horizontal="center" wrapText="1"/>
    </xf>
    <xf numFmtId="0" fontId="45" fillId="0" borderId="21" xfId="4" applyFont="1" applyBorder="1" applyAlignment="1">
      <alignment horizontal="center" wrapText="1"/>
    </xf>
    <xf numFmtId="0" fontId="45" fillId="0" borderId="32" xfId="4" applyFont="1" applyBorder="1"/>
    <xf numFmtId="43" fontId="45" fillId="0" borderId="0" xfId="4" applyNumberFormat="1" applyFont="1" applyBorder="1"/>
    <xf numFmtId="4" fontId="45" fillId="0" borderId="0" xfId="4" applyNumberFormat="1" applyFont="1" applyBorder="1"/>
    <xf numFmtId="43" fontId="45" fillId="0" borderId="0" xfId="1" applyFont="1" applyBorder="1"/>
    <xf numFmtId="0" fontId="45" fillId="0" borderId="23" xfId="4" applyFont="1" applyBorder="1"/>
    <xf numFmtId="0" fontId="45" fillId="0" borderId="16" xfId="4" applyFont="1" applyBorder="1" applyAlignment="1">
      <alignment horizontal="right"/>
    </xf>
    <xf numFmtId="4" fontId="45" fillId="9" borderId="30" xfId="4" applyNumberFormat="1" applyFont="1" applyFill="1" applyBorder="1"/>
    <xf numFmtId="0" fontId="45" fillId="0" borderId="0" xfId="4" applyFont="1" applyAlignment="1">
      <alignment horizontal="right"/>
    </xf>
    <xf numFmtId="2" fontId="45" fillId="0" borderId="0" xfId="4" applyNumberFormat="1" applyFont="1"/>
    <xf numFmtId="2" fontId="45" fillId="0" borderId="0" xfId="4" applyNumberFormat="1" applyFont="1" applyBorder="1"/>
    <xf numFmtId="0" fontId="44" fillId="16" borderId="16" xfId="4" applyFont="1" applyFill="1" applyBorder="1"/>
    <xf numFmtId="0" fontId="45" fillId="16" borderId="29" xfId="4" applyFont="1" applyFill="1" applyBorder="1"/>
    <xf numFmtId="0" fontId="45" fillId="16" borderId="33" xfId="4" applyFont="1" applyFill="1" applyBorder="1"/>
    <xf numFmtId="0" fontId="45" fillId="0" borderId="32" xfId="4" applyFont="1" applyBorder="1" applyAlignment="1">
      <alignment horizontal="center"/>
    </xf>
    <xf numFmtId="0" fontId="45" fillId="0" borderId="20" xfId="4" applyFont="1" applyBorder="1" applyAlignment="1">
      <alignment horizontal="center"/>
    </xf>
    <xf numFmtId="0" fontId="45" fillId="0" borderId="7" xfId="4" applyFont="1" applyBorder="1" applyAlignment="1">
      <alignment horizontal="center"/>
    </xf>
    <xf numFmtId="0" fontId="45" fillId="0" borderId="21" xfId="4" applyFont="1" applyBorder="1" applyAlignment="1">
      <alignment horizontal="center"/>
    </xf>
    <xf numFmtId="43" fontId="45" fillId="0" borderId="22" xfId="4" applyNumberFormat="1" applyFont="1" applyBorder="1"/>
    <xf numFmtId="4" fontId="45" fillId="0" borderId="23" xfId="4" applyNumberFormat="1" applyFont="1" applyBorder="1"/>
    <xf numFmtId="43" fontId="45" fillId="0" borderId="0" xfId="4" applyNumberFormat="1" applyFont="1"/>
    <xf numFmtId="43" fontId="45" fillId="0" borderId="23" xfId="1" applyFont="1" applyBorder="1"/>
    <xf numFmtId="43" fontId="45" fillId="0" borderId="28" xfId="4" applyNumberFormat="1" applyFont="1" applyBorder="1"/>
    <xf numFmtId="43" fontId="45" fillId="0" borderId="25" xfId="1" applyFont="1" applyBorder="1"/>
    <xf numFmtId="4" fontId="45" fillId="9" borderId="29" xfId="4" applyNumberFormat="1" applyFont="1" applyFill="1" applyBorder="1"/>
    <xf numFmtId="0" fontId="45" fillId="0" borderId="0" xfId="4" applyFont="1" applyAlignment="1">
      <alignment vertical="center"/>
    </xf>
    <xf numFmtId="1" fontId="13" fillId="0" borderId="0" xfId="3" applyNumberFormat="1" applyFont="1" applyBorder="1" applyAlignment="1">
      <alignment horizontal="center" vertical="center"/>
    </xf>
    <xf numFmtId="2" fontId="13" fillId="0" borderId="0" xfId="3" applyNumberFormat="1" applyFont="1" applyBorder="1" applyAlignment="1">
      <alignment horizontal="center" vertical="center"/>
    </xf>
    <xf numFmtId="0" fontId="14" fillId="11" borderId="0" xfId="3" applyFont="1" applyFill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22" fillId="0" borderId="1" xfId="3" applyFont="1" applyBorder="1" applyAlignment="1">
      <alignment horizontal="center" vertical="center"/>
    </xf>
    <xf numFmtId="0" fontId="22" fillId="0" borderId="1" xfId="3" applyNumberFormat="1" applyFont="1" applyBorder="1" applyAlignment="1">
      <alignment horizontal="center" vertical="center"/>
    </xf>
    <xf numFmtId="2" fontId="13" fillId="0" borderId="1" xfId="3" applyNumberFormat="1" applyFont="1" applyBorder="1" applyAlignment="1">
      <alignment horizontal="center" vertical="center"/>
    </xf>
    <xf numFmtId="1" fontId="13" fillId="0" borderId="7" xfId="3" applyNumberFormat="1" applyFont="1" applyBorder="1" applyAlignment="1">
      <alignment horizontal="center" vertical="center"/>
    </xf>
    <xf numFmtId="0" fontId="13" fillId="0" borderId="7" xfId="3" applyFont="1" applyBorder="1" applyAlignment="1">
      <alignment horizontal="center" vertical="center"/>
    </xf>
    <xf numFmtId="2" fontId="13" fillId="0" borderId="8" xfId="3" applyNumberFormat="1" applyFont="1" applyBorder="1" applyAlignment="1">
      <alignment horizontal="center" vertical="center"/>
    </xf>
    <xf numFmtId="0" fontId="13" fillId="0" borderId="23" xfId="3" applyFont="1" applyBorder="1" applyAlignment="1">
      <alignment horizontal="center" vertical="center"/>
    </xf>
    <xf numFmtId="2" fontId="13" fillId="0" borderId="23" xfId="3" applyNumberFormat="1" applyFont="1" applyBorder="1" applyAlignment="1">
      <alignment horizontal="center" vertical="center"/>
    </xf>
    <xf numFmtId="0" fontId="14" fillId="11" borderId="35" xfId="3" applyFont="1" applyFill="1" applyBorder="1" applyAlignment="1">
      <alignment horizontal="center" vertical="center"/>
    </xf>
    <xf numFmtId="2" fontId="14" fillId="11" borderId="36" xfId="3" applyNumberFormat="1" applyFont="1" applyFill="1" applyBorder="1" applyAlignment="1">
      <alignment horizontal="center" vertical="center"/>
    </xf>
    <xf numFmtId="2" fontId="14" fillId="11" borderId="33" xfId="3" applyNumberFormat="1" applyFont="1" applyFill="1" applyBorder="1" applyAlignment="1">
      <alignment horizontal="center" vertical="center"/>
    </xf>
    <xf numFmtId="0" fontId="14" fillId="0" borderId="0" xfId="3" applyFont="1" applyBorder="1" applyAlignment="1">
      <alignment horizontal="center" vertical="center"/>
    </xf>
    <xf numFmtId="1" fontId="14" fillId="0" borderId="0" xfId="3" applyNumberFormat="1" applyFont="1" applyBorder="1" applyAlignment="1">
      <alignment horizontal="center" vertical="center"/>
    </xf>
    <xf numFmtId="0" fontId="22" fillId="17" borderId="1" xfId="3" applyFont="1" applyFill="1" applyBorder="1" applyAlignment="1">
      <alignment horizontal="center" vertical="center"/>
    </xf>
    <xf numFmtId="0" fontId="14" fillId="17" borderId="0" xfId="3" applyFont="1" applyFill="1" applyBorder="1" applyAlignment="1">
      <alignment horizontal="center" vertical="center"/>
    </xf>
    <xf numFmtId="0" fontId="14" fillId="17" borderId="1" xfId="3" applyFont="1" applyFill="1" applyBorder="1" applyAlignment="1">
      <alignment horizontal="center" vertical="center"/>
    </xf>
    <xf numFmtId="0" fontId="14" fillId="17" borderId="23" xfId="3" applyFont="1" applyFill="1" applyBorder="1" applyAlignment="1">
      <alignment horizontal="center" vertical="center"/>
    </xf>
    <xf numFmtId="2" fontId="13" fillId="0" borderId="21" xfId="3" applyNumberFormat="1" applyFont="1" applyBorder="1" applyAlignment="1">
      <alignment horizontal="center" vertical="center"/>
    </xf>
    <xf numFmtId="4" fontId="45" fillId="0" borderId="30" xfId="4" applyNumberFormat="1" applyFont="1" applyFill="1" applyBorder="1"/>
    <xf numFmtId="0" fontId="45" fillId="0" borderId="0" xfId="4" applyFont="1" applyFill="1" applyAlignment="1">
      <alignment horizontal="right"/>
    </xf>
    <xf numFmtId="0" fontId="45" fillId="0" borderId="27" xfId="4" applyFont="1" applyFill="1" applyBorder="1" applyAlignment="1">
      <alignment horizontal="right"/>
    </xf>
    <xf numFmtId="2" fontId="45" fillId="0" borderId="30" xfId="4" applyNumberFormat="1" applyFont="1" applyFill="1" applyBorder="1" applyAlignment="1">
      <alignment horizontal="right"/>
    </xf>
    <xf numFmtId="0" fontId="45" fillId="0" borderId="12" xfId="4" applyFont="1" applyBorder="1" applyAlignment="1">
      <alignment horizontal="center"/>
    </xf>
    <xf numFmtId="43" fontId="45" fillId="0" borderId="12" xfId="4" applyNumberFormat="1" applyFont="1" applyBorder="1"/>
    <xf numFmtId="0" fontId="45" fillId="0" borderId="0" xfId="4" applyFont="1" applyBorder="1" applyAlignment="1">
      <alignment horizontal="center"/>
    </xf>
    <xf numFmtId="0" fontId="45" fillId="0" borderId="28" xfId="4" applyFont="1" applyBorder="1" applyAlignment="1">
      <alignment horizontal="center"/>
    </xf>
    <xf numFmtId="2" fontId="45" fillId="0" borderId="23" xfId="4" applyNumberFormat="1" applyFont="1" applyBorder="1" applyAlignment="1">
      <alignment horizontal="center"/>
    </xf>
    <xf numFmtId="4" fontId="45" fillId="0" borderId="33" xfId="4" applyNumberFormat="1" applyFont="1" applyFill="1" applyBorder="1" applyAlignment="1">
      <alignment horizontal="center"/>
    </xf>
    <xf numFmtId="2" fontId="45" fillId="0" borderId="0" xfId="4" applyNumberFormat="1" applyFont="1" applyAlignment="1">
      <alignment horizontal="center"/>
    </xf>
    <xf numFmtId="1" fontId="48" fillId="19" borderId="0" xfId="4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vertical="center"/>
    </xf>
    <xf numFmtId="0" fontId="30" fillId="4" borderId="0" xfId="0" applyFont="1" applyFill="1" applyBorder="1" applyAlignment="1">
      <alignment horizontal="right" vertical="center"/>
    </xf>
    <xf numFmtId="0" fontId="47" fillId="18" borderId="0" xfId="4" applyFont="1" applyFill="1" applyBorder="1" applyAlignment="1">
      <alignment horizontal="right" vertical="center"/>
    </xf>
    <xf numFmtId="4" fontId="49" fillId="16" borderId="0" xfId="4" applyNumberFormat="1" applyFont="1" applyFill="1" applyBorder="1" applyAlignment="1">
      <alignment horizontal="center" vertical="center"/>
    </xf>
    <xf numFmtId="0" fontId="45" fillId="0" borderId="0" xfId="4" applyFont="1" applyBorder="1" applyAlignment="1">
      <alignment horizontal="center" vertical="center"/>
    </xf>
    <xf numFmtId="0" fontId="45" fillId="0" borderId="0" xfId="4" applyFont="1" applyBorder="1" applyAlignment="1">
      <alignment vertical="center"/>
    </xf>
    <xf numFmtId="0" fontId="30" fillId="10" borderId="0" xfId="4" applyFont="1" applyFill="1" applyBorder="1" applyAlignment="1">
      <alignment horizontal="right" vertical="center"/>
    </xf>
    <xf numFmtId="2" fontId="50" fillId="9" borderId="0" xfId="4" applyNumberFormat="1" applyFont="1" applyFill="1" applyBorder="1" applyAlignment="1">
      <alignment horizontal="center" vertical="center"/>
    </xf>
    <xf numFmtId="0" fontId="51" fillId="0" borderId="0" xfId="4" applyFont="1"/>
    <xf numFmtId="0" fontId="28" fillId="0" borderId="0" xfId="0" applyFont="1" applyFill="1" applyBorder="1" applyAlignment="1">
      <alignment vertical="center"/>
    </xf>
    <xf numFmtId="43" fontId="3" fillId="20" borderId="0" xfId="1" applyFont="1" applyFill="1" applyAlignment="1">
      <alignment horizontal="center" vertical="center"/>
    </xf>
    <xf numFmtId="1" fontId="3" fillId="21" borderId="0" xfId="0" applyNumberFormat="1" applyFont="1" applyFill="1" applyBorder="1" applyAlignment="1">
      <alignment horizontal="right" vertical="center"/>
    </xf>
    <xf numFmtId="0" fontId="44" fillId="16" borderId="29" xfId="4" applyFont="1" applyFill="1" applyBorder="1" applyAlignment="1"/>
    <xf numFmtId="0" fontId="44" fillId="16" borderId="30" xfId="4" applyFont="1" applyFill="1" applyBorder="1" applyAlignment="1"/>
    <xf numFmtId="0" fontId="44" fillId="16" borderId="33" xfId="4" applyFont="1" applyFill="1" applyBorder="1" applyAlignment="1"/>
    <xf numFmtId="1" fontId="48" fillId="0" borderId="0" xfId="4" applyNumberFormat="1" applyFont="1" applyFill="1" applyBorder="1" applyAlignment="1">
      <alignment horizontal="center" vertical="center"/>
    </xf>
    <xf numFmtId="0" fontId="44" fillId="0" borderId="0" xfId="4" applyFont="1" applyFill="1" applyBorder="1" applyAlignment="1"/>
    <xf numFmtId="3" fontId="45" fillId="0" borderId="30" xfId="4" applyNumberFormat="1" applyFont="1" applyFill="1" applyBorder="1"/>
    <xf numFmtId="167" fontId="45" fillId="0" borderId="0" xfId="4" applyNumberFormat="1" applyFont="1" applyBorder="1"/>
    <xf numFmtId="0" fontId="45" fillId="0" borderId="23" xfId="4" applyFont="1" applyBorder="1" applyAlignment="1">
      <alignment horizontal="center"/>
    </xf>
    <xf numFmtId="4" fontId="3" fillId="0" borderId="0" xfId="4" applyNumberFormat="1" applyFont="1" applyBorder="1"/>
    <xf numFmtId="3" fontId="45" fillId="0" borderId="0" xfId="4" applyNumberFormat="1" applyFont="1" applyBorder="1"/>
    <xf numFmtId="0" fontId="51" fillId="0" borderId="0" xfId="4" applyFont="1" applyAlignment="1">
      <alignment horizontal="left"/>
    </xf>
    <xf numFmtId="0" fontId="52" fillId="0" borderId="0" xfId="4" applyFont="1" applyAlignment="1">
      <alignment horizontal="left"/>
    </xf>
    <xf numFmtId="0" fontId="52" fillId="0" borderId="0" xfId="4" applyFont="1" applyAlignment="1">
      <alignment horizontal="right"/>
    </xf>
    <xf numFmtId="2" fontId="13" fillId="0" borderId="7" xfId="3" applyNumberFormat="1" applyFont="1" applyBorder="1" applyAlignment="1">
      <alignment horizontal="center" vertical="center"/>
    </xf>
    <xf numFmtId="2" fontId="14" fillId="11" borderId="30" xfId="3" applyNumberFormat="1" applyFont="1" applyFill="1" applyBorder="1" applyAlignment="1">
      <alignment horizontal="center" vertical="center"/>
    </xf>
    <xf numFmtId="0" fontId="13" fillId="0" borderId="26" xfId="3" applyFont="1" applyBorder="1" applyAlignment="1">
      <alignment horizontal="center" vertical="center"/>
    </xf>
    <xf numFmtId="0" fontId="13" fillId="0" borderId="28" xfId="3" applyFont="1" applyBorder="1" applyAlignment="1">
      <alignment horizontal="center" vertical="center"/>
    </xf>
    <xf numFmtId="0" fontId="13" fillId="0" borderId="25" xfId="3" applyFont="1" applyBorder="1" applyAlignment="1">
      <alignment horizontal="center" vertical="center"/>
    </xf>
    <xf numFmtId="2" fontId="13" fillId="0" borderId="26" xfId="3" applyNumberFormat="1" applyFont="1" applyBorder="1" applyAlignment="1">
      <alignment horizontal="center" vertical="center"/>
    </xf>
    <xf numFmtId="1" fontId="13" fillId="0" borderId="26" xfId="3" applyNumberFormat="1" applyFont="1" applyBorder="1" applyAlignment="1">
      <alignment horizontal="center" vertical="center"/>
    </xf>
    <xf numFmtId="0" fontId="13" fillId="0" borderId="37" xfId="3" applyFont="1" applyBorder="1" applyAlignment="1">
      <alignment horizontal="center" vertical="center"/>
    </xf>
    <xf numFmtId="0" fontId="13" fillId="0" borderId="34" xfId="3" applyFont="1" applyBorder="1" applyAlignment="1">
      <alignment horizontal="center" vertical="center"/>
    </xf>
    <xf numFmtId="1" fontId="13" fillId="0" borderId="1" xfId="3" applyNumberFormat="1" applyFont="1" applyBorder="1" applyAlignment="1">
      <alignment horizontal="center" vertical="center"/>
    </xf>
    <xf numFmtId="0" fontId="14" fillId="16" borderId="1" xfId="3" applyFont="1" applyFill="1" applyBorder="1" applyAlignment="1">
      <alignment horizontal="center" vertical="center"/>
    </xf>
    <xf numFmtId="0" fontId="14" fillId="22" borderId="34" xfId="3" applyFont="1" applyFill="1" applyBorder="1" applyAlignment="1">
      <alignment horizontal="center" vertical="center"/>
    </xf>
    <xf numFmtId="1" fontId="13" fillId="0" borderId="23" xfId="3" applyNumberFormat="1" applyFont="1" applyBorder="1" applyAlignment="1">
      <alignment horizontal="center" vertical="center"/>
    </xf>
    <xf numFmtId="2" fontId="13" fillId="0" borderId="12" xfId="3" applyNumberFormat="1" applyFont="1" applyBorder="1" applyAlignment="1">
      <alignment horizontal="center" vertical="center"/>
    </xf>
    <xf numFmtId="2" fontId="14" fillId="0" borderId="0" xfId="3" applyNumberFormat="1" applyFont="1" applyBorder="1" applyAlignment="1">
      <alignment horizontal="center" vertical="center"/>
    </xf>
    <xf numFmtId="2" fontId="13" fillId="0" borderId="0" xfId="3" applyNumberFormat="1" applyFont="1" applyFill="1" applyBorder="1" applyAlignment="1">
      <alignment horizontal="center" vertical="center"/>
    </xf>
    <xf numFmtId="2" fontId="14" fillId="16" borderId="26" xfId="3" applyNumberFormat="1" applyFont="1" applyFill="1" applyBorder="1" applyAlignment="1">
      <alignment horizontal="center" vertical="center"/>
    </xf>
    <xf numFmtId="2" fontId="14" fillId="22" borderId="34" xfId="3" applyNumberFormat="1" applyFont="1" applyFill="1" applyBorder="1" applyAlignment="1">
      <alignment horizontal="center" vertical="center"/>
    </xf>
    <xf numFmtId="2" fontId="14" fillId="22" borderId="25" xfId="3" applyNumberFormat="1" applyFont="1" applyFill="1" applyBorder="1" applyAlignment="1">
      <alignment horizontal="center" vertical="center"/>
    </xf>
    <xf numFmtId="1" fontId="14" fillId="11" borderId="30" xfId="3" applyNumberFormat="1" applyFont="1" applyFill="1" applyBorder="1" applyAlignment="1">
      <alignment horizontal="center" vertical="center"/>
    </xf>
    <xf numFmtId="0" fontId="14" fillId="11" borderId="30" xfId="3" applyFont="1" applyFill="1" applyBorder="1" applyAlignment="1">
      <alignment horizontal="center" vertical="center"/>
    </xf>
    <xf numFmtId="0" fontId="14" fillId="11" borderId="26" xfId="3" applyFont="1" applyFill="1" applyBorder="1" applyAlignment="1">
      <alignment horizontal="center" vertical="center"/>
    </xf>
    <xf numFmtId="1" fontId="14" fillId="16" borderId="26" xfId="3" applyNumberFormat="1" applyFont="1" applyFill="1" applyBorder="1" applyAlignment="1">
      <alignment horizontal="center" vertical="center"/>
    </xf>
    <xf numFmtId="0" fontId="14" fillId="16" borderId="26" xfId="3" applyFont="1" applyFill="1" applyBorder="1" applyAlignment="1">
      <alignment horizontal="center" vertical="center"/>
    </xf>
    <xf numFmtId="0" fontId="14" fillId="16" borderId="37" xfId="3" applyFont="1" applyFill="1" applyBorder="1" applyAlignment="1">
      <alignment horizontal="center" vertical="center"/>
    </xf>
    <xf numFmtId="0" fontId="14" fillId="16" borderId="0" xfId="3" applyFont="1" applyFill="1" applyBorder="1" applyAlignment="1">
      <alignment horizontal="center" vertical="center"/>
    </xf>
    <xf numFmtId="0" fontId="14" fillId="16" borderId="27" xfId="3" applyFont="1" applyFill="1" applyBorder="1" applyAlignment="1">
      <alignment horizontal="center" vertical="center"/>
    </xf>
    <xf numFmtId="1" fontId="14" fillId="22" borderId="28" xfId="3" applyNumberFormat="1" applyFont="1" applyFill="1" applyBorder="1" applyAlignment="1">
      <alignment horizontal="center" vertical="center"/>
    </xf>
    <xf numFmtId="0" fontId="14" fillId="22" borderId="28" xfId="3" applyFont="1" applyFill="1" applyBorder="1" applyAlignment="1">
      <alignment horizontal="center" vertical="center"/>
    </xf>
    <xf numFmtId="2" fontId="14" fillId="22" borderId="28" xfId="3" applyNumberFormat="1" applyFont="1" applyFill="1" applyBorder="1" applyAlignment="1">
      <alignment horizontal="center" vertical="center"/>
    </xf>
    <xf numFmtId="0" fontId="14" fillId="22" borderId="0" xfId="3" applyFont="1" applyFill="1" applyBorder="1" applyAlignment="1">
      <alignment horizontal="center" vertical="center"/>
    </xf>
    <xf numFmtId="2" fontId="55" fillId="22" borderId="0" xfId="3" applyNumberFormat="1" applyFont="1" applyFill="1" applyBorder="1" applyAlignment="1">
      <alignment horizontal="center" vertical="center"/>
    </xf>
    <xf numFmtId="2" fontId="56" fillId="16" borderId="0" xfId="3" applyNumberFormat="1" applyFont="1" applyFill="1" applyBorder="1" applyAlignment="1">
      <alignment horizontal="center" vertical="center"/>
    </xf>
    <xf numFmtId="0" fontId="14" fillId="0" borderId="0" xfId="3" applyFont="1" applyBorder="1" applyAlignment="1">
      <alignment horizontal="left" vertical="center"/>
    </xf>
    <xf numFmtId="0" fontId="14" fillId="17" borderId="0" xfId="3" applyFont="1" applyFill="1" applyBorder="1" applyAlignment="1">
      <alignment vertical="center"/>
    </xf>
    <xf numFmtId="0" fontId="13" fillId="0" borderId="9" xfId="3" applyFont="1" applyBorder="1" applyAlignment="1">
      <alignment horizontal="center" vertical="center"/>
    </xf>
    <xf numFmtId="0" fontId="13" fillId="0" borderId="0" xfId="3" applyFont="1" applyBorder="1" applyAlignment="1">
      <alignment horizontal="left" vertical="center"/>
    </xf>
    <xf numFmtId="0" fontId="13" fillId="0" borderId="4" xfId="3" applyFont="1" applyBorder="1" applyAlignment="1">
      <alignment horizontal="left" vertical="center"/>
    </xf>
    <xf numFmtId="0" fontId="13" fillId="0" borderId="10" xfId="3" applyFont="1" applyBorder="1" applyAlignment="1">
      <alignment horizontal="left" vertical="center"/>
    </xf>
    <xf numFmtId="2" fontId="13" fillId="0" borderId="9" xfId="3" applyNumberFormat="1" applyFont="1" applyBorder="1" applyAlignment="1">
      <alignment horizontal="center" vertical="center"/>
    </xf>
    <xf numFmtId="2" fontId="13" fillId="0" borderId="11" xfId="3" applyNumberFormat="1" applyFont="1" applyBorder="1" applyAlignment="1">
      <alignment horizontal="center" vertical="center"/>
    </xf>
    <xf numFmtId="0" fontId="14" fillId="9" borderId="5" xfId="3" applyFont="1" applyFill="1" applyBorder="1" applyAlignment="1">
      <alignment horizontal="center" vertical="center"/>
    </xf>
    <xf numFmtId="1" fontId="14" fillId="9" borderId="7" xfId="3" applyNumberFormat="1" applyFont="1" applyFill="1" applyBorder="1" applyAlignment="1">
      <alignment horizontal="center" vertical="center"/>
    </xf>
    <xf numFmtId="2" fontId="14" fillId="9" borderId="7" xfId="3" applyNumberFormat="1" applyFont="1" applyFill="1" applyBorder="1" applyAlignment="1">
      <alignment horizontal="center" vertical="center"/>
    </xf>
    <xf numFmtId="2" fontId="14" fillId="9" borderId="8" xfId="3" applyNumberFormat="1" applyFont="1" applyFill="1" applyBorder="1" applyAlignment="1">
      <alignment horizontal="center" vertical="center"/>
    </xf>
    <xf numFmtId="0" fontId="22" fillId="20" borderId="5" xfId="3" applyFont="1" applyFill="1" applyBorder="1" applyAlignment="1">
      <alignment horizontal="center" vertical="center"/>
    </xf>
    <xf numFmtId="0" fontId="14" fillId="11" borderId="7" xfId="3" applyFont="1" applyFill="1" applyBorder="1" applyAlignment="1">
      <alignment horizontal="center" vertical="center"/>
    </xf>
    <xf numFmtId="0" fontId="14" fillId="16" borderId="7" xfId="3" applyFont="1" applyFill="1" applyBorder="1" applyAlignment="1">
      <alignment horizontal="center" vertical="center"/>
    </xf>
    <xf numFmtId="0" fontId="14" fillId="22" borderId="8" xfId="3" applyFont="1" applyFill="1" applyBorder="1" applyAlignment="1">
      <alignment horizontal="center" vertical="center"/>
    </xf>
    <xf numFmtId="0" fontId="45" fillId="0" borderId="20" xfId="4" applyFont="1" applyBorder="1" applyAlignment="1">
      <alignment horizontal="center" wrapText="1"/>
    </xf>
    <xf numFmtId="0" fontId="45" fillId="0" borderId="22" xfId="4" applyFont="1" applyBorder="1" applyAlignment="1">
      <alignment vertical="center"/>
    </xf>
    <xf numFmtId="0" fontId="45" fillId="0" borderId="22" xfId="4" applyFont="1" applyBorder="1" applyAlignment="1">
      <alignment horizontal="center" wrapText="1"/>
    </xf>
    <xf numFmtId="4" fontId="45" fillId="0" borderId="22" xfId="4" applyNumberFormat="1" applyFont="1" applyBorder="1"/>
    <xf numFmtId="43" fontId="57" fillId="0" borderId="0" xfId="0" applyNumberFormat="1" applyFont="1"/>
    <xf numFmtId="4" fontId="45" fillId="0" borderId="23" xfId="4" applyNumberFormat="1" applyFont="1" applyFill="1" applyBorder="1"/>
    <xf numFmtId="0" fontId="45" fillId="16" borderId="0" xfId="4" applyFont="1" applyFill="1"/>
    <xf numFmtId="0" fontId="44" fillId="16" borderId="27" xfId="4" applyFont="1" applyFill="1" applyBorder="1"/>
    <xf numFmtId="4" fontId="28" fillId="9" borderId="33" xfId="4" applyNumberFormat="1" applyFont="1" applyFill="1" applyBorder="1"/>
    <xf numFmtId="4" fontId="19" fillId="9" borderId="33" xfId="4" applyNumberFormat="1" applyFont="1" applyFill="1" applyBorder="1"/>
    <xf numFmtId="0" fontId="36" fillId="0" borderId="0" xfId="4" applyFont="1"/>
    <xf numFmtId="0" fontId="45" fillId="0" borderId="2" xfId="0" applyFont="1" applyFill="1" applyBorder="1" applyAlignment="1">
      <alignment horizontal="center" vertical="center"/>
    </xf>
    <xf numFmtId="1" fontId="45" fillId="9" borderId="2" xfId="0" applyNumberFormat="1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right" vertical="center"/>
    </xf>
    <xf numFmtId="0" fontId="14" fillId="0" borderId="6" xfId="3" applyFont="1" applyBorder="1" applyAlignment="1">
      <alignment horizontal="center" vertical="center"/>
    </xf>
    <xf numFmtId="0" fontId="41" fillId="9" borderId="0" xfId="3" applyFont="1" applyFill="1"/>
    <xf numFmtId="0" fontId="59" fillId="0" borderId="0" xfId="3" applyFont="1"/>
    <xf numFmtId="1" fontId="60" fillId="0" borderId="0" xfId="3" applyNumberFormat="1" applyFont="1"/>
    <xf numFmtId="1" fontId="60" fillId="0" borderId="0" xfId="3" applyNumberFormat="1" applyFont="1" applyAlignment="1">
      <alignment horizontal="center" vertical="center"/>
    </xf>
    <xf numFmtId="0" fontId="2" fillId="0" borderId="0" xfId="3" applyAlignment="1">
      <alignment horizontal="right"/>
    </xf>
    <xf numFmtId="1" fontId="61" fillId="0" borderId="0" xfId="3" applyNumberFormat="1" applyFont="1"/>
    <xf numFmtId="0" fontId="28" fillId="5" borderId="1" xfId="0" applyFont="1" applyFill="1" applyBorder="1" applyAlignment="1">
      <alignment vertical="center"/>
    </xf>
    <xf numFmtId="0" fontId="47" fillId="5" borderId="2" xfId="0" applyFont="1" applyFill="1" applyBorder="1" applyAlignment="1">
      <alignment vertical="center"/>
    </xf>
    <xf numFmtId="0" fontId="47" fillId="5" borderId="0" xfId="0" applyFont="1" applyFill="1" applyBorder="1" applyAlignment="1">
      <alignment horizontal="right" vertical="center"/>
    </xf>
    <xf numFmtId="43" fontId="28" fillId="22" borderId="0" xfId="1" applyFont="1" applyFill="1" applyBorder="1" applyAlignment="1">
      <alignment horizontal="center" vertical="center"/>
    </xf>
    <xf numFmtId="0" fontId="44" fillId="0" borderId="0" xfId="4" applyFont="1" applyAlignment="1">
      <alignment horizontal="center"/>
    </xf>
    <xf numFmtId="0" fontId="44" fillId="0" borderId="22" xfId="4" applyFont="1" applyBorder="1"/>
    <xf numFmtId="0" fontId="44" fillId="0" borderId="0" xfId="4" applyFont="1"/>
    <xf numFmtId="0" fontId="5" fillId="0" borderId="5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2" fontId="13" fillId="0" borderId="0" xfId="3" applyNumberFormat="1" applyFont="1" applyAlignment="1">
      <alignment horizontal="center" vertical="center"/>
    </xf>
    <xf numFmtId="0" fontId="63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63" fillId="0" borderId="1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left" vertical="center"/>
    </xf>
    <xf numFmtId="43" fontId="3" fillId="20" borderId="4" xfId="1" applyFont="1" applyFill="1" applyBorder="1" applyAlignment="1">
      <alignment horizontal="center" vertical="center"/>
    </xf>
    <xf numFmtId="43" fontId="3" fillId="0" borderId="4" xfId="1" applyFont="1" applyFill="1" applyBorder="1" applyAlignment="1">
      <alignment horizontal="center" vertical="center"/>
    </xf>
    <xf numFmtId="4" fontId="35" fillId="0" borderId="4" xfId="1" applyNumberFormat="1" applyFont="1" applyFill="1" applyBorder="1" applyAlignment="1">
      <alignment horizontal="right" vertical="center"/>
    </xf>
    <xf numFmtId="0" fontId="7" fillId="0" borderId="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1" fontId="20" fillId="9" borderId="0" xfId="0" applyNumberFormat="1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left" vertical="center"/>
    </xf>
    <xf numFmtId="1" fontId="20" fillId="9" borderId="9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13" fillId="0" borderId="0" xfId="0" applyFont="1" applyBorder="1" applyAlignment="1">
      <alignment horizontal="center" vertical="center"/>
    </xf>
    <xf numFmtId="0" fontId="66" fillId="0" borderId="0" xfId="3" applyFont="1"/>
    <xf numFmtId="0" fontId="60" fillId="0" borderId="0" xfId="3" applyFont="1"/>
    <xf numFmtId="0" fontId="65" fillId="0" borderId="0" xfId="0" applyFont="1" applyBorder="1" applyAlignment="1">
      <alignment horizontal="left" vertical="center"/>
    </xf>
    <xf numFmtId="0" fontId="64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left" vertical="center"/>
    </xf>
    <xf numFmtId="164" fontId="3" fillId="0" borderId="6" xfId="0" applyNumberFormat="1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vertical="center" wrapText="1"/>
    </xf>
    <xf numFmtId="0" fontId="13" fillId="0" borderId="3" xfId="3" applyFont="1" applyBorder="1" applyAlignment="1">
      <alignment horizontal="center" vertical="center"/>
    </xf>
    <xf numFmtId="0" fontId="13" fillId="0" borderId="2" xfId="3" applyFont="1" applyBorder="1" applyAlignment="1">
      <alignment horizontal="center" vertical="center"/>
    </xf>
    <xf numFmtId="0" fontId="13" fillId="0" borderId="15" xfId="3" applyFont="1" applyBorder="1" applyAlignment="1">
      <alignment horizontal="center" vertical="center"/>
    </xf>
    <xf numFmtId="0" fontId="13" fillId="0" borderId="8" xfId="3" applyFont="1" applyBorder="1" applyAlignment="1">
      <alignment horizontal="center" vertical="center"/>
    </xf>
    <xf numFmtId="0" fontId="22" fillId="0" borderId="3" xfId="3" applyFont="1" applyBorder="1" applyAlignment="1">
      <alignment horizontal="center" vertical="center"/>
    </xf>
    <xf numFmtId="43" fontId="45" fillId="0" borderId="23" xfId="4" applyNumberFormat="1" applyFont="1" applyBorder="1"/>
    <xf numFmtId="4" fontId="45" fillId="9" borderId="28" xfId="4" applyNumberFormat="1" applyFont="1" applyFill="1" applyBorder="1"/>
    <xf numFmtId="4" fontId="28" fillId="9" borderId="25" xfId="4" applyNumberFormat="1" applyFont="1" applyFill="1" applyBorder="1"/>
    <xf numFmtId="43" fontId="0" fillId="0" borderId="0" xfId="0" applyNumberFormat="1"/>
    <xf numFmtId="43" fontId="3" fillId="0" borderId="0" xfId="1" applyFont="1" applyBorder="1"/>
    <xf numFmtId="43" fontId="3" fillId="0" borderId="0" xfId="4" applyNumberFormat="1" applyFont="1" applyBorder="1"/>
    <xf numFmtId="2" fontId="3" fillId="0" borderId="23" xfId="4" applyNumberFormat="1" applyFont="1" applyBorder="1" applyAlignment="1">
      <alignment horizontal="center"/>
    </xf>
    <xf numFmtId="0" fontId="3" fillId="0" borderId="32" xfId="4" applyFont="1" applyBorder="1"/>
    <xf numFmtId="0" fontId="63" fillId="0" borderId="0" xfId="0" applyFont="1" applyFill="1" applyBorder="1" applyAlignment="1">
      <alignment horizontal="left" vertical="center"/>
    </xf>
    <xf numFmtId="4" fontId="45" fillId="0" borderId="32" xfId="4" applyNumberFormat="1" applyFont="1" applyBorder="1"/>
    <xf numFmtId="4" fontId="45" fillId="0" borderId="32" xfId="4" applyNumberFormat="1" applyFont="1" applyFill="1" applyBorder="1"/>
    <xf numFmtId="43" fontId="3" fillId="0" borderId="23" xfId="4" applyNumberFormat="1" applyFont="1" applyBorder="1" applyAlignment="1">
      <alignment horizontal="left"/>
    </xf>
    <xf numFmtId="43" fontId="45" fillId="0" borderId="25" xfId="4" applyNumberFormat="1" applyFont="1" applyBorder="1"/>
    <xf numFmtId="0" fontId="3" fillId="0" borderId="28" xfId="0" applyFont="1" applyFill="1" applyBorder="1" applyAlignment="1">
      <alignment horizontal="left" vertical="center"/>
    </xf>
    <xf numFmtId="4" fontId="45" fillId="0" borderId="24" xfId="4" applyNumberFormat="1" applyFont="1" applyBorder="1"/>
    <xf numFmtId="0" fontId="49" fillId="0" borderId="0" xfId="4" applyFont="1"/>
    <xf numFmtId="2" fontId="49" fillId="0" borderId="0" xfId="4" applyNumberFormat="1" applyFont="1"/>
    <xf numFmtId="0" fontId="44" fillId="0" borderId="0" xfId="4" applyFont="1" applyAlignment="1">
      <alignment vertical="center"/>
    </xf>
    <xf numFmtId="0" fontId="62" fillId="0" borderId="23" xfId="4" applyFont="1" applyFill="1" applyBorder="1" applyAlignment="1">
      <alignment horizontal="center" vertical="center"/>
    </xf>
    <xf numFmtId="0" fontId="62" fillId="0" borderId="32" xfId="4" applyFont="1" applyFill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16" fontId="3" fillId="0" borderId="6" xfId="0" applyNumberFormat="1" applyFont="1" applyFill="1" applyBorder="1" applyAlignment="1">
      <alignment horizontal="left" vertical="center"/>
    </xf>
    <xf numFmtId="16" fontId="3" fillId="0" borderId="6" xfId="0" applyNumberFormat="1" applyFont="1" applyFill="1" applyBorder="1" applyAlignment="1">
      <alignment horizontal="center" vertical="center"/>
    </xf>
    <xf numFmtId="0" fontId="58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14" fillId="0" borderId="6" xfId="0" applyFont="1" applyFill="1" applyBorder="1" applyAlignment="1">
      <alignment horizontal="center" vertical="center"/>
    </xf>
    <xf numFmtId="0" fontId="2" fillId="0" borderId="0" xfId="3" applyAlignment="1">
      <alignment horizontal="center" vertical="center"/>
    </xf>
    <xf numFmtId="0" fontId="2" fillId="0" borderId="0" xfId="3" applyAlignment="1">
      <alignment horizontal="center"/>
    </xf>
    <xf numFmtId="0" fontId="2" fillId="0" borderId="13" xfId="3" applyBorder="1" applyAlignment="1">
      <alignment horizontal="right" vertical="center"/>
    </xf>
    <xf numFmtId="0" fontId="2" fillId="0" borderId="12" xfId="3" applyBorder="1" applyAlignment="1">
      <alignment horizontal="right"/>
    </xf>
    <xf numFmtId="0" fontId="2" fillId="0" borderId="14" xfId="3" applyBorder="1" applyAlignment="1">
      <alignment horizontal="right"/>
    </xf>
    <xf numFmtId="0" fontId="2" fillId="0" borderId="4" xfId="3" applyBorder="1"/>
    <xf numFmtId="0" fontId="0" fillId="0" borderId="0" xfId="0" applyNumberFormat="1" applyBorder="1"/>
    <xf numFmtId="43" fontId="43" fillId="0" borderId="1" xfId="1" applyFont="1" applyFill="1" applyBorder="1" applyAlignment="1">
      <alignment horizontal="center" vertical="center"/>
    </xf>
    <xf numFmtId="0" fontId="0" fillId="0" borderId="4" xfId="0" applyBorder="1"/>
    <xf numFmtId="43" fontId="0" fillId="0" borderId="1" xfId="0" applyNumberFormat="1" applyBorder="1"/>
    <xf numFmtId="0" fontId="0" fillId="0" borderId="10" xfId="0" applyBorder="1"/>
    <xf numFmtId="0" fontId="0" fillId="0" borderId="9" xfId="0" applyNumberFormat="1" applyBorder="1"/>
    <xf numFmtId="43" fontId="0" fillId="0" borderId="11" xfId="0" applyNumberFormat="1" applyBorder="1"/>
    <xf numFmtId="0" fontId="67" fillId="0" borderId="0" xfId="3" applyFont="1"/>
    <xf numFmtId="0" fontId="68" fillId="2" borderId="0" xfId="0" applyFont="1" applyFill="1" applyAlignment="1">
      <alignment horizontal="center" vertical="center"/>
    </xf>
    <xf numFmtId="0" fontId="22" fillId="0" borderId="3" xfId="0" applyFont="1" applyFill="1" applyBorder="1" applyAlignment="1">
      <alignment horizontal="center" vertical="center"/>
    </xf>
    <xf numFmtId="0" fontId="68" fillId="0" borderId="6" xfId="3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6" xfId="0" applyFont="1" applyBorder="1" applyAlignment="1">
      <alignment horizontal="center" vertical="center"/>
    </xf>
    <xf numFmtId="0" fontId="68" fillId="0" borderId="6" xfId="0" applyFont="1" applyFill="1" applyBorder="1" applyAlignment="1">
      <alignment horizontal="center" vertical="center"/>
    </xf>
    <xf numFmtId="0" fontId="68" fillId="0" borderId="15" xfId="3" applyFont="1" applyBorder="1" applyAlignment="1">
      <alignment horizontal="center" vertical="center"/>
    </xf>
    <xf numFmtId="0" fontId="68" fillId="0" borderId="11" xfId="0" applyFont="1" applyBorder="1" applyAlignment="1">
      <alignment horizontal="center" vertical="center"/>
    </xf>
    <xf numFmtId="0" fontId="68" fillId="0" borderId="15" xfId="0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8" fillId="23" borderId="6" xfId="3" applyFont="1" applyFill="1" applyBorder="1" applyAlignment="1">
      <alignment horizontal="center" vertical="center"/>
    </xf>
    <xf numFmtId="0" fontId="68" fillId="23" borderId="6" xfId="0" applyFont="1" applyFill="1" applyBorder="1" applyAlignment="1">
      <alignment horizontal="center" vertical="center"/>
    </xf>
    <xf numFmtId="0" fontId="68" fillId="0" borderId="0" xfId="3" applyFont="1" applyAlignment="1">
      <alignment horizontal="center" vertical="center"/>
    </xf>
    <xf numFmtId="0" fontId="70" fillId="9" borderId="0" xfId="3" applyFont="1" applyFill="1"/>
    <xf numFmtId="0" fontId="13" fillId="0" borderId="0" xfId="3" applyFont="1" applyFill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6" fillId="0" borderId="6" xfId="0" applyFont="1" applyFill="1" applyBorder="1" applyAlignment="1">
      <alignment horizontal="center" vertical="center"/>
    </xf>
    <xf numFmtId="16" fontId="13" fillId="0" borderId="6" xfId="0" applyNumberFormat="1" applyFont="1" applyFill="1" applyBorder="1" applyAlignment="1">
      <alignment horizontal="left" vertical="center"/>
    </xf>
    <xf numFmtId="0" fontId="24" fillId="0" borderId="6" xfId="0" applyFont="1" applyFill="1" applyBorder="1" applyAlignment="1">
      <alignment horizontal="center" vertical="center"/>
    </xf>
    <xf numFmtId="0" fontId="13" fillId="0" borderId="6" xfId="3" applyFont="1" applyFill="1" applyBorder="1" applyAlignment="1">
      <alignment horizontal="center" vertical="center"/>
    </xf>
    <xf numFmtId="0" fontId="68" fillId="0" borderId="0" xfId="0" applyFont="1" applyFill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68" fillId="0" borderId="0" xfId="0" applyFont="1" applyBorder="1" applyAlignment="1">
      <alignment horizontal="center" vertical="center"/>
    </xf>
    <xf numFmtId="0" fontId="22" fillId="0" borderId="0" xfId="0" applyFont="1" applyBorder="1" applyAlignment="1">
      <alignment vertical="center"/>
    </xf>
    <xf numFmtId="0" fontId="22" fillId="0" borderId="6" xfId="0" applyFont="1" applyFill="1" applyBorder="1" applyAlignment="1">
      <alignment horizontal="center" vertical="center"/>
    </xf>
    <xf numFmtId="16" fontId="45" fillId="0" borderId="6" xfId="0" applyNumberFormat="1" applyFont="1" applyFill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6" fontId="45" fillId="0" borderId="6" xfId="0" applyNumberFormat="1" applyFont="1" applyFill="1" applyBorder="1" applyAlignment="1">
      <alignment horizontal="center" vertical="center"/>
    </xf>
    <xf numFmtId="16" fontId="45" fillId="0" borderId="11" xfId="0" applyNumberFormat="1" applyFont="1" applyFill="1" applyBorder="1" applyAlignment="1">
      <alignment horizontal="left" vertical="center"/>
    </xf>
    <xf numFmtId="16" fontId="45" fillId="0" borderId="11" xfId="0" applyNumberFormat="1" applyFont="1" applyFill="1" applyBorder="1" applyAlignment="1">
      <alignment horizontal="center" vertical="center"/>
    </xf>
    <xf numFmtId="16" fontId="45" fillId="0" borderId="8" xfId="0" applyNumberFormat="1" applyFont="1" applyFill="1" applyBorder="1" applyAlignment="1">
      <alignment horizontal="left" vertical="center"/>
    </xf>
    <xf numFmtId="16" fontId="45" fillId="0" borderId="8" xfId="0" applyNumberFormat="1" applyFont="1" applyFill="1" applyBorder="1" applyAlignment="1">
      <alignment horizontal="center" vertical="center"/>
    </xf>
    <xf numFmtId="0" fontId="68" fillId="0" borderId="0" xfId="0" applyFont="1" applyFill="1" applyBorder="1" applyAlignment="1">
      <alignment horizontal="left" vertical="center"/>
    </xf>
    <xf numFmtId="164" fontId="44" fillId="0" borderId="8" xfId="0" applyNumberFormat="1" applyFont="1" applyFill="1" applyBorder="1" applyAlignment="1">
      <alignment horizontal="center" vertical="center"/>
    </xf>
    <xf numFmtId="0" fontId="68" fillId="0" borderId="0" xfId="0" applyFont="1" applyBorder="1" applyAlignment="1">
      <alignment vertical="center"/>
    </xf>
    <xf numFmtId="164" fontId="45" fillId="0" borderId="8" xfId="0" applyNumberFormat="1" applyFont="1" applyFill="1" applyBorder="1" applyAlignment="1">
      <alignment horizontal="center" vertical="center"/>
    </xf>
    <xf numFmtId="0" fontId="68" fillId="0" borderId="4" xfId="0" applyFont="1" applyFill="1" applyBorder="1" applyAlignment="1">
      <alignment vertical="center" wrapText="1"/>
    </xf>
    <xf numFmtId="164" fontId="45" fillId="0" borderId="6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 wrapText="1"/>
    </xf>
    <xf numFmtId="16" fontId="45" fillId="0" borderId="0" xfId="0" applyNumberFormat="1" applyFont="1" applyFill="1" applyBorder="1" applyAlignment="1">
      <alignment horizontal="left" vertical="center"/>
    </xf>
    <xf numFmtId="164" fontId="44" fillId="0" borderId="0" xfId="0" applyNumberFormat="1" applyFont="1" applyFill="1" applyBorder="1" applyAlignment="1">
      <alignment horizontal="center" vertical="center"/>
    </xf>
    <xf numFmtId="16" fontId="45" fillId="0" borderId="0" xfId="0" applyNumberFormat="1" applyFont="1" applyFill="1" applyBorder="1" applyAlignment="1">
      <alignment horizontal="center" vertical="center"/>
    </xf>
    <xf numFmtId="164" fontId="45" fillId="0" borderId="0" xfId="0" applyNumberFormat="1" applyFont="1" applyFill="1" applyBorder="1" applyAlignment="1">
      <alignment horizontal="center" vertical="center"/>
    </xf>
    <xf numFmtId="0" fontId="13" fillId="0" borderId="13" xfId="3" applyFont="1" applyBorder="1" applyAlignment="1">
      <alignment horizontal="center" vertical="center"/>
    </xf>
    <xf numFmtId="0" fontId="13" fillId="0" borderId="14" xfId="3" applyFont="1" applyBorder="1" applyAlignment="1">
      <alignment horizontal="center" vertical="center"/>
    </xf>
    <xf numFmtId="0" fontId="13" fillId="0" borderId="4" xfId="3" applyFont="1" applyBorder="1" applyAlignment="1">
      <alignment horizontal="center" vertical="center"/>
    </xf>
    <xf numFmtId="43" fontId="13" fillId="0" borderId="1" xfId="3" applyNumberFormat="1" applyFont="1" applyBorder="1" applyAlignment="1">
      <alignment horizontal="center" vertical="center"/>
    </xf>
    <xf numFmtId="0" fontId="13" fillId="0" borderId="10" xfId="3" applyFont="1" applyBorder="1" applyAlignment="1">
      <alignment horizontal="center" vertical="center"/>
    </xf>
    <xf numFmtId="43" fontId="13" fillId="0" borderId="11" xfId="3" applyNumberFormat="1" applyFont="1" applyBorder="1" applyAlignment="1">
      <alignment horizontal="center" vertical="center"/>
    </xf>
    <xf numFmtId="0" fontId="14" fillId="0" borderId="0" xfId="3" applyFont="1" applyAlignment="1">
      <alignment horizontal="center" vertical="center"/>
    </xf>
    <xf numFmtId="0" fontId="46" fillId="14" borderId="22" xfId="4" applyFont="1" applyFill="1" applyBorder="1" applyAlignment="1">
      <alignment horizontal="center" vertical="center"/>
    </xf>
    <xf numFmtId="0" fontId="46" fillId="14" borderId="0" xfId="4" applyFont="1" applyFill="1" applyBorder="1" applyAlignment="1">
      <alignment horizontal="center" vertical="center"/>
    </xf>
    <xf numFmtId="0" fontId="46" fillId="14" borderId="23" xfId="4" applyFont="1" applyFill="1" applyBorder="1" applyAlignment="1">
      <alignment horizontal="center" vertical="center"/>
    </xf>
    <xf numFmtId="0" fontId="44" fillId="16" borderId="29" xfId="4" applyFont="1" applyFill="1" applyBorder="1" applyAlignment="1">
      <alignment horizontal="center" vertical="center"/>
    </xf>
    <xf numFmtId="0" fontId="44" fillId="16" borderId="30" xfId="4" applyFont="1" applyFill="1" applyBorder="1" applyAlignment="1">
      <alignment horizontal="center" vertical="center"/>
    </xf>
    <xf numFmtId="0" fontId="44" fillId="16" borderId="33" xfId="4" applyFont="1" applyFill="1" applyBorder="1" applyAlignment="1">
      <alignment horizontal="center" vertical="center"/>
    </xf>
    <xf numFmtId="0" fontId="46" fillId="15" borderId="17" xfId="4" applyFont="1" applyFill="1" applyBorder="1" applyAlignment="1">
      <alignment horizontal="center" vertical="center"/>
    </xf>
    <xf numFmtId="0" fontId="46" fillId="15" borderId="18" xfId="4" applyFont="1" applyFill="1" applyBorder="1" applyAlignment="1">
      <alignment horizontal="center" vertical="center"/>
    </xf>
    <xf numFmtId="0" fontId="46" fillId="15" borderId="19" xfId="4" applyFont="1" applyFill="1" applyBorder="1" applyAlignment="1">
      <alignment horizontal="center" vertical="center"/>
    </xf>
    <xf numFmtId="0" fontId="62" fillId="16" borderId="22" xfId="4" applyFont="1" applyFill="1" applyBorder="1" applyAlignment="1">
      <alignment horizontal="center" vertical="center"/>
    </xf>
    <xf numFmtId="0" fontId="62" fillId="16" borderId="0" xfId="4" applyFont="1" applyFill="1" applyBorder="1" applyAlignment="1">
      <alignment horizontal="center" vertical="center"/>
    </xf>
    <xf numFmtId="0" fontId="62" fillId="16" borderId="23" xfId="4" applyFont="1" applyFill="1" applyBorder="1" applyAlignment="1">
      <alignment horizontal="center" vertical="center"/>
    </xf>
    <xf numFmtId="0" fontId="30" fillId="5" borderId="0" xfId="0" applyFont="1" applyFill="1" applyAlignment="1">
      <alignment horizontal="center" vertical="center"/>
    </xf>
    <xf numFmtId="0" fontId="17" fillId="0" borderId="7" xfId="3" applyFont="1" applyBorder="1" applyAlignment="1">
      <alignment horizontal="center" wrapText="1"/>
    </xf>
    <xf numFmtId="0" fontId="30" fillId="7" borderId="0" xfId="0" applyFont="1" applyFill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30" fillId="4" borderId="0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43" fontId="5" fillId="0" borderId="13" xfId="1" applyFont="1" applyBorder="1" applyAlignment="1">
      <alignment horizontal="center"/>
    </xf>
    <xf numFmtId="43" fontId="5" fillId="0" borderId="10" xfId="1" applyFont="1" applyBorder="1" applyAlignment="1">
      <alignment horizontal="center"/>
    </xf>
    <xf numFmtId="0" fontId="44" fillId="16" borderId="17" xfId="4" applyFont="1" applyFill="1" applyBorder="1" applyAlignment="1">
      <alignment horizontal="center" vertical="center"/>
    </xf>
    <xf numFmtId="0" fontId="44" fillId="16" borderId="18" xfId="4" applyFont="1" applyFill="1" applyBorder="1" applyAlignment="1">
      <alignment horizontal="center" vertical="center"/>
    </xf>
    <xf numFmtId="0" fontId="44" fillId="16" borderId="19" xfId="4" applyFont="1" applyFill="1" applyBorder="1" applyAlignment="1">
      <alignment horizontal="center" vertical="center"/>
    </xf>
    <xf numFmtId="0" fontId="62" fillId="16" borderId="17" xfId="4" applyFont="1" applyFill="1" applyBorder="1" applyAlignment="1">
      <alignment horizontal="center" vertical="center"/>
    </xf>
    <xf numFmtId="0" fontId="62" fillId="16" borderId="18" xfId="4" applyFont="1" applyFill="1" applyBorder="1" applyAlignment="1">
      <alignment horizontal="center" vertical="center"/>
    </xf>
    <xf numFmtId="0" fontId="62" fillId="16" borderId="19" xfId="4" applyFont="1" applyFill="1" applyBorder="1" applyAlignment="1">
      <alignment horizontal="center" vertical="center"/>
    </xf>
    <xf numFmtId="0" fontId="69" fillId="2" borderId="9" xfId="0" applyFont="1" applyFill="1" applyBorder="1" applyAlignment="1">
      <alignment horizontal="center" vertical="center"/>
    </xf>
    <xf numFmtId="0" fontId="68" fillId="0" borderId="4" xfId="0" applyFont="1" applyFill="1" applyBorder="1" applyAlignment="1">
      <alignment horizontal="center" vertical="center" wrapText="1"/>
    </xf>
    <xf numFmtId="0" fontId="23" fillId="2" borderId="9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</cellXfs>
  <cellStyles count="5">
    <cellStyle name="Comma" xfId="1" builtinId="3"/>
    <cellStyle name="Currency" xfId="2" builtinId="4"/>
    <cellStyle name="Normal" xfId="0" builtinId="0"/>
    <cellStyle name="Normal 2" xfId="3" xr:uid="{29717E6A-A7DA-4845-A297-F3034C4C141C}"/>
    <cellStyle name="Normal 3" xfId="4" xr:uid="{248AEBE5-50B5-7B45-84CC-7AC846BE366F}"/>
  </cellStyles>
  <dxfs count="0"/>
  <tableStyles count="0" defaultTableStyle="TableStyleMedium2" defaultPivotStyle="PivotStyleLight16"/>
  <colors>
    <mruColors>
      <color rgb="FFFF00A0"/>
      <color rgb="FFE5FBFF"/>
      <color rgb="FFFFEDFD"/>
      <color rgb="FF85FFF7"/>
      <color rgb="FF3D43FF"/>
      <color rgb="FFF2FFF0"/>
      <color rgb="FFDEFFF8"/>
      <color rgb="FFE6E9FF"/>
      <color rgb="FFFAFFD8"/>
      <color rgb="FFFFE3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'16 Days_sales_fc'!$A$5:$A$20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'16 Days_sales_fc'!$B$5:$B$20</c:f>
              <c:numCache>
                <c:formatCode>_(* #,##0.00_);_(* \(#,##0.00\);_(* "-"??_);_(@_)</c:formatCode>
                <c:ptCount val="16"/>
                <c:pt idx="0">
                  <c:v>6980</c:v>
                </c:pt>
                <c:pt idx="1">
                  <c:v>6265</c:v>
                </c:pt>
                <c:pt idx="2">
                  <c:v>7260</c:v>
                </c:pt>
                <c:pt idx="3">
                  <c:v>9035</c:v>
                </c:pt>
                <c:pt idx="4">
                  <c:v>8125</c:v>
                </c:pt>
                <c:pt idx="5">
                  <c:v>7610</c:v>
                </c:pt>
                <c:pt idx="6">
                  <c:v>6900</c:v>
                </c:pt>
                <c:pt idx="7">
                  <c:v>8380</c:v>
                </c:pt>
                <c:pt idx="8">
                  <c:v>11125</c:v>
                </c:pt>
                <c:pt idx="9">
                  <c:v>10475</c:v>
                </c:pt>
                <c:pt idx="10">
                  <c:v>10195</c:v>
                </c:pt>
                <c:pt idx="11">
                  <c:v>8245</c:v>
                </c:pt>
                <c:pt idx="12">
                  <c:v>10510</c:v>
                </c:pt>
                <c:pt idx="13">
                  <c:v>10050</c:v>
                </c:pt>
                <c:pt idx="14">
                  <c:v>8215</c:v>
                </c:pt>
                <c:pt idx="15">
                  <c:v>8800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6-274D-82AA-08327882E00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'16 Days_sales_fc'!$A$5:$A$20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'16 Days_sales_fc'!$C$5:$C$20</c:f>
              <c:numCache>
                <c:formatCode>#,##0.00</c:formatCode>
                <c:ptCount val="16"/>
                <c:pt idx="0">
                  <c:v>9265</c:v>
                </c:pt>
                <c:pt idx="1">
                  <c:v>9895</c:v>
                </c:pt>
                <c:pt idx="2">
                  <c:v>9515</c:v>
                </c:pt>
                <c:pt idx="3">
                  <c:v>8945</c:v>
                </c:pt>
                <c:pt idx="4">
                  <c:v>9355</c:v>
                </c:pt>
                <c:pt idx="5">
                  <c:v>8945</c:v>
                </c:pt>
                <c:pt idx="6">
                  <c:v>9355</c:v>
                </c:pt>
                <c:pt idx="7">
                  <c:v>9305</c:v>
                </c:pt>
                <c:pt idx="8">
                  <c:v>9265</c:v>
                </c:pt>
                <c:pt idx="9">
                  <c:v>9945</c:v>
                </c:pt>
                <c:pt idx="10">
                  <c:v>9415</c:v>
                </c:pt>
                <c:pt idx="11">
                  <c:v>9045</c:v>
                </c:pt>
                <c:pt idx="12">
                  <c:v>8985</c:v>
                </c:pt>
                <c:pt idx="13">
                  <c:v>9255</c:v>
                </c:pt>
                <c:pt idx="14">
                  <c:v>9165</c:v>
                </c:pt>
                <c:pt idx="15">
                  <c:v>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6-274D-82AA-08327882E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355488"/>
        <c:axId val="1509637696"/>
      </c:lineChart>
      <c:catAx>
        <c:axId val="153135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509637696"/>
        <c:crosses val="autoZero"/>
        <c:auto val="1"/>
        <c:lblAlgn val="ctr"/>
        <c:lblOffset val="100"/>
        <c:noMultiLvlLbl val="0"/>
      </c:catAx>
      <c:valAx>
        <c:axId val="15096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53135548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exepected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'30 Days_cost raw mat'!#REF!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'30 Days_cost raw mat'!#REF!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D10-F64B-8416-BD22BA3B0C9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'30 Days_cost raw mat'!#REF!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'30 Days_cost raw mat'!#REF!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D10-F64B-8416-BD22BA3B0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467040"/>
        <c:axId val="188468688"/>
      </c:barChart>
      <c:catAx>
        <c:axId val="18846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88468688"/>
        <c:crosses val="autoZero"/>
        <c:auto val="1"/>
        <c:lblAlgn val="ctr"/>
        <c:lblOffset val="100"/>
        <c:noMultiLvlLbl val="0"/>
      </c:catAx>
      <c:valAx>
        <c:axId val="1884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8846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of raw mat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'16 Days_cost raw mat'!$B$4</c:f>
              <c:strCache>
                <c:ptCount val="1"/>
                <c:pt idx="0">
                  <c:v>current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'16 Days_cost raw mat'!$B$5:$B$20</c:f>
              <c:numCache>
                <c:formatCode>_(* #,##0.00_);_(* \(#,##0.00\);_(* "-"??_);_(@_)</c:formatCode>
                <c:ptCount val="16"/>
                <c:pt idx="0">
                  <c:v>1702</c:v>
                </c:pt>
                <c:pt idx="1">
                  <c:v>2512</c:v>
                </c:pt>
                <c:pt idx="2">
                  <c:v>2499</c:v>
                </c:pt>
                <c:pt idx="3">
                  <c:v>2160</c:v>
                </c:pt>
                <c:pt idx="4">
                  <c:v>2710</c:v>
                </c:pt>
                <c:pt idx="5">
                  <c:v>1985</c:v>
                </c:pt>
                <c:pt idx="6">
                  <c:v>2710</c:v>
                </c:pt>
                <c:pt idx="7">
                  <c:v>2010</c:v>
                </c:pt>
                <c:pt idx="8">
                  <c:v>2580</c:v>
                </c:pt>
                <c:pt idx="9">
                  <c:v>2080</c:v>
                </c:pt>
                <c:pt idx="10">
                  <c:v>2605</c:v>
                </c:pt>
                <c:pt idx="11">
                  <c:v>3520</c:v>
                </c:pt>
                <c:pt idx="12">
                  <c:v>2725</c:v>
                </c:pt>
                <c:pt idx="13">
                  <c:v>3440</c:v>
                </c:pt>
                <c:pt idx="14">
                  <c:v>3575</c:v>
                </c:pt>
                <c:pt idx="15">
                  <c:v>2690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2-5C4B-A85C-154B3B71EC79}"/>
            </c:ext>
          </c:extLst>
        </c:ser>
        <c:ser>
          <c:idx val="1"/>
          <c:order val="1"/>
          <c:tx>
            <c:strRef>
              <c:f>'16 Days_cost raw mat'!$C$4</c:f>
              <c:strCache>
                <c:ptCount val="1"/>
                <c:pt idx="0">
                  <c:v>new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'16 Days_cost raw mat'!$C$5:$C$20</c:f>
              <c:numCache>
                <c:formatCode>_(* #,##0.00_);_(* \(#,##0.00\);_(* "-"??_);_(@_)</c:formatCode>
                <c:ptCount val="16"/>
                <c:pt idx="0">
                  <c:v>3275</c:v>
                </c:pt>
                <c:pt idx="1">
                  <c:v>6741.5</c:v>
                </c:pt>
                <c:pt idx="2">
                  <c:v>6831.5</c:v>
                </c:pt>
                <c:pt idx="3">
                  <c:v>6797.5</c:v>
                </c:pt>
                <c:pt idx="4">
                  <c:v>6895</c:v>
                </c:pt>
                <c:pt idx="5">
                  <c:v>6890</c:v>
                </c:pt>
                <c:pt idx="6">
                  <c:v>6987.5</c:v>
                </c:pt>
                <c:pt idx="7">
                  <c:v>3520</c:v>
                </c:pt>
                <c:pt idx="8">
                  <c:v>7822.5</c:v>
                </c:pt>
                <c:pt idx="9">
                  <c:v>3612.5</c:v>
                </c:pt>
                <c:pt idx="10">
                  <c:v>7505</c:v>
                </c:pt>
                <c:pt idx="11">
                  <c:v>7447.5</c:v>
                </c:pt>
                <c:pt idx="12">
                  <c:v>3550</c:v>
                </c:pt>
                <c:pt idx="13">
                  <c:v>7775</c:v>
                </c:pt>
                <c:pt idx="14">
                  <c:v>7692.5</c:v>
                </c:pt>
                <c:pt idx="15">
                  <c:v>3572.5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2-5C4B-A85C-154B3B71E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625136"/>
        <c:axId val="248723536"/>
      </c:barChart>
      <c:catAx>
        <c:axId val="10662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48723536"/>
        <c:crosses val="autoZero"/>
        <c:auto val="1"/>
        <c:lblAlgn val="ctr"/>
        <c:lblOffset val="100"/>
        <c:noMultiLvlLbl val="0"/>
      </c:catAx>
      <c:valAx>
        <c:axId val="2487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066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expected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'30 Days_cost raw mat'!#REF!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'30 Days_cost raw mat'!#REF!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948-0B4F-B3A0-A025297B02E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'30 Days_cost raw mat'!#REF!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'30 Days_cost raw mat'!#REF!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948-0B4F-B3A0-A025297B0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16832"/>
        <c:axId val="240695008"/>
      </c:barChart>
      <c:catAx>
        <c:axId val="2407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40695008"/>
        <c:crosses val="autoZero"/>
        <c:auto val="1"/>
        <c:lblAlgn val="ctr"/>
        <c:lblOffset val="100"/>
        <c:noMultiLvlLbl val="0"/>
      </c:catAx>
      <c:valAx>
        <c:axId val="2406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407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'16 Days_sales_expected'!$A$5:$A$20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'16 Days_sales_expected'!$B$5:$B$20</c:f>
              <c:numCache>
                <c:formatCode>_(* #,##0.00_);_(* \(#,##0.00\);_(* "-"??_);_(@_)</c:formatCode>
                <c:ptCount val="16"/>
                <c:pt idx="0">
                  <c:v>6980</c:v>
                </c:pt>
                <c:pt idx="1">
                  <c:v>6265</c:v>
                </c:pt>
                <c:pt idx="2">
                  <c:v>7260</c:v>
                </c:pt>
                <c:pt idx="3">
                  <c:v>9035</c:v>
                </c:pt>
                <c:pt idx="4">
                  <c:v>8125</c:v>
                </c:pt>
                <c:pt idx="5">
                  <c:v>7610</c:v>
                </c:pt>
                <c:pt idx="6">
                  <c:v>6900</c:v>
                </c:pt>
                <c:pt idx="7">
                  <c:v>8380</c:v>
                </c:pt>
                <c:pt idx="8">
                  <c:v>11125</c:v>
                </c:pt>
                <c:pt idx="9">
                  <c:v>10475</c:v>
                </c:pt>
                <c:pt idx="10">
                  <c:v>10195</c:v>
                </c:pt>
                <c:pt idx="11">
                  <c:v>8245</c:v>
                </c:pt>
                <c:pt idx="12">
                  <c:v>10510</c:v>
                </c:pt>
                <c:pt idx="13">
                  <c:v>10050</c:v>
                </c:pt>
                <c:pt idx="14">
                  <c:v>8215</c:v>
                </c:pt>
                <c:pt idx="15">
                  <c:v>8800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4-864A-A256-48FCBED2C47C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'16 Days_sales_expected'!$A$5:$A$20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'16 Days_sales_expected'!$C$5:$C$20</c:f>
              <c:numCache>
                <c:formatCode>#,##0.00</c:formatCode>
                <c:ptCount val="16"/>
                <c:pt idx="0">
                  <c:v>6394.8116990179033</c:v>
                </c:pt>
                <c:pt idx="1">
                  <c:v>7494.6469883259842</c:v>
                </c:pt>
                <c:pt idx="2">
                  <c:v>7949.2595268694358</c:v>
                </c:pt>
                <c:pt idx="3">
                  <c:v>6223.6211549709833</c:v>
                </c:pt>
                <c:pt idx="4">
                  <c:v>6719.4646877304149</c:v>
                </c:pt>
                <c:pt idx="5">
                  <c:v>4829.1442738954556</c:v>
                </c:pt>
                <c:pt idx="6">
                  <c:v>7683.2145402559754</c:v>
                </c:pt>
                <c:pt idx="7">
                  <c:v>6348.1256560344282</c:v>
                </c:pt>
                <c:pt idx="8">
                  <c:v>7057.5135736598204</c:v>
                </c:pt>
                <c:pt idx="9">
                  <c:v>6159.3744945085091</c:v>
                </c:pt>
                <c:pt idx="10">
                  <c:v>4597.694533992988</c:v>
                </c:pt>
                <c:pt idx="11">
                  <c:v>7833.2686571698177</c:v>
                </c:pt>
                <c:pt idx="12">
                  <c:v>6223.006437820085</c:v>
                </c:pt>
                <c:pt idx="13">
                  <c:v>7108.5158222484724</c:v>
                </c:pt>
                <c:pt idx="14">
                  <c:v>6259.8174451759205</c:v>
                </c:pt>
                <c:pt idx="15">
                  <c:v>8264.7934174728362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4-864A-A256-48FCBED2C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355488"/>
        <c:axId val="1509637696"/>
      </c:lineChart>
      <c:catAx>
        <c:axId val="153135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509637696"/>
        <c:crosses val="autoZero"/>
        <c:auto val="1"/>
        <c:lblAlgn val="ctr"/>
        <c:lblOffset val="100"/>
        <c:noMultiLvlLbl val="0"/>
      </c:catAx>
      <c:valAx>
        <c:axId val="15096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53135548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 Days_sales_expected'!$I$4</c:f>
              <c:strCache>
                <c:ptCount val="1"/>
                <c:pt idx="0">
                  <c:v>Actuala2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 Days_sales_expected'!$I$5:$I$20</c:f>
              <c:numCache>
                <c:formatCode>_(* #,##0_);_(* \(#,##0\);_(* "-"??_);_(@_)</c:formatCode>
                <c:ptCount val="16"/>
                <c:pt idx="0">
                  <c:v>132</c:v>
                </c:pt>
                <c:pt idx="1">
                  <c:v>116</c:v>
                </c:pt>
                <c:pt idx="2">
                  <c:v>134</c:v>
                </c:pt>
                <c:pt idx="3">
                  <c:v>169</c:v>
                </c:pt>
                <c:pt idx="4">
                  <c:v>148</c:v>
                </c:pt>
                <c:pt idx="5">
                  <c:v>145</c:v>
                </c:pt>
                <c:pt idx="6">
                  <c:v>130</c:v>
                </c:pt>
                <c:pt idx="7">
                  <c:v>158</c:v>
                </c:pt>
                <c:pt idx="8">
                  <c:v>213</c:v>
                </c:pt>
                <c:pt idx="9">
                  <c:v>197</c:v>
                </c:pt>
                <c:pt idx="10">
                  <c:v>186</c:v>
                </c:pt>
                <c:pt idx="11">
                  <c:v>158</c:v>
                </c:pt>
                <c:pt idx="12">
                  <c:v>201</c:v>
                </c:pt>
                <c:pt idx="13">
                  <c:v>187</c:v>
                </c:pt>
                <c:pt idx="14">
                  <c:v>152</c:v>
                </c:pt>
                <c:pt idx="15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7-744F-A7E0-9D0153C3489C}"/>
            </c:ext>
          </c:extLst>
        </c:ser>
        <c:ser>
          <c:idx val="1"/>
          <c:order val="1"/>
          <c:tx>
            <c:strRef>
              <c:f>'16 Days_sales_expected'!$J$4</c:f>
              <c:strCache>
                <c:ptCount val="1"/>
                <c:pt idx="0">
                  <c:v>expectede2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 Days_sales_expected'!$J$5:$J$20</c:f>
              <c:numCache>
                <c:formatCode>#,##0</c:formatCode>
                <c:ptCount val="16"/>
                <c:pt idx="0">
                  <c:v>120.25803393517566</c:v>
                </c:pt>
                <c:pt idx="1">
                  <c:v>144.21500964459926</c:v>
                </c:pt>
                <c:pt idx="2">
                  <c:v>147.82566281664762</c:v>
                </c:pt>
                <c:pt idx="3">
                  <c:v>113.94763645780647</c:v>
                </c:pt>
                <c:pt idx="4">
                  <c:v>130.31576244095351</c:v>
                </c:pt>
                <c:pt idx="5">
                  <c:v>88.235102110235331</c:v>
                </c:pt>
                <c:pt idx="6">
                  <c:v>145.96940279459091</c:v>
                </c:pt>
                <c:pt idx="7">
                  <c:v>118.88097787662232</c:v>
                </c:pt>
                <c:pt idx="8">
                  <c:v>135.42787651237356</c:v>
                </c:pt>
                <c:pt idx="9">
                  <c:v>116.50986395654833</c:v>
                </c:pt>
                <c:pt idx="10">
                  <c:v>87.327477337951876</c:v>
                </c:pt>
                <c:pt idx="11">
                  <c:v>148.32991585218997</c:v>
                </c:pt>
                <c:pt idx="12">
                  <c:v>118.28226935294046</c:v>
                </c:pt>
                <c:pt idx="13">
                  <c:v>136.53788852579817</c:v>
                </c:pt>
                <c:pt idx="14">
                  <c:v>117.66607691305019</c:v>
                </c:pt>
                <c:pt idx="15">
                  <c:v>155.47279255676008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47-744F-A7E0-9D0153C34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681055"/>
        <c:axId val="404730112"/>
      </c:lineChart>
      <c:catAx>
        <c:axId val="12586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404730112"/>
        <c:crosses val="autoZero"/>
        <c:auto val="1"/>
        <c:lblAlgn val="ctr"/>
        <c:lblOffset val="100"/>
        <c:noMultiLvlLbl val="0"/>
      </c:catAx>
      <c:valAx>
        <c:axId val="40473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25868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expected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'16 Days_profit'!$B$4</c:f>
              <c:strCache>
                <c:ptCount val="1"/>
                <c:pt idx="0">
                  <c:v>current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'16 Days_profit'!$B$5:$B$20</c:f>
              <c:numCache>
                <c:formatCode>#,##0.00</c:formatCode>
                <c:ptCount val="16"/>
                <c:pt idx="0">
                  <c:v>8537.5599603920182</c:v>
                </c:pt>
                <c:pt idx="1">
                  <c:v>12522.689932377891</c:v>
                </c:pt>
                <c:pt idx="2">
                  <c:v>12709.316678741758</c:v>
                </c:pt>
                <c:pt idx="3">
                  <c:v>10525.407280397421</c:v>
                </c:pt>
                <c:pt idx="4">
                  <c:v>12166.024069042478</c:v>
                </c:pt>
                <c:pt idx="5">
                  <c:v>8509.5876099479192</c:v>
                </c:pt>
                <c:pt idx="6">
                  <c:v>12835.52831816284</c:v>
                </c:pt>
                <c:pt idx="7">
                  <c:v>8050.5358123783581</c:v>
                </c:pt>
                <c:pt idx="8">
                  <c:v>12584.601749697258</c:v>
                </c:pt>
                <c:pt idx="9">
                  <c:v>8879.5593946854369</c:v>
                </c:pt>
                <c:pt idx="10">
                  <c:v>8231.7803950308844</c:v>
                </c:pt>
                <c:pt idx="11">
                  <c:v>13898.96961866803</c:v>
                </c:pt>
                <c:pt idx="12">
                  <c:v>9912.9050052404818</c:v>
                </c:pt>
                <c:pt idx="13">
                  <c:v>11642.376883498671</c:v>
                </c:pt>
                <c:pt idx="14">
                  <c:v>11258.137766681093</c:v>
                </c:pt>
                <c:pt idx="15">
                  <c:v>10920.32656738504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4-3445-A4A1-B2097C99E6F8}"/>
            </c:ext>
          </c:extLst>
        </c:ser>
        <c:ser>
          <c:idx val="1"/>
          <c:order val="1"/>
          <c:tx>
            <c:strRef>
              <c:f>'16 Days_profit'!$C$4</c:f>
              <c:strCache>
                <c:ptCount val="1"/>
                <c:pt idx="0">
                  <c:v>new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'16 Days_profit'!$C$5:$C$20</c:f>
              <c:numCache>
                <c:formatCode>_(* #,##0.00_);_(* \(#,##0.00\);_(* "-"??_);_(@_)</c:formatCode>
                <c:ptCount val="16"/>
                <c:pt idx="0">
                  <c:v>12558.031501776424</c:v>
                </c:pt>
                <c:pt idx="1">
                  <c:v>24304.539866747848</c:v>
                </c:pt>
                <c:pt idx="2">
                  <c:v>23758.256336237468</c:v>
                </c:pt>
                <c:pt idx="3">
                  <c:v>23194.683429167948</c:v>
                </c:pt>
                <c:pt idx="4">
                  <c:v>23507.18344354942</c:v>
                </c:pt>
                <c:pt idx="5">
                  <c:v>23010.236020177224</c:v>
                </c:pt>
                <c:pt idx="6">
                  <c:v>23322.736024381837</c:v>
                </c:pt>
                <c:pt idx="7">
                  <c:v>11427.244735558063</c:v>
                </c:pt>
                <c:pt idx="8">
                  <c:v>21914.449687882243</c:v>
                </c:pt>
                <c:pt idx="9">
                  <c:v>11991.589863129208</c:v>
                </c:pt>
                <c:pt idx="10">
                  <c:v>22217.466989913868</c:v>
                </c:pt>
                <c:pt idx="11">
                  <c:v>21904.966990821951</c:v>
                </c:pt>
                <c:pt idx="12">
                  <c:v>11094.089863180032</c:v>
                </c:pt>
                <c:pt idx="13">
                  <c:v>21659.62261500406</c:v>
                </c:pt>
                <c:pt idx="14">
                  <c:v>21623.575540736645</c:v>
                </c:pt>
                <c:pt idx="15">
                  <c:v>11799.659868463255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4-3445-A4A1-B2097C99E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716832"/>
        <c:axId val="240695008"/>
      </c:barChart>
      <c:catAx>
        <c:axId val="24071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40695008"/>
        <c:crosses val="autoZero"/>
        <c:auto val="1"/>
        <c:lblAlgn val="ctr"/>
        <c:lblOffset val="100"/>
        <c:noMultiLvlLbl val="0"/>
      </c:catAx>
      <c:valAx>
        <c:axId val="2406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4071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chart" Target="../charts/chart5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651326</xdr:colOff>
      <xdr:row>5</xdr:row>
      <xdr:rowOff>248556</xdr:rowOff>
    </xdr:from>
    <xdr:to>
      <xdr:col>17</xdr:col>
      <xdr:colOff>446012</xdr:colOff>
      <xdr:row>20</xdr:row>
      <xdr:rowOff>0</xdr:rowOff>
    </xdr:to>
    <xdr:graphicFrame macro="">
      <xdr:nvGraphicFramePr>
        <xdr:cNvPr id="6" name="Chart 5" descr="Chart type: Line. 'Actual', 'Forecast' by 'Day'&#10;&#10;Description automatically generated">
          <a:extLst>
            <a:ext uri="{FF2B5EF4-FFF2-40B4-BE49-F238E27FC236}">
              <a16:creationId xmlns:a16="http://schemas.microsoft.com/office/drawing/2014/main" id="{6C65C5D4-5408-8B4B-A9E8-8E3AFE546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21167</xdr:colOff>
      <xdr:row>23</xdr:row>
      <xdr:rowOff>84668</xdr:rowOff>
    </xdr:from>
    <xdr:to>
      <xdr:col>11</xdr:col>
      <xdr:colOff>256122</xdr:colOff>
      <xdr:row>25</xdr:row>
      <xdr:rowOff>266383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797205-0DA6-3F4E-AE76-3FCFF7C1F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9821335"/>
          <a:ext cx="2266955" cy="753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291193</xdr:colOff>
      <xdr:row>44</xdr:row>
      <xdr:rowOff>124488</xdr:rowOff>
    </xdr:from>
    <xdr:to>
      <xdr:col>22</xdr:col>
      <xdr:colOff>52162</xdr:colOff>
      <xdr:row>63</xdr:row>
      <xdr:rowOff>99577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C5D7F-6D9F-C24A-BD2F-4BA20AD63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2306</xdr:colOff>
      <xdr:row>4</xdr:row>
      <xdr:rowOff>207817</xdr:rowOff>
    </xdr:from>
    <xdr:to>
      <xdr:col>14</xdr:col>
      <xdr:colOff>623455</xdr:colOff>
      <xdr:row>19</xdr:row>
      <xdr:rowOff>74704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986A0-70FA-1A49-B92C-22158BC5C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43</xdr:row>
      <xdr:rowOff>24911</xdr:rowOff>
    </xdr:from>
    <xdr:to>
      <xdr:col>1</xdr:col>
      <xdr:colOff>0</xdr:colOff>
      <xdr:row>55</xdr:row>
      <xdr:rowOff>199573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646D7-4C2E-D14A-9209-6F4DB53BA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152400</xdr:rowOff>
    </xdr:from>
    <xdr:to>
      <xdr:col>7</xdr:col>
      <xdr:colOff>660400</xdr:colOff>
      <xdr:row>45</xdr:row>
      <xdr:rowOff>114300</xdr:rowOff>
    </xdr:to>
    <xdr:graphicFrame macro="">
      <xdr:nvGraphicFramePr>
        <xdr:cNvPr id="2" name="Chart 1" descr="Chart type: Line. 'Actual', 'Forecast' by 'Day'&#10;&#10;Description automatically generated">
          <a:extLst>
            <a:ext uri="{FF2B5EF4-FFF2-40B4-BE49-F238E27FC236}">
              <a16:creationId xmlns:a16="http://schemas.microsoft.com/office/drawing/2014/main" id="{6BBE95CD-C3E2-014B-A561-0FC148497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719368</xdr:colOff>
      <xdr:row>28</xdr:row>
      <xdr:rowOff>6837</xdr:rowOff>
    </xdr:from>
    <xdr:to>
      <xdr:col>3</xdr:col>
      <xdr:colOff>767035</xdr:colOff>
      <xdr:row>30</xdr:row>
      <xdr:rowOff>262112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7FB68B-E34F-0149-88C9-938BCD6ED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85" y="11151087"/>
          <a:ext cx="1561083" cy="784442"/>
        </a:xfrm>
        <a:prstGeom prst="rect">
          <a:avLst/>
        </a:prstGeom>
      </xdr:spPr>
    </xdr:pic>
    <xdr:clientData/>
  </xdr:twoCellAnchor>
  <xdr:twoCellAnchor editAs="oneCell">
    <xdr:from>
      <xdr:col>9</xdr:col>
      <xdr:colOff>150284</xdr:colOff>
      <xdr:row>28</xdr:row>
      <xdr:rowOff>148168</xdr:rowOff>
    </xdr:from>
    <xdr:to>
      <xdr:col>12</xdr:col>
      <xdr:colOff>162989</xdr:colOff>
      <xdr:row>31</xdr:row>
      <xdr:rowOff>105515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B2C8CA-EFA0-FE47-A654-F7808989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284" y="11540068"/>
          <a:ext cx="2260605" cy="757447"/>
        </a:xfrm>
        <a:prstGeom prst="rect">
          <a:avLst/>
        </a:prstGeom>
      </xdr:spPr>
    </xdr:pic>
    <xdr:clientData/>
  </xdr:twoCellAnchor>
  <xdr:twoCellAnchor>
    <xdr:from>
      <xdr:col>8</xdr:col>
      <xdr:colOff>373185</xdr:colOff>
      <xdr:row>34</xdr:row>
      <xdr:rowOff>241301</xdr:rowOff>
    </xdr:from>
    <xdr:to>
      <xdr:col>14</xdr:col>
      <xdr:colOff>0</xdr:colOff>
      <xdr:row>45</xdr:row>
      <xdr:rowOff>108439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5DE5C3-5098-7448-8A7A-93AB75D31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29</xdr:row>
      <xdr:rowOff>101111</xdr:rowOff>
    </xdr:from>
    <xdr:to>
      <xdr:col>10</xdr:col>
      <xdr:colOff>495300</xdr:colOff>
      <xdr:row>42</xdr:row>
      <xdr:rowOff>9073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2A38C89-0C22-004D-A15B-C800C0F7A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121509</xdr:colOff>
      <xdr:row>49</xdr:row>
      <xdr:rowOff>143750</xdr:rowOff>
    </xdr:from>
    <xdr:to>
      <xdr:col>19</xdr:col>
      <xdr:colOff>127000</xdr:colOff>
      <xdr:row>52</xdr:row>
      <xdr:rowOff>31043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99E994-9CBC-0C48-B3F7-A2C4FF218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0109" y="15218650"/>
          <a:ext cx="2024791" cy="801693"/>
        </a:xfrm>
        <a:prstGeom prst="rect">
          <a:avLst/>
        </a:prstGeom>
      </xdr:spPr>
    </xdr:pic>
    <xdr:clientData/>
  </xdr:twoCellAnchor>
  <xdr:twoCellAnchor>
    <xdr:from>
      <xdr:col>16</xdr:col>
      <xdr:colOff>224369</xdr:colOff>
      <xdr:row>39</xdr:row>
      <xdr:rowOff>241454</xdr:rowOff>
    </xdr:from>
    <xdr:to>
      <xdr:col>19</xdr:col>
      <xdr:colOff>127001</xdr:colOff>
      <xdr:row>43</xdr:row>
      <xdr:rowOff>110029</xdr:rowOff>
    </xdr:to>
    <xdr:pic>
      <xdr:nvPicPr>
        <xdr:cNvPr id="4" name="lightbox-image" descr="Lightbox">
          <a:extLst>
            <a:ext uri="{FF2B5EF4-FFF2-40B4-BE49-F238E27FC236}">
              <a16:creationId xmlns:a16="http://schemas.microsoft.com/office/drawing/2014/main" id="{384E579A-AEA5-4948-AC91-B886C5FDF2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41" t="14356" r="316" b="16349"/>
        <a:stretch/>
      </xdr:blipFill>
      <xdr:spPr bwMode="auto">
        <a:xfrm>
          <a:off x="11882969" y="12268354"/>
          <a:ext cx="1921932" cy="108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59971</xdr:colOff>
      <xdr:row>2</xdr:row>
      <xdr:rowOff>49361</xdr:rowOff>
    </xdr:from>
    <xdr:to>
      <xdr:col>10</xdr:col>
      <xdr:colOff>652941</xdr:colOff>
      <xdr:row>2</xdr:row>
      <xdr:rowOff>310444</xdr:rowOff>
    </xdr:to>
    <xdr:pic>
      <xdr:nvPicPr>
        <xdr:cNvPr id="5" name="lightbox-image" descr="Lightbox">
          <a:extLst>
            <a:ext uri="{FF2B5EF4-FFF2-40B4-BE49-F238E27FC236}">
              <a16:creationId xmlns:a16="http://schemas.microsoft.com/office/drawing/2014/main" id="{87C06821-B07B-BB4E-878D-EE807A8857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5478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59971</xdr:colOff>
      <xdr:row>2</xdr:row>
      <xdr:rowOff>49361</xdr:rowOff>
    </xdr:from>
    <xdr:to>
      <xdr:col>5</xdr:col>
      <xdr:colOff>652941</xdr:colOff>
      <xdr:row>2</xdr:row>
      <xdr:rowOff>310444</xdr:rowOff>
    </xdr:to>
    <xdr:pic>
      <xdr:nvPicPr>
        <xdr:cNvPr id="6" name="lightbox-image" descr="Lightbox">
          <a:extLst>
            <a:ext uri="{FF2B5EF4-FFF2-40B4-BE49-F238E27FC236}">
              <a16:creationId xmlns:a16="http://schemas.microsoft.com/office/drawing/2014/main" id="{75797957-BC42-7140-B95C-286F4E3C86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683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59971</xdr:colOff>
      <xdr:row>2</xdr:row>
      <xdr:rowOff>49361</xdr:rowOff>
    </xdr:from>
    <xdr:to>
      <xdr:col>15</xdr:col>
      <xdr:colOff>652941</xdr:colOff>
      <xdr:row>2</xdr:row>
      <xdr:rowOff>310444</xdr:rowOff>
    </xdr:to>
    <xdr:pic>
      <xdr:nvPicPr>
        <xdr:cNvPr id="7" name="lightbox-image" descr="Lightbox">
          <a:extLst>
            <a:ext uri="{FF2B5EF4-FFF2-40B4-BE49-F238E27FC236}">
              <a16:creationId xmlns:a16="http://schemas.microsoft.com/office/drawing/2014/main" id="{5A111130-3439-AD40-B75F-87AE1AE920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683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59971</xdr:colOff>
      <xdr:row>2</xdr:row>
      <xdr:rowOff>49361</xdr:rowOff>
    </xdr:from>
    <xdr:to>
      <xdr:col>20</xdr:col>
      <xdr:colOff>652941</xdr:colOff>
      <xdr:row>2</xdr:row>
      <xdr:rowOff>310444</xdr:rowOff>
    </xdr:to>
    <xdr:pic>
      <xdr:nvPicPr>
        <xdr:cNvPr id="8" name="lightbox-image" descr="Lightbox">
          <a:extLst>
            <a:ext uri="{FF2B5EF4-FFF2-40B4-BE49-F238E27FC236}">
              <a16:creationId xmlns:a16="http://schemas.microsoft.com/office/drawing/2014/main" id="{0670E292-357A-4342-A0B8-338F51AA01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683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59971</xdr:colOff>
      <xdr:row>2</xdr:row>
      <xdr:rowOff>49361</xdr:rowOff>
    </xdr:from>
    <xdr:to>
      <xdr:col>25</xdr:col>
      <xdr:colOff>652941</xdr:colOff>
      <xdr:row>2</xdr:row>
      <xdr:rowOff>310444</xdr:rowOff>
    </xdr:to>
    <xdr:pic>
      <xdr:nvPicPr>
        <xdr:cNvPr id="9" name="lightbox-image" descr="Lightbox">
          <a:extLst>
            <a:ext uri="{FF2B5EF4-FFF2-40B4-BE49-F238E27FC236}">
              <a16:creationId xmlns:a16="http://schemas.microsoft.com/office/drawing/2014/main" id="{9F531484-B356-C549-BB5B-CAD1C488BB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1360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59971</xdr:colOff>
      <xdr:row>2</xdr:row>
      <xdr:rowOff>49361</xdr:rowOff>
    </xdr:from>
    <xdr:to>
      <xdr:col>30</xdr:col>
      <xdr:colOff>652941</xdr:colOff>
      <xdr:row>2</xdr:row>
      <xdr:rowOff>310444</xdr:rowOff>
    </xdr:to>
    <xdr:pic>
      <xdr:nvPicPr>
        <xdr:cNvPr id="10" name="lightbox-image" descr="Lightbox">
          <a:extLst>
            <a:ext uri="{FF2B5EF4-FFF2-40B4-BE49-F238E27FC236}">
              <a16:creationId xmlns:a16="http://schemas.microsoft.com/office/drawing/2014/main" id="{80E3175C-B16F-7041-8162-8A446CCB03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1360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59971</xdr:colOff>
      <xdr:row>2</xdr:row>
      <xdr:rowOff>49361</xdr:rowOff>
    </xdr:from>
    <xdr:to>
      <xdr:col>35</xdr:col>
      <xdr:colOff>652941</xdr:colOff>
      <xdr:row>2</xdr:row>
      <xdr:rowOff>310444</xdr:rowOff>
    </xdr:to>
    <xdr:pic>
      <xdr:nvPicPr>
        <xdr:cNvPr id="11" name="lightbox-image" descr="Lightbox">
          <a:extLst>
            <a:ext uri="{FF2B5EF4-FFF2-40B4-BE49-F238E27FC236}">
              <a16:creationId xmlns:a16="http://schemas.microsoft.com/office/drawing/2014/main" id="{0AD54104-5476-6A4D-A25D-A500F71C9F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20379971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59971</xdr:colOff>
      <xdr:row>2</xdr:row>
      <xdr:rowOff>49361</xdr:rowOff>
    </xdr:from>
    <xdr:to>
      <xdr:col>40</xdr:col>
      <xdr:colOff>652941</xdr:colOff>
      <xdr:row>2</xdr:row>
      <xdr:rowOff>310444</xdr:rowOff>
    </xdr:to>
    <xdr:pic>
      <xdr:nvPicPr>
        <xdr:cNvPr id="12" name="lightbox-image" descr="Lightbox">
          <a:extLst>
            <a:ext uri="{FF2B5EF4-FFF2-40B4-BE49-F238E27FC236}">
              <a16:creationId xmlns:a16="http://schemas.microsoft.com/office/drawing/2014/main" id="{7E43D973-AF32-2D4C-B0D0-FF41876DA8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2376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59971</xdr:colOff>
      <xdr:row>2</xdr:row>
      <xdr:rowOff>49361</xdr:rowOff>
    </xdr:from>
    <xdr:to>
      <xdr:col>45</xdr:col>
      <xdr:colOff>652941</xdr:colOff>
      <xdr:row>2</xdr:row>
      <xdr:rowOff>310444</xdr:rowOff>
    </xdr:to>
    <xdr:pic>
      <xdr:nvPicPr>
        <xdr:cNvPr id="13" name="lightbox-image" descr="Lightbox">
          <a:extLst>
            <a:ext uri="{FF2B5EF4-FFF2-40B4-BE49-F238E27FC236}">
              <a16:creationId xmlns:a16="http://schemas.microsoft.com/office/drawing/2014/main" id="{97BBBE33-3F2B-DA4A-98A1-C419A58A09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2715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50</xdr:col>
      <xdr:colOff>59971</xdr:colOff>
      <xdr:row>2</xdr:row>
      <xdr:rowOff>49361</xdr:rowOff>
    </xdr:from>
    <xdr:to>
      <xdr:col>50</xdr:col>
      <xdr:colOff>652941</xdr:colOff>
      <xdr:row>2</xdr:row>
      <xdr:rowOff>310444</xdr:rowOff>
    </xdr:to>
    <xdr:pic>
      <xdr:nvPicPr>
        <xdr:cNvPr id="14" name="lightbox-image" descr="Lightbox">
          <a:extLst>
            <a:ext uri="{FF2B5EF4-FFF2-40B4-BE49-F238E27FC236}">
              <a16:creationId xmlns:a16="http://schemas.microsoft.com/office/drawing/2014/main" id="{E74C1FDF-1971-FD4C-A7D0-8904944954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30539971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55</xdr:col>
      <xdr:colOff>59971</xdr:colOff>
      <xdr:row>2</xdr:row>
      <xdr:rowOff>49361</xdr:rowOff>
    </xdr:from>
    <xdr:to>
      <xdr:col>55</xdr:col>
      <xdr:colOff>652941</xdr:colOff>
      <xdr:row>2</xdr:row>
      <xdr:rowOff>310444</xdr:rowOff>
    </xdr:to>
    <xdr:pic>
      <xdr:nvPicPr>
        <xdr:cNvPr id="15" name="lightbox-image" descr="Lightbox">
          <a:extLst>
            <a:ext uri="{FF2B5EF4-FFF2-40B4-BE49-F238E27FC236}">
              <a16:creationId xmlns:a16="http://schemas.microsoft.com/office/drawing/2014/main" id="{B86D3693-7067-0948-BEE4-01AB76F45B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3392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60</xdr:col>
      <xdr:colOff>59971</xdr:colOff>
      <xdr:row>2</xdr:row>
      <xdr:rowOff>49361</xdr:rowOff>
    </xdr:from>
    <xdr:to>
      <xdr:col>60</xdr:col>
      <xdr:colOff>652941</xdr:colOff>
      <xdr:row>2</xdr:row>
      <xdr:rowOff>310444</xdr:rowOff>
    </xdr:to>
    <xdr:pic>
      <xdr:nvPicPr>
        <xdr:cNvPr id="16" name="lightbox-image" descr="Lightbox">
          <a:extLst>
            <a:ext uri="{FF2B5EF4-FFF2-40B4-BE49-F238E27FC236}">
              <a16:creationId xmlns:a16="http://schemas.microsoft.com/office/drawing/2014/main" id="{0E3B67DE-C9E0-AF4C-A811-7754CAB69B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3731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65</xdr:col>
      <xdr:colOff>59971</xdr:colOff>
      <xdr:row>2</xdr:row>
      <xdr:rowOff>49361</xdr:rowOff>
    </xdr:from>
    <xdr:to>
      <xdr:col>65</xdr:col>
      <xdr:colOff>652941</xdr:colOff>
      <xdr:row>2</xdr:row>
      <xdr:rowOff>310444</xdr:rowOff>
    </xdr:to>
    <xdr:pic>
      <xdr:nvPicPr>
        <xdr:cNvPr id="17" name="lightbox-image" descr="Lightbox">
          <a:extLst>
            <a:ext uri="{FF2B5EF4-FFF2-40B4-BE49-F238E27FC236}">
              <a16:creationId xmlns:a16="http://schemas.microsoft.com/office/drawing/2014/main" id="{21AE643F-B812-1B43-BE55-C528E0E39EB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40699971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70</xdr:col>
      <xdr:colOff>59971</xdr:colOff>
      <xdr:row>2</xdr:row>
      <xdr:rowOff>49361</xdr:rowOff>
    </xdr:from>
    <xdr:to>
      <xdr:col>70</xdr:col>
      <xdr:colOff>652941</xdr:colOff>
      <xdr:row>2</xdr:row>
      <xdr:rowOff>310444</xdr:rowOff>
    </xdr:to>
    <xdr:pic>
      <xdr:nvPicPr>
        <xdr:cNvPr id="18" name="lightbox-image" descr="Lightbox">
          <a:extLst>
            <a:ext uri="{FF2B5EF4-FFF2-40B4-BE49-F238E27FC236}">
              <a16:creationId xmlns:a16="http://schemas.microsoft.com/office/drawing/2014/main" id="{CA3CDA47-DB23-4746-8169-8C927F0C3D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4408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75</xdr:col>
      <xdr:colOff>59971</xdr:colOff>
      <xdr:row>2</xdr:row>
      <xdr:rowOff>49361</xdr:rowOff>
    </xdr:from>
    <xdr:to>
      <xdr:col>75</xdr:col>
      <xdr:colOff>652941</xdr:colOff>
      <xdr:row>2</xdr:row>
      <xdr:rowOff>310444</xdr:rowOff>
    </xdr:to>
    <xdr:pic>
      <xdr:nvPicPr>
        <xdr:cNvPr id="19" name="lightbox-image" descr="Lightbox">
          <a:extLst>
            <a:ext uri="{FF2B5EF4-FFF2-40B4-BE49-F238E27FC236}">
              <a16:creationId xmlns:a16="http://schemas.microsoft.com/office/drawing/2014/main" id="{EAD3A8F3-4AF5-7945-A950-1BCCBB88C5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4747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80</xdr:col>
      <xdr:colOff>59971</xdr:colOff>
      <xdr:row>2</xdr:row>
      <xdr:rowOff>49361</xdr:rowOff>
    </xdr:from>
    <xdr:to>
      <xdr:col>80</xdr:col>
      <xdr:colOff>652941</xdr:colOff>
      <xdr:row>2</xdr:row>
      <xdr:rowOff>310444</xdr:rowOff>
    </xdr:to>
    <xdr:pic>
      <xdr:nvPicPr>
        <xdr:cNvPr id="20" name="lightbox-image" descr="Lightbox">
          <a:extLst>
            <a:ext uri="{FF2B5EF4-FFF2-40B4-BE49-F238E27FC236}">
              <a16:creationId xmlns:a16="http://schemas.microsoft.com/office/drawing/2014/main" id="{8EFDD1E4-45B5-9F46-BCCA-FD706A15BA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50859971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85</xdr:col>
      <xdr:colOff>59971</xdr:colOff>
      <xdr:row>2</xdr:row>
      <xdr:rowOff>49361</xdr:rowOff>
    </xdr:from>
    <xdr:to>
      <xdr:col>85</xdr:col>
      <xdr:colOff>652941</xdr:colOff>
      <xdr:row>2</xdr:row>
      <xdr:rowOff>310444</xdr:rowOff>
    </xdr:to>
    <xdr:pic>
      <xdr:nvPicPr>
        <xdr:cNvPr id="21" name="lightbox-image" descr="Lightbox">
          <a:extLst>
            <a:ext uri="{FF2B5EF4-FFF2-40B4-BE49-F238E27FC236}">
              <a16:creationId xmlns:a16="http://schemas.microsoft.com/office/drawing/2014/main" id="{17049716-4039-4B42-8679-B6BF8F149B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5424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90</xdr:col>
      <xdr:colOff>59971</xdr:colOff>
      <xdr:row>2</xdr:row>
      <xdr:rowOff>49361</xdr:rowOff>
    </xdr:from>
    <xdr:to>
      <xdr:col>90</xdr:col>
      <xdr:colOff>652941</xdr:colOff>
      <xdr:row>2</xdr:row>
      <xdr:rowOff>310444</xdr:rowOff>
    </xdr:to>
    <xdr:pic>
      <xdr:nvPicPr>
        <xdr:cNvPr id="22" name="lightbox-image" descr="Lightbox">
          <a:extLst>
            <a:ext uri="{FF2B5EF4-FFF2-40B4-BE49-F238E27FC236}">
              <a16:creationId xmlns:a16="http://schemas.microsoft.com/office/drawing/2014/main" id="{E5F08128-4E6C-E74C-BFC9-F7DA0F7B5B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5763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95</xdr:col>
      <xdr:colOff>59971</xdr:colOff>
      <xdr:row>2</xdr:row>
      <xdr:rowOff>49361</xdr:rowOff>
    </xdr:from>
    <xdr:to>
      <xdr:col>95</xdr:col>
      <xdr:colOff>652941</xdr:colOff>
      <xdr:row>2</xdr:row>
      <xdr:rowOff>310444</xdr:rowOff>
    </xdr:to>
    <xdr:pic>
      <xdr:nvPicPr>
        <xdr:cNvPr id="23" name="lightbox-image" descr="Lightbox">
          <a:extLst>
            <a:ext uri="{FF2B5EF4-FFF2-40B4-BE49-F238E27FC236}">
              <a16:creationId xmlns:a16="http://schemas.microsoft.com/office/drawing/2014/main" id="{14B6DDA9-4518-E943-A371-9E35FA8B1B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61019971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100</xdr:col>
      <xdr:colOff>59971</xdr:colOff>
      <xdr:row>2</xdr:row>
      <xdr:rowOff>49361</xdr:rowOff>
    </xdr:from>
    <xdr:to>
      <xdr:col>100</xdr:col>
      <xdr:colOff>652941</xdr:colOff>
      <xdr:row>2</xdr:row>
      <xdr:rowOff>310444</xdr:rowOff>
    </xdr:to>
    <xdr:pic>
      <xdr:nvPicPr>
        <xdr:cNvPr id="24" name="lightbox-image" descr="Lightbox">
          <a:extLst>
            <a:ext uri="{FF2B5EF4-FFF2-40B4-BE49-F238E27FC236}">
              <a16:creationId xmlns:a16="http://schemas.microsoft.com/office/drawing/2014/main" id="{A3E31897-841B-8548-961A-A5773D1012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6440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105</xdr:col>
      <xdr:colOff>59971</xdr:colOff>
      <xdr:row>2</xdr:row>
      <xdr:rowOff>49361</xdr:rowOff>
    </xdr:from>
    <xdr:to>
      <xdr:col>105</xdr:col>
      <xdr:colOff>652941</xdr:colOff>
      <xdr:row>2</xdr:row>
      <xdr:rowOff>310444</xdr:rowOff>
    </xdr:to>
    <xdr:pic>
      <xdr:nvPicPr>
        <xdr:cNvPr id="25" name="lightbox-image" descr="Lightbox">
          <a:extLst>
            <a:ext uri="{FF2B5EF4-FFF2-40B4-BE49-F238E27FC236}">
              <a16:creationId xmlns:a16="http://schemas.microsoft.com/office/drawing/2014/main" id="{969F658B-05FE-2143-8196-4DB1FE6D12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67793304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110</xdr:col>
      <xdr:colOff>59971</xdr:colOff>
      <xdr:row>2</xdr:row>
      <xdr:rowOff>49361</xdr:rowOff>
    </xdr:from>
    <xdr:to>
      <xdr:col>110</xdr:col>
      <xdr:colOff>652941</xdr:colOff>
      <xdr:row>2</xdr:row>
      <xdr:rowOff>310444</xdr:rowOff>
    </xdr:to>
    <xdr:pic>
      <xdr:nvPicPr>
        <xdr:cNvPr id="26" name="lightbox-image" descr="Lightbox">
          <a:extLst>
            <a:ext uri="{FF2B5EF4-FFF2-40B4-BE49-F238E27FC236}">
              <a16:creationId xmlns:a16="http://schemas.microsoft.com/office/drawing/2014/main" id="{D7B95108-59B0-EF40-9E61-E6ABE54384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71179971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115</xdr:col>
      <xdr:colOff>59971</xdr:colOff>
      <xdr:row>2</xdr:row>
      <xdr:rowOff>49361</xdr:rowOff>
    </xdr:from>
    <xdr:to>
      <xdr:col>115</xdr:col>
      <xdr:colOff>652941</xdr:colOff>
      <xdr:row>2</xdr:row>
      <xdr:rowOff>310444</xdr:rowOff>
    </xdr:to>
    <xdr:pic>
      <xdr:nvPicPr>
        <xdr:cNvPr id="27" name="lightbox-image" descr="Lightbox">
          <a:extLst>
            <a:ext uri="{FF2B5EF4-FFF2-40B4-BE49-F238E27FC236}">
              <a16:creationId xmlns:a16="http://schemas.microsoft.com/office/drawing/2014/main" id="{79B1E660-F9AB-974B-ABEC-481D590DFF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7" t="13278" r="51262" b="62240"/>
        <a:stretch/>
      </xdr:blipFill>
      <xdr:spPr bwMode="auto">
        <a:xfrm>
          <a:off x="74566638" y="980694"/>
          <a:ext cx="592970" cy="261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104421</xdr:colOff>
      <xdr:row>45</xdr:row>
      <xdr:rowOff>46092</xdr:rowOff>
    </xdr:from>
    <xdr:to>
      <xdr:col>21</xdr:col>
      <xdr:colOff>317500</xdr:colOff>
      <xdr:row>48</xdr:row>
      <xdr:rowOff>129827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DC5EC2C-0945-FC49-940E-BC18A2B1A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63021" y="13901792"/>
          <a:ext cx="3578579" cy="998135"/>
        </a:xfrm>
        <a:prstGeom prst="rect">
          <a:avLst/>
        </a:prstGeom>
      </xdr:spPr>
    </xdr:pic>
    <xdr:clientData/>
  </xdr:twoCellAnchor>
  <xdr:twoCellAnchor>
    <xdr:from>
      <xdr:col>19</xdr:col>
      <xdr:colOff>393700</xdr:colOff>
      <xdr:row>39</xdr:row>
      <xdr:rowOff>152400</xdr:rowOff>
    </xdr:from>
    <xdr:to>
      <xdr:col>24</xdr:col>
      <xdr:colOff>250825</xdr:colOff>
      <xdr:row>44</xdr:row>
      <xdr:rowOff>177800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37B7762-0BB1-DD4E-AD20-F8CBD570FAC7}"/>
            </a:ext>
          </a:extLst>
        </xdr:cNvPr>
        <xdr:cNvSpPr txBox="1"/>
      </xdr:nvSpPr>
      <xdr:spPr>
        <a:xfrm>
          <a:off x="14071600" y="12179300"/>
          <a:ext cx="3222625" cy="154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Symmetric Mean Absolute Percent Error (SMAPE)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 alternative to Mean Absolute Percent Error (MAPE) when there are zero or near-zero values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your actual observations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SMAPE self-limits to an error rate of 200%, reducing the influence of zero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near-zeros observations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SMAPE is the forecast minus actuals divided by the sum of forecasts and actuals as expressed in this formula:</a:t>
          </a:r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amwa/Documents/++My%20IS&#127752;&#127803;&#127876;&#129449;/my_excel/Sales_210425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รักชนก ทองคำปั้น" refreshedDate="44691.766738310187" createdVersion="7" refreshedVersion="7" minRefreshableVersion="3" recordCount="542" xr:uid="{7CFA6ECF-62C8-4D42-A2FE-335022509E22}">
  <cacheSource type="worksheet">
    <worksheetSource ref="A1:C543" sheet="Sales30" r:id="rId2"/>
  </cacheSource>
  <cacheFields count="3">
    <cacheField name="date" numFmtId="166">
      <sharedItems containsSemiMixedTypes="0" containsNonDate="0" containsDate="1" containsString="0" minDate="2021-12-14T00:00:00" maxDate="2022-01-13T00:00:00" count="30"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</sharedItems>
    </cacheField>
    <cacheField name="menu" numFmtId="0">
      <sharedItems count="23">
        <s v="ขนมจีนน้ำเงี้ยว"/>
        <s v="ข้าวกะเพราหมู"/>
        <s v="ข้าวซอยไก่"/>
        <s v="ข้าวน้ำพริกปลาทู"/>
        <s v="ข้าวผัดพริกเผาทะเล"/>
        <s v="ข้าวผัดหมู"/>
        <s v="ข้าวหมูผัดพริกแกงใต้"/>
        <s v="ต้มยำกุ้ง"/>
        <s v="ต้มยำกุ้งแม่น้ำ"/>
        <s v="ต้มยำหมึก"/>
        <s v="ต้มยำหมึกยัดไส้"/>
        <s v="ต้มเลือดหมู"/>
        <s v="ยำขนมจีนปลาทู"/>
        <s v="ยำวุ้นเส้นทะเล"/>
        <s v="ยำเกี๊ยวกรอบ"/>
        <s v="หมูต้มยำ"/>
        <s v="หมูต้มยำขลุกขลิก"/>
        <s v="หมูเด้งต้มยำ"/>
        <s v="เล้งแซ่บ"/>
        <s v="ต้มยำทะเล"/>
        <s v="ก๋วยเตี๋ยวต้มยำเครื่องทะลัก"/>
        <s v="ลวกจิ้มหมู"/>
        <s v="หมูจัมโบ้"/>
      </sharedItems>
    </cacheField>
    <cacheField name="quantity" numFmtId="0">
      <sharedItems containsSemiMixedTypes="0" containsString="0" containsNumber="1" containsInteger="1" minValue="1" maxValue="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">
  <r>
    <x v="0"/>
    <x v="0"/>
    <n v="16"/>
  </r>
  <r>
    <x v="0"/>
    <x v="1"/>
    <n v="8"/>
  </r>
  <r>
    <x v="0"/>
    <x v="2"/>
    <n v="14"/>
  </r>
  <r>
    <x v="0"/>
    <x v="3"/>
    <n v="1"/>
  </r>
  <r>
    <x v="0"/>
    <x v="4"/>
    <n v="2"/>
  </r>
  <r>
    <x v="0"/>
    <x v="5"/>
    <n v="10"/>
  </r>
  <r>
    <x v="0"/>
    <x v="6"/>
    <n v="1"/>
  </r>
  <r>
    <x v="0"/>
    <x v="7"/>
    <n v="2"/>
  </r>
  <r>
    <x v="0"/>
    <x v="8"/>
    <n v="1"/>
  </r>
  <r>
    <x v="0"/>
    <x v="9"/>
    <n v="4"/>
  </r>
  <r>
    <x v="0"/>
    <x v="10"/>
    <n v="2"/>
  </r>
  <r>
    <x v="0"/>
    <x v="11"/>
    <n v="10"/>
  </r>
  <r>
    <x v="0"/>
    <x v="12"/>
    <n v="2"/>
  </r>
  <r>
    <x v="0"/>
    <x v="13"/>
    <n v="1"/>
  </r>
  <r>
    <x v="0"/>
    <x v="14"/>
    <n v="1"/>
  </r>
  <r>
    <x v="0"/>
    <x v="15"/>
    <n v="21"/>
  </r>
  <r>
    <x v="0"/>
    <x v="16"/>
    <n v="3"/>
  </r>
  <r>
    <x v="0"/>
    <x v="17"/>
    <n v="32"/>
  </r>
  <r>
    <x v="0"/>
    <x v="18"/>
    <n v="1"/>
  </r>
  <r>
    <x v="1"/>
    <x v="0"/>
    <n v="15"/>
  </r>
  <r>
    <x v="1"/>
    <x v="1"/>
    <n v="11"/>
  </r>
  <r>
    <x v="1"/>
    <x v="2"/>
    <n v="10"/>
  </r>
  <r>
    <x v="1"/>
    <x v="3"/>
    <n v="2"/>
  </r>
  <r>
    <x v="1"/>
    <x v="5"/>
    <n v="4"/>
  </r>
  <r>
    <x v="1"/>
    <x v="8"/>
    <n v="1"/>
  </r>
  <r>
    <x v="1"/>
    <x v="19"/>
    <n v="4"/>
  </r>
  <r>
    <x v="1"/>
    <x v="9"/>
    <n v="3"/>
  </r>
  <r>
    <x v="1"/>
    <x v="10"/>
    <n v="2"/>
  </r>
  <r>
    <x v="1"/>
    <x v="11"/>
    <n v="8"/>
  </r>
  <r>
    <x v="1"/>
    <x v="12"/>
    <n v="1"/>
  </r>
  <r>
    <x v="1"/>
    <x v="13"/>
    <n v="2"/>
  </r>
  <r>
    <x v="1"/>
    <x v="14"/>
    <n v="7"/>
  </r>
  <r>
    <x v="1"/>
    <x v="15"/>
    <n v="18"/>
  </r>
  <r>
    <x v="1"/>
    <x v="16"/>
    <n v="3"/>
  </r>
  <r>
    <x v="1"/>
    <x v="17"/>
    <n v="23"/>
  </r>
  <r>
    <x v="1"/>
    <x v="18"/>
    <n v="2"/>
  </r>
  <r>
    <x v="2"/>
    <x v="20"/>
    <n v="1"/>
  </r>
  <r>
    <x v="2"/>
    <x v="0"/>
    <n v="16"/>
  </r>
  <r>
    <x v="2"/>
    <x v="1"/>
    <n v="12"/>
  </r>
  <r>
    <x v="2"/>
    <x v="2"/>
    <n v="10"/>
  </r>
  <r>
    <x v="2"/>
    <x v="4"/>
    <n v="3"/>
  </r>
  <r>
    <x v="2"/>
    <x v="5"/>
    <n v="9"/>
  </r>
  <r>
    <x v="2"/>
    <x v="19"/>
    <n v="8"/>
  </r>
  <r>
    <x v="2"/>
    <x v="9"/>
    <n v="2"/>
  </r>
  <r>
    <x v="2"/>
    <x v="10"/>
    <n v="2"/>
  </r>
  <r>
    <x v="2"/>
    <x v="11"/>
    <n v="9"/>
  </r>
  <r>
    <x v="2"/>
    <x v="12"/>
    <n v="1"/>
  </r>
  <r>
    <x v="2"/>
    <x v="13"/>
    <n v="4"/>
  </r>
  <r>
    <x v="2"/>
    <x v="14"/>
    <n v="7"/>
  </r>
  <r>
    <x v="2"/>
    <x v="21"/>
    <n v="1"/>
  </r>
  <r>
    <x v="2"/>
    <x v="15"/>
    <n v="22"/>
  </r>
  <r>
    <x v="2"/>
    <x v="16"/>
    <n v="3"/>
  </r>
  <r>
    <x v="2"/>
    <x v="17"/>
    <n v="22"/>
  </r>
  <r>
    <x v="2"/>
    <x v="18"/>
    <n v="2"/>
  </r>
  <r>
    <x v="3"/>
    <x v="0"/>
    <n v="12"/>
  </r>
  <r>
    <x v="3"/>
    <x v="1"/>
    <n v="12"/>
  </r>
  <r>
    <x v="3"/>
    <x v="2"/>
    <n v="12"/>
  </r>
  <r>
    <x v="3"/>
    <x v="3"/>
    <n v="1"/>
  </r>
  <r>
    <x v="3"/>
    <x v="4"/>
    <n v="2"/>
  </r>
  <r>
    <x v="3"/>
    <x v="5"/>
    <n v="10"/>
  </r>
  <r>
    <x v="3"/>
    <x v="6"/>
    <n v="1"/>
  </r>
  <r>
    <x v="3"/>
    <x v="7"/>
    <n v="3"/>
  </r>
  <r>
    <x v="3"/>
    <x v="19"/>
    <n v="4"/>
  </r>
  <r>
    <x v="3"/>
    <x v="9"/>
    <n v="1"/>
  </r>
  <r>
    <x v="3"/>
    <x v="10"/>
    <n v="1"/>
  </r>
  <r>
    <x v="3"/>
    <x v="11"/>
    <n v="7"/>
  </r>
  <r>
    <x v="3"/>
    <x v="12"/>
    <n v="2"/>
  </r>
  <r>
    <x v="3"/>
    <x v="13"/>
    <n v="1"/>
  </r>
  <r>
    <x v="3"/>
    <x v="14"/>
    <n v="4"/>
  </r>
  <r>
    <x v="3"/>
    <x v="22"/>
    <n v="1"/>
  </r>
  <r>
    <x v="3"/>
    <x v="15"/>
    <n v="9"/>
  </r>
  <r>
    <x v="3"/>
    <x v="16"/>
    <n v="2"/>
  </r>
  <r>
    <x v="3"/>
    <x v="17"/>
    <n v="16"/>
  </r>
  <r>
    <x v="3"/>
    <x v="18"/>
    <n v="2"/>
  </r>
  <r>
    <x v="4"/>
    <x v="0"/>
    <n v="15"/>
  </r>
  <r>
    <x v="4"/>
    <x v="1"/>
    <n v="4"/>
  </r>
  <r>
    <x v="4"/>
    <x v="2"/>
    <n v="11"/>
  </r>
  <r>
    <x v="4"/>
    <x v="4"/>
    <n v="1"/>
  </r>
  <r>
    <x v="4"/>
    <x v="5"/>
    <n v="9"/>
  </r>
  <r>
    <x v="4"/>
    <x v="7"/>
    <n v="1"/>
  </r>
  <r>
    <x v="4"/>
    <x v="19"/>
    <n v="4"/>
  </r>
  <r>
    <x v="4"/>
    <x v="9"/>
    <n v="3"/>
  </r>
  <r>
    <x v="4"/>
    <x v="10"/>
    <n v="2"/>
  </r>
  <r>
    <x v="4"/>
    <x v="11"/>
    <n v="8"/>
  </r>
  <r>
    <x v="4"/>
    <x v="12"/>
    <n v="1"/>
  </r>
  <r>
    <x v="4"/>
    <x v="13"/>
    <n v="3"/>
  </r>
  <r>
    <x v="4"/>
    <x v="14"/>
    <n v="6"/>
  </r>
  <r>
    <x v="4"/>
    <x v="15"/>
    <n v="10"/>
  </r>
  <r>
    <x v="4"/>
    <x v="16"/>
    <n v="3"/>
  </r>
  <r>
    <x v="4"/>
    <x v="17"/>
    <n v="24"/>
  </r>
  <r>
    <x v="4"/>
    <x v="18"/>
    <n v="2"/>
  </r>
  <r>
    <x v="5"/>
    <x v="0"/>
    <n v="23"/>
  </r>
  <r>
    <x v="5"/>
    <x v="1"/>
    <n v="4"/>
  </r>
  <r>
    <x v="5"/>
    <x v="2"/>
    <n v="11"/>
  </r>
  <r>
    <x v="5"/>
    <x v="4"/>
    <n v="1"/>
  </r>
  <r>
    <x v="5"/>
    <x v="5"/>
    <n v="9"/>
  </r>
  <r>
    <x v="5"/>
    <x v="6"/>
    <n v="1"/>
  </r>
  <r>
    <x v="5"/>
    <x v="7"/>
    <n v="3"/>
  </r>
  <r>
    <x v="5"/>
    <x v="19"/>
    <n v="15"/>
  </r>
  <r>
    <x v="5"/>
    <x v="9"/>
    <n v="6"/>
  </r>
  <r>
    <x v="5"/>
    <x v="10"/>
    <n v="4"/>
  </r>
  <r>
    <x v="5"/>
    <x v="11"/>
    <n v="6"/>
  </r>
  <r>
    <x v="5"/>
    <x v="12"/>
    <n v="3"/>
  </r>
  <r>
    <x v="5"/>
    <x v="13"/>
    <n v="4"/>
  </r>
  <r>
    <x v="5"/>
    <x v="14"/>
    <n v="12"/>
  </r>
  <r>
    <x v="5"/>
    <x v="21"/>
    <n v="1"/>
  </r>
  <r>
    <x v="5"/>
    <x v="15"/>
    <n v="24"/>
  </r>
  <r>
    <x v="5"/>
    <x v="16"/>
    <n v="3"/>
  </r>
  <r>
    <x v="5"/>
    <x v="17"/>
    <n v="37"/>
  </r>
  <r>
    <x v="5"/>
    <x v="18"/>
    <n v="2"/>
  </r>
  <r>
    <x v="6"/>
    <x v="0"/>
    <n v="13"/>
  </r>
  <r>
    <x v="6"/>
    <x v="1"/>
    <n v="9"/>
  </r>
  <r>
    <x v="6"/>
    <x v="2"/>
    <n v="22"/>
  </r>
  <r>
    <x v="6"/>
    <x v="3"/>
    <n v="1"/>
  </r>
  <r>
    <x v="6"/>
    <x v="4"/>
    <n v="2"/>
  </r>
  <r>
    <x v="6"/>
    <x v="5"/>
    <n v="13"/>
  </r>
  <r>
    <x v="6"/>
    <x v="7"/>
    <n v="4"/>
  </r>
  <r>
    <x v="6"/>
    <x v="8"/>
    <n v="1"/>
  </r>
  <r>
    <x v="6"/>
    <x v="19"/>
    <n v="9"/>
  </r>
  <r>
    <x v="6"/>
    <x v="9"/>
    <n v="3"/>
  </r>
  <r>
    <x v="6"/>
    <x v="10"/>
    <n v="2"/>
  </r>
  <r>
    <x v="6"/>
    <x v="11"/>
    <n v="7"/>
  </r>
  <r>
    <x v="6"/>
    <x v="12"/>
    <n v="3"/>
  </r>
  <r>
    <x v="6"/>
    <x v="13"/>
    <n v="3"/>
  </r>
  <r>
    <x v="6"/>
    <x v="14"/>
    <n v="7"/>
  </r>
  <r>
    <x v="6"/>
    <x v="21"/>
    <n v="1"/>
  </r>
  <r>
    <x v="6"/>
    <x v="15"/>
    <n v="16"/>
  </r>
  <r>
    <x v="6"/>
    <x v="16"/>
    <n v="4"/>
  </r>
  <r>
    <x v="6"/>
    <x v="17"/>
    <n v="24"/>
  </r>
  <r>
    <x v="6"/>
    <x v="18"/>
    <n v="4"/>
  </r>
  <r>
    <x v="7"/>
    <x v="0"/>
    <n v="19"/>
  </r>
  <r>
    <x v="7"/>
    <x v="1"/>
    <n v="8"/>
  </r>
  <r>
    <x v="7"/>
    <x v="2"/>
    <n v="8"/>
  </r>
  <r>
    <x v="7"/>
    <x v="3"/>
    <n v="1"/>
  </r>
  <r>
    <x v="7"/>
    <x v="5"/>
    <n v="6"/>
  </r>
  <r>
    <x v="7"/>
    <x v="7"/>
    <n v="3"/>
  </r>
  <r>
    <x v="7"/>
    <x v="19"/>
    <n v="6"/>
  </r>
  <r>
    <x v="7"/>
    <x v="9"/>
    <n v="6"/>
  </r>
  <r>
    <x v="7"/>
    <x v="11"/>
    <n v="10"/>
  </r>
  <r>
    <x v="7"/>
    <x v="12"/>
    <n v="1"/>
  </r>
  <r>
    <x v="7"/>
    <x v="13"/>
    <n v="4"/>
  </r>
  <r>
    <x v="7"/>
    <x v="14"/>
    <n v="1"/>
  </r>
  <r>
    <x v="7"/>
    <x v="21"/>
    <n v="1"/>
  </r>
  <r>
    <x v="7"/>
    <x v="15"/>
    <n v="18"/>
  </r>
  <r>
    <x v="7"/>
    <x v="17"/>
    <n v="12"/>
  </r>
  <r>
    <x v="7"/>
    <x v="18"/>
    <n v="3"/>
  </r>
  <r>
    <x v="8"/>
    <x v="0"/>
    <n v="8"/>
  </r>
  <r>
    <x v="8"/>
    <x v="1"/>
    <n v="8"/>
  </r>
  <r>
    <x v="8"/>
    <x v="2"/>
    <n v="11"/>
  </r>
  <r>
    <x v="8"/>
    <x v="4"/>
    <n v="3"/>
  </r>
  <r>
    <x v="8"/>
    <x v="5"/>
    <n v="9"/>
  </r>
  <r>
    <x v="8"/>
    <x v="7"/>
    <n v="1"/>
  </r>
  <r>
    <x v="8"/>
    <x v="19"/>
    <n v="1"/>
  </r>
  <r>
    <x v="8"/>
    <x v="9"/>
    <n v="1"/>
  </r>
  <r>
    <x v="8"/>
    <x v="10"/>
    <n v="1"/>
  </r>
  <r>
    <x v="8"/>
    <x v="11"/>
    <n v="4"/>
  </r>
  <r>
    <x v="8"/>
    <x v="12"/>
    <n v="1"/>
  </r>
  <r>
    <x v="8"/>
    <x v="13"/>
    <n v="1"/>
  </r>
  <r>
    <x v="8"/>
    <x v="14"/>
    <n v="2"/>
  </r>
  <r>
    <x v="8"/>
    <x v="21"/>
    <n v="1"/>
  </r>
  <r>
    <x v="8"/>
    <x v="15"/>
    <n v="14"/>
  </r>
  <r>
    <x v="8"/>
    <x v="16"/>
    <n v="6"/>
  </r>
  <r>
    <x v="8"/>
    <x v="17"/>
    <n v="23"/>
  </r>
  <r>
    <x v="9"/>
    <x v="0"/>
    <n v="14"/>
  </r>
  <r>
    <x v="9"/>
    <x v="1"/>
    <n v="4"/>
  </r>
  <r>
    <x v="9"/>
    <x v="2"/>
    <n v="11"/>
  </r>
  <r>
    <x v="9"/>
    <x v="5"/>
    <n v="9"/>
  </r>
  <r>
    <x v="9"/>
    <x v="7"/>
    <n v="1"/>
  </r>
  <r>
    <x v="9"/>
    <x v="19"/>
    <n v="4"/>
  </r>
  <r>
    <x v="9"/>
    <x v="9"/>
    <n v="5"/>
  </r>
  <r>
    <x v="9"/>
    <x v="10"/>
    <n v="1"/>
  </r>
  <r>
    <x v="9"/>
    <x v="11"/>
    <n v="10"/>
  </r>
  <r>
    <x v="9"/>
    <x v="12"/>
    <n v="1"/>
  </r>
  <r>
    <x v="9"/>
    <x v="13"/>
    <n v="1"/>
  </r>
  <r>
    <x v="9"/>
    <x v="14"/>
    <n v="4"/>
  </r>
  <r>
    <x v="9"/>
    <x v="21"/>
    <n v="2"/>
  </r>
  <r>
    <x v="9"/>
    <x v="15"/>
    <n v="23"/>
  </r>
  <r>
    <x v="9"/>
    <x v="16"/>
    <n v="3"/>
  </r>
  <r>
    <x v="9"/>
    <x v="17"/>
    <n v="22"/>
  </r>
  <r>
    <x v="9"/>
    <x v="18"/>
    <n v="1"/>
  </r>
  <r>
    <x v="10"/>
    <x v="0"/>
    <n v="19"/>
  </r>
  <r>
    <x v="10"/>
    <x v="1"/>
    <n v="3"/>
  </r>
  <r>
    <x v="10"/>
    <x v="2"/>
    <n v="10"/>
  </r>
  <r>
    <x v="10"/>
    <x v="3"/>
    <n v="1"/>
  </r>
  <r>
    <x v="10"/>
    <x v="4"/>
    <n v="1"/>
  </r>
  <r>
    <x v="10"/>
    <x v="5"/>
    <n v="10"/>
  </r>
  <r>
    <x v="10"/>
    <x v="7"/>
    <n v="3"/>
  </r>
  <r>
    <x v="10"/>
    <x v="8"/>
    <n v="1"/>
  </r>
  <r>
    <x v="10"/>
    <x v="19"/>
    <n v="4"/>
  </r>
  <r>
    <x v="10"/>
    <x v="9"/>
    <n v="2"/>
  </r>
  <r>
    <x v="10"/>
    <x v="11"/>
    <n v="4"/>
  </r>
  <r>
    <x v="10"/>
    <x v="12"/>
    <n v="3"/>
  </r>
  <r>
    <x v="10"/>
    <x v="14"/>
    <n v="2"/>
  </r>
  <r>
    <x v="10"/>
    <x v="15"/>
    <n v="15"/>
  </r>
  <r>
    <x v="10"/>
    <x v="16"/>
    <n v="1"/>
  </r>
  <r>
    <x v="10"/>
    <x v="17"/>
    <n v="19"/>
  </r>
  <r>
    <x v="10"/>
    <x v="18"/>
    <n v="1"/>
  </r>
  <r>
    <x v="11"/>
    <x v="0"/>
    <n v="14"/>
  </r>
  <r>
    <x v="11"/>
    <x v="1"/>
    <n v="6"/>
  </r>
  <r>
    <x v="11"/>
    <x v="2"/>
    <n v="12"/>
  </r>
  <r>
    <x v="11"/>
    <x v="4"/>
    <n v="1"/>
  </r>
  <r>
    <x v="11"/>
    <x v="5"/>
    <n v="8"/>
  </r>
  <r>
    <x v="11"/>
    <x v="7"/>
    <n v="4"/>
  </r>
  <r>
    <x v="11"/>
    <x v="8"/>
    <n v="2"/>
  </r>
  <r>
    <x v="11"/>
    <x v="19"/>
    <n v="9"/>
  </r>
  <r>
    <x v="11"/>
    <x v="9"/>
    <n v="3"/>
  </r>
  <r>
    <x v="11"/>
    <x v="11"/>
    <n v="7"/>
  </r>
  <r>
    <x v="11"/>
    <x v="13"/>
    <n v="1"/>
  </r>
  <r>
    <x v="11"/>
    <x v="14"/>
    <n v="6"/>
  </r>
  <r>
    <x v="11"/>
    <x v="15"/>
    <n v="24"/>
  </r>
  <r>
    <x v="11"/>
    <x v="16"/>
    <n v="1"/>
  </r>
  <r>
    <x v="11"/>
    <x v="17"/>
    <n v="25"/>
  </r>
  <r>
    <x v="11"/>
    <x v="18"/>
    <n v="4"/>
  </r>
  <r>
    <x v="12"/>
    <x v="0"/>
    <n v="22"/>
  </r>
  <r>
    <x v="12"/>
    <x v="1"/>
    <n v="3"/>
  </r>
  <r>
    <x v="12"/>
    <x v="2"/>
    <n v="6"/>
  </r>
  <r>
    <x v="12"/>
    <x v="4"/>
    <n v="2"/>
  </r>
  <r>
    <x v="12"/>
    <x v="5"/>
    <n v="12"/>
  </r>
  <r>
    <x v="12"/>
    <x v="7"/>
    <n v="3"/>
  </r>
  <r>
    <x v="12"/>
    <x v="8"/>
    <n v="1"/>
  </r>
  <r>
    <x v="12"/>
    <x v="19"/>
    <n v="7"/>
  </r>
  <r>
    <x v="12"/>
    <x v="9"/>
    <n v="2"/>
  </r>
  <r>
    <x v="12"/>
    <x v="10"/>
    <n v="2"/>
  </r>
  <r>
    <x v="12"/>
    <x v="11"/>
    <n v="6"/>
  </r>
  <r>
    <x v="12"/>
    <x v="13"/>
    <n v="2"/>
  </r>
  <r>
    <x v="12"/>
    <x v="14"/>
    <n v="7"/>
  </r>
  <r>
    <x v="12"/>
    <x v="21"/>
    <n v="1"/>
  </r>
  <r>
    <x v="12"/>
    <x v="15"/>
    <n v="33"/>
  </r>
  <r>
    <x v="12"/>
    <x v="16"/>
    <n v="3"/>
  </r>
  <r>
    <x v="12"/>
    <x v="17"/>
    <n v="30"/>
  </r>
  <r>
    <x v="12"/>
    <x v="18"/>
    <n v="3"/>
  </r>
  <r>
    <x v="13"/>
    <x v="0"/>
    <n v="14"/>
  </r>
  <r>
    <x v="13"/>
    <x v="1"/>
    <n v="8"/>
  </r>
  <r>
    <x v="13"/>
    <x v="2"/>
    <n v="11"/>
  </r>
  <r>
    <x v="13"/>
    <x v="3"/>
    <n v="2"/>
  </r>
  <r>
    <x v="13"/>
    <x v="4"/>
    <n v="3"/>
  </r>
  <r>
    <x v="13"/>
    <x v="5"/>
    <n v="15"/>
  </r>
  <r>
    <x v="13"/>
    <x v="7"/>
    <n v="1"/>
  </r>
  <r>
    <x v="13"/>
    <x v="19"/>
    <n v="6"/>
  </r>
  <r>
    <x v="13"/>
    <x v="9"/>
    <n v="2"/>
  </r>
  <r>
    <x v="13"/>
    <x v="10"/>
    <n v="1"/>
  </r>
  <r>
    <x v="13"/>
    <x v="11"/>
    <n v="3"/>
  </r>
  <r>
    <x v="13"/>
    <x v="12"/>
    <n v="3"/>
  </r>
  <r>
    <x v="13"/>
    <x v="13"/>
    <n v="4"/>
  </r>
  <r>
    <x v="13"/>
    <x v="14"/>
    <n v="2"/>
  </r>
  <r>
    <x v="13"/>
    <x v="15"/>
    <n v="17"/>
  </r>
  <r>
    <x v="13"/>
    <x v="16"/>
    <n v="1"/>
  </r>
  <r>
    <x v="13"/>
    <x v="17"/>
    <n v="32"/>
  </r>
  <r>
    <x v="13"/>
    <x v="18"/>
    <n v="5"/>
  </r>
  <r>
    <x v="14"/>
    <x v="0"/>
    <n v="23"/>
  </r>
  <r>
    <x v="14"/>
    <x v="1"/>
    <n v="6"/>
  </r>
  <r>
    <x v="14"/>
    <x v="2"/>
    <n v="10"/>
  </r>
  <r>
    <x v="14"/>
    <x v="4"/>
    <n v="2"/>
  </r>
  <r>
    <x v="14"/>
    <x v="5"/>
    <n v="8"/>
  </r>
  <r>
    <x v="14"/>
    <x v="8"/>
    <n v="1"/>
  </r>
  <r>
    <x v="14"/>
    <x v="19"/>
    <n v="15"/>
  </r>
  <r>
    <x v="14"/>
    <x v="9"/>
    <n v="1"/>
  </r>
  <r>
    <x v="14"/>
    <x v="10"/>
    <n v="2"/>
  </r>
  <r>
    <x v="14"/>
    <x v="11"/>
    <n v="8"/>
  </r>
  <r>
    <x v="14"/>
    <x v="12"/>
    <n v="2"/>
  </r>
  <r>
    <x v="14"/>
    <x v="13"/>
    <n v="2"/>
  </r>
  <r>
    <x v="14"/>
    <x v="14"/>
    <n v="3"/>
  </r>
  <r>
    <x v="14"/>
    <x v="21"/>
    <n v="1"/>
  </r>
  <r>
    <x v="14"/>
    <x v="15"/>
    <n v="20"/>
  </r>
  <r>
    <x v="14"/>
    <x v="16"/>
    <n v="1"/>
  </r>
  <r>
    <x v="14"/>
    <x v="17"/>
    <n v="14"/>
  </r>
  <r>
    <x v="14"/>
    <x v="18"/>
    <n v="2"/>
  </r>
  <r>
    <x v="15"/>
    <x v="0"/>
    <n v="18"/>
  </r>
  <r>
    <x v="15"/>
    <x v="1"/>
    <n v="9"/>
  </r>
  <r>
    <x v="15"/>
    <x v="2"/>
    <n v="16"/>
  </r>
  <r>
    <x v="15"/>
    <x v="5"/>
    <n v="6"/>
  </r>
  <r>
    <x v="15"/>
    <x v="7"/>
    <n v="1"/>
  </r>
  <r>
    <x v="15"/>
    <x v="8"/>
    <n v="1"/>
  </r>
  <r>
    <x v="15"/>
    <x v="19"/>
    <n v="5"/>
  </r>
  <r>
    <x v="15"/>
    <x v="9"/>
    <n v="1"/>
  </r>
  <r>
    <x v="15"/>
    <x v="10"/>
    <n v="1"/>
  </r>
  <r>
    <x v="15"/>
    <x v="11"/>
    <n v="8"/>
  </r>
  <r>
    <x v="15"/>
    <x v="12"/>
    <n v="2"/>
  </r>
  <r>
    <x v="15"/>
    <x v="13"/>
    <n v="1"/>
  </r>
  <r>
    <x v="15"/>
    <x v="14"/>
    <n v="4"/>
  </r>
  <r>
    <x v="15"/>
    <x v="21"/>
    <n v="2"/>
  </r>
  <r>
    <x v="15"/>
    <x v="15"/>
    <n v="32"/>
  </r>
  <r>
    <x v="15"/>
    <x v="16"/>
    <n v="2"/>
  </r>
  <r>
    <x v="15"/>
    <x v="17"/>
    <n v="16"/>
  </r>
  <r>
    <x v="15"/>
    <x v="18"/>
    <n v="3"/>
  </r>
  <r>
    <x v="16"/>
    <x v="0"/>
    <n v="15"/>
  </r>
  <r>
    <x v="16"/>
    <x v="1"/>
    <n v="7"/>
  </r>
  <r>
    <x v="16"/>
    <x v="2"/>
    <n v="7"/>
  </r>
  <r>
    <x v="16"/>
    <x v="3"/>
    <n v="1"/>
  </r>
  <r>
    <x v="16"/>
    <x v="5"/>
    <n v="8"/>
  </r>
  <r>
    <x v="16"/>
    <x v="7"/>
    <n v="1"/>
  </r>
  <r>
    <x v="16"/>
    <x v="8"/>
    <n v="1"/>
  </r>
  <r>
    <x v="16"/>
    <x v="19"/>
    <n v="9"/>
  </r>
  <r>
    <x v="16"/>
    <x v="9"/>
    <n v="3"/>
  </r>
  <r>
    <x v="16"/>
    <x v="10"/>
    <n v="1"/>
  </r>
  <r>
    <x v="16"/>
    <x v="11"/>
    <n v="8"/>
  </r>
  <r>
    <x v="16"/>
    <x v="12"/>
    <n v="4"/>
  </r>
  <r>
    <x v="16"/>
    <x v="13"/>
    <n v="3"/>
  </r>
  <r>
    <x v="16"/>
    <x v="14"/>
    <n v="5"/>
  </r>
  <r>
    <x v="16"/>
    <x v="21"/>
    <n v="1"/>
  </r>
  <r>
    <x v="16"/>
    <x v="15"/>
    <n v="30"/>
  </r>
  <r>
    <x v="16"/>
    <x v="16"/>
    <n v="2"/>
  </r>
  <r>
    <x v="16"/>
    <x v="17"/>
    <n v="31"/>
  </r>
  <r>
    <x v="16"/>
    <x v="18"/>
    <n v="3"/>
  </r>
  <r>
    <x v="17"/>
    <x v="0"/>
    <n v="11"/>
  </r>
  <r>
    <x v="17"/>
    <x v="1"/>
    <n v="6"/>
  </r>
  <r>
    <x v="17"/>
    <x v="2"/>
    <n v="9"/>
  </r>
  <r>
    <x v="17"/>
    <x v="5"/>
    <n v="10"/>
  </r>
  <r>
    <x v="17"/>
    <x v="7"/>
    <n v="2"/>
  </r>
  <r>
    <x v="17"/>
    <x v="19"/>
    <n v="9"/>
  </r>
  <r>
    <x v="17"/>
    <x v="9"/>
    <n v="5"/>
  </r>
  <r>
    <x v="17"/>
    <x v="10"/>
    <n v="1"/>
  </r>
  <r>
    <x v="17"/>
    <x v="11"/>
    <n v="5"/>
  </r>
  <r>
    <x v="17"/>
    <x v="12"/>
    <n v="2"/>
  </r>
  <r>
    <x v="17"/>
    <x v="13"/>
    <n v="2"/>
  </r>
  <r>
    <x v="17"/>
    <x v="14"/>
    <n v="9"/>
  </r>
  <r>
    <x v="17"/>
    <x v="21"/>
    <n v="3"/>
  </r>
  <r>
    <x v="17"/>
    <x v="22"/>
    <n v="1"/>
  </r>
  <r>
    <x v="17"/>
    <x v="15"/>
    <n v="32"/>
  </r>
  <r>
    <x v="17"/>
    <x v="16"/>
    <n v="1"/>
  </r>
  <r>
    <x v="17"/>
    <x v="17"/>
    <n v="20"/>
  </r>
  <r>
    <x v="17"/>
    <x v="18"/>
    <n v="3"/>
  </r>
  <r>
    <x v="18"/>
    <x v="0"/>
    <n v="22"/>
  </r>
  <r>
    <x v="18"/>
    <x v="1"/>
    <n v="19"/>
  </r>
  <r>
    <x v="18"/>
    <x v="2"/>
    <n v="17"/>
  </r>
  <r>
    <x v="18"/>
    <x v="4"/>
    <n v="7"/>
  </r>
  <r>
    <x v="18"/>
    <x v="5"/>
    <n v="14"/>
  </r>
  <r>
    <x v="18"/>
    <x v="7"/>
    <n v="9"/>
  </r>
  <r>
    <x v="18"/>
    <x v="8"/>
    <n v="4"/>
  </r>
  <r>
    <x v="18"/>
    <x v="19"/>
    <n v="10"/>
  </r>
  <r>
    <x v="18"/>
    <x v="9"/>
    <n v="8"/>
  </r>
  <r>
    <x v="18"/>
    <x v="10"/>
    <n v="9"/>
  </r>
  <r>
    <x v="18"/>
    <x v="11"/>
    <n v="6"/>
  </r>
  <r>
    <x v="18"/>
    <x v="12"/>
    <n v="3"/>
  </r>
  <r>
    <x v="18"/>
    <x v="13"/>
    <n v="5"/>
  </r>
  <r>
    <x v="18"/>
    <x v="14"/>
    <n v="14"/>
  </r>
  <r>
    <x v="18"/>
    <x v="21"/>
    <n v="4"/>
  </r>
  <r>
    <x v="18"/>
    <x v="22"/>
    <n v="3"/>
  </r>
  <r>
    <x v="18"/>
    <x v="15"/>
    <n v="53"/>
  </r>
  <r>
    <x v="18"/>
    <x v="16"/>
    <n v="1"/>
  </r>
  <r>
    <x v="18"/>
    <x v="17"/>
    <n v="47"/>
  </r>
  <r>
    <x v="18"/>
    <x v="18"/>
    <n v="1"/>
  </r>
  <r>
    <x v="19"/>
    <x v="20"/>
    <n v="2"/>
  </r>
  <r>
    <x v="19"/>
    <x v="0"/>
    <n v="22"/>
  </r>
  <r>
    <x v="19"/>
    <x v="1"/>
    <n v="27"/>
  </r>
  <r>
    <x v="19"/>
    <x v="2"/>
    <n v="20"/>
  </r>
  <r>
    <x v="19"/>
    <x v="4"/>
    <n v="4"/>
  </r>
  <r>
    <x v="19"/>
    <x v="5"/>
    <n v="18"/>
  </r>
  <r>
    <x v="19"/>
    <x v="6"/>
    <n v="6"/>
  </r>
  <r>
    <x v="19"/>
    <x v="7"/>
    <n v="3"/>
  </r>
  <r>
    <x v="19"/>
    <x v="8"/>
    <n v="6"/>
  </r>
  <r>
    <x v="19"/>
    <x v="19"/>
    <n v="11"/>
  </r>
  <r>
    <x v="19"/>
    <x v="9"/>
    <n v="3"/>
  </r>
  <r>
    <x v="19"/>
    <x v="11"/>
    <n v="17"/>
  </r>
  <r>
    <x v="19"/>
    <x v="12"/>
    <n v="7"/>
  </r>
  <r>
    <x v="19"/>
    <x v="13"/>
    <n v="1"/>
  </r>
  <r>
    <x v="19"/>
    <x v="14"/>
    <n v="12"/>
  </r>
  <r>
    <x v="19"/>
    <x v="21"/>
    <n v="2"/>
  </r>
  <r>
    <x v="19"/>
    <x v="15"/>
    <n v="51"/>
  </r>
  <r>
    <x v="19"/>
    <x v="16"/>
    <n v="1"/>
  </r>
  <r>
    <x v="19"/>
    <x v="17"/>
    <n v="41"/>
  </r>
  <r>
    <x v="19"/>
    <x v="18"/>
    <n v="8"/>
  </r>
  <r>
    <x v="20"/>
    <x v="0"/>
    <n v="22"/>
  </r>
  <r>
    <x v="20"/>
    <x v="1"/>
    <n v="9"/>
  </r>
  <r>
    <x v="20"/>
    <x v="2"/>
    <n v="18"/>
  </r>
  <r>
    <x v="20"/>
    <x v="4"/>
    <n v="5"/>
  </r>
  <r>
    <x v="20"/>
    <x v="5"/>
    <n v="15"/>
  </r>
  <r>
    <x v="20"/>
    <x v="6"/>
    <n v="2"/>
  </r>
  <r>
    <x v="20"/>
    <x v="8"/>
    <n v="2"/>
  </r>
  <r>
    <x v="20"/>
    <x v="19"/>
    <n v="3"/>
  </r>
  <r>
    <x v="20"/>
    <x v="9"/>
    <n v="3"/>
  </r>
  <r>
    <x v="20"/>
    <x v="10"/>
    <n v="1"/>
  </r>
  <r>
    <x v="20"/>
    <x v="11"/>
    <n v="15"/>
  </r>
  <r>
    <x v="20"/>
    <x v="12"/>
    <n v="3"/>
  </r>
  <r>
    <x v="20"/>
    <x v="14"/>
    <n v="5"/>
  </r>
  <r>
    <x v="20"/>
    <x v="21"/>
    <n v="2"/>
  </r>
  <r>
    <x v="20"/>
    <x v="15"/>
    <n v="28"/>
  </r>
  <r>
    <x v="20"/>
    <x v="16"/>
    <n v="6"/>
  </r>
  <r>
    <x v="20"/>
    <x v="17"/>
    <n v="18"/>
  </r>
  <r>
    <x v="20"/>
    <x v="18"/>
    <n v="1"/>
  </r>
  <r>
    <x v="21"/>
    <x v="0"/>
    <n v="17"/>
  </r>
  <r>
    <x v="21"/>
    <x v="1"/>
    <n v="17"/>
  </r>
  <r>
    <x v="21"/>
    <x v="2"/>
    <n v="20"/>
  </r>
  <r>
    <x v="21"/>
    <x v="4"/>
    <n v="10"/>
  </r>
  <r>
    <x v="21"/>
    <x v="5"/>
    <n v="25"/>
  </r>
  <r>
    <x v="21"/>
    <x v="8"/>
    <n v="5"/>
  </r>
  <r>
    <x v="21"/>
    <x v="19"/>
    <n v="4"/>
  </r>
  <r>
    <x v="21"/>
    <x v="9"/>
    <n v="11"/>
  </r>
  <r>
    <x v="21"/>
    <x v="11"/>
    <n v="4"/>
  </r>
  <r>
    <x v="21"/>
    <x v="12"/>
    <n v="4"/>
  </r>
  <r>
    <x v="21"/>
    <x v="14"/>
    <n v="9"/>
  </r>
  <r>
    <x v="21"/>
    <x v="21"/>
    <n v="1"/>
  </r>
  <r>
    <x v="21"/>
    <x v="15"/>
    <n v="44"/>
  </r>
  <r>
    <x v="21"/>
    <x v="16"/>
    <n v="7"/>
  </r>
  <r>
    <x v="21"/>
    <x v="17"/>
    <n v="35"/>
  </r>
  <r>
    <x v="22"/>
    <x v="20"/>
    <n v="1"/>
  </r>
  <r>
    <x v="22"/>
    <x v="0"/>
    <n v="29"/>
  </r>
  <r>
    <x v="22"/>
    <x v="1"/>
    <n v="17"/>
  </r>
  <r>
    <x v="22"/>
    <x v="2"/>
    <n v="27"/>
  </r>
  <r>
    <x v="22"/>
    <x v="4"/>
    <n v="4"/>
  </r>
  <r>
    <x v="22"/>
    <x v="5"/>
    <n v="12"/>
  </r>
  <r>
    <x v="22"/>
    <x v="8"/>
    <n v="2"/>
  </r>
  <r>
    <x v="22"/>
    <x v="19"/>
    <n v="5"/>
  </r>
  <r>
    <x v="22"/>
    <x v="9"/>
    <n v="7"/>
  </r>
  <r>
    <x v="22"/>
    <x v="10"/>
    <n v="3"/>
  </r>
  <r>
    <x v="22"/>
    <x v="11"/>
    <n v="7"/>
  </r>
  <r>
    <x v="22"/>
    <x v="12"/>
    <n v="9"/>
  </r>
  <r>
    <x v="22"/>
    <x v="14"/>
    <n v="7"/>
  </r>
  <r>
    <x v="22"/>
    <x v="15"/>
    <n v="22"/>
  </r>
  <r>
    <x v="22"/>
    <x v="16"/>
    <n v="5"/>
  </r>
  <r>
    <x v="22"/>
    <x v="17"/>
    <n v="40"/>
  </r>
  <r>
    <x v="23"/>
    <x v="20"/>
    <n v="1"/>
  </r>
  <r>
    <x v="23"/>
    <x v="0"/>
    <n v="19"/>
  </r>
  <r>
    <x v="23"/>
    <x v="1"/>
    <n v="10"/>
  </r>
  <r>
    <x v="23"/>
    <x v="2"/>
    <n v="21"/>
  </r>
  <r>
    <x v="23"/>
    <x v="4"/>
    <n v="3"/>
  </r>
  <r>
    <x v="23"/>
    <x v="5"/>
    <n v="26"/>
  </r>
  <r>
    <x v="23"/>
    <x v="7"/>
    <n v="2"/>
  </r>
  <r>
    <x v="23"/>
    <x v="8"/>
    <n v="1"/>
  </r>
  <r>
    <x v="23"/>
    <x v="19"/>
    <n v="2"/>
  </r>
  <r>
    <x v="23"/>
    <x v="9"/>
    <n v="3"/>
  </r>
  <r>
    <x v="23"/>
    <x v="10"/>
    <n v="1"/>
  </r>
  <r>
    <x v="23"/>
    <x v="11"/>
    <n v="7"/>
  </r>
  <r>
    <x v="23"/>
    <x v="12"/>
    <n v="2"/>
  </r>
  <r>
    <x v="23"/>
    <x v="13"/>
    <n v="13"/>
  </r>
  <r>
    <x v="23"/>
    <x v="14"/>
    <n v="7"/>
  </r>
  <r>
    <x v="23"/>
    <x v="21"/>
    <n v="1"/>
  </r>
  <r>
    <x v="23"/>
    <x v="22"/>
    <n v="1"/>
  </r>
  <r>
    <x v="23"/>
    <x v="15"/>
    <n v="32"/>
  </r>
  <r>
    <x v="23"/>
    <x v="16"/>
    <n v="4"/>
  </r>
  <r>
    <x v="23"/>
    <x v="17"/>
    <n v="27"/>
  </r>
  <r>
    <x v="23"/>
    <x v="18"/>
    <n v="3"/>
  </r>
  <r>
    <x v="24"/>
    <x v="0"/>
    <n v="15"/>
  </r>
  <r>
    <x v="24"/>
    <x v="1"/>
    <n v="20"/>
  </r>
  <r>
    <x v="24"/>
    <x v="2"/>
    <n v="17"/>
  </r>
  <r>
    <x v="24"/>
    <x v="4"/>
    <n v="2"/>
  </r>
  <r>
    <x v="24"/>
    <x v="5"/>
    <n v="11"/>
  </r>
  <r>
    <x v="24"/>
    <x v="8"/>
    <n v="1"/>
  </r>
  <r>
    <x v="24"/>
    <x v="19"/>
    <n v="2"/>
  </r>
  <r>
    <x v="24"/>
    <x v="9"/>
    <n v="2"/>
  </r>
  <r>
    <x v="24"/>
    <x v="10"/>
    <n v="2"/>
  </r>
  <r>
    <x v="24"/>
    <x v="11"/>
    <n v="2"/>
  </r>
  <r>
    <x v="24"/>
    <x v="12"/>
    <n v="2"/>
  </r>
  <r>
    <x v="24"/>
    <x v="13"/>
    <n v="5"/>
  </r>
  <r>
    <x v="24"/>
    <x v="14"/>
    <n v="4"/>
  </r>
  <r>
    <x v="24"/>
    <x v="15"/>
    <n v="33"/>
  </r>
  <r>
    <x v="24"/>
    <x v="16"/>
    <n v="5"/>
  </r>
  <r>
    <x v="24"/>
    <x v="17"/>
    <n v="28"/>
  </r>
  <r>
    <x v="24"/>
    <x v="18"/>
    <n v="7"/>
  </r>
  <r>
    <x v="25"/>
    <x v="0"/>
    <n v="17"/>
  </r>
  <r>
    <x v="25"/>
    <x v="1"/>
    <n v="15"/>
  </r>
  <r>
    <x v="25"/>
    <x v="2"/>
    <n v="12"/>
  </r>
  <r>
    <x v="25"/>
    <x v="4"/>
    <n v="3"/>
  </r>
  <r>
    <x v="25"/>
    <x v="5"/>
    <n v="18"/>
  </r>
  <r>
    <x v="25"/>
    <x v="7"/>
    <n v="2"/>
  </r>
  <r>
    <x v="25"/>
    <x v="19"/>
    <n v="6"/>
  </r>
  <r>
    <x v="25"/>
    <x v="9"/>
    <n v="3"/>
  </r>
  <r>
    <x v="25"/>
    <x v="10"/>
    <n v="1"/>
  </r>
  <r>
    <x v="25"/>
    <x v="11"/>
    <n v="5"/>
  </r>
  <r>
    <x v="25"/>
    <x v="12"/>
    <n v="1"/>
  </r>
  <r>
    <x v="25"/>
    <x v="13"/>
    <n v="7"/>
  </r>
  <r>
    <x v="25"/>
    <x v="14"/>
    <n v="2"/>
  </r>
  <r>
    <x v="25"/>
    <x v="21"/>
    <n v="2"/>
  </r>
  <r>
    <x v="25"/>
    <x v="22"/>
    <n v="2"/>
  </r>
  <r>
    <x v="25"/>
    <x v="15"/>
    <n v="18"/>
  </r>
  <r>
    <x v="25"/>
    <x v="17"/>
    <n v="22"/>
  </r>
  <r>
    <x v="25"/>
    <x v="18"/>
    <n v="4"/>
  </r>
  <r>
    <x v="26"/>
    <x v="0"/>
    <n v="16"/>
  </r>
  <r>
    <x v="26"/>
    <x v="1"/>
    <n v="13"/>
  </r>
  <r>
    <x v="26"/>
    <x v="2"/>
    <n v="16"/>
  </r>
  <r>
    <x v="26"/>
    <x v="4"/>
    <n v="6"/>
  </r>
  <r>
    <x v="26"/>
    <x v="5"/>
    <n v="20"/>
  </r>
  <r>
    <x v="26"/>
    <x v="6"/>
    <n v="3"/>
  </r>
  <r>
    <x v="26"/>
    <x v="7"/>
    <n v="1"/>
  </r>
  <r>
    <x v="26"/>
    <x v="8"/>
    <n v="3"/>
  </r>
  <r>
    <x v="26"/>
    <x v="19"/>
    <n v="16"/>
  </r>
  <r>
    <x v="26"/>
    <x v="9"/>
    <n v="5"/>
  </r>
  <r>
    <x v="26"/>
    <x v="10"/>
    <n v="1"/>
  </r>
  <r>
    <x v="26"/>
    <x v="11"/>
    <n v="6"/>
  </r>
  <r>
    <x v="26"/>
    <x v="13"/>
    <n v="10"/>
  </r>
  <r>
    <x v="26"/>
    <x v="21"/>
    <n v="1"/>
  </r>
  <r>
    <x v="26"/>
    <x v="15"/>
    <n v="31"/>
  </r>
  <r>
    <x v="26"/>
    <x v="16"/>
    <n v="6"/>
  </r>
  <r>
    <x v="26"/>
    <x v="17"/>
    <n v="42"/>
  </r>
  <r>
    <x v="26"/>
    <x v="18"/>
    <n v="5"/>
  </r>
  <r>
    <x v="27"/>
    <x v="0"/>
    <n v="22"/>
  </r>
  <r>
    <x v="27"/>
    <x v="1"/>
    <n v="13"/>
  </r>
  <r>
    <x v="27"/>
    <x v="2"/>
    <n v="14"/>
  </r>
  <r>
    <x v="27"/>
    <x v="4"/>
    <n v="7"/>
  </r>
  <r>
    <x v="27"/>
    <x v="5"/>
    <n v="11"/>
  </r>
  <r>
    <x v="27"/>
    <x v="6"/>
    <n v="1"/>
  </r>
  <r>
    <x v="27"/>
    <x v="7"/>
    <n v="7"/>
  </r>
  <r>
    <x v="27"/>
    <x v="8"/>
    <n v="2"/>
  </r>
  <r>
    <x v="27"/>
    <x v="19"/>
    <n v="5"/>
  </r>
  <r>
    <x v="27"/>
    <x v="9"/>
    <n v="7"/>
  </r>
  <r>
    <x v="27"/>
    <x v="10"/>
    <n v="3"/>
  </r>
  <r>
    <x v="27"/>
    <x v="11"/>
    <n v="11"/>
  </r>
  <r>
    <x v="27"/>
    <x v="13"/>
    <n v="6"/>
  </r>
  <r>
    <x v="27"/>
    <x v="14"/>
    <n v="9"/>
  </r>
  <r>
    <x v="27"/>
    <x v="15"/>
    <n v="28"/>
  </r>
  <r>
    <x v="27"/>
    <x v="16"/>
    <n v="3"/>
  </r>
  <r>
    <x v="27"/>
    <x v="17"/>
    <n v="33"/>
  </r>
  <r>
    <x v="27"/>
    <x v="18"/>
    <n v="5"/>
  </r>
  <r>
    <x v="28"/>
    <x v="0"/>
    <n v="17"/>
  </r>
  <r>
    <x v="28"/>
    <x v="1"/>
    <n v="17"/>
  </r>
  <r>
    <x v="28"/>
    <x v="2"/>
    <n v="13"/>
  </r>
  <r>
    <x v="28"/>
    <x v="4"/>
    <n v="5"/>
  </r>
  <r>
    <x v="28"/>
    <x v="5"/>
    <n v="14"/>
  </r>
  <r>
    <x v="28"/>
    <x v="6"/>
    <n v="1"/>
  </r>
  <r>
    <x v="28"/>
    <x v="7"/>
    <n v="4"/>
  </r>
  <r>
    <x v="28"/>
    <x v="19"/>
    <n v="6"/>
  </r>
  <r>
    <x v="28"/>
    <x v="9"/>
    <n v="1"/>
  </r>
  <r>
    <x v="28"/>
    <x v="10"/>
    <n v="1"/>
  </r>
  <r>
    <x v="28"/>
    <x v="11"/>
    <n v="10"/>
  </r>
  <r>
    <x v="28"/>
    <x v="13"/>
    <n v="5"/>
  </r>
  <r>
    <x v="28"/>
    <x v="14"/>
    <n v="9"/>
  </r>
  <r>
    <x v="28"/>
    <x v="21"/>
    <n v="1"/>
  </r>
  <r>
    <x v="28"/>
    <x v="22"/>
    <n v="1"/>
  </r>
  <r>
    <x v="28"/>
    <x v="15"/>
    <n v="14"/>
  </r>
  <r>
    <x v="28"/>
    <x v="16"/>
    <n v="1"/>
  </r>
  <r>
    <x v="28"/>
    <x v="17"/>
    <n v="28"/>
  </r>
  <r>
    <x v="28"/>
    <x v="18"/>
    <n v="4"/>
  </r>
  <r>
    <x v="29"/>
    <x v="0"/>
    <n v="16"/>
  </r>
  <r>
    <x v="29"/>
    <x v="1"/>
    <n v="11"/>
  </r>
  <r>
    <x v="29"/>
    <x v="2"/>
    <n v="13"/>
  </r>
  <r>
    <x v="29"/>
    <x v="4"/>
    <n v="5"/>
  </r>
  <r>
    <x v="29"/>
    <x v="5"/>
    <n v="18"/>
  </r>
  <r>
    <x v="29"/>
    <x v="7"/>
    <n v="6"/>
  </r>
  <r>
    <x v="29"/>
    <x v="8"/>
    <n v="1"/>
  </r>
  <r>
    <x v="29"/>
    <x v="19"/>
    <n v="4"/>
  </r>
  <r>
    <x v="29"/>
    <x v="9"/>
    <n v="4"/>
  </r>
  <r>
    <x v="29"/>
    <x v="10"/>
    <n v="3"/>
  </r>
  <r>
    <x v="29"/>
    <x v="11"/>
    <n v="9"/>
  </r>
  <r>
    <x v="29"/>
    <x v="12"/>
    <n v="2"/>
  </r>
  <r>
    <x v="29"/>
    <x v="13"/>
    <n v="7"/>
  </r>
  <r>
    <x v="29"/>
    <x v="14"/>
    <n v="6"/>
  </r>
  <r>
    <x v="29"/>
    <x v="21"/>
    <n v="1"/>
  </r>
  <r>
    <x v="29"/>
    <x v="22"/>
    <n v="1"/>
  </r>
  <r>
    <x v="29"/>
    <x v="15"/>
    <n v="24"/>
  </r>
  <r>
    <x v="29"/>
    <x v="16"/>
    <n v="3"/>
  </r>
  <r>
    <x v="29"/>
    <x v="17"/>
    <n v="26"/>
  </r>
  <r>
    <x v="29"/>
    <x v="18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064DD-5352-5648-92E2-4E25E47712D5}" name="PivotTable1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>
  <location ref="B3:Z35" firstHeaderRow="1" firstDataRow="2" firstDataCol="1"/>
  <pivotFields count="3">
    <pivotField axis="axisRow" numFmtId="166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Col" showAll="0">
      <items count="24">
        <item x="17"/>
        <item x="20"/>
        <item x="2"/>
        <item x="18"/>
        <item x="0"/>
        <item x="11"/>
        <item x="15"/>
        <item x="19"/>
        <item x="4"/>
        <item x="5"/>
        <item x="13"/>
        <item x="14"/>
        <item x="16"/>
        <item x="7"/>
        <item x="12"/>
        <item x="22"/>
        <item x="10"/>
        <item x="9"/>
        <item x="1"/>
        <item x="6"/>
        <item x="8"/>
        <item x="3"/>
        <item x="21"/>
        <item t="default"/>
      </items>
    </pivotField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quantity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176B-DBAE-D14B-B46C-0214DDBF2491}">
  <dimension ref="A1:I29"/>
  <sheetViews>
    <sheetView zoomScaleNormal="100" workbookViewId="0">
      <selection activeCell="C5" sqref="C5"/>
    </sheetView>
  </sheetViews>
  <sheetFormatPr baseColWidth="10" defaultRowHeight="21" x14ac:dyDescent="0.35"/>
  <cols>
    <col min="1" max="1" width="10.83203125" style="111" bestFit="1" customWidth="1"/>
    <col min="2" max="2" width="10.1640625" style="111" bestFit="1" customWidth="1"/>
    <col min="3" max="3" width="9.6640625" style="111" bestFit="1" customWidth="1"/>
    <col min="4" max="4" width="10.1640625" style="111" bestFit="1" customWidth="1"/>
    <col min="5" max="5" width="9.6640625" style="111" bestFit="1" customWidth="1"/>
    <col min="6" max="6" width="10.1640625" style="113" customWidth="1"/>
    <col min="7" max="228" width="8.83203125" style="111" customWidth="1"/>
    <col min="229" max="229" width="30.33203125" style="111" bestFit="1" customWidth="1"/>
    <col min="230" max="230" width="6.83203125" style="111" bestFit="1" customWidth="1"/>
    <col min="231" max="231" width="1.5" style="111" customWidth="1"/>
    <col min="232" max="232" width="4.33203125" style="111" customWidth="1"/>
    <col min="233" max="233" width="8" style="111" bestFit="1" customWidth="1"/>
    <col min="234" max="248" width="5.83203125" style="111" customWidth="1"/>
    <col min="249" max="484" width="8.83203125" style="111" customWidth="1"/>
    <col min="485" max="485" width="30.33203125" style="111" bestFit="1" customWidth="1"/>
    <col min="486" max="486" width="6.83203125" style="111" bestFit="1" customWidth="1"/>
    <col min="487" max="487" width="1.5" style="111" customWidth="1"/>
    <col min="488" max="488" width="4.33203125" style="111" customWidth="1"/>
    <col min="489" max="489" width="8" style="111" bestFit="1" customWidth="1"/>
    <col min="490" max="504" width="5.83203125" style="111" customWidth="1"/>
    <col min="505" max="740" width="8.83203125" style="111" customWidth="1"/>
    <col min="741" max="741" width="30.33203125" style="111" bestFit="1" customWidth="1"/>
    <col min="742" max="742" width="6.83203125" style="111" bestFit="1" customWidth="1"/>
    <col min="743" max="743" width="1.5" style="111" customWidth="1"/>
    <col min="744" max="744" width="4.33203125" style="111" customWidth="1"/>
    <col min="745" max="745" width="8" style="111" bestFit="1" customWidth="1"/>
    <col min="746" max="760" width="5.83203125" style="111" customWidth="1"/>
    <col min="761" max="996" width="8.83203125" style="111" customWidth="1"/>
    <col min="997" max="997" width="30.33203125" style="111" bestFit="1" customWidth="1"/>
    <col min="998" max="998" width="6.83203125" style="111" bestFit="1" customWidth="1"/>
    <col min="999" max="999" width="1.5" style="111" customWidth="1"/>
    <col min="1000" max="1000" width="4.33203125" style="111" customWidth="1"/>
    <col min="1001" max="1001" width="8" style="111" bestFit="1" customWidth="1"/>
    <col min="1002" max="1016" width="5.83203125" style="111" customWidth="1"/>
    <col min="1017" max="1252" width="8.83203125" style="111" customWidth="1"/>
    <col min="1253" max="1253" width="30.33203125" style="111" bestFit="1" customWidth="1"/>
    <col min="1254" max="1254" width="6.83203125" style="111" bestFit="1" customWidth="1"/>
    <col min="1255" max="1255" width="1.5" style="111" customWidth="1"/>
    <col min="1256" max="1256" width="4.33203125" style="111" customWidth="1"/>
    <col min="1257" max="1257" width="8" style="111" bestFit="1" customWidth="1"/>
    <col min="1258" max="1272" width="5.83203125" style="111" customWidth="1"/>
    <col min="1273" max="1508" width="8.83203125" style="111" customWidth="1"/>
    <col min="1509" max="1509" width="30.33203125" style="111" bestFit="1" customWidth="1"/>
    <col min="1510" max="1510" width="6.83203125" style="111" bestFit="1" customWidth="1"/>
    <col min="1511" max="1511" width="1.5" style="111" customWidth="1"/>
    <col min="1512" max="1512" width="4.33203125" style="111" customWidth="1"/>
    <col min="1513" max="1513" width="8" style="111" bestFit="1" customWidth="1"/>
    <col min="1514" max="1528" width="5.83203125" style="111" customWidth="1"/>
    <col min="1529" max="1764" width="8.83203125" style="111" customWidth="1"/>
    <col min="1765" max="1765" width="30.33203125" style="111" bestFit="1" customWidth="1"/>
    <col min="1766" max="1766" width="6.83203125" style="111" bestFit="1" customWidth="1"/>
    <col min="1767" max="1767" width="1.5" style="111" customWidth="1"/>
    <col min="1768" max="1768" width="4.33203125" style="111" customWidth="1"/>
    <col min="1769" max="1769" width="8" style="111" bestFit="1" customWidth="1"/>
    <col min="1770" max="1784" width="5.83203125" style="111" customWidth="1"/>
    <col min="1785" max="2020" width="8.83203125" style="111" customWidth="1"/>
    <col min="2021" max="2021" width="30.33203125" style="111" bestFit="1" customWidth="1"/>
    <col min="2022" max="2022" width="6.83203125" style="111" bestFit="1" customWidth="1"/>
    <col min="2023" max="2023" width="1.5" style="111" customWidth="1"/>
    <col min="2024" max="2024" width="4.33203125" style="111" customWidth="1"/>
    <col min="2025" max="2025" width="8" style="111" bestFit="1" customWidth="1"/>
    <col min="2026" max="2040" width="5.83203125" style="111" customWidth="1"/>
    <col min="2041" max="2276" width="8.83203125" style="111" customWidth="1"/>
    <col min="2277" max="2277" width="30.33203125" style="111" bestFit="1" customWidth="1"/>
    <col min="2278" max="2278" width="6.83203125" style="111" bestFit="1" customWidth="1"/>
    <col min="2279" max="2279" width="1.5" style="111" customWidth="1"/>
    <col min="2280" max="2280" width="4.33203125" style="111" customWidth="1"/>
    <col min="2281" max="2281" width="8" style="111" bestFit="1" customWidth="1"/>
    <col min="2282" max="2296" width="5.83203125" style="111" customWidth="1"/>
    <col min="2297" max="2532" width="8.83203125" style="111" customWidth="1"/>
    <col min="2533" max="2533" width="30.33203125" style="111" bestFit="1" customWidth="1"/>
    <col min="2534" max="2534" width="6.83203125" style="111" bestFit="1" customWidth="1"/>
    <col min="2535" max="2535" width="1.5" style="111" customWidth="1"/>
    <col min="2536" max="2536" width="4.33203125" style="111" customWidth="1"/>
    <col min="2537" max="2537" width="8" style="111" bestFit="1" customWidth="1"/>
    <col min="2538" max="2552" width="5.83203125" style="111" customWidth="1"/>
    <col min="2553" max="2788" width="8.83203125" style="111" customWidth="1"/>
    <col min="2789" max="2789" width="30.33203125" style="111" bestFit="1" customWidth="1"/>
    <col min="2790" max="2790" width="6.83203125" style="111" bestFit="1" customWidth="1"/>
    <col min="2791" max="2791" width="1.5" style="111" customWidth="1"/>
    <col min="2792" max="2792" width="4.33203125" style="111" customWidth="1"/>
    <col min="2793" max="2793" width="8" style="111" bestFit="1" customWidth="1"/>
    <col min="2794" max="2808" width="5.83203125" style="111" customWidth="1"/>
    <col min="2809" max="3044" width="8.83203125" style="111" customWidth="1"/>
    <col min="3045" max="3045" width="30.33203125" style="111" bestFit="1" customWidth="1"/>
    <col min="3046" max="3046" width="6.83203125" style="111" bestFit="1" customWidth="1"/>
    <col min="3047" max="3047" width="1.5" style="111" customWidth="1"/>
    <col min="3048" max="3048" width="4.33203125" style="111" customWidth="1"/>
    <col min="3049" max="3049" width="8" style="111" bestFit="1" customWidth="1"/>
    <col min="3050" max="3064" width="5.83203125" style="111" customWidth="1"/>
    <col min="3065" max="3300" width="8.83203125" style="111" customWidth="1"/>
    <col min="3301" max="3301" width="30.33203125" style="111" bestFit="1" customWidth="1"/>
    <col min="3302" max="3302" width="6.83203125" style="111" bestFit="1" customWidth="1"/>
    <col min="3303" max="3303" width="1.5" style="111" customWidth="1"/>
    <col min="3304" max="3304" width="4.33203125" style="111" customWidth="1"/>
    <col min="3305" max="3305" width="8" style="111" bestFit="1" customWidth="1"/>
    <col min="3306" max="3320" width="5.83203125" style="111" customWidth="1"/>
    <col min="3321" max="3556" width="8.83203125" style="111" customWidth="1"/>
    <col min="3557" max="3557" width="30.33203125" style="111" bestFit="1" customWidth="1"/>
    <col min="3558" max="3558" width="6.83203125" style="111" bestFit="1" customWidth="1"/>
    <col min="3559" max="3559" width="1.5" style="111" customWidth="1"/>
    <col min="3560" max="3560" width="4.33203125" style="111" customWidth="1"/>
    <col min="3561" max="3561" width="8" style="111" bestFit="1" customWidth="1"/>
    <col min="3562" max="3576" width="5.83203125" style="111" customWidth="1"/>
    <col min="3577" max="3812" width="8.83203125" style="111" customWidth="1"/>
    <col min="3813" max="3813" width="30.33203125" style="111" bestFit="1" customWidth="1"/>
    <col min="3814" max="3814" width="6.83203125" style="111" bestFit="1" customWidth="1"/>
    <col min="3815" max="3815" width="1.5" style="111" customWidth="1"/>
    <col min="3816" max="3816" width="4.33203125" style="111" customWidth="1"/>
    <col min="3817" max="3817" width="8" style="111" bestFit="1" customWidth="1"/>
    <col min="3818" max="3832" width="5.83203125" style="111" customWidth="1"/>
    <col min="3833" max="4068" width="8.83203125" style="111" customWidth="1"/>
    <col min="4069" max="4069" width="30.33203125" style="111" bestFit="1" customWidth="1"/>
    <col min="4070" max="4070" width="6.83203125" style="111" bestFit="1" customWidth="1"/>
    <col min="4071" max="4071" width="1.5" style="111" customWidth="1"/>
    <col min="4072" max="4072" width="4.33203125" style="111" customWidth="1"/>
    <col min="4073" max="4073" width="8" style="111" bestFit="1" customWidth="1"/>
    <col min="4074" max="4088" width="5.83203125" style="111" customWidth="1"/>
    <col min="4089" max="4324" width="8.83203125" style="111" customWidth="1"/>
    <col min="4325" max="4325" width="30.33203125" style="111" bestFit="1" customWidth="1"/>
    <col min="4326" max="4326" width="6.83203125" style="111" bestFit="1" customWidth="1"/>
    <col min="4327" max="4327" width="1.5" style="111" customWidth="1"/>
    <col min="4328" max="4328" width="4.33203125" style="111" customWidth="1"/>
    <col min="4329" max="4329" width="8" style="111" bestFit="1" customWidth="1"/>
    <col min="4330" max="4344" width="5.83203125" style="111" customWidth="1"/>
    <col min="4345" max="4580" width="8.83203125" style="111" customWidth="1"/>
    <col min="4581" max="4581" width="30.33203125" style="111" bestFit="1" customWidth="1"/>
    <col min="4582" max="4582" width="6.83203125" style="111" bestFit="1" customWidth="1"/>
    <col min="4583" max="4583" width="1.5" style="111" customWidth="1"/>
    <col min="4584" max="4584" width="4.33203125" style="111" customWidth="1"/>
    <col min="4585" max="4585" width="8" style="111" bestFit="1" customWidth="1"/>
    <col min="4586" max="4600" width="5.83203125" style="111" customWidth="1"/>
    <col min="4601" max="4836" width="8.83203125" style="111" customWidth="1"/>
    <col min="4837" max="4837" width="30.33203125" style="111" bestFit="1" customWidth="1"/>
    <col min="4838" max="4838" width="6.83203125" style="111" bestFit="1" customWidth="1"/>
    <col min="4839" max="4839" width="1.5" style="111" customWidth="1"/>
    <col min="4840" max="4840" width="4.33203125" style="111" customWidth="1"/>
    <col min="4841" max="4841" width="8" style="111" bestFit="1" customWidth="1"/>
    <col min="4842" max="4856" width="5.83203125" style="111" customWidth="1"/>
    <col min="4857" max="5092" width="8.83203125" style="111" customWidth="1"/>
    <col min="5093" max="5093" width="30.33203125" style="111" bestFit="1" customWidth="1"/>
    <col min="5094" max="5094" width="6.83203125" style="111" bestFit="1" customWidth="1"/>
    <col min="5095" max="5095" width="1.5" style="111" customWidth="1"/>
    <col min="5096" max="5096" width="4.33203125" style="111" customWidth="1"/>
    <col min="5097" max="5097" width="8" style="111" bestFit="1" customWidth="1"/>
    <col min="5098" max="5112" width="5.83203125" style="111" customWidth="1"/>
    <col min="5113" max="5348" width="8.83203125" style="111" customWidth="1"/>
    <col min="5349" max="5349" width="30.33203125" style="111" bestFit="1" customWidth="1"/>
    <col min="5350" max="5350" width="6.83203125" style="111" bestFit="1" customWidth="1"/>
    <col min="5351" max="5351" width="1.5" style="111" customWidth="1"/>
    <col min="5352" max="5352" width="4.33203125" style="111" customWidth="1"/>
    <col min="5353" max="5353" width="8" style="111" bestFit="1" customWidth="1"/>
    <col min="5354" max="5368" width="5.83203125" style="111" customWidth="1"/>
    <col min="5369" max="5604" width="8.83203125" style="111" customWidth="1"/>
    <col min="5605" max="5605" width="30.33203125" style="111" bestFit="1" customWidth="1"/>
    <col min="5606" max="5606" width="6.83203125" style="111" bestFit="1" customWidth="1"/>
    <col min="5607" max="5607" width="1.5" style="111" customWidth="1"/>
    <col min="5608" max="5608" width="4.33203125" style="111" customWidth="1"/>
    <col min="5609" max="5609" width="8" style="111" bestFit="1" customWidth="1"/>
    <col min="5610" max="5624" width="5.83203125" style="111" customWidth="1"/>
    <col min="5625" max="5860" width="8.83203125" style="111" customWidth="1"/>
    <col min="5861" max="5861" width="30.33203125" style="111" bestFit="1" customWidth="1"/>
    <col min="5862" max="5862" width="6.83203125" style="111" bestFit="1" customWidth="1"/>
    <col min="5863" max="5863" width="1.5" style="111" customWidth="1"/>
    <col min="5864" max="5864" width="4.33203125" style="111" customWidth="1"/>
    <col min="5865" max="5865" width="8" style="111" bestFit="1" customWidth="1"/>
    <col min="5866" max="5880" width="5.83203125" style="111" customWidth="1"/>
    <col min="5881" max="6116" width="8.83203125" style="111" customWidth="1"/>
    <col min="6117" max="6117" width="30.33203125" style="111" bestFit="1" customWidth="1"/>
    <col min="6118" max="6118" width="6.83203125" style="111" bestFit="1" customWidth="1"/>
    <col min="6119" max="6119" width="1.5" style="111" customWidth="1"/>
    <col min="6120" max="6120" width="4.33203125" style="111" customWidth="1"/>
    <col min="6121" max="6121" width="8" style="111" bestFit="1" customWidth="1"/>
    <col min="6122" max="6136" width="5.83203125" style="111" customWidth="1"/>
    <col min="6137" max="6372" width="8.83203125" style="111" customWidth="1"/>
    <col min="6373" max="6373" width="30.33203125" style="111" bestFit="1" customWidth="1"/>
    <col min="6374" max="6374" width="6.83203125" style="111" bestFit="1" customWidth="1"/>
    <col min="6375" max="6375" width="1.5" style="111" customWidth="1"/>
    <col min="6376" max="6376" width="4.33203125" style="111" customWidth="1"/>
    <col min="6377" max="6377" width="8" style="111" bestFit="1" customWidth="1"/>
    <col min="6378" max="6392" width="5.83203125" style="111" customWidth="1"/>
    <col min="6393" max="6628" width="8.83203125" style="111" customWidth="1"/>
    <col min="6629" max="6629" width="30.33203125" style="111" bestFit="1" customWidth="1"/>
    <col min="6630" max="6630" width="6.83203125" style="111" bestFit="1" customWidth="1"/>
    <col min="6631" max="6631" width="1.5" style="111" customWidth="1"/>
    <col min="6632" max="6632" width="4.33203125" style="111" customWidth="1"/>
    <col min="6633" max="6633" width="8" style="111" bestFit="1" customWidth="1"/>
    <col min="6634" max="6648" width="5.83203125" style="111" customWidth="1"/>
    <col min="6649" max="6884" width="8.83203125" style="111" customWidth="1"/>
    <col min="6885" max="6885" width="30.33203125" style="111" bestFit="1" customWidth="1"/>
    <col min="6886" max="6886" width="6.83203125" style="111" bestFit="1" customWidth="1"/>
    <col min="6887" max="6887" width="1.5" style="111" customWidth="1"/>
    <col min="6888" max="6888" width="4.33203125" style="111" customWidth="1"/>
    <col min="6889" max="6889" width="8" style="111" bestFit="1" customWidth="1"/>
    <col min="6890" max="6904" width="5.83203125" style="111" customWidth="1"/>
    <col min="6905" max="7140" width="8.83203125" style="111" customWidth="1"/>
    <col min="7141" max="7141" width="30.33203125" style="111" bestFit="1" customWidth="1"/>
    <col min="7142" max="7142" width="6.83203125" style="111" bestFit="1" customWidth="1"/>
    <col min="7143" max="7143" width="1.5" style="111" customWidth="1"/>
    <col min="7144" max="7144" width="4.33203125" style="111" customWidth="1"/>
    <col min="7145" max="7145" width="8" style="111" bestFit="1" customWidth="1"/>
    <col min="7146" max="7160" width="5.83203125" style="111" customWidth="1"/>
    <col min="7161" max="7396" width="8.83203125" style="111" customWidth="1"/>
    <col min="7397" max="7397" width="30.33203125" style="111" bestFit="1" customWidth="1"/>
    <col min="7398" max="7398" width="6.83203125" style="111" bestFit="1" customWidth="1"/>
    <col min="7399" max="7399" width="1.5" style="111" customWidth="1"/>
    <col min="7400" max="7400" width="4.33203125" style="111" customWidth="1"/>
    <col min="7401" max="7401" width="8" style="111" bestFit="1" customWidth="1"/>
    <col min="7402" max="7416" width="5.83203125" style="111" customWidth="1"/>
    <col min="7417" max="7652" width="8.83203125" style="111" customWidth="1"/>
    <col min="7653" max="7653" width="30.33203125" style="111" bestFit="1" customWidth="1"/>
    <col min="7654" max="7654" width="6.83203125" style="111" bestFit="1" customWidth="1"/>
    <col min="7655" max="7655" width="1.5" style="111" customWidth="1"/>
    <col min="7656" max="7656" width="4.33203125" style="111" customWidth="1"/>
    <col min="7657" max="7657" width="8" style="111" bestFit="1" customWidth="1"/>
    <col min="7658" max="7672" width="5.83203125" style="111" customWidth="1"/>
    <col min="7673" max="7908" width="8.83203125" style="111" customWidth="1"/>
    <col min="7909" max="7909" width="30.33203125" style="111" bestFit="1" customWidth="1"/>
    <col min="7910" max="7910" width="6.83203125" style="111" bestFit="1" customWidth="1"/>
    <col min="7911" max="7911" width="1.5" style="111" customWidth="1"/>
    <col min="7912" max="7912" width="4.33203125" style="111" customWidth="1"/>
    <col min="7913" max="7913" width="8" style="111" bestFit="1" customWidth="1"/>
    <col min="7914" max="7928" width="5.83203125" style="111" customWidth="1"/>
    <col min="7929" max="8164" width="8.83203125" style="111" customWidth="1"/>
    <col min="8165" max="8165" width="30.33203125" style="111" bestFit="1" customWidth="1"/>
    <col min="8166" max="8166" width="6.83203125" style="111" bestFit="1" customWidth="1"/>
    <col min="8167" max="8167" width="1.5" style="111" customWidth="1"/>
    <col min="8168" max="8168" width="4.33203125" style="111" customWidth="1"/>
    <col min="8169" max="8169" width="8" style="111" bestFit="1" customWidth="1"/>
    <col min="8170" max="8184" width="5.83203125" style="111" customWidth="1"/>
    <col min="8185" max="8420" width="8.83203125" style="111" customWidth="1"/>
    <col min="8421" max="8421" width="30.33203125" style="111" bestFit="1" customWidth="1"/>
    <col min="8422" max="8422" width="6.83203125" style="111" bestFit="1" customWidth="1"/>
    <col min="8423" max="8423" width="1.5" style="111" customWidth="1"/>
    <col min="8424" max="8424" width="4.33203125" style="111" customWidth="1"/>
    <col min="8425" max="8425" width="8" style="111" bestFit="1" customWidth="1"/>
    <col min="8426" max="8440" width="5.83203125" style="111" customWidth="1"/>
    <col min="8441" max="8676" width="8.83203125" style="111" customWidth="1"/>
    <col min="8677" max="8677" width="30.33203125" style="111" bestFit="1" customWidth="1"/>
    <col min="8678" max="8678" width="6.83203125" style="111" bestFit="1" customWidth="1"/>
    <col min="8679" max="8679" width="1.5" style="111" customWidth="1"/>
    <col min="8680" max="8680" width="4.33203125" style="111" customWidth="1"/>
    <col min="8681" max="8681" width="8" style="111" bestFit="1" customWidth="1"/>
    <col min="8682" max="8696" width="5.83203125" style="111" customWidth="1"/>
    <col min="8697" max="8932" width="8.83203125" style="111" customWidth="1"/>
    <col min="8933" max="8933" width="30.33203125" style="111" bestFit="1" customWidth="1"/>
    <col min="8934" max="8934" width="6.83203125" style="111" bestFit="1" customWidth="1"/>
    <col min="8935" max="8935" width="1.5" style="111" customWidth="1"/>
    <col min="8936" max="8936" width="4.33203125" style="111" customWidth="1"/>
    <col min="8937" max="8937" width="8" style="111" bestFit="1" customWidth="1"/>
    <col min="8938" max="8952" width="5.83203125" style="111" customWidth="1"/>
    <col min="8953" max="9188" width="8.83203125" style="111" customWidth="1"/>
    <col min="9189" max="9189" width="30.33203125" style="111" bestFit="1" customWidth="1"/>
    <col min="9190" max="9190" width="6.83203125" style="111" bestFit="1" customWidth="1"/>
    <col min="9191" max="9191" width="1.5" style="111" customWidth="1"/>
    <col min="9192" max="9192" width="4.33203125" style="111" customWidth="1"/>
    <col min="9193" max="9193" width="8" style="111" bestFit="1" customWidth="1"/>
    <col min="9194" max="9208" width="5.83203125" style="111" customWidth="1"/>
    <col min="9209" max="9444" width="8.83203125" style="111" customWidth="1"/>
    <col min="9445" max="9445" width="30.33203125" style="111" bestFit="1" customWidth="1"/>
    <col min="9446" max="9446" width="6.83203125" style="111" bestFit="1" customWidth="1"/>
    <col min="9447" max="9447" width="1.5" style="111" customWidth="1"/>
    <col min="9448" max="9448" width="4.33203125" style="111" customWidth="1"/>
    <col min="9449" max="9449" width="8" style="111" bestFit="1" customWidth="1"/>
    <col min="9450" max="9464" width="5.83203125" style="111" customWidth="1"/>
    <col min="9465" max="9700" width="8.83203125" style="111" customWidth="1"/>
    <col min="9701" max="9701" width="30.33203125" style="111" bestFit="1" customWidth="1"/>
    <col min="9702" max="9702" width="6.83203125" style="111" bestFit="1" customWidth="1"/>
    <col min="9703" max="9703" width="1.5" style="111" customWidth="1"/>
    <col min="9704" max="9704" width="4.33203125" style="111" customWidth="1"/>
    <col min="9705" max="9705" width="8" style="111" bestFit="1" customWidth="1"/>
    <col min="9706" max="9720" width="5.83203125" style="111" customWidth="1"/>
    <col min="9721" max="9956" width="8.83203125" style="111" customWidth="1"/>
    <col min="9957" max="9957" width="30.33203125" style="111" bestFit="1" customWidth="1"/>
    <col min="9958" max="9958" width="6.83203125" style="111" bestFit="1" customWidth="1"/>
    <col min="9959" max="9959" width="1.5" style="111" customWidth="1"/>
    <col min="9960" max="9960" width="4.33203125" style="111" customWidth="1"/>
    <col min="9961" max="9961" width="8" style="111" bestFit="1" customWidth="1"/>
    <col min="9962" max="9976" width="5.83203125" style="111" customWidth="1"/>
    <col min="9977" max="10212" width="8.83203125" style="111" customWidth="1"/>
    <col min="10213" max="10213" width="30.33203125" style="111" bestFit="1" customWidth="1"/>
    <col min="10214" max="10214" width="6.83203125" style="111" bestFit="1" customWidth="1"/>
    <col min="10215" max="10215" width="1.5" style="111" customWidth="1"/>
    <col min="10216" max="10216" width="4.33203125" style="111" customWidth="1"/>
    <col min="10217" max="10217" width="8" style="111" bestFit="1" customWidth="1"/>
    <col min="10218" max="10232" width="5.83203125" style="111" customWidth="1"/>
    <col min="10233" max="10468" width="8.83203125" style="111" customWidth="1"/>
    <col min="10469" max="10469" width="30.33203125" style="111" bestFit="1" customWidth="1"/>
    <col min="10470" max="10470" width="6.83203125" style="111" bestFit="1" customWidth="1"/>
    <col min="10471" max="10471" width="1.5" style="111" customWidth="1"/>
    <col min="10472" max="10472" width="4.33203125" style="111" customWidth="1"/>
    <col min="10473" max="10473" width="8" style="111" bestFit="1" customWidth="1"/>
    <col min="10474" max="10488" width="5.83203125" style="111" customWidth="1"/>
    <col min="10489" max="10724" width="8.83203125" style="111" customWidth="1"/>
    <col min="10725" max="10725" width="30.33203125" style="111" bestFit="1" customWidth="1"/>
    <col min="10726" max="10726" width="6.83203125" style="111" bestFit="1" customWidth="1"/>
    <col min="10727" max="10727" width="1.5" style="111" customWidth="1"/>
    <col min="10728" max="10728" width="4.33203125" style="111" customWidth="1"/>
    <col min="10729" max="10729" width="8" style="111" bestFit="1" customWidth="1"/>
    <col min="10730" max="10744" width="5.83203125" style="111" customWidth="1"/>
    <col min="10745" max="10980" width="8.83203125" style="111" customWidth="1"/>
    <col min="10981" max="10981" width="30.33203125" style="111" bestFit="1" customWidth="1"/>
    <col min="10982" max="10982" width="6.83203125" style="111" bestFit="1" customWidth="1"/>
    <col min="10983" max="10983" width="1.5" style="111" customWidth="1"/>
    <col min="10984" max="10984" width="4.33203125" style="111" customWidth="1"/>
    <col min="10985" max="10985" width="8" style="111" bestFit="1" customWidth="1"/>
    <col min="10986" max="11000" width="5.83203125" style="111" customWidth="1"/>
    <col min="11001" max="11236" width="8.83203125" style="111" customWidth="1"/>
    <col min="11237" max="11237" width="30.33203125" style="111" bestFit="1" customWidth="1"/>
    <col min="11238" max="11238" width="6.83203125" style="111" bestFit="1" customWidth="1"/>
    <col min="11239" max="11239" width="1.5" style="111" customWidth="1"/>
    <col min="11240" max="11240" width="4.33203125" style="111" customWidth="1"/>
    <col min="11241" max="11241" width="8" style="111" bestFit="1" customWidth="1"/>
    <col min="11242" max="11256" width="5.83203125" style="111" customWidth="1"/>
    <col min="11257" max="11492" width="8.83203125" style="111" customWidth="1"/>
    <col min="11493" max="11493" width="30.33203125" style="111" bestFit="1" customWidth="1"/>
    <col min="11494" max="11494" width="6.83203125" style="111" bestFit="1" customWidth="1"/>
    <col min="11495" max="11495" width="1.5" style="111" customWidth="1"/>
    <col min="11496" max="11496" width="4.33203125" style="111" customWidth="1"/>
    <col min="11497" max="11497" width="8" style="111" bestFit="1" customWidth="1"/>
    <col min="11498" max="11512" width="5.83203125" style="111" customWidth="1"/>
    <col min="11513" max="11748" width="8.83203125" style="111" customWidth="1"/>
    <col min="11749" max="11749" width="30.33203125" style="111" bestFit="1" customWidth="1"/>
    <col min="11750" max="11750" width="6.83203125" style="111" bestFit="1" customWidth="1"/>
    <col min="11751" max="11751" width="1.5" style="111" customWidth="1"/>
    <col min="11752" max="11752" width="4.33203125" style="111" customWidth="1"/>
    <col min="11753" max="11753" width="8" style="111" bestFit="1" customWidth="1"/>
    <col min="11754" max="11768" width="5.83203125" style="111" customWidth="1"/>
    <col min="11769" max="12004" width="8.83203125" style="111" customWidth="1"/>
    <col min="12005" max="12005" width="30.33203125" style="111" bestFit="1" customWidth="1"/>
    <col min="12006" max="12006" width="6.83203125" style="111" bestFit="1" customWidth="1"/>
    <col min="12007" max="12007" width="1.5" style="111" customWidth="1"/>
    <col min="12008" max="12008" width="4.33203125" style="111" customWidth="1"/>
    <col min="12009" max="12009" width="8" style="111" bestFit="1" customWidth="1"/>
    <col min="12010" max="12024" width="5.83203125" style="111" customWidth="1"/>
    <col min="12025" max="12260" width="8.83203125" style="111" customWidth="1"/>
    <col min="12261" max="12261" width="30.33203125" style="111" bestFit="1" customWidth="1"/>
    <col min="12262" max="12262" width="6.83203125" style="111" bestFit="1" customWidth="1"/>
    <col min="12263" max="12263" width="1.5" style="111" customWidth="1"/>
    <col min="12264" max="12264" width="4.33203125" style="111" customWidth="1"/>
    <col min="12265" max="12265" width="8" style="111" bestFit="1" customWidth="1"/>
    <col min="12266" max="12280" width="5.83203125" style="111" customWidth="1"/>
    <col min="12281" max="12516" width="8.83203125" style="111" customWidth="1"/>
    <col min="12517" max="12517" width="30.33203125" style="111" bestFit="1" customWidth="1"/>
    <col min="12518" max="12518" width="6.83203125" style="111" bestFit="1" customWidth="1"/>
    <col min="12519" max="12519" width="1.5" style="111" customWidth="1"/>
    <col min="12520" max="12520" width="4.33203125" style="111" customWidth="1"/>
    <col min="12521" max="12521" width="8" style="111" bestFit="1" customWidth="1"/>
    <col min="12522" max="12536" width="5.83203125" style="111" customWidth="1"/>
    <col min="12537" max="12772" width="8.83203125" style="111" customWidth="1"/>
    <col min="12773" max="12773" width="30.33203125" style="111" bestFit="1" customWidth="1"/>
    <col min="12774" max="12774" width="6.83203125" style="111" bestFit="1" customWidth="1"/>
    <col min="12775" max="12775" width="1.5" style="111" customWidth="1"/>
    <col min="12776" max="12776" width="4.33203125" style="111" customWidth="1"/>
    <col min="12777" max="12777" width="8" style="111" bestFit="1" customWidth="1"/>
    <col min="12778" max="12792" width="5.83203125" style="111" customWidth="1"/>
    <col min="12793" max="13028" width="8.83203125" style="111" customWidth="1"/>
    <col min="13029" max="13029" width="30.33203125" style="111" bestFit="1" customWidth="1"/>
    <col min="13030" max="13030" width="6.83203125" style="111" bestFit="1" customWidth="1"/>
    <col min="13031" max="13031" width="1.5" style="111" customWidth="1"/>
    <col min="13032" max="13032" width="4.33203125" style="111" customWidth="1"/>
    <col min="13033" max="13033" width="8" style="111" bestFit="1" customWidth="1"/>
    <col min="13034" max="13048" width="5.83203125" style="111" customWidth="1"/>
    <col min="13049" max="13284" width="8.83203125" style="111" customWidth="1"/>
    <col min="13285" max="13285" width="30.33203125" style="111" bestFit="1" customWidth="1"/>
    <col min="13286" max="13286" width="6.83203125" style="111" bestFit="1" customWidth="1"/>
    <col min="13287" max="13287" width="1.5" style="111" customWidth="1"/>
    <col min="13288" max="13288" width="4.33203125" style="111" customWidth="1"/>
    <col min="13289" max="13289" width="8" style="111" bestFit="1" customWidth="1"/>
    <col min="13290" max="13304" width="5.83203125" style="111" customWidth="1"/>
    <col min="13305" max="13540" width="8.83203125" style="111" customWidth="1"/>
    <col min="13541" max="13541" width="30.33203125" style="111" bestFit="1" customWidth="1"/>
    <col min="13542" max="13542" width="6.83203125" style="111" bestFit="1" customWidth="1"/>
    <col min="13543" max="13543" width="1.5" style="111" customWidth="1"/>
    <col min="13544" max="13544" width="4.33203125" style="111" customWidth="1"/>
    <col min="13545" max="13545" width="8" style="111" bestFit="1" customWidth="1"/>
    <col min="13546" max="13560" width="5.83203125" style="111" customWidth="1"/>
    <col min="13561" max="13796" width="8.83203125" style="111" customWidth="1"/>
    <col min="13797" max="13797" width="30.33203125" style="111" bestFit="1" customWidth="1"/>
    <col min="13798" max="13798" width="6.83203125" style="111" bestFit="1" customWidth="1"/>
    <col min="13799" max="13799" width="1.5" style="111" customWidth="1"/>
    <col min="13800" max="13800" width="4.33203125" style="111" customWidth="1"/>
    <col min="13801" max="13801" width="8" style="111" bestFit="1" customWidth="1"/>
    <col min="13802" max="13816" width="5.83203125" style="111" customWidth="1"/>
    <col min="13817" max="14052" width="8.83203125" style="111" customWidth="1"/>
    <col min="14053" max="14053" width="30.33203125" style="111" bestFit="1" customWidth="1"/>
    <col min="14054" max="14054" width="6.83203125" style="111" bestFit="1" customWidth="1"/>
    <col min="14055" max="14055" width="1.5" style="111" customWidth="1"/>
    <col min="14056" max="14056" width="4.33203125" style="111" customWidth="1"/>
    <col min="14057" max="14057" width="8" style="111" bestFit="1" customWidth="1"/>
    <col min="14058" max="14072" width="5.83203125" style="111" customWidth="1"/>
    <col min="14073" max="14308" width="8.83203125" style="111" customWidth="1"/>
    <col min="14309" max="14309" width="30.33203125" style="111" bestFit="1" customWidth="1"/>
    <col min="14310" max="14310" width="6.83203125" style="111" bestFit="1" customWidth="1"/>
    <col min="14311" max="14311" width="1.5" style="111" customWidth="1"/>
    <col min="14312" max="14312" width="4.33203125" style="111" customWidth="1"/>
    <col min="14313" max="14313" width="8" style="111" bestFit="1" customWidth="1"/>
    <col min="14314" max="14328" width="5.83203125" style="111" customWidth="1"/>
    <col min="14329" max="14564" width="8.83203125" style="111" customWidth="1"/>
    <col min="14565" max="14565" width="30.33203125" style="111" bestFit="1" customWidth="1"/>
    <col min="14566" max="14566" width="6.83203125" style="111" bestFit="1" customWidth="1"/>
    <col min="14567" max="14567" width="1.5" style="111" customWidth="1"/>
    <col min="14568" max="14568" width="4.33203125" style="111" customWidth="1"/>
    <col min="14569" max="14569" width="8" style="111" bestFit="1" customWidth="1"/>
    <col min="14570" max="14584" width="5.83203125" style="111" customWidth="1"/>
    <col min="14585" max="14820" width="8.83203125" style="111" customWidth="1"/>
    <col min="14821" max="14821" width="30.33203125" style="111" bestFit="1" customWidth="1"/>
    <col min="14822" max="14822" width="6.83203125" style="111" bestFit="1" customWidth="1"/>
    <col min="14823" max="14823" width="1.5" style="111" customWidth="1"/>
    <col min="14824" max="14824" width="4.33203125" style="111" customWidth="1"/>
    <col min="14825" max="14825" width="8" style="111" bestFit="1" customWidth="1"/>
    <col min="14826" max="14840" width="5.83203125" style="111" customWidth="1"/>
    <col min="14841" max="15076" width="8.83203125" style="111" customWidth="1"/>
    <col min="15077" max="15077" width="30.33203125" style="111" bestFit="1" customWidth="1"/>
    <col min="15078" max="15078" width="6.83203125" style="111" bestFit="1" customWidth="1"/>
    <col min="15079" max="15079" width="1.5" style="111" customWidth="1"/>
    <col min="15080" max="15080" width="4.33203125" style="111" customWidth="1"/>
    <col min="15081" max="15081" width="8" style="111" bestFit="1" customWidth="1"/>
    <col min="15082" max="15096" width="5.83203125" style="111" customWidth="1"/>
    <col min="15097" max="15332" width="8.83203125" style="111" customWidth="1"/>
    <col min="15333" max="15333" width="30.33203125" style="111" bestFit="1" customWidth="1"/>
    <col min="15334" max="15334" width="6.83203125" style="111" bestFit="1" customWidth="1"/>
    <col min="15335" max="15335" width="1.5" style="111" customWidth="1"/>
    <col min="15336" max="15336" width="4.33203125" style="111" customWidth="1"/>
    <col min="15337" max="15337" width="8" style="111" bestFit="1" customWidth="1"/>
    <col min="15338" max="15352" width="5.83203125" style="111" customWidth="1"/>
    <col min="15353" max="15588" width="8.83203125" style="111" customWidth="1"/>
    <col min="15589" max="15589" width="30.33203125" style="111" bestFit="1" customWidth="1"/>
    <col min="15590" max="15590" width="6.83203125" style="111" bestFit="1" customWidth="1"/>
    <col min="15591" max="15591" width="1.5" style="111" customWidth="1"/>
    <col min="15592" max="15592" width="4.33203125" style="111" customWidth="1"/>
    <col min="15593" max="15593" width="8" style="111" bestFit="1" customWidth="1"/>
    <col min="15594" max="15608" width="5.83203125" style="111" customWidth="1"/>
    <col min="15609" max="15844" width="8.83203125" style="111" customWidth="1"/>
    <col min="15845" max="15845" width="30.33203125" style="111" bestFit="1" customWidth="1"/>
    <col min="15846" max="15846" width="6.83203125" style="111" bestFit="1" customWidth="1"/>
    <col min="15847" max="15847" width="1.5" style="111" customWidth="1"/>
    <col min="15848" max="15848" width="4.33203125" style="111" customWidth="1"/>
    <col min="15849" max="15849" width="8" style="111" bestFit="1" customWidth="1"/>
    <col min="15850" max="15864" width="5.83203125" style="111" customWidth="1"/>
    <col min="15865" max="16100" width="8.83203125" style="111" customWidth="1"/>
    <col min="16101" max="16101" width="30.33203125" style="111" bestFit="1" customWidth="1"/>
    <col min="16102" max="16102" width="6.83203125" style="111" bestFit="1" customWidth="1"/>
    <col min="16103" max="16103" width="1.5" style="111" customWidth="1"/>
    <col min="16104" max="16104" width="4.33203125" style="111" customWidth="1"/>
    <col min="16105" max="16105" width="8" style="111" bestFit="1" customWidth="1"/>
    <col min="16106" max="16120" width="5.83203125" style="111" customWidth="1"/>
    <col min="16121" max="16384" width="8.83203125" style="111" customWidth="1"/>
  </cols>
  <sheetData>
    <row r="1" spans="1:9" ht="17" customHeight="1" thickBot="1" x14ac:dyDescent="0.4">
      <c r="A1" s="421" t="s">
        <v>209</v>
      </c>
      <c r="B1" s="422"/>
      <c r="C1" s="423"/>
      <c r="D1" s="109"/>
      <c r="F1" s="170"/>
    </row>
    <row r="2" spans="1:9" ht="22" thickBot="1" x14ac:dyDescent="0.4">
      <c r="B2" s="112"/>
      <c r="C2" s="112"/>
      <c r="D2" s="112"/>
      <c r="E2" s="112"/>
      <c r="F2" s="171"/>
    </row>
    <row r="3" spans="1:9" ht="17" customHeight="1" thickBot="1" x14ac:dyDescent="0.4">
      <c r="A3" s="113"/>
      <c r="B3" s="418" t="s">
        <v>148</v>
      </c>
      <c r="C3" s="419"/>
      <c r="D3" s="419"/>
      <c r="E3" s="419"/>
      <c r="F3" s="420"/>
      <c r="G3" s="109"/>
    </row>
    <row r="4" spans="1:9" s="113" customFormat="1" ht="25" x14ac:dyDescent="0.35">
      <c r="A4" s="114" t="s">
        <v>44</v>
      </c>
      <c r="B4" s="115" t="s">
        <v>163</v>
      </c>
      <c r="C4" s="115" t="s">
        <v>162</v>
      </c>
      <c r="D4" s="115" t="s">
        <v>154</v>
      </c>
      <c r="E4" s="168" t="s">
        <v>157</v>
      </c>
      <c r="F4" s="116" t="s">
        <v>152</v>
      </c>
      <c r="H4" s="200" t="s">
        <v>160</v>
      </c>
      <c r="I4" s="199" t="s">
        <v>164</v>
      </c>
    </row>
    <row r="5" spans="1:9" x14ac:dyDescent="0.35">
      <c r="A5" s="117">
        <v>1</v>
      </c>
      <c r="B5" s="118">
        <f>'Actual Sales'!AF5</f>
        <v>6980</v>
      </c>
      <c r="C5" s="119">
        <f>daily_demand!BQ5</f>
        <v>9265</v>
      </c>
      <c r="D5" s="120">
        <f t="shared" ref="D5:D20" si="0">C5-B5</f>
        <v>2285</v>
      </c>
      <c r="E5" s="169">
        <f t="shared" ref="E5:E20" si="1">ABS(B5-C5)</f>
        <v>2285</v>
      </c>
      <c r="F5" s="172">
        <f>ABS(B5-C5)/B5</f>
        <v>0.32736389684813755</v>
      </c>
      <c r="H5" s="200" t="s">
        <v>161</v>
      </c>
      <c r="I5" s="199" t="s">
        <v>171</v>
      </c>
    </row>
    <row r="6" spans="1:9" x14ac:dyDescent="0.35">
      <c r="A6" s="117">
        <v>2</v>
      </c>
      <c r="B6" s="118">
        <f>'Actual Sales'!AF6</f>
        <v>6265</v>
      </c>
      <c r="C6" s="119">
        <f>daily_demand!BQ6</f>
        <v>9895</v>
      </c>
      <c r="D6" s="120">
        <f t="shared" si="0"/>
        <v>3630</v>
      </c>
      <c r="E6" s="118">
        <f t="shared" si="1"/>
        <v>3630</v>
      </c>
      <c r="F6" s="172">
        <f t="shared" ref="F6:F20" si="2">ABS(B6-C6)/B6</f>
        <v>0.57940941739824425</v>
      </c>
    </row>
    <row r="7" spans="1:9" x14ac:dyDescent="0.35">
      <c r="A7" s="117">
        <v>3</v>
      </c>
      <c r="B7" s="118">
        <f>'Actual Sales'!AF7</f>
        <v>7260</v>
      </c>
      <c r="C7" s="119">
        <f>daily_demand!BQ7</f>
        <v>9515</v>
      </c>
      <c r="D7" s="120">
        <f t="shared" si="0"/>
        <v>2255</v>
      </c>
      <c r="E7" s="118">
        <f t="shared" si="1"/>
        <v>2255</v>
      </c>
      <c r="F7" s="172">
        <f t="shared" si="2"/>
        <v>0.31060606060606061</v>
      </c>
    </row>
    <row r="8" spans="1:9" x14ac:dyDescent="0.35">
      <c r="A8" s="117">
        <v>4</v>
      </c>
      <c r="B8" s="118">
        <f>'Actual Sales'!AF8</f>
        <v>9035</v>
      </c>
      <c r="C8" s="119">
        <f>daily_demand!BQ8</f>
        <v>8945</v>
      </c>
      <c r="D8" s="120">
        <f t="shared" si="0"/>
        <v>-90</v>
      </c>
      <c r="E8" s="118">
        <f t="shared" si="1"/>
        <v>90</v>
      </c>
      <c r="F8" s="172">
        <f t="shared" si="2"/>
        <v>9.9612617598229102E-3</v>
      </c>
      <c r="H8" s="110"/>
    </row>
    <row r="9" spans="1:9" x14ac:dyDescent="0.35">
      <c r="A9" s="117">
        <v>5</v>
      </c>
      <c r="B9" s="118">
        <f>'Actual Sales'!AF9</f>
        <v>8125</v>
      </c>
      <c r="C9" s="119">
        <f>daily_demand!BQ9</f>
        <v>9355</v>
      </c>
      <c r="D9" s="120">
        <f t="shared" si="0"/>
        <v>1230</v>
      </c>
      <c r="E9" s="118">
        <f t="shared" si="1"/>
        <v>1230</v>
      </c>
      <c r="F9" s="172">
        <f t="shared" si="2"/>
        <v>0.1513846153846154</v>
      </c>
      <c r="H9" s="110"/>
    </row>
    <row r="10" spans="1:9" x14ac:dyDescent="0.35">
      <c r="A10" s="117">
        <v>6</v>
      </c>
      <c r="B10" s="118">
        <f>'Actual Sales'!AF10</f>
        <v>7610</v>
      </c>
      <c r="C10" s="119">
        <f>daily_demand!BQ10</f>
        <v>8945</v>
      </c>
      <c r="D10" s="120">
        <f t="shared" si="0"/>
        <v>1335</v>
      </c>
      <c r="E10" s="118">
        <f t="shared" si="1"/>
        <v>1335</v>
      </c>
      <c r="F10" s="172">
        <f t="shared" si="2"/>
        <v>0.17542706964520369</v>
      </c>
      <c r="G10" s="110"/>
    </row>
    <row r="11" spans="1:9" x14ac:dyDescent="0.35">
      <c r="A11" s="117">
        <v>7</v>
      </c>
      <c r="B11" s="118">
        <f>'Actual Sales'!AF11</f>
        <v>6900</v>
      </c>
      <c r="C11" s="119">
        <f>daily_demand!BQ11</f>
        <v>9355</v>
      </c>
      <c r="D11" s="120">
        <f t="shared" si="0"/>
        <v>2455</v>
      </c>
      <c r="E11" s="118">
        <f t="shared" si="1"/>
        <v>2455</v>
      </c>
      <c r="F11" s="172">
        <f t="shared" si="2"/>
        <v>0.35579710144927534</v>
      </c>
    </row>
    <row r="12" spans="1:9" x14ac:dyDescent="0.35">
      <c r="A12" s="117">
        <v>8</v>
      </c>
      <c r="B12" s="118">
        <f>'Actual Sales'!AF12</f>
        <v>8380</v>
      </c>
      <c r="C12" s="119">
        <f>daily_demand!BQ12</f>
        <v>9305</v>
      </c>
      <c r="D12" s="120">
        <f t="shared" si="0"/>
        <v>925</v>
      </c>
      <c r="E12" s="118">
        <f t="shared" si="1"/>
        <v>925</v>
      </c>
      <c r="F12" s="172">
        <f t="shared" si="2"/>
        <v>0.110381861575179</v>
      </c>
    </row>
    <row r="13" spans="1:9" x14ac:dyDescent="0.35">
      <c r="A13" s="117">
        <v>9</v>
      </c>
      <c r="B13" s="118">
        <f>'Actual Sales'!AF13</f>
        <v>11125</v>
      </c>
      <c r="C13" s="119">
        <f>daily_demand!BQ13</f>
        <v>9265</v>
      </c>
      <c r="D13" s="120">
        <f t="shared" si="0"/>
        <v>-1860</v>
      </c>
      <c r="E13" s="118">
        <f t="shared" si="1"/>
        <v>1860</v>
      </c>
      <c r="F13" s="172">
        <f t="shared" si="2"/>
        <v>0.16719101123595506</v>
      </c>
    </row>
    <row r="14" spans="1:9" x14ac:dyDescent="0.35">
      <c r="A14" s="117">
        <v>10</v>
      </c>
      <c r="B14" s="118">
        <f>'Actual Sales'!AF14</f>
        <v>10475</v>
      </c>
      <c r="C14" s="119">
        <f>daily_demand!BQ14</f>
        <v>9945</v>
      </c>
      <c r="D14" s="120">
        <f t="shared" si="0"/>
        <v>-530</v>
      </c>
      <c r="E14" s="118">
        <f t="shared" si="1"/>
        <v>530</v>
      </c>
      <c r="F14" s="172">
        <f t="shared" si="2"/>
        <v>5.0596658711217185E-2</v>
      </c>
    </row>
    <row r="15" spans="1:9" x14ac:dyDescent="0.35">
      <c r="A15" s="117">
        <v>11</v>
      </c>
      <c r="B15" s="118">
        <f>'Actual Sales'!AF15</f>
        <v>10195</v>
      </c>
      <c r="C15" s="119">
        <f>daily_demand!BQ15</f>
        <v>9415</v>
      </c>
      <c r="D15" s="120">
        <f t="shared" si="0"/>
        <v>-780</v>
      </c>
      <c r="E15" s="118">
        <f t="shared" si="1"/>
        <v>780</v>
      </c>
      <c r="F15" s="172">
        <f t="shared" si="2"/>
        <v>7.6508092202059827E-2</v>
      </c>
    </row>
    <row r="16" spans="1:9" x14ac:dyDescent="0.35">
      <c r="A16" s="117">
        <v>12</v>
      </c>
      <c r="B16" s="118">
        <f>'Actual Sales'!AF16</f>
        <v>8245</v>
      </c>
      <c r="C16" s="119">
        <f>daily_demand!BQ16</f>
        <v>9045</v>
      </c>
      <c r="D16" s="120">
        <f t="shared" si="0"/>
        <v>800</v>
      </c>
      <c r="E16" s="118">
        <f t="shared" si="1"/>
        <v>800</v>
      </c>
      <c r="F16" s="172">
        <f t="shared" si="2"/>
        <v>9.7028502122498486E-2</v>
      </c>
    </row>
    <row r="17" spans="1:8" x14ac:dyDescent="0.35">
      <c r="A17" s="117">
        <v>13</v>
      </c>
      <c r="B17" s="118">
        <f>'Actual Sales'!AF17</f>
        <v>10510</v>
      </c>
      <c r="C17" s="119">
        <f>daily_demand!BQ17</f>
        <v>8985</v>
      </c>
      <c r="D17" s="120">
        <f t="shared" si="0"/>
        <v>-1525</v>
      </c>
      <c r="E17" s="118">
        <f t="shared" si="1"/>
        <v>1525</v>
      </c>
      <c r="F17" s="172">
        <f t="shared" si="2"/>
        <v>0.14509990485252142</v>
      </c>
      <c r="H17" s="110"/>
    </row>
    <row r="18" spans="1:8" x14ac:dyDescent="0.35">
      <c r="A18" s="117">
        <v>14</v>
      </c>
      <c r="B18" s="118">
        <f>'Actual Sales'!AF18</f>
        <v>10050</v>
      </c>
      <c r="C18" s="119">
        <f>daily_demand!BQ18</f>
        <v>9255</v>
      </c>
      <c r="D18" s="120">
        <f t="shared" si="0"/>
        <v>-795</v>
      </c>
      <c r="E18" s="118">
        <f t="shared" si="1"/>
        <v>795</v>
      </c>
      <c r="F18" s="172">
        <f t="shared" si="2"/>
        <v>7.9104477611940296E-2</v>
      </c>
    </row>
    <row r="19" spans="1:8" x14ac:dyDescent="0.35">
      <c r="A19" s="117">
        <v>15</v>
      </c>
      <c r="B19" s="118">
        <f>'Actual Sales'!AF19</f>
        <v>8215</v>
      </c>
      <c r="C19" s="119">
        <f>daily_demand!BQ19</f>
        <v>9165</v>
      </c>
      <c r="D19" s="120">
        <f t="shared" si="0"/>
        <v>950</v>
      </c>
      <c r="E19" s="118">
        <f t="shared" si="1"/>
        <v>950</v>
      </c>
      <c r="F19" s="172">
        <f t="shared" si="2"/>
        <v>0.11564211807668898</v>
      </c>
    </row>
    <row r="20" spans="1:8" ht="22" thickBot="1" x14ac:dyDescent="0.4">
      <c r="A20" s="117">
        <v>16</v>
      </c>
      <c r="B20" s="118">
        <f>'Actual Sales'!AF20</f>
        <v>8800</v>
      </c>
      <c r="C20" s="119">
        <f>daily_demand!BQ20</f>
        <v>9905</v>
      </c>
      <c r="D20" s="120">
        <f t="shared" si="0"/>
        <v>1105</v>
      </c>
      <c r="E20" s="118">
        <f t="shared" si="1"/>
        <v>1105</v>
      </c>
      <c r="F20" s="172">
        <f t="shared" si="2"/>
        <v>0.12556818181818183</v>
      </c>
      <c r="H20" s="110"/>
    </row>
    <row r="21" spans="1:8" ht="22" thickBot="1" x14ac:dyDescent="0.4">
      <c r="A21" s="122" t="s">
        <v>144</v>
      </c>
      <c r="B21" s="164">
        <f>AVERAGE(B5:B20)</f>
        <v>8635.625</v>
      </c>
      <c r="C21" s="164">
        <f>AVERAGE(C5:C20)</f>
        <v>9347.5</v>
      </c>
      <c r="D21" s="164">
        <f>AVERAGE(D5:D20)</f>
        <v>711.875</v>
      </c>
      <c r="E21" s="164">
        <f>AVERAGE(E5:E20)</f>
        <v>1409.375</v>
      </c>
      <c r="F21" s="173">
        <f>AVERAGE(F5:F20)</f>
        <v>0.17981688945610011</v>
      </c>
    </row>
    <row r="22" spans="1:8" ht="22" thickBot="1" x14ac:dyDescent="0.4">
      <c r="B22" s="165"/>
      <c r="C22" s="166"/>
      <c r="D22" s="167" t="s">
        <v>39</v>
      </c>
      <c r="E22" s="164">
        <f>SUM(E5:E20)</f>
        <v>22550</v>
      </c>
      <c r="F22" s="173">
        <f>SUM(F5:F20)</f>
        <v>2.8770702312976018</v>
      </c>
    </row>
    <row r="23" spans="1:8" x14ac:dyDescent="0.35">
      <c r="C23" s="125"/>
      <c r="D23" s="126"/>
      <c r="F23" s="174"/>
    </row>
    <row r="24" spans="1:8" ht="24" x14ac:dyDescent="0.35">
      <c r="A24" s="178" t="s">
        <v>155</v>
      </c>
      <c r="B24" s="175">
        <f>COUNT(A5:A20)</f>
        <v>16</v>
      </c>
      <c r="C24" s="176"/>
      <c r="D24" s="177" t="s">
        <v>156</v>
      </c>
      <c r="E24" s="179">
        <f>E22/B24</f>
        <v>1409.375</v>
      </c>
      <c r="F24" s="180"/>
    </row>
    <row r="25" spans="1:8" x14ac:dyDescent="0.35">
      <c r="A25" s="141"/>
      <c r="B25" s="141"/>
      <c r="C25" s="141"/>
      <c r="D25" s="181"/>
      <c r="E25" s="181"/>
      <c r="F25" s="180"/>
    </row>
    <row r="26" spans="1:8" ht="24" x14ac:dyDescent="0.35">
      <c r="A26" s="141"/>
      <c r="B26" s="141"/>
      <c r="C26" s="141"/>
      <c r="D26" s="181"/>
      <c r="E26" s="182" t="s">
        <v>153</v>
      </c>
      <c r="F26" s="183">
        <f>(F22/B24)*100</f>
        <v>17.98168894561001</v>
      </c>
    </row>
    <row r="27" spans="1:8" x14ac:dyDescent="0.35">
      <c r="G27" s="110"/>
    </row>
    <row r="29" spans="1:8" x14ac:dyDescent="0.35">
      <c r="C29" s="110"/>
    </row>
  </sheetData>
  <mergeCells count="2">
    <mergeCell ref="B3:F3"/>
    <mergeCell ref="A1:C1"/>
  </mergeCells>
  <pageMargins left="0.75" right="0.75" top="1" bottom="1" header="0.5" footer="0.5"/>
  <pageSetup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E269-D80D-D84F-9162-86E1F25F7E47}">
  <dimension ref="A1:H21"/>
  <sheetViews>
    <sheetView zoomScale="110" zoomScaleNormal="110" workbookViewId="0">
      <selection activeCell="D5" sqref="D5"/>
    </sheetView>
  </sheetViews>
  <sheetFormatPr baseColWidth="10" defaultRowHeight="21" x14ac:dyDescent="0.35"/>
  <cols>
    <col min="1" max="1" width="10.83203125" style="111" bestFit="1" customWidth="1"/>
    <col min="2" max="4" width="12.83203125" style="111" customWidth="1"/>
    <col min="5" max="5" width="8.83203125" style="111" customWidth="1"/>
    <col min="6" max="6" width="13.1640625" style="111" bestFit="1" customWidth="1"/>
    <col min="7" max="7" width="10.1640625" style="111" bestFit="1" customWidth="1"/>
    <col min="8" max="230" width="8.83203125" style="111" customWidth="1"/>
    <col min="231" max="231" width="30.33203125" style="111" bestFit="1" customWidth="1"/>
    <col min="232" max="232" width="6.83203125" style="111" bestFit="1" customWidth="1"/>
    <col min="233" max="233" width="1.5" style="111" customWidth="1"/>
    <col min="234" max="234" width="4.33203125" style="111" customWidth="1"/>
    <col min="235" max="235" width="8" style="111" bestFit="1" customWidth="1"/>
    <col min="236" max="250" width="5.83203125" style="111" customWidth="1"/>
    <col min="251" max="486" width="8.83203125" style="111" customWidth="1"/>
    <col min="487" max="487" width="30.33203125" style="111" bestFit="1" customWidth="1"/>
    <col min="488" max="488" width="6.83203125" style="111" bestFit="1" customWidth="1"/>
    <col min="489" max="489" width="1.5" style="111" customWidth="1"/>
    <col min="490" max="490" width="4.33203125" style="111" customWidth="1"/>
    <col min="491" max="491" width="8" style="111" bestFit="1" customWidth="1"/>
    <col min="492" max="506" width="5.83203125" style="111" customWidth="1"/>
    <col min="507" max="742" width="8.83203125" style="111" customWidth="1"/>
    <col min="743" max="743" width="30.33203125" style="111" bestFit="1" customWidth="1"/>
    <col min="744" max="744" width="6.83203125" style="111" bestFit="1" customWidth="1"/>
    <col min="745" max="745" width="1.5" style="111" customWidth="1"/>
    <col min="746" max="746" width="4.33203125" style="111" customWidth="1"/>
    <col min="747" max="747" width="8" style="111" bestFit="1" customWidth="1"/>
    <col min="748" max="762" width="5.83203125" style="111" customWidth="1"/>
    <col min="763" max="998" width="8.83203125" style="111" customWidth="1"/>
    <col min="999" max="999" width="30.33203125" style="111" bestFit="1" customWidth="1"/>
    <col min="1000" max="1000" width="6.83203125" style="111" bestFit="1" customWidth="1"/>
    <col min="1001" max="1001" width="1.5" style="111" customWidth="1"/>
    <col min="1002" max="1002" width="4.33203125" style="111" customWidth="1"/>
    <col min="1003" max="1003" width="8" style="111" bestFit="1" customWidth="1"/>
    <col min="1004" max="1018" width="5.83203125" style="111" customWidth="1"/>
    <col min="1019" max="1254" width="8.83203125" style="111" customWidth="1"/>
    <col min="1255" max="1255" width="30.33203125" style="111" bestFit="1" customWidth="1"/>
    <col min="1256" max="1256" width="6.83203125" style="111" bestFit="1" customWidth="1"/>
    <col min="1257" max="1257" width="1.5" style="111" customWidth="1"/>
    <col min="1258" max="1258" width="4.33203125" style="111" customWidth="1"/>
    <col min="1259" max="1259" width="8" style="111" bestFit="1" customWidth="1"/>
    <col min="1260" max="1274" width="5.83203125" style="111" customWidth="1"/>
    <col min="1275" max="1510" width="8.83203125" style="111" customWidth="1"/>
    <col min="1511" max="1511" width="30.33203125" style="111" bestFit="1" customWidth="1"/>
    <col min="1512" max="1512" width="6.83203125" style="111" bestFit="1" customWidth="1"/>
    <col min="1513" max="1513" width="1.5" style="111" customWidth="1"/>
    <col min="1514" max="1514" width="4.33203125" style="111" customWidth="1"/>
    <col min="1515" max="1515" width="8" style="111" bestFit="1" customWidth="1"/>
    <col min="1516" max="1530" width="5.83203125" style="111" customWidth="1"/>
    <col min="1531" max="1766" width="8.83203125" style="111" customWidth="1"/>
    <col min="1767" max="1767" width="30.33203125" style="111" bestFit="1" customWidth="1"/>
    <col min="1768" max="1768" width="6.83203125" style="111" bestFit="1" customWidth="1"/>
    <col min="1769" max="1769" width="1.5" style="111" customWidth="1"/>
    <col min="1770" max="1770" width="4.33203125" style="111" customWidth="1"/>
    <col min="1771" max="1771" width="8" style="111" bestFit="1" customWidth="1"/>
    <col min="1772" max="1786" width="5.83203125" style="111" customWidth="1"/>
    <col min="1787" max="2022" width="8.83203125" style="111" customWidth="1"/>
    <col min="2023" max="2023" width="30.33203125" style="111" bestFit="1" customWidth="1"/>
    <col min="2024" max="2024" width="6.83203125" style="111" bestFit="1" customWidth="1"/>
    <col min="2025" max="2025" width="1.5" style="111" customWidth="1"/>
    <col min="2026" max="2026" width="4.33203125" style="111" customWidth="1"/>
    <col min="2027" max="2027" width="8" style="111" bestFit="1" customWidth="1"/>
    <col min="2028" max="2042" width="5.83203125" style="111" customWidth="1"/>
    <col min="2043" max="2278" width="8.83203125" style="111" customWidth="1"/>
    <col min="2279" max="2279" width="30.33203125" style="111" bestFit="1" customWidth="1"/>
    <col min="2280" max="2280" width="6.83203125" style="111" bestFit="1" customWidth="1"/>
    <col min="2281" max="2281" width="1.5" style="111" customWidth="1"/>
    <col min="2282" max="2282" width="4.33203125" style="111" customWidth="1"/>
    <col min="2283" max="2283" width="8" style="111" bestFit="1" customWidth="1"/>
    <col min="2284" max="2298" width="5.83203125" style="111" customWidth="1"/>
    <col min="2299" max="2534" width="8.83203125" style="111" customWidth="1"/>
    <col min="2535" max="2535" width="30.33203125" style="111" bestFit="1" customWidth="1"/>
    <col min="2536" max="2536" width="6.83203125" style="111" bestFit="1" customWidth="1"/>
    <col min="2537" max="2537" width="1.5" style="111" customWidth="1"/>
    <col min="2538" max="2538" width="4.33203125" style="111" customWidth="1"/>
    <col min="2539" max="2539" width="8" style="111" bestFit="1" customWidth="1"/>
    <col min="2540" max="2554" width="5.83203125" style="111" customWidth="1"/>
    <col min="2555" max="2790" width="8.83203125" style="111" customWidth="1"/>
    <col min="2791" max="2791" width="30.33203125" style="111" bestFit="1" customWidth="1"/>
    <col min="2792" max="2792" width="6.83203125" style="111" bestFit="1" customWidth="1"/>
    <col min="2793" max="2793" width="1.5" style="111" customWidth="1"/>
    <col min="2794" max="2794" width="4.33203125" style="111" customWidth="1"/>
    <col min="2795" max="2795" width="8" style="111" bestFit="1" customWidth="1"/>
    <col min="2796" max="2810" width="5.83203125" style="111" customWidth="1"/>
    <col min="2811" max="3046" width="8.83203125" style="111" customWidth="1"/>
    <col min="3047" max="3047" width="30.33203125" style="111" bestFit="1" customWidth="1"/>
    <col min="3048" max="3048" width="6.83203125" style="111" bestFit="1" customWidth="1"/>
    <col min="3049" max="3049" width="1.5" style="111" customWidth="1"/>
    <col min="3050" max="3050" width="4.33203125" style="111" customWidth="1"/>
    <col min="3051" max="3051" width="8" style="111" bestFit="1" customWidth="1"/>
    <col min="3052" max="3066" width="5.83203125" style="111" customWidth="1"/>
    <col min="3067" max="3302" width="8.83203125" style="111" customWidth="1"/>
    <col min="3303" max="3303" width="30.33203125" style="111" bestFit="1" customWidth="1"/>
    <col min="3304" max="3304" width="6.83203125" style="111" bestFit="1" customWidth="1"/>
    <col min="3305" max="3305" width="1.5" style="111" customWidth="1"/>
    <col min="3306" max="3306" width="4.33203125" style="111" customWidth="1"/>
    <col min="3307" max="3307" width="8" style="111" bestFit="1" customWidth="1"/>
    <col min="3308" max="3322" width="5.83203125" style="111" customWidth="1"/>
    <col min="3323" max="3558" width="8.83203125" style="111" customWidth="1"/>
    <col min="3559" max="3559" width="30.33203125" style="111" bestFit="1" customWidth="1"/>
    <col min="3560" max="3560" width="6.83203125" style="111" bestFit="1" customWidth="1"/>
    <col min="3561" max="3561" width="1.5" style="111" customWidth="1"/>
    <col min="3562" max="3562" width="4.33203125" style="111" customWidth="1"/>
    <col min="3563" max="3563" width="8" style="111" bestFit="1" customWidth="1"/>
    <col min="3564" max="3578" width="5.83203125" style="111" customWidth="1"/>
    <col min="3579" max="3814" width="8.83203125" style="111" customWidth="1"/>
    <col min="3815" max="3815" width="30.33203125" style="111" bestFit="1" customWidth="1"/>
    <col min="3816" max="3816" width="6.83203125" style="111" bestFit="1" customWidth="1"/>
    <col min="3817" max="3817" width="1.5" style="111" customWidth="1"/>
    <col min="3818" max="3818" width="4.33203125" style="111" customWidth="1"/>
    <col min="3819" max="3819" width="8" style="111" bestFit="1" customWidth="1"/>
    <col min="3820" max="3834" width="5.83203125" style="111" customWidth="1"/>
    <col min="3835" max="4070" width="8.83203125" style="111" customWidth="1"/>
    <col min="4071" max="4071" width="30.33203125" style="111" bestFit="1" customWidth="1"/>
    <col min="4072" max="4072" width="6.83203125" style="111" bestFit="1" customWidth="1"/>
    <col min="4073" max="4073" width="1.5" style="111" customWidth="1"/>
    <col min="4074" max="4074" width="4.33203125" style="111" customWidth="1"/>
    <col min="4075" max="4075" width="8" style="111" bestFit="1" customWidth="1"/>
    <col min="4076" max="4090" width="5.83203125" style="111" customWidth="1"/>
    <col min="4091" max="4326" width="8.83203125" style="111" customWidth="1"/>
    <col min="4327" max="4327" width="30.33203125" style="111" bestFit="1" customWidth="1"/>
    <col min="4328" max="4328" width="6.83203125" style="111" bestFit="1" customWidth="1"/>
    <col min="4329" max="4329" width="1.5" style="111" customWidth="1"/>
    <col min="4330" max="4330" width="4.33203125" style="111" customWidth="1"/>
    <col min="4331" max="4331" width="8" style="111" bestFit="1" customWidth="1"/>
    <col min="4332" max="4346" width="5.83203125" style="111" customWidth="1"/>
    <col min="4347" max="4582" width="8.83203125" style="111" customWidth="1"/>
    <col min="4583" max="4583" width="30.33203125" style="111" bestFit="1" customWidth="1"/>
    <col min="4584" max="4584" width="6.83203125" style="111" bestFit="1" customWidth="1"/>
    <col min="4585" max="4585" width="1.5" style="111" customWidth="1"/>
    <col min="4586" max="4586" width="4.33203125" style="111" customWidth="1"/>
    <col min="4587" max="4587" width="8" style="111" bestFit="1" customWidth="1"/>
    <col min="4588" max="4602" width="5.83203125" style="111" customWidth="1"/>
    <col min="4603" max="4838" width="8.83203125" style="111" customWidth="1"/>
    <col min="4839" max="4839" width="30.33203125" style="111" bestFit="1" customWidth="1"/>
    <col min="4840" max="4840" width="6.83203125" style="111" bestFit="1" customWidth="1"/>
    <col min="4841" max="4841" width="1.5" style="111" customWidth="1"/>
    <col min="4842" max="4842" width="4.33203125" style="111" customWidth="1"/>
    <col min="4843" max="4843" width="8" style="111" bestFit="1" customWidth="1"/>
    <col min="4844" max="4858" width="5.83203125" style="111" customWidth="1"/>
    <col min="4859" max="5094" width="8.83203125" style="111" customWidth="1"/>
    <col min="5095" max="5095" width="30.33203125" style="111" bestFit="1" customWidth="1"/>
    <col min="5096" max="5096" width="6.83203125" style="111" bestFit="1" customWidth="1"/>
    <col min="5097" max="5097" width="1.5" style="111" customWidth="1"/>
    <col min="5098" max="5098" width="4.33203125" style="111" customWidth="1"/>
    <col min="5099" max="5099" width="8" style="111" bestFit="1" customWidth="1"/>
    <col min="5100" max="5114" width="5.83203125" style="111" customWidth="1"/>
    <col min="5115" max="5350" width="8.83203125" style="111" customWidth="1"/>
    <col min="5351" max="5351" width="30.33203125" style="111" bestFit="1" customWidth="1"/>
    <col min="5352" max="5352" width="6.83203125" style="111" bestFit="1" customWidth="1"/>
    <col min="5353" max="5353" width="1.5" style="111" customWidth="1"/>
    <col min="5354" max="5354" width="4.33203125" style="111" customWidth="1"/>
    <col min="5355" max="5355" width="8" style="111" bestFit="1" customWidth="1"/>
    <col min="5356" max="5370" width="5.83203125" style="111" customWidth="1"/>
    <col min="5371" max="5606" width="8.83203125" style="111" customWidth="1"/>
    <col min="5607" max="5607" width="30.33203125" style="111" bestFit="1" customWidth="1"/>
    <col min="5608" max="5608" width="6.83203125" style="111" bestFit="1" customWidth="1"/>
    <col min="5609" max="5609" width="1.5" style="111" customWidth="1"/>
    <col min="5610" max="5610" width="4.33203125" style="111" customWidth="1"/>
    <col min="5611" max="5611" width="8" style="111" bestFit="1" customWidth="1"/>
    <col min="5612" max="5626" width="5.83203125" style="111" customWidth="1"/>
    <col min="5627" max="5862" width="8.83203125" style="111" customWidth="1"/>
    <col min="5863" max="5863" width="30.33203125" style="111" bestFit="1" customWidth="1"/>
    <col min="5864" max="5864" width="6.83203125" style="111" bestFit="1" customWidth="1"/>
    <col min="5865" max="5865" width="1.5" style="111" customWidth="1"/>
    <col min="5866" max="5866" width="4.33203125" style="111" customWidth="1"/>
    <col min="5867" max="5867" width="8" style="111" bestFit="1" customWidth="1"/>
    <col min="5868" max="5882" width="5.83203125" style="111" customWidth="1"/>
    <col min="5883" max="6118" width="8.83203125" style="111" customWidth="1"/>
    <col min="6119" max="6119" width="30.33203125" style="111" bestFit="1" customWidth="1"/>
    <col min="6120" max="6120" width="6.83203125" style="111" bestFit="1" customWidth="1"/>
    <col min="6121" max="6121" width="1.5" style="111" customWidth="1"/>
    <col min="6122" max="6122" width="4.33203125" style="111" customWidth="1"/>
    <col min="6123" max="6123" width="8" style="111" bestFit="1" customWidth="1"/>
    <col min="6124" max="6138" width="5.83203125" style="111" customWidth="1"/>
    <col min="6139" max="6374" width="8.83203125" style="111" customWidth="1"/>
    <col min="6375" max="6375" width="30.33203125" style="111" bestFit="1" customWidth="1"/>
    <col min="6376" max="6376" width="6.83203125" style="111" bestFit="1" customWidth="1"/>
    <col min="6377" max="6377" width="1.5" style="111" customWidth="1"/>
    <col min="6378" max="6378" width="4.33203125" style="111" customWidth="1"/>
    <col min="6379" max="6379" width="8" style="111" bestFit="1" customWidth="1"/>
    <col min="6380" max="6394" width="5.83203125" style="111" customWidth="1"/>
    <col min="6395" max="6630" width="8.83203125" style="111" customWidth="1"/>
    <col min="6631" max="6631" width="30.33203125" style="111" bestFit="1" customWidth="1"/>
    <col min="6632" max="6632" width="6.83203125" style="111" bestFit="1" customWidth="1"/>
    <col min="6633" max="6633" width="1.5" style="111" customWidth="1"/>
    <col min="6634" max="6634" width="4.33203125" style="111" customWidth="1"/>
    <col min="6635" max="6635" width="8" style="111" bestFit="1" customWidth="1"/>
    <col min="6636" max="6650" width="5.83203125" style="111" customWidth="1"/>
    <col min="6651" max="6886" width="8.83203125" style="111" customWidth="1"/>
    <col min="6887" max="6887" width="30.33203125" style="111" bestFit="1" customWidth="1"/>
    <col min="6888" max="6888" width="6.83203125" style="111" bestFit="1" customWidth="1"/>
    <col min="6889" max="6889" width="1.5" style="111" customWidth="1"/>
    <col min="6890" max="6890" width="4.33203125" style="111" customWidth="1"/>
    <col min="6891" max="6891" width="8" style="111" bestFit="1" customWidth="1"/>
    <col min="6892" max="6906" width="5.83203125" style="111" customWidth="1"/>
    <col min="6907" max="7142" width="8.83203125" style="111" customWidth="1"/>
    <col min="7143" max="7143" width="30.33203125" style="111" bestFit="1" customWidth="1"/>
    <col min="7144" max="7144" width="6.83203125" style="111" bestFit="1" customWidth="1"/>
    <col min="7145" max="7145" width="1.5" style="111" customWidth="1"/>
    <col min="7146" max="7146" width="4.33203125" style="111" customWidth="1"/>
    <col min="7147" max="7147" width="8" style="111" bestFit="1" customWidth="1"/>
    <col min="7148" max="7162" width="5.83203125" style="111" customWidth="1"/>
    <col min="7163" max="7398" width="8.83203125" style="111" customWidth="1"/>
    <col min="7399" max="7399" width="30.33203125" style="111" bestFit="1" customWidth="1"/>
    <col min="7400" max="7400" width="6.83203125" style="111" bestFit="1" customWidth="1"/>
    <col min="7401" max="7401" width="1.5" style="111" customWidth="1"/>
    <col min="7402" max="7402" width="4.33203125" style="111" customWidth="1"/>
    <col min="7403" max="7403" width="8" style="111" bestFit="1" customWidth="1"/>
    <col min="7404" max="7418" width="5.83203125" style="111" customWidth="1"/>
    <col min="7419" max="7654" width="8.83203125" style="111" customWidth="1"/>
    <col min="7655" max="7655" width="30.33203125" style="111" bestFit="1" customWidth="1"/>
    <col min="7656" max="7656" width="6.83203125" style="111" bestFit="1" customWidth="1"/>
    <col min="7657" max="7657" width="1.5" style="111" customWidth="1"/>
    <col min="7658" max="7658" width="4.33203125" style="111" customWidth="1"/>
    <col min="7659" max="7659" width="8" style="111" bestFit="1" customWidth="1"/>
    <col min="7660" max="7674" width="5.83203125" style="111" customWidth="1"/>
    <col min="7675" max="7910" width="8.83203125" style="111" customWidth="1"/>
    <col min="7911" max="7911" width="30.33203125" style="111" bestFit="1" customWidth="1"/>
    <col min="7912" max="7912" width="6.83203125" style="111" bestFit="1" customWidth="1"/>
    <col min="7913" max="7913" width="1.5" style="111" customWidth="1"/>
    <col min="7914" max="7914" width="4.33203125" style="111" customWidth="1"/>
    <col min="7915" max="7915" width="8" style="111" bestFit="1" customWidth="1"/>
    <col min="7916" max="7930" width="5.83203125" style="111" customWidth="1"/>
    <col min="7931" max="8166" width="8.83203125" style="111" customWidth="1"/>
    <col min="8167" max="8167" width="30.33203125" style="111" bestFit="1" customWidth="1"/>
    <col min="8168" max="8168" width="6.83203125" style="111" bestFit="1" customWidth="1"/>
    <col min="8169" max="8169" width="1.5" style="111" customWidth="1"/>
    <col min="8170" max="8170" width="4.33203125" style="111" customWidth="1"/>
    <col min="8171" max="8171" width="8" style="111" bestFit="1" customWidth="1"/>
    <col min="8172" max="8186" width="5.83203125" style="111" customWidth="1"/>
    <col min="8187" max="8422" width="8.83203125" style="111" customWidth="1"/>
    <col min="8423" max="8423" width="30.33203125" style="111" bestFit="1" customWidth="1"/>
    <col min="8424" max="8424" width="6.83203125" style="111" bestFit="1" customWidth="1"/>
    <col min="8425" max="8425" width="1.5" style="111" customWidth="1"/>
    <col min="8426" max="8426" width="4.33203125" style="111" customWidth="1"/>
    <col min="8427" max="8427" width="8" style="111" bestFit="1" customWidth="1"/>
    <col min="8428" max="8442" width="5.83203125" style="111" customWidth="1"/>
    <col min="8443" max="8678" width="8.83203125" style="111" customWidth="1"/>
    <col min="8679" max="8679" width="30.33203125" style="111" bestFit="1" customWidth="1"/>
    <col min="8680" max="8680" width="6.83203125" style="111" bestFit="1" customWidth="1"/>
    <col min="8681" max="8681" width="1.5" style="111" customWidth="1"/>
    <col min="8682" max="8682" width="4.33203125" style="111" customWidth="1"/>
    <col min="8683" max="8683" width="8" style="111" bestFit="1" customWidth="1"/>
    <col min="8684" max="8698" width="5.83203125" style="111" customWidth="1"/>
    <col min="8699" max="8934" width="8.83203125" style="111" customWidth="1"/>
    <col min="8935" max="8935" width="30.33203125" style="111" bestFit="1" customWidth="1"/>
    <col min="8936" max="8936" width="6.83203125" style="111" bestFit="1" customWidth="1"/>
    <col min="8937" max="8937" width="1.5" style="111" customWidth="1"/>
    <col min="8938" max="8938" width="4.33203125" style="111" customWidth="1"/>
    <col min="8939" max="8939" width="8" style="111" bestFit="1" customWidth="1"/>
    <col min="8940" max="8954" width="5.83203125" style="111" customWidth="1"/>
    <col min="8955" max="9190" width="8.83203125" style="111" customWidth="1"/>
    <col min="9191" max="9191" width="30.33203125" style="111" bestFit="1" customWidth="1"/>
    <col min="9192" max="9192" width="6.83203125" style="111" bestFit="1" customWidth="1"/>
    <col min="9193" max="9193" width="1.5" style="111" customWidth="1"/>
    <col min="9194" max="9194" width="4.33203125" style="111" customWidth="1"/>
    <col min="9195" max="9195" width="8" style="111" bestFit="1" customWidth="1"/>
    <col min="9196" max="9210" width="5.83203125" style="111" customWidth="1"/>
    <col min="9211" max="9446" width="8.83203125" style="111" customWidth="1"/>
    <col min="9447" max="9447" width="30.33203125" style="111" bestFit="1" customWidth="1"/>
    <col min="9448" max="9448" width="6.83203125" style="111" bestFit="1" customWidth="1"/>
    <col min="9449" max="9449" width="1.5" style="111" customWidth="1"/>
    <col min="9450" max="9450" width="4.33203125" style="111" customWidth="1"/>
    <col min="9451" max="9451" width="8" style="111" bestFit="1" customWidth="1"/>
    <col min="9452" max="9466" width="5.83203125" style="111" customWidth="1"/>
    <col min="9467" max="9702" width="8.83203125" style="111" customWidth="1"/>
    <col min="9703" max="9703" width="30.33203125" style="111" bestFit="1" customWidth="1"/>
    <col min="9704" max="9704" width="6.83203125" style="111" bestFit="1" customWidth="1"/>
    <col min="9705" max="9705" width="1.5" style="111" customWidth="1"/>
    <col min="9706" max="9706" width="4.33203125" style="111" customWidth="1"/>
    <col min="9707" max="9707" width="8" style="111" bestFit="1" customWidth="1"/>
    <col min="9708" max="9722" width="5.83203125" style="111" customWidth="1"/>
    <col min="9723" max="9958" width="8.83203125" style="111" customWidth="1"/>
    <col min="9959" max="9959" width="30.33203125" style="111" bestFit="1" customWidth="1"/>
    <col min="9960" max="9960" width="6.83203125" style="111" bestFit="1" customWidth="1"/>
    <col min="9961" max="9961" width="1.5" style="111" customWidth="1"/>
    <col min="9962" max="9962" width="4.33203125" style="111" customWidth="1"/>
    <col min="9963" max="9963" width="8" style="111" bestFit="1" customWidth="1"/>
    <col min="9964" max="9978" width="5.83203125" style="111" customWidth="1"/>
    <col min="9979" max="10214" width="8.83203125" style="111" customWidth="1"/>
    <col min="10215" max="10215" width="30.33203125" style="111" bestFit="1" customWidth="1"/>
    <col min="10216" max="10216" width="6.83203125" style="111" bestFit="1" customWidth="1"/>
    <col min="10217" max="10217" width="1.5" style="111" customWidth="1"/>
    <col min="10218" max="10218" width="4.33203125" style="111" customWidth="1"/>
    <col min="10219" max="10219" width="8" style="111" bestFit="1" customWidth="1"/>
    <col min="10220" max="10234" width="5.83203125" style="111" customWidth="1"/>
    <col min="10235" max="10470" width="8.83203125" style="111" customWidth="1"/>
    <col min="10471" max="10471" width="30.33203125" style="111" bestFit="1" customWidth="1"/>
    <col min="10472" max="10472" width="6.83203125" style="111" bestFit="1" customWidth="1"/>
    <col min="10473" max="10473" width="1.5" style="111" customWidth="1"/>
    <col min="10474" max="10474" width="4.33203125" style="111" customWidth="1"/>
    <col min="10475" max="10475" width="8" style="111" bestFit="1" customWidth="1"/>
    <col min="10476" max="10490" width="5.83203125" style="111" customWidth="1"/>
    <col min="10491" max="10726" width="8.83203125" style="111" customWidth="1"/>
    <col min="10727" max="10727" width="30.33203125" style="111" bestFit="1" customWidth="1"/>
    <col min="10728" max="10728" width="6.83203125" style="111" bestFit="1" customWidth="1"/>
    <col min="10729" max="10729" width="1.5" style="111" customWidth="1"/>
    <col min="10730" max="10730" width="4.33203125" style="111" customWidth="1"/>
    <col min="10731" max="10731" width="8" style="111" bestFit="1" customWidth="1"/>
    <col min="10732" max="10746" width="5.83203125" style="111" customWidth="1"/>
    <col min="10747" max="10982" width="8.83203125" style="111" customWidth="1"/>
    <col min="10983" max="10983" width="30.33203125" style="111" bestFit="1" customWidth="1"/>
    <col min="10984" max="10984" width="6.83203125" style="111" bestFit="1" customWidth="1"/>
    <col min="10985" max="10985" width="1.5" style="111" customWidth="1"/>
    <col min="10986" max="10986" width="4.33203125" style="111" customWidth="1"/>
    <col min="10987" max="10987" width="8" style="111" bestFit="1" customWidth="1"/>
    <col min="10988" max="11002" width="5.83203125" style="111" customWidth="1"/>
    <col min="11003" max="11238" width="8.83203125" style="111" customWidth="1"/>
    <col min="11239" max="11239" width="30.33203125" style="111" bestFit="1" customWidth="1"/>
    <col min="11240" max="11240" width="6.83203125" style="111" bestFit="1" customWidth="1"/>
    <col min="11241" max="11241" width="1.5" style="111" customWidth="1"/>
    <col min="11242" max="11242" width="4.33203125" style="111" customWidth="1"/>
    <col min="11243" max="11243" width="8" style="111" bestFit="1" customWidth="1"/>
    <col min="11244" max="11258" width="5.83203125" style="111" customWidth="1"/>
    <col min="11259" max="11494" width="8.83203125" style="111" customWidth="1"/>
    <col min="11495" max="11495" width="30.33203125" style="111" bestFit="1" customWidth="1"/>
    <col min="11496" max="11496" width="6.83203125" style="111" bestFit="1" customWidth="1"/>
    <col min="11497" max="11497" width="1.5" style="111" customWidth="1"/>
    <col min="11498" max="11498" width="4.33203125" style="111" customWidth="1"/>
    <col min="11499" max="11499" width="8" style="111" bestFit="1" customWidth="1"/>
    <col min="11500" max="11514" width="5.83203125" style="111" customWidth="1"/>
    <col min="11515" max="11750" width="8.83203125" style="111" customWidth="1"/>
    <col min="11751" max="11751" width="30.33203125" style="111" bestFit="1" customWidth="1"/>
    <col min="11752" max="11752" width="6.83203125" style="111" bestFit="1" customWidth="1"/>
    <col min="11753" max="11753" width="1.5" style="111" customWidth="1"/>
    <col min="11754" max="11754" width="4.33203125" style="111" customWidth="1"/>
    <col min="11755" max="11755" width="8" style="111" bestFit="1" customWidth="1"/>
    <col min="11756" max="11770" width="5.83203125" style="111" customWidth="1"/>
    <col min="11771" max="12006" width="8.83203125" style="111" customWidth="1"/>
    <col min="12007" max="12007" width="30.33203125" style="111" bestFit="1" customWidth="1"/>
    <col min="12008" max="12008" width="6.83203125" style="111" bestFit="1" customWidth="1"/>
    <col min="12009" max="12009" width="1.5" style="111" customWidth="1"/>
    <col min="12010" max="12010" width="4.33203125" style="111" customWidth="1"/>
    <col min="12011" max="12011" width="8" style="111" bestFit="1" customWidth="1"/>
    <col min="12012" max="12026" width="5.83203125" style="111" customWidth="1"/>
    <col min="12027" max="12262" width="8.83203125" style="111" customWidth="1"/>
    <col min="12263" max="12263" width="30.33203125" style="111" bestFit="1" customWidth="1"/>
    <col min="12264" max="12264" width="6.83203125" style="111" bestFit="1" customWidth="1"/>
    <col min="12265" max="12265" width="1.5" style="111" customWidth="1"/>
    <col min="12266" max="12266" width="4.33203125" style="111" customWidth="1"/>
    <col min="12267" max="12267" width="8" style="111" bestFit="1" customWidth="1"/>
    <col min="12268" max="12282" width="5.83203125" style="111" customWidth="1"/>
    <col min="12283" max="12518" width="8.83203125" style="111" customWidth="1"/>
    <col min="12519" max="12519" width="30.33203125" style="111" bestFit="1" customWidth="1"/>
    <col min="12520" max="12520" width="6.83203125" style="111" bestFit="1" customWidth="1"/>
    <col min="12521" max="12521" width="1.5" style="111" customWidth="1"/>
    <col min="12522" max="12522" width="4.33203125" style="111" customWidth="1"/>
    <col min="12523" max="12523" width="8" style="111" bestFit="1" customWidth="1"/>
    <col min="12524" max="12538" width="5.83203125" style="111" customWidth="1"/>
    <col min="12539" max="12774" width="8.83203125" style="111" customWidth="1"/>
    <col min="12775" max="12775" width="30.33203125" style="111" bestFit="1" customWidth="1"/>
    <col min="12776" max="12776" width="6.83203125" style="111" bestFit="1" customWidth="1"/>
    <col min="12777" max="12777" width="1.5" style="111" customWidth="1"/>
    <col min="12778" max="12778" width="4.33203125" style="111" customWidth="1"/>
    <col min="12779" max="12779" width="8" style="111" bestFit="1" customWidth="1"/>
    <col min="12780" max="12794" width="5.83203125" style="111" customWidth="1"/>
    <col min="12795" max="13030" width="8.83203125" style="111" customWidth="1"/>
    <col min="13031" max="13031" width="30.33203125" style="111" bestFit="1" customWidth="1"/>
    <col min="13032" max="13032" width="6.83203125" style="111" bestFit="1" customWidth="1"/>
    <col min="13033" max="13033" width="1.5" style="111" customWidth="1"/>
    <col min="13034" max="13034" width="4.33203125" style="111" customWidth="1"/>
    <col min="13035" max="13035" width="8" style="111" bestFit="1" customWidth="1"/>
    <col min="13036" max="13050" width="5.83203125" style="111" customWidth="1"/>
    <col min="13051" max="13286" width="8.83203125" style="111" customWidth="1"/>
    <col min="13287" max="13287" width="30.33203125" style="111" bestFit="1" customWidth="1"/>
    <col min="13288" max="13288" width="6.83203125" style="111" bestFit="1" customWidth="1"/>
    <col min="13289" max="13289" width="1.5" style="111" customWidth="1"/>
    <col min="13290" max="13290" width="4.33203125" style="111" customWidth="1"/>
    <col min="13291" max="13291" width="8" style="111" bestFit="1" customWidth="1"/>
    <col min="13292" max="13306" width="5.83203125" style="111" customWidth="1"/>
    <col min="13307" max="13542" width="8.83203125" style="111" customWidth="1"/>
    <col min="13543" max="13543" width="30.33203125" style="111" bestFit="1" customWidth="1"/>
    <col min="13544" max="13544" width="6.83203125" style="111" bestFit="1" customWidth="1"/>
    <col min="13545" max="13545" width="1.5" style="111" customWidth="1"/>
    <col min="13546" max="13546" width="4.33203125" style="111" customWidth="1"/>
    <col min="13547" max="13547" width="8" style="111" bestFit="1" customWidth="1"/>
    <col min="13548" max="13562" width="5.83203125" style="111" customWidth="1"/>
    <col min="13563" max="13798" width="8.83203125" style="111" customWidth="1"/>
    <col min="13799" max="13799" width="30.33203125" style="111" bestFit="1" customWidth="1"/>
    <col min="13800" max="13800" width="6.83203125" style="111" bestFit="1" customWidth="1"/>
    <col min="13801" max="13801" width="1.5" style="111" customWidth="1"/>
    <col min="13802" max="13802" width="4.33203125" style="111" customWidth="1"/>
    <col min="13803" max="13803" width="8" style="111" bestFit="1" customWidth="1"/>
    <col min="13804" max="13818" width="5.83203125" style="111" customWidth="1"/>
    <col min="13819" max="14054" width="8.83203125" style="111" customWidth="1"/>
    <col min="14055" max="14055" width="30.33203125" style="111" bestFit="1" customWidth="1"/>
    <col min="14056" max="14056" width="6.83203125" style="111" bestFit="1" customWidth="1"/>
    <col min="14057" max="14057" width="1.5" style="111" customWidth="1"/>
    <col min="14058" max="14058" width="4.33203125" style="111" customWidth="1"/>
    <col min="14059" max="14059" width="8" style="111" bestFit="1" customWidth="1"/>
    <col min="14060" max="14074" width="5.83203125" style="111" customWidth="1"/>
    <col min="14075" max="14310" width="8.83203125" style="111" customWidth="1"/>
    <col min="14311" max="14311" width="30.33203125" style="111" bestFit="1" customWidth="1"/>
    <col min="14312" max="14312" width="6.83203125" style="111" bestFit="1" customWidth="1"/>
    <col min="14313" max="14313" width="1.5" style="111" customWidth="1"/>
    <col min="14314" max="14314" width="4.33203125" style="111" customWidth="1"/>
    <col min="14315" max="14315" width="8" style="111" bestFit="1" customWidth="1"/>
    <col min="14316" max="14330" width="5.83203125" style="111" customWidth="1"/>
    <col min="14331" max="14566" width="8.83203125" style="111" customWidth="1"/>
    <col min="14567" max="14567" width="30.33203125" style="111" bestFit="1" customWidth="1"/>
    <col min="14568" max="14568" width="6.83203125" style="111" bestFit="1" customWidth="1"/>
    <col min="14569" max="14569" width="1.5" style="111" customWidth="1"/>
    <col min="14570" max="14570" width="4.33203125" style="111" customWidth="1"/>
    <col min="14571" max="14571" width="8" style="111" bestFit="1" customWidth="1"/>
    <col min="14572" max="14586" width="5.83203125" style="111" customWidth="1"/>
    <col min="14587" max="14822" width="8.83203125" style="111" customWidth="1"/>
    <col min="14823" max="14823" width="30.33203125" style="111" bestFit="1" customWidth="1"/>
    <col min="14824" max="14824" width="6.83203125" style="111" bestFit="1" customWidth="1"/>
    <col min="14825" max="14825" width="1.5" style="111" customWidth="1"/>
    <col min="14826" max="14826" width="4.33203125" style="111" customWidth="1"/>
    <col min="14827" max="14827" width="8" style="111" bestFit="1" customWidth="1"/>
    <col min="14828" max="14842" width="5.83203125" style="111" customWidth="1"/>
    <col min="14843" max="15078" width="8.83203125" style="111" customWidth="1"/>
    <col min="15079" max="15079" width="30.33203125" style="111" bestFit="1" customWidth="1"/>
    <col min="15080" max="15080" width="6.83203125" style="111" bestFit="1" customWidth="1"/>
    <col min="15081" max="15081" width="1.5" style="111" customWidth="1"/>
    <col min="15082" max="15082" width="4.33203125" style="111" customWidth="1"/>
    <col min="15083" max="15083" width="8" style="111" bestFit="1" customWidth="1"/>
    <col min="15084" max="15098" width="5.83203125" style="111" customWidth="1"/>
    <col min="15099" max="15334" width="8.83203125" style="111" customWidth="1"/>
    <col min="15335" max="15335" width="30.33203125" style="111" bestFit="1" customWidth="1"/>
    <col min="15336" max="15336" width="6.83203125" style="111" bestFit="1" customWidth="1"/>
    <col min="15337" max="15337" width="1.5" style="111" customWidth="1"/>
    <col min="15338" max="15338" width="4.33203125" style="111" customWidth="1"/>
    <col min="15339" max="15339" width="8" style="111" bestFit="1" customWidth="1"/>
    <col min="15340" max="15354" width="5.83203125" style="111" customWidth="1"/>
    <col min="15355" max="15590" width="8.83203125" style="111" customWidth="1"/>
    <col min="15591" max="15591" width="30.33203125" style="111" bestFit="1" customWidth="1"/>
    <col min="15592" max="15592" width="6.83203125" style="111" bestFit="1" customWidth="1"/>
    <col min="15593" max="15593" width="1.5" style="111" customWidth="1"/>
    <col min="15594" max="15594" width="4.33203125" style="111" customWidth="1"/>
    <col min="15595" max="15595" width="8" style="111" bestFit="1" customWidth="1"/>
    <col min="15596" max="15610" width="5.83203125" style="111" customWidth="1"/>
    <col min="15611" max="15846" width="8.83203125" style="111" customWidth="1"/>
    <col min="15847" max="15847" width="30.33203125" style="111" bestFit="1" customWidth="1"/>
    <col min="15848" max="15848" width="6.83203125" style="111" bestFit="1" customWidth="1"/>
    <col min="15849" max="15849" width="1.5" style="111" customWidth="1"/>
    <col min="15850" max="15850" width="4.33203125" style="111" customWidth="1"/>
    <col min="15851" max="15851" width="8" style="111" bestFit="1" customWidth="1"/>
    <col min="15852" max="15866" width="5.83203125" style="111" customWidth="1"/>
    <col min="15867" max="16102" width="8.83203125" style="111" customWidth="1"/>
    <col min="16103" max="16103" width="30.33203125" style="111" bestFit="1" customWidth="1"/>
    <col min="16104" max="16104" width="6.83203125" style="111" bestFit="1" customWidth="1"/>
    <col min="16105" max="16105" width="1.5" style="111" customWidth="1"/>
    <col min="16106" max="16106" width="4.33203125" style="111" customWidth="1"/>
    <col min="16107" max="16107" width="8" style="111" bestFit="1" customWidth="1"/>
    <col min="16108" max="16122" width="5.83203125" style="111" customWidth="1"/>
    <col min="16123" max="16384" width="8.83203125" style="111" customWidth="1"/>
  </cols>
  <sheetData>
    <row r="1" spans="1:8" x14ac:dyDescent="0.35">
      <c r="A1" s="257" t="s">
        <v>209</v>
      </c>
      <c r="B1" s="256"/>
      <c r="C1" s="256"/>
    </row>
    <row r="2" spans="1:8" ht="22" thickBot="1" x14ac:dyDescent="0.4">
      <c r="D2" s="184"/>
    </row>
    <row r="3" spans="1:8" ht="17" customHeight="1" thickBot="1" x14ac:dyDescent="0.4">
      <c r="A3" s="113"/>
      <c r="B3" s="424" t="s">
        <v>182</v>
      </c>
      <c r="C3" s="425"/>
      <c r="D3" s="426"/>
      <c r="E3" s="251"/>
    </row>
    <row r="4" spans="1:8" s="113" customFormat="1" ht="22" x14ac:dyDescent="0.35">
      <c r="A4" s="114" t="s">
        <v>44</v>
      </c>
      <c r="B4" s="115" t="s">
        <v>135</v>
      </c>
      <c r="C4" s="115" t="s">
        <v>136</v>
      </c>
      <c r="D4" s="116" t="s">
        <v>134</v>
      </c>
      <c r="E4" s="252"/>
    </row>
    <row r="5" spans="1:8" x14ac:dyDescent="0.35">
      <c r="A5" s="117">
        <v>1</v>
      </c>
      <c r="B5" s="134">
        <f>'1'!F22</f>
        <v>1702</v>
      </c>
      <c r="C5" s="118">
        <f>'1'!BH22</f>
        <v>3275</v>
      </c>
      <c r="D5" s="135">
        <f>C5-B5</f>
        <v>1573</v>
      </c>
      <c r="E5" s="253"/>
    </row>
    <row r="6" spans="1:8" x14ac:dyDescent="0.35">
      <c r="A6" s="117">
        <v>2</v>
      </c>
      <c r="B6" s="134">
        <f>'2'!$F22</f>
        <v>2512</v>
      </c>
      <c r="C6" s="118">
        <f>'2'!$BH$22</f>
        <v>6741.5</v>
      </c>
      <c r="D6" s="135">
        <f t="shared" ref="D6:D19" si="0">C6-B6</f>
        <v>4229.5</v>
      </c>
      <c r="E6" s="253"/>
    </row>
    <row r="7" spans="1:8" x14ac:dyDescent="0.35">
      <c r="A7" s="117">
        <v>3</v>
      </c>
      <c r="B7" s="134">
        <f>'3'!$F22</f>
        <v>2499</v>
      </c>
      <c r="C7" s="118">
        <f>'3'!$BH$22</f>
        <v>6831.5</v>
      </c>
      <c r="D7" s="135">
        <f t="shared" si="0"/>
        <v>4332.5</v>
      </c>
      <c r="E7" s="253"/>
      <c r="H7" s="110"/>
    </row>
    <row r="8" spans="1:8" x14ac:dyDescent="0.35">
      <c r="A8" s="117">
        <v>4</v>
      </c>
      <c r="B8" s="134">
        <f>'4'!$F22</f>
        <v>2160</v>
      </c>
      <c r="C8" s="118">
        <f>'4'!$BH$22</f>
        <v>6797.5</v>
      </c>
      <c r="D8" s="135">
        <f t="shared" si="0"/>
        <v>4637.5</v>
      </c>
      <c r="E8" s="253"/>
    </row>
    <row r="9" spans="1:8" x14ac:dyDescent="0.35">
      <c r="A9" s="117">
        <v>5</v>
      </c>
      <c r="B9" s="134">
        <f>'5'!$F22</f>
        <v>2710</v>
      </c>
      <c r="C9" s="118">
        <f>'5'!$BH$22</f>
        <v>6895</v>
      </c>
      <c r="D9" s="135">
        <f t="shared" si="0"/>
        <v>4185</v>
      </c>
      <c r="E9" s="253"/>
    </row>
    <row r="10" spans="1:8" x14ac:dyDescent="0.35">
      <c r="A10" s="117">
        <v>6</v>
      </c>
      <c r="B10" s="134">
        <f>'6'!$F22</f>
        <v>1985</v>
      </c>
      <c r="C10" s="118">
        <f>'6'!$BH$22</f>
        <v>6890</v>
      </c>
      <c r="D10" s="135">
        <f t="shared" si="0"/>
        <v>4905</v>
      </c>
      <c r="E10" s="253"/>
    </row>
    <row r="11" spans="1:8" x14ac:dyDescent="0.35">
      <c r="A11" s="117">
        <v>7</v>
      </c>
      <c r="B11" s="134">
        <f>'7'!$F22</f>
        <v>2710</v>
      </c>
      <c r="C11" s="118">
        <f>'7'!$BH$22</f>
        <v>6987.5</v>
      </c>
      <c r="D11" s="135">
        <f t="shared" si="0"/>
        <v>4277.5</v>
      </c>
      <c r="E11" s="253"/>
    </row>
    <row r="12" spans="1:8" x14ac:dyDescent="0.35">
      <c r="A12" s="117">
        <v>8</v>
      </c>
      <c r="B12" s="134">
        <f>'8'!$F22</f>
        <v>2010</v>
      </c>
      <c r="C12" s="118">
        <f>'8'!$BH$22</f>
        <v>3520</v>
      </c>
      <c r="D12" s="135">
        <f t="shared" si="0"/>
        <v>1510</v>
      </c>
      <c r="E12" s="253"/>
      <c r="G12" s="136"/>
    </row>
    <row r="13" spans="1:8" x14ac:dyDescent="0.35">
      <c r="A13" s="117">
        <v>9</v>
      </c>
      <c r="B13" s="134">
        <f>'9'!$F22</f>
        <v>2580</v>
      </c>
      <c r="C13" s="118">
        <f>'9'!$BH$22</f>
        <v>7822.5</v>
      </c>
      <c r="D13" s="135">
        <f t="shared" si="0"/>
        <v>5242.5</v>
      </c>
      <c r="E13" s="253"/>
      <c r="G13" s="136"/>
    </row>
    <row r="14" spans="1:8" x14ac:dyDescent="0.35">
      <c r="A14" s="117">
        <v>10</v>
      </c>
      <c r="B14" s="134">
        <f>'10'!$F22</f>
        <v>2080</v>
      </c>
      <c r="C14" s="118">
        <f>'10'!$BH$22</f>
        <v>3612.5</v>
      </c>
      <c r="D14" s="135">
        <f t="shared" si="0"/>
        <v>1532.5</v>
      </c>
      <c r="E14" s="253"/>
    </row>
    <row r="15" spans="1:8" x14ac:dyDescent="0.35">
      <c r="A15" s="117">
        <v>11</v>
      </c>
      <c r="B15" s="134">
        <f>'11'!$F22</f>
        <v>2605</v>
      </c>
      <c r="C15" s="118">
        <f>'11'!$BH$22</f>
        <v>7505</v>
      </c>
      <c r="D15" s="135">
        <f t="shared" si="0"/>
        <v>4900</v>
      </c>
      <c r="E15" s="253"/>
    </row>
    <row r="16" spans="1:8" x14ac:dyDescent="0.35">
      <c r="A16" s="117">
        <v>12</v>
      </c>
      <c r="B16" s="134">
        <f>'12'!$F22</f>
        <v>3520</v>
      </c>
      <c r="C16" s="118">
        <f>'12'!$BH$22</f>
        <v>7447.5</v>
      </c>
      <c r="D16" s="135">
        <f t="shared" si="0"/>
        <v>3927.5</v>
      </c>
      <c r="E16" s="253"/>
    </row>
    <row r="17" spans="1:6" x14ac:dyDescent="0.35">
      <c r="A17" s="117">
        <v>13</v>
      </c>
      <c r="B17" s="134">
        <f>'13'!$F22</f>
        <v>2725</v>
      </c>
      <c r="C17" s="118">
        <f>'13'!$BH$22</f>
        <v>3550</v>
      </c>
      <c r="D17" s="135">
        <f>C17-B17</f>
        <v>825</v>
      </c>
      <c r="E17" s="253"/>
    </row>
    <row r="18" spans="1:6" x14ac:dyDescent="0.35">
      <c r="A18" s="117">
        <v>14</v>
      </c>
      <c r="B18" s="134">
        <f>'14'!$F22</f>
        <v>3440</v>
      </c>
      <c r="C18" s="118">
        <f>'14'!$BH$22</f>
        <v>7775</v>
      </c>
      <c r="D18" s="135">
        <f t="shared" si="0"/>
        <v>4335</v>
      </c>
      <c r="E18" s="253"/>
    </row>
    <row r="19" spans="1:6" x14ac:dyDescent="0.35">
      <c r="A19" s="117">
        <v>15</v>
      </c>
      <c r="B19" s="134">
        <f>'15'!$F22</f>
        <v>3575</v>
      </c>
      <c r="C19" s="118">
        <f>'15'!$BH$22</f>
        <v>7692.5</v>
      </c>
      <c r="D19" s="135">
        <f t="shared" si="0"/>
        <v>4117.5</v>
      </c>
      <c r="E19" s="253"/>
    </row>
    <row r="20" spans="1:6" ht="22" thickBot="1" x14ac:dyDescent="0.4">
      <c r="A20" s="117">
        <v>16</v>
      </c>
      <c r="B20" s="134">
        <f>'16'!$F22</f>
        <v>2690</v>
      </c>
      <c r="C20" s="118">
        <f>'16'!$BH$22</f>
        <v>3572.5</v>
      </c>
      <c r="D20" s="135">
        <f>C20-B20</f>
        <v>882.5</v>
      </c>
      <c r="E20" s="253"/>
    </row>
    <row r="21" spans="1:6" ht="24" thickBot="1" x14ac:dyDescent="0.4">
      <c r="A21" s="122" t="s">
        <v>144</v>
      </c>
      <c r="B21" s="140">
        <f>AVERAGE(B5:B20)</f>
        <v>2593.9375</v>
      </c>
      <c r="C21" s="123">
        <f>AVERAGE(C5:C20)</f>
        <v>6057.21875</v>
      </c>
      <c r="D21" s="259">
        <f>AVERAGE(D5:D20)</f>
        <v>3463.28125</v>
      </c>
      <c r="E21" s="109"/>
      <c r="F21" s="254"/>
    </row>
  </sheetData>
  <mergeCells count="1">
    <mergeCell ref="B3:D3"/>
  </mergeCells>
  <pageMargins left="0.75" right="0.75" top="1" bottom="1" header="0.5" footer="0.5"/>
  <pageSetup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4A15-2F71-4A47-AC4B-C1E3C60B2197}">
  <dimension ref="A1:Q32"/>
  <sheetViews>
    <sheetView zoomScaleNormal="100" workbookViewId="0">
      <selection activeCell="R20" sqref="R20"/>
    </sheetView>
  </sheetViews>
  <sheetFormatPr baseColWidth="10" defaultRowHeight="21" x14ac:dyDescent="0.35"/>
  <cols>
    <col min="1" max="1" width="10.83203125" style="111" bestFit="1" customWidth="1"/>
    <col min="2" max="2" width="10.1640625" style="111" customWidth="1"/>
    <col min="3" max="3" width="9.6640625" style="111" customWidth="1"/>
    <col min="4" max="4" width="10.1640625" style="111" customWidth="1"/>
    <col min="5" max="5" width="9.6640625" style="111" customWidth="1"/>
    <col min="6" max="6" width="10.1640625" style="113" customWidth="1"/>
    <col min="7" max="8" width="8.83203125" style="111" customWidth="1"/>
    <col min="9" max="9" width="10.1640625" style="111" customWidth="1"/>
    <col min="10" max="10" width="9.6640625" style="111" customWidth="1"/>
    <col min="11" max="11" width="10.1640625" style="111" customWidth="1"/>
    <col min="12" max="12" width="9.6640625" style="111" customWidth="1"/>
    <col min="13" max="13" width="10.1640625" style="113" customWidth="1"/>
    <col min="14" max="218" width="8.83203125" style="111" customWidth="1"/>
    <col min="219" max="219" width="30.33203125" style="111" bestFit="1" customWidth="1"/>
    <col min="220" max="220" width="6.83203125" style="111" bestFit="1" customWidth="1"/>
    <col min="221" max="221" width="1.5" style="111" customWidth="1"/>
    <col min="222" max="222" width="4.33203125" style="111" customWidth="1"/>
    <col min="223" max="223" width="8" style="111" bestFit="1" customWidth="1"/>
    <col min="224" max="238" width="5.83203125" style="111" customWidth="1"/>
    <col min="239" max="474" width="8.83203125" style="111" customWidth="1"/>
    <col min="475" max="475" width="30.33203125" style="111" bestFit="1" customWidth="1"/>
    <col min="476" max="476" width="6.83203125" style="111" bestFit="1" customWidth="1"/>
    <col min="477" max="477" width="1.5" style="111" customWidth="1"/>
    <col min="478" max="478" width="4.33203125" style="111" customWidth="1"/>
    <col min="479" max="479" width="8" style="111" bestFit="1" customWidth="1"/>
    <col min="480" max="494" width="5.83203125" style="111" customWidth="1"/>
    <col min="495" max="730" width="8.83203125" style="111" customWidth="1"/>
    <col min="731" max="731" width="30.33203125" style="111" bestFit="1" customWidth="1"/>
    <col min="732" max="732" width="6.83203125" style="111" bestFit="1" customWidth="1"/>
    <col min="733" max="733" width="1.5" style="111" customWidth="1"/>
    <col min="734" max="734" width="4.33203125" style="111" customWidth="1"/>
    <col min="735" max="735" width="8" style="111" bestFit="1" customWidth="1"/>
    <col min="736" max="750" width="5.83203125" style="111" customWidth="1"/>
    <col min="751" max="986" width="8.83203125" style="111" customWidth="1"/>
    <col min="987" max="987" width="30.33203125" style="111" bestFit="1" customWidth="1"/>
    <col min="988" max="988" width="6.83203125" style="111" bestFit="1" customWidth="1"/>
    <col min="989" max="989" width="1.5" style="111" customWidth="1"/>
    <col min="990" max="990" width="4.33203125" style="111" customWidth="1"/>
    <col min="991" max="991" width="8" style="111" bestFit="1" customWidth="1"/>
    <col min="992" max="1006" width="5.83203125" style="111" customWidth="1"/>
    <col min="1007" max="1242" width="8.83203125" style="111" customWidth="1"/>
    <col min="1243" max="1243" width="30.33203125" style="111" bestFit="1" customWidth="1"/>
    <col min="1244" max="1244" width="6.83203125" style="111" bestFit="1" customWidth="1"/>
    <col min="1245" max="1245" width="1.5" style="111" customWidth="1"/>
    <col min="1246" max="1246" width="4.33203125" style="111" customWidth="1"/>
    <col min="1247" max="1247" width="8" style="111" bestFit="1" customWidth="1"/>
    <col min="1248" max="1262" width="5.83203125" style="111" customWidth="1"/>
    <col min="1263" max="1498" width="8.83203125" style="111" customWidth="1"/>
    <col min="1499" max="1499" width="30.33203125" style="111" bestFit="1" customWidth="1"/>
    <col min="1500" max="1500" width="6.83203125" style="111" bestFit="1" customWidth="1"/>
    <col min="1501" max="1501" width="1.5" style="111" customWidth="1"/>
    <col min="1502" max="1502" width="4.33203125" style="111" customWidth="1"/>
    <col min="1503" max="1503" width="8" style="111" bestFit="1" customWidth="1"/>
    <col min="1504" max="1518" width="5.83203125" style="111" customWidth="1"/>
    <col min="1519" max="1754" width="8.83203125" style="111" customWidth="1"/>
    <col min="1755" max="1755" width="30.33203125" style="111" bestFit="1" customWidth="1"/>
    <col min="1756" max="1756" width="6.83203125" style="111" bestFit="1" customWidth="1"/>
    <col min="1757" max="1757" width="1.5" style="111" customWidth="1"/>
    <col min="1758" max="1758" width="4.33203125" style="111" customWidth="1"/>
    <col min="1759" max="1759" width="8" style="111" bestFit="1" customWidth="1"/>
    <col min="1760" max="1774" width="5.83203125" style="111" customWidth="1"/>
    <col min="1775" max="2010" width="8.83203125" style="111" customWidth="1"/>
    <col min="2011" max="2011" width="30.33203125" style="111" bestFit="1" customWidth="1"/>
    <col min="2012" max="2012" width="6.83203125" style="111" bestFit="1" customWidth="1"/>
    <col min="2013" max="2013" width="1.5" style="111" customWidth="1"/>
    <col min="2014" max="2014" width="4.33203125" style="111" customWidth="1"/>
    <col min="2015" max="2015" width="8" style="111" bestFit="1" customWidth="1"/>
    <col min="2016" max="2030" width="5.83203125" style="111" customWidth="1"/>
    <col min="2031" max="2266" width="8.83203125" style="111" customWidth="1"/>
    <col min="2267" max="2267" width="30.33203125" style="111" bestFit="1" customWidth="1"/>
    <col min="2268" max="2268" width="6.83203125" style="111" bestFit="1" customWidth="1"/>
    <col min="2269" max="2269" width="1.5" style="111" customWidth="1"/>
    <col min="2270" max="2270" width="4.33203125" style="111" customWidth="1"/>
    <col min="2271" max="2271" width="8" style="111" bestFit="1" customWidth="1"/>
    <col min="2272" max="2286" width="5.83203125" style="111" customWidth="1"/>
    <col min="2287" max="2522" width="8.83203125" style="111" customWidth="1"/>
    <col min="2523" max="2523" width="30.33203125" style="111" bestFit="1" customWidth="1"/>
    <col min="2524" max="2524" width="6.83203125" style="111" bestFit="1" customWidth="1"/>
    <col min="2525" max="2525" width="1.5" style="111" customWidth="1"/>
    <col min="2526" max="2526" width="4.33203125" style="111" customWidth="1"/>
    <col min="2527" max="2527" width="8" style="111" bestFit="1" customWidth="1"/>
    <col min="2528" max="2542" width="5.83203125" style="111" customWidth="1"/>
    <col min="2543" max="2778" width="8.83203125" style="111" customWidth="1"/>
    <col min="2779" max="2779" width="30.33203125" style="111" bestFit="1" customWidth="1"/>
    <col min="2780" max="2780" width="6.83203125" style="111" bestFit="1" customWidth="1"/>
    <col min="2781" max="2781" width="1.5" style="111" customWidth="1"/>
    <col min="2782" max="2782" width="4.33203125" style="111" customWidth="1"/>
    <col min="2783" max="2783" width="8" style="111" bestFit="1" customWidth="1"/>
    <col min="2784" max="2798" width="5.83203125" style="111" customWidth="1"/>
    <col min="2799" max="3034" width="8.83203125" style="111" customWidth="1"/>
    <col min="3035" max="3035" width="30.33203125" style="111" bestFit="1" customWidth="1"/>
    <col min="3036" max="3036" width="6.83203125" style="111" bestFit="1" customWidth="1"/>
    <col min="3037" max="3037" width="1.5" style="111" customWidth="1"/>
    <col min="3038" max="3038" width="4.33203125" style="111" customWidth="1"/>
    <col min="3039" max="3039" width="8" style="111" bestFit="1" customWidth="1"/>
    <col min="3040" max="3054" width="5.83203125" style="111" customWidth="1"/>
    <col min="3055" max="3290" width="8.83203125" style="111" customWidth="1"/>
    <col min="3291" max="3291" width="30.33203125" style="111" bestFit="1" customWidth="1"/>
    <col min="3292" max="3292" width="6.83203125" style="111" bestFit="1" customWidth="1"/>
    <col min="3293" max="3293" width="1.5" style="111" customWidth="1"/>
    <col min="3294" max="3294" width="4.33203125" style="111" customWidth="1"/>
    <col min="3295" max="3295" width="8" style="111" bestFit="1" customWidth="1"/>
    <col min="3296" max="3310" width="5.83203125" style="111" customWidth="1"/>
    <col min="3311" max="3546" width="8.83203125" style="111" customWidth="1"/>
    <col min="3547" max="3547" width="30.33203125" style="111" bestFit="1" customWidth="1"/>
    <col min="3548" max="3548" width="6.83203125" style="111" bestFit="1" customWidth="1"/>
    <col min="3549" max="3549" width="1.5" style="111" customWidth="1"/>
    <col min="3550" max="3550" width="4.33203125" style="111" customWidth="1"/>
    <col min="3551" max="3551" width="8" style="111" bestFit="1" customWidth="1"/>
    <col min="3552" max="3566" width="5.83203125" style="111" customWidth="1"/>
    <col min="3567" max="3802" width="8.83203125" style="111" customWidth="1"/>
    <col min="3803" max="3803" width="30.33203125" style="111" bestFit="1" customWidth="1"/>
    <col min="3804" max="3804" width="6.83203125" style="111" bestFit="1" customWidth="1"/>
    <col min="3805" max="3805" width="1.5" style="111" customWidth="1"/>
    <col min="3806" max="3806" width="4.33203125" style="111" customWidth="1"/>
    <col min="3807" max="3807" width="8" style="111" bestFit="1" customWidth="1"/>
    <col min="3808" max="3822" width="5.83203125" style="111" customWidth="1"/>
    <col min="3823" max="4058" width="8.83203125" style="111" customWidth="1"/>
    <col min="4059" max="4059" width="30.33203125" style="111" bestFit="1" customWidth="1"/>
    <col min="4060" max="4060" width="6.83203125" style="111" bestFit="1" customWidth="1"/>
    <col min="4061" max="4061" width="1.5" style="111" customWidth="1"/>
    <col min="4062" max="4062" width="4.33203125" style="111" customWidth="1"/>
    <col min="4063" max="4063" width="8" style="111" bestFit="1" customWidth="1"/>
    <col min="4064" max="4078" width="5.83203125" style="111" customWidth="1"/>
    <col min="4079" max="4314" width="8.83203125" style="111" customWidth="1"/>
    <col min="4315" max="4315" width="30.33203125" style="111" bestFit="1" customWidth="1"/>
    <col min="4316" max="4316" width="6.83203125" style="111" bestFit="1" customWidth="1"/>
    <col min="4317" max="4317" width="1.5" style="111" customWidth="1"/>
    <col min="4318" max="4318" width="4.33203125" style="111" customWidth="1"/>
    <col min="4319" max="4319" width="8" style="111" bestFit="1" customWidth="1"/>
    <col min="4320" max="4334" width="5.83203125" style="111" customWidth="1"/>
    <col min="4335" max="4570" width="8.83203125" style="111" customWidth="1"/>
    <col min="4571" max="4571" width="30.33203125" style="111" bestFit="1" customWidth="1"/>
    <col min="4572" max="4572" width="6.83203125" style="111" bestFit="1" customWidth="1"/>
    <col min="4573" max="4573" width="1.5" style="111" customWidth="1"/>
    <col min="4574" max="4574" width="4.33203125" style="111" customWidth="1"/>
    <col min="4575" max="4575" width="8" style="111" bestFit="1" customWidth="1"/>
    <col min="4576" max="4590" width="5.83203125" style="111" customWidth="1"/>
    <col min="4591" max="4826" width="8.83203125" style="111" customWidth="1"/>
    <col min="4827" max="4827" width="30.33203125" style="111" bestFit="1" customWidth="1"/>
    <col min="4828" max="4828" width="6.83203125" style="111" bestFit="1" customWidth="1"/>
    <col min="4829" max="4829" width="1.5" style="111" customWidth="1"/>
    <col min="4830" max="4830" width="4.33203125" style="111" customWidth="1"/>
    <col min="4831" max="4831" width="8" style="111" bestFit="1" customWidth="1"/>
    <col min="4832" max="4846" width="5.83203125" style="111" customWidth="1"/>
    <col min="4847" max="5082" width="8.83203125" style="111" customWidth="1"/>
    <col min="5083" max="5083" width="30.33203125" style="111" bestFit="1" customWidth="1"/>
    <col min="5084" max="5084" width="6.83203125" style="111" bestFit="1" customWidth="1"/>
    <col min="5085" max="5085" width="1.5" style="111" customWidth="1"/>
    <col min="5086" max="5086" width="4.33203125" style="111" customWidth="1"/>
    <col min="5087" max="5087" width="8" style="111" bestFit="1" customWidth="1"/>
    <col min="5088" max="5102" width="5.83203125" style="111" customWidth="1"/>
    <col min="5103" max="5338" width="8.83203125" style="111" customWidth="1"/>
    <col min="5339" max="5339" width="30.33203125" style="111" bestFit="1" customWidth="1"/>
    <col min="5340" max="5340" width="6.83203125" style="111" bestFit="1" customWidth="1"/>
    <col min="5341" max="5341" width="1.5" style="111" customWidth="1"/>
    <col min="5342" max="5342" width="4.33203125" style="111" customWidth="1"/>
    <col min="5343" max="5343" width="8" style="111" bestFit="1" customWidth="1"/>
    <col min="5344" max="5358" width="5.83203125" style="111" customWidth="1"/>
    <col min="5359" max="5594" width="8.83203125" style="111" customWidth="1"/>
    <col min="5595" max="5595" width="30.33203125" style="111" bestFit="1" customWidth="1"/>
    <col min="5596" max="5596" width="6.83203125" style="111" bestFit="1" customWidth="1"/>
    <col min="5597" max="5597" width="1.5" style="111" customWidth="1"/>
    <col min="5598" max="5598" width="4.33203125" style="111" customWidth="1"/>
    <col min="5599" max="5599" width="8" style="111" bestFit="1" customWidth="1"/>
    <col min="5600" max="5614" width="5.83203125" style="111" customWidth="1"/>
    <col min="5615" max="5850" width="8.83203125" style="111" customWidth="1"/>
    <col min="5851" max="5851" width="30.33203125" style="111" bestFit="1" customWidth="1"/>
    <col min="5852" max="5852" width="6.83203125" style="111" bestFit="1" customWidth="1"/>
    <col min="5853" max="5853" width="1.5" style="111" customWidth="1"/>
    <col min="5854" max="5854" width="4.33203125" style="111" customWidth="1"/>
    <col min="5855" max="5855" width="8" style="111" bestFit="1" customWidth="1"/>
    <col min="5856" max="5870" width="5.83203125" style="111" customWidth="1"/>
    <col min="5871" max="6106" width="8.83203125" style="111" customWidth="1"/>
    <col min="6107" max="6107" width="30.33203125" style="111" bestFit="1" customWidth="1"/>
    <col min="6108" max="6108" width="6.83203125" style="111" bestFit="1" customWidth="1"/>
    <col min="6109" max="6109" width="1.5" style="111" customWidth="1"/>
    <col min="6110" max="6110" width="4.33203125" style="111" customWidth="1"/>
    <col min="6111" max="6111" width="8" style="111" bestFit="1" customWidth="1"/>
    <col min="6112" max="6126" width="5.83203125" style="111" customWidth="1"/>
    <col min="6127" max="6362" width="8.83203125" style="111" customWidth="1"/>
    <col min="6363" max="6363" width="30.33203125" style="111" bestFit="1" customWidth="1"/>
    <col min="6364" max="6364" width="6.83203125" style="111" bestFit="1" customWidth="1"/>
    <col min="6365" max="6365" width="1.5" style="111" customWidth="1"/>
    <col min="6366" max="6366" width="4.33203125" style="111" customWidth="1"/>
    <col min="6367" max="6367" width="8" style="111" bestFit="1" customWidth="1"/>
    <col min="6368" max="6382" width="5.83203125" style="111" customWidth="1"/>
    <col min="6383" max="6618" width="8.83203125" style="111" customWidth="1"/>
    <col min="6619" max="6619" width="30.33203125" style="111" bestFit="1" customWidth="1"/>
    <col min="6620" max="6620" width="6.83203125" style="111" bestFit="1" customWidth="1"/>
    <col min="6621" max="6621" width="1.5" style="111" customWidth="1"/>
    <col min="6622" max="6622" width="4.33203125" style="111" customWidth="1"/>
    <col min="6623" max="6623" width="8" style="111" bestFit="1" customWidth="1"/>
    <col min="6624" max="6638" width="5.83203125" style="111" customWidth="1"/>
    <col min="6639" max="6874" width="8.83203125" style="111" customWidth="1"/>
    <col min="6875" max="6875" width="30.33203125" style="111" bestFit="1" customWidth="1"/>
    <col min="6876" max="6876" width="6.83203125" style="111" bestFit="1" customWidth="1"/>
    <col min="6877" max="6877" width="1.5" style="111" customWidth="1"/>
    <col min="6878" max="6878" width="4.33203125" style="111" customWidth="1"/>
    <col min="6879" max="6879" width="8" style="111" bestFit="1" customWidth="1"/>
    <col min="6880" max="6894" width="5.83203125" style="111" customWidth="1"/>
    <col min="6895" max="7130" width="8.83203125" style="111" customWidth="1"/>
    <col min="7131" max="7131" width="30.33203125" style="111" bestFit="1" customWidth="1"/>
    <col min="7132" max="7132" width="6.83203125" style="111" bestFit="1" customWidth="1"/>
    <col min="7133" max="7133" width="1.5" style="111" customWidth="1"/>
    <col min="7134" max="7134" width="4.33203125" style="111" customWidth="1"/>
    <col min="7135" max="7135" width="8" style="111" bestFit="1" customWidth="1"/>
    <col min="7136" max="7150" width="5.83203125" style="111" customWidth="1"/>
    <col min="7151" max="7386" width="8.83203125" style="111" customWidth="1"/>
    <col min="7387" max="7387" width="30.33203125" style="111" bestFit="1" customWidth="1"/>
    <col min="7388" max="7388" width="6.83203125" style="111" bestFit="1" customWidth="1"/>
    <col min="7389" max="7389" width="1.5" style="111" customWidth="1"/>
    <col min="7390" max="7390" width="4.33203125" style="111" customWidth="1"/>
    <col min="7391" max="7391" width="8" style="111" bestFit="1" customWidth="1"/>
    <col min="7392" max="7406" width="5.83203125" style="111" customWidth="1"/>
    <col min="7407" max="7642" width="8.83203125" style="111" customWidth="1"/>
    <col min="7643" max="7643" width="30.33203125" style="111" bestFit="1" customWidth="1"/>
    <col min="7644" max="7644" width="6.83203125" style="111" bestFit="1" customWidth="1"/>
    <col min="7645" max="7645" width="1.5" style="111" customWidth="1"/>
    <col min="7646" max="7646" width="4.33203125" style="111" customWidth="1"/>
    <col min="7647" max="7647" width="8" style="111" bestFit="1" customWidth="1"/>
    <col min="7648" max="7662" width="5.83203125" style="111" customWidth="1"/>
    <col min="7663" max="7898" width="8.83203125" style="111" customWidth="1"/>
    <col min="7899" max="7899" width="30.33203125" style="111" bestFit="1" customWidth="1"/>
    <col min="7900" max="7900" width="6.83203125" style="111" bestFit="1" customWidth="1"/>
    <col min="7901" max="7901" width="1.5" style="111" customWidth="1"/>
    <col min="7902" max="7902" width="4.33203125" style="111" customWidth="1"/>
    <col min="7903" max="7903" width="8" style="111" bestFit="1" customWidth="1"/>
    <col min="7904" max="7918" width="5.83203125" style="111" customWidth="1"/>
    <col min="7919" max="8154" width="8.83203125" style="111" customWidth="1"/>
    <col min="8155" max="8155" width="30.33203125" style="111" bestFit="1" customWidth="1"/>
    <col min="8156" max="8156" width="6.83203125" style="111" bestFit="1" customWidth="1"/>
    <col min="8157" max="8157" width="1.5" style="111" customWidth="1"/>
    <col min="8158" max="8158" width="4.33203125" style="111" customWidth="1"/>
    <col min="8159" max="8159" width="8" style="111" bestFit="1" customWidth="1"/>
    <col min="8160" max="8174" width="5.83203125" style="111" customWidth="1"/>
    <col min="8175" max="8410" width="8.83203125" style="111" customWidth="1"/>
    <col min="8411" max="8411" width="30.33203125" style="111" bestFit="1" customWidth="1"/>
    <col min="8412" max="8412" width="6.83203125" style="111" bestFit="1" customWidth="1"/>
    <col min="8413" max="8413" width="1.5" style="111" customWidth="1"/>
    <col min="8414" max="8414" width="4.33203125" style="111" customWidth="1"/>
    <col min="8415" max="8415" width="8" style="111" bestFit="1" customWidth="1"/>
    <col min="8416" max="8430" width="5.83203125" style="111" customWidth="1"/>
    <col min="8431" max="8666" width="8.83203125" style="111" customWidth="1"/>
    <col min="8667" max="8667" width="30.33203125" style="111" bestFit="1" customWidth="1"/>
    <col min="8668" max="8668" width="6.83203125" style="111" bestFit="1" customWidth="1"/>
    <col min="8669" max="8669" width="1.5" style="111" customWidth="1"/>
    <col min="8670" max="8670" width="4.33203125" style="111" customWidth="1"/>
    <col min="8671" max="8671" width="8" style="111" bestFit="1" customWidth="1"/>
    <col min="8672" max="8686" width="5.83203125" style="111" customWidth="1"/>
    <col min="8687" max="8922" width="8.83203125" style="111" customWidth="1"/>
    <col min="8923" max="8923" width="30.33203125" style="111" bestFit="1" customWidth="1"/>
    <col min="8924" max="8924" width="6.83203125" style="111" bestFit="1" customWidth="1"/>
    <col min="8925" max="8925" width="1.5" style="111" customWidth="1"/>
    <col min="8926" max="8926" width="4.33203125" style="111" customWidth="1"/>
    <col min="8927" max="8927" width="8" style="111" bestFit="1" customWidth="1"/>
    <col min="8928" max="8942" width="5.83203125" style="111" customWidth="1"/>
    <col min="8943" max="9178" width="8.83203125" style="111" customWidth="1"/>
    <col min="9179" max="9179" width="30.33203125" style="111" bestFit="1" customWidth="1"/>
    <col min="9180" max="9180" width="6.83203125" style="111" bestFit="1" customWidth="1"/>
    <col min="9181" max="9181" width="1.5" style="111" customWidth="1"/>
    <col min="9182" max="9182" width="4.33203125" style="111" customWidth="1"/>
    <col min="9183" max="9183" width="8" style="111" bestFit="1" customWidth="1"/>
    <col min="9184" max="9198" width="5.83203125" style="111" customWidth="1"/>
    <col min="9199" max="9434" width="8.83203125" style="111" customWidth="1"/>
    <col min="9435" max="9435" width="30.33203125" style="111" bestFit="1" customWidth="1"/>
    <col min="9436" max="9436" width="6.83203125" style="111" bestFit="1" customWidth="1"/>
    <col min="9437" max="9437" width="1.5" style="111" customWidth="1"/>
    <col min="9438" max="9438" width="4.33203125" style="111" customWidth="1"/>
    <col min="9439" max="9439" width="8" style="111" bestFit="1" customWidth="1"/>
    <col min="9440" max="9454" width="5.83203125" style="111" customWidth="1"/>
    <col min="9455" max="9690" width="8.83203125" style="111" customWidth="1"/>
    <col min="9691" max="9691" width="30.33203125" style="111" bestFit="1" customWidth="1"/>
    <col min="9692" max="9692" width="6.83203125" style="111" bestFit="1" customWidth="1"/>
    <col min="9693" max="9693" width="1.5" style="111" customWidth="1"/>
    <col min="9694" max="9694" width="4.33203125" style="111" customWidth="1"/>
    <col min="9695" max="9695" width="8" style="111" bestFit="1" customWidth="1"/>
    <col min="9696" max="9710" width="5.83203125" style="111" customWidth="1"/>
    <col min="9711" max="9946" width="8.83203125" style="111" customWidth="1"/>
    <col min="9947" max="9947" width="30.33203125" style="111" bestFit="1" customWidth="1"/>
    <col min="9948" max="9948" width="6.83203125" style="111" bestFit="1" customWidth="1"/>
    <col min="9949" max="9949" width="1.5" style="111" customWidth="1"/>
    <col min="9950" max="9950" width="4.33203125" style="111" customWidth="1"/>
    <col min="9951" max="9951" width="8" style="111" bestFit="1" customWidth="1"/>
    <col min="9952" max="9966" width="5.83203125" style="111" customWidth="1"/>
    <col min="9967" max="10202" width="8.83203125" style="111" customWidth="1"/>
    <col min="10203" max="10203" width="30.33203125" style="111" bestFit="1" customWidth="1"/>
    <col min="10204" max="10204" width="6.83203125" style="111" bestFit="1" customWidth="1"/>
    <col min="10205" max="10205" width="1.5" style="111" customWidth="1"/>
    <col min="10206" max="10206" width="4.33203125" style="111" customWidth="1"/>
    <col min="10207" max="10207" width="8" style="111" bestFit="1" customWidth="1"/>
    <col min="10208" max="10222" width="5.83203125" style="111" customWidth="1"/>
    <col min="10223" max="10458" width="8.83203125" style="111" customWidth="1"/>
    <col min="10459" max="10459" width="30.33203125" style="111" bestFit="1" customWidth="1"/>
    <col min="10460" max="10460" width="6.83203125" style="111" bestFit="1" customWidth="1"/>
    <col min="10461" max="10461" width="1.5" style="111" customWidth="1"/>
    <col min="10462" max="10462" width="4.33203125" style="111" customWidth="1"/>
    <col min="10463" max="10463" width="8" style="111" bestFit="1" customWidth="1"/>
    <col min="10464" max="10478" width="5.83203125" style="111" customWidth="1"/>
    <col min="10479" max="10714" width="8.83203125" style="111" customWidth="1"/>
    <col min="10715" max="10715" width="30.33203125" style="111" bestFit="1" customWidth="1"/>
    <col min="10716" max="10716" width="6.83203125" style="111" bestFit="1" customWidth="1"/>
    <col min="10717" max="10717" width="1.5" style="111" customWidth="1"/>
    <col min="10718" max="10718" width="4.33203125" style="111" customWidth="1"/>
    <col min="10719" max="10719" width="8" style="111" bestFit="1" customWidth="1"/>
    <col min="10720" max="10734" width="5.83203125" style="111" customWidth="1"/>
    <col min="10735" max="10970" width="8.83203125" style="111" customWidth="1"/>
    <col min="10971" max="10971" width="30.33203125" style="111" bestFit="1" customWidth="1"/>
    <col min="10972" max="10972" width="6.83203125" style="111" bestFit="1" customWidth="1"/>
    <col min="10973" max="10973" width="1.5" style="111" customWidth="1"/>
    <col min="10974" max="10974" width="4.33203125" style="111" customWidth="1"/>
    <col min="10975" max="10975" width="8" style="111" bestFit="1" customWidth="1"/>
    <col min="10976" max="10990" width="5.83203125" style="111" customWidth="1"/>
    <col min="10991" max="11226" width="8.83203125" style="111" customWidth="1"/>
    <col min="11227" max="11227" width="30.33203125" style="111" bestFit="1" customWidth="1"/>
    <col min="11228" max="11228" width="6.83203125" style="111" bestFit="1" customWidth="1"/>
    <col min="11229" max="11229" width="1.5" style="111" customWidth="1"/>
    <col min="11230" max="11230" width="4.33203125" style="111" customWidth="1"/>
    <col min="11231" max="11231" width="8" style="111" bestFit="1" customWidth="1"/>
    <col min="11232" max="11246" width="5.83203125" style="111" customWidth="1"/>
    <col min="11247" max="11482" width="8.83203125" style="111" customWidth="1"/>
    <col min="11483" max="11483" width="30.33203125" style="111" bestFit="1" customWidth="1"/>
    <col min="11484" max="11484" width="6.83203125" style="111" bestFit="1" customWidth="1"/>
    <col min="11485" max="11485" width="1.5" style="111" customWidth="1"/>
    <col min="11486" max="11486" width="4.33203125" style="111" customWidth="1"/>
    <col min="11487" max="11487" width="8" style="111" bestFit="1" customWidth="1"/>
    <col min="11488" max="11502" width="5.83203125" style="111" customWidth="1"/>
    <col min="11503" max="11738" width="8.83203125" style="111" customWidth="1"/>
    <col min="11739" max="11739" width="30.33203125" style="111" bestFit="1" customWidth="1"/>
    <col min="11740" max="11740" width="6.83203125" style="111" bestFit="1" customWidth="1"/>
    <col min="11741" max="11741" width="1.5" style="111" customWidth="1"/>
    <col min="11742" max="11742" width="4.33203125" style="111" customWidth="1"/>
    <col min="11743" max="11743" width="8" style="111" bestFit="1" customWidth="1"/>
    <col min="11744" max="11758" width="5.83203125" style="111" customWidth="1"/>
    <col min="11759" max="11994" width="8.83203125" style="111" customWidth="1"/>
    <col min="11995" max="11995" width="30.33203125" style="111" bestFit="1" customWidth="1"/>
    <col min="11996" max="11996" width="6.83203125" style="111" bestFit="1" customWidth="1"/>
    <col min="11997" max="11997" width="1.5" style="111" customWidth="1"/>
    <col min="11998" max="11998" width="4.33203125" style="111" customWidth="1"/>
    <col min="11999" max="11999" width="8" style="111" bestFit="1" customWidth="1"/>
    <col min="12000" max="12014" width="5.83203125" style="111" customWidth="1"/>
    <col min="12015" max="12250" width="8.83203125" style="111" customWidth="1"/>
    <col min="12251" max="12251" width="30.33203125" style="111" bestFit="1" customWidth="1"/>
    <col min="12252" max="12252" width="6.83203125" style="111" bestFit="1" customWidth="1"/>
    <col min="12253" max="12253" width="1.5" style="111" customWidth="1"/>
    <col min="12254" max="12254" width="4.33203125" style="111" customWidth="1"/>
    <col min="12255" max="12255" width="8" style="111" bestFit="1" customWidth="1"/>
    <col min="12256" max="12270" width="5.83203125" style="111" customWidth="1"/>
    <col min="12271" max="12506" width="8.83203125" style="111" customWidth="1"/>
    <col min="12507" max="12507" width="30.33203125" style="111" bestFit="1" customWidth="1"/>
    <col min="12508" max="12508" width="6.83203125" style="111" bestFit="1" customWidth="1"/>
    <col min="12509" max="12509" width="1.5" style="111" customWidth="1"/>
    <col min="12510" max="12510" width="4.33203125" style="111" customWidth="1"/>
    <col min="12511" max="12511" width="8" style="111" bestFit="1" customWidth="1"/>
    <col min="12512" max="12526" width="5.83203125" style="111" customWidth="1"/>
    <col min="12527" max="12762" width="8.83203125" style="111" customWidth="1"/>
    <col min="12763" max="12763" width="30.33203125" style="111" bestFit="1" customWidth="1"/>
    <col min="12764" max="12764" width="6.83203125" style="111" bestFit="1" customWidth="1"/>
    <col min="12765" max="12765" width="1.5" style="111" customWidth="1"/>
    <col min="12766" max="12766" width="4.33203125" style="111" customWidth="1"/>
    <col min="12767" max="12767" width="8" style="111" bestFit="1" customWidth="1"/>
    <col min="12768" max="12782" width="5.83203125" style="111" customWidth="1"/>
    <col min="12783" max="13018" width="8.83203125" style="111" customWidth="1"/>
    <col min="13019" max="13019" width="30.33203125" style="111" bestFit="1" customWidth="1"/>
    <col min="13020" max="13020" width="6.83203125" style="111" bestFit="1" customWidth="1"/>
    <col min="13021" max="13021" width="1.5" style="111" customWidth="1"/>
    <col min="13022" max="13022" width="4.33203125" style="111" customWidth="1"/>
    <col min="13023" max="13023" width="8" style="111" bestFit="1" customWidth="1"/>
    <col min="13024" max="13038" width="5.83203125" style="111" customWidth="1"/>
    <col min="13039" max="13274" width="8.83203125" style="111" customWidth="1"/>
    <col min="13275" max="13275" width="30.33203125" style="111" bestFit="1" customWidth="1"/>
    <col min="13276" max="13276" width="6.83203125" style="111" bestFit="1" customWidth="1"/>
    <col min="13277" max="13277" width="1.5" style="111" customWidth="1"/>
    <col min="13278" max="13278" width="4.33203125" style="111" customWidth="1"/>
    <col min="13279" max="13279" width="8" style="111" bestFit="1" customWidth="1"/>
    <col min="13280" max="13294" width="5.83203125" style="111" customWidth="1"/>
    <col min="13295" max="13530" width="8.83203125" style="111" customWidth="1"/>
    <col min="13531" max="13531" width="30.33203125" style="111" bestFit="1" customWidth="1"/>
    <col min="13532" max="13532" width="6.83203125" style="111" bestFit="1" customWidth="1"/>
    <col min="13533" max="13533" width="1.5" style="111" customWidth="1"/>
    <col min="13534" max="13534" width="4.33203125" style="111" customWidth="1"/>
    <col min="13535" max="13535" width="8" style="111" bestFit="1" customWidth="1"/>
    <col min="13536" max="13550" width="5.83203125" style="111" customWidth="1"/>
    <col min="13551" max="13786" width="8.83203125" style="111" customWidth="1"/>
    <col min="13787" max="13787" width="30.33203125" style="111" bestFit="1" customWidth="1"/>
    <col min="13788" max="13788" width="6.83203125" style="111" bestFit="1" customWidth="1"/>
    <col min="13789" max="13789" width="1.5" style="111" customWidth="1"/>
    <col min="13790" max="13790" width="4.33203125" style="111" customWidth="1"/>
    <col min="13791" max="13791" width="8" style="111" bestFit="1" customWidth="1"/>
    <col min="13792" max="13806" width="5.83203125" style="111" customWidth="1"/>
    <col min="13807" max="14042" width="8.83203125" style="111" customWidth="1"/>
    <col min="14043" max="14043" width="30.33203125" style="111" bestFit="1" customWidth="1"/>
    <col min="14044" max="14044" width="6.83203125" style="111" bestFit="1" customWidth="1"/>
    <col min="14045" max="14045" width="1.5" style="111" customWidth="1"/>
    <col min="14046" max="14046" width="4.33203125" style="111" customWidth="1"/>
    <col min="14047" max="14047" width="8" style="111" bestFit="1" customWidth="1"/>
    <col min="14048" max="14062" width="5.83203125" style="111" customWidth="1"/>
    <col min="14063" max="14298" width="8.83203125" style="111" customWidth="1"/>
    <col min="14299" max="14299" width="30.33203125" style="111" bestFit="1" customWidth="1"/>
    <col min="14300" max="14300" width="6.83203125" style="111" bestFit="1" customWidth="1"/>
    <col min="14301" max="14301" width="1.5" style="111" customWidth="1"/>
    <col min="14302" max="14302" width="4.33203125" style="111" customWidth="1"/>
    <col min="14303" max="14303" width="8" style="111" bestFit="1" customWidth="1"/>
    <col min="14304" max="14318" width="5.83203125" style="111" customWidth="1"/>
    <col min="14319" max="14554" width="8.83203125" style="111" customWidth="1"/>
    <col min="14555" max="14555" width="30.33203125" style="111" bestFit="1" customWidth="1"/>
    <col min="14556" max="14556" width="6.83203125" style="111" bestFit="1" customWidth="1"/>
    <col min="14557" max="14557" width="1.5" style="111" customWidth="1"/>
    <col min="14558" max="14558" width="4.33203125" style="111" customWidth="1"/>
    <col min="14559" max="14559" width="8" style="111" bestFit="1" customWidth="1"/>
    <col min="14560" max="14574" width="5.83203125" style="111" customWidth="1"/>
    <col min="14575" max="14810" width="8.83203125" style="111" customWidth="1"/>
    <col min="14811" max="14811" width="30.33203125" style="111" bestFit="1" customWidth="1"/>
    <col min="14812" max="14812" width="6.83203125" style="111" bestFit="1" customWidth="1"/>
    <col min="14813" max="14813" width="1.5" style="111" customWidth="1"/>
    <col min="14814" max="14814" width="4.33203125" style="111" customWidth="1"/>
    <col min="14815" max="14815" width="8" style="111" bestFit="1" customWidth="1"/>
    <col min="14816" max="14830" width="5.83203125" style="111" customWidth="1"/>
    <col min="14831" max="15066" width="8.83203125" style="111" customWidth="1"/>
    <col min="15067" max="15067" width="30.33203125" style="111" bestFit="1" customWidth="1"/>
    <col min="15068" max="15068" width="6.83203125" style="111" bestFit="1" customWidth="1"/>
    <col min="15069" max="15069" width="1.5" style="111" customWidth="1"/>
    <col min="15070" max="15070" width="4.33203125" style="111" customWidth="1"/>
    <col min="15071" max="15071" width="8" style="111" bestFit="1" customWidth="1"/>
    <col min="15072" max="15086" width="5.83203125" style="111" customWidth="1"/>
    <col min="15087" max="15322" width="8.83203125" style="111" customWidth="1"/>
    <col min="15323" max="15323" width="30.33203125" style="111" bestFit="1" customWidth="1"/>
    <col min="15324" max="15324" width="6.83203125" style="111" bestFit="1" customWidth="1"/>
    <col min="15325" max="15325" width="1.5" style="111" customWidth="1"/>
    <col min="15326" max="15326" width="4.33203125" style="111" customWidth="1"/>
    <col min="15327" max="15327" width="8" style="111" bestFit="1" customWidth="1"/>
    <col min="15328" max="15342" width="5.83203125" style="111" customWidth="1"/>
    <col min="15343" max="15578" width="8.83203125" style="111" customWidth="1"/>
    <col min="15579" max="15579" width="30.33203125" style="111" bestFit="1" customWidth="1"/>
    <col min="15580" max="15580" width="6.83203125" style="111" bestFit="1" customWidth="1"/>
    <col min="15581" max="15581" width="1.5" style="111" customWidth="1"/>
    <col min="15582" max="15582" width="4.33203125" style="111" customWidth="1"/>
    <col min="15583" max="15583" width="8" style="111" bestFit="1" customWidth="1"/>
    <col min="15584" max="15598" width="5.83203125" style="111" customWidth="1"/>
    <col min="15599" max="15834" width="8.83203125" style="111" customWidth="1"/>
    <col min="15835" max="15835" width="30.33203125" style="111" bestFit="1" customWidth="1"/>
    <col min="15836" max="15836" width="6.83203125" style="111" bestFit="1" customWidth="1"/>
    <col min="15837" max="15837" width="1.5" style="111" customWidth="1"/>
    <col min="15838" max="15838" width="4.33203125" style="111" customWidth="1"/>
    <col min="15839" max="15839" width="8" style="111" bestFit="1" customWidth="1"/>
    <col min="15840" max="15854" width="5.83203125" style="111" customWidth="1"/>
    <col min="15855" max="16090" width="8.83203125" style="111" customWidth="1"/>
    <col min="16091" max="16091" width="30.33203125" style="111" bestFit="1" customWidth="1"/>
    <col min="16092" max="16092" width="6.83203125" style="111" bestFit="1" customWidth="1"/>
    <col min="16093" max="16093" width="1.5" style="111" customWidth="1"/>
    <col min="16094" max="16094" width="4.33203125" style="111" customWidth="1"/>
    <col min="16095" max="16095" width="8" style="111" bestFit="1" customWidth="1"/>
    <col min="16096" max="16110" width="5.83203125" style="111" customWidth="1"/>
    <col min="16111" max="16384" width="8.83203125" style="111" customWidth="1"/>
  </cols>
  <sheetData>
    <row r="1" spans="1:17" ht="17" customHeight="1" thickBot="1" x14ac:dyDescent="0.4">
      <c r="A1" s="188" t="s">
        <v>210</v>
      </c>
      <c r="B1" s="189"/>
      <c r="C1" s="190"/>
      <c r="D1" s="109"/>
      <c r="F1" s="170"/>
      <c r="I1" s="192"/>
      <c r="J1" s="192"/>
      <c r="K1" s="110"/>
      <c r="M1" s="170"/>
    </row>
    <row r="2" spans="1:17" ht="22" thickBot="1" x14ac:dyDescent="0.4">
      <c r="B2" s="112"/>
      <c r="C2" s="112"/>
      <c r="D2" s="112"/>
      <c r="E2" s="112"/>
      <c r="F2" s="171"/>
      <c r="I2" s="112"/>
      <c r="J2" s="112"/>
      <c r="K2" s="112"/>
      <c r="L2" s="112"/>
      <c r="M2" s="171"/>
    </row>
    <row r="3" spans="1:17" s="278" customFormat="1" ht="17" customHeight="1" thickBot="1" x14ac:dyDescent="0.4">
      <c r="A3" s="276"/>
      <c r="B3" s="427" t="s">
        <v>158</v>
      </c>
      <c r="C3" s="428"/>
      <c r="D3" s="428"/>
      <c r="E3" s="428"/>
      <c r="F3" s="429"/>
      <c r="G3" s="277"/>
      <c r="I3" s="427" t="s">
        <v>159</v>
      </c>
      <c r="J3" s="428"/>
      <c r="K3" s="428"/>
      <c r="L3" s="428"/>
      <c r="M3" s="429"/>
    </row>
    <row r="4" spans="1:17" s="113" customFormat="1" ht="25" x14ac:dyDescent="0.35">
      <c r="A4" s="114" t="s">
        <v>44</v>
      </c>
      <c r="B4" s="115" t="s">
        <v>165</v>
      </c>
      <c r="C4" s="115" t="s">
        <v>166</v>
      </c>
      <c r="D4" s="115" t="s">
        <v>154</v>
      </c>
      <c r="E4" s="168" t="s">
        <v>157</v>
      </c>
      <c r="F4" s="116" t="s">
        <v>199</v>
      </c>
      <c r="H4" s="195"/>
      <c r="I4" s="115" t="s">
        <v>167</v>
      </c>
      <c r="J4" s="115" t="s">
        <v>168</v>
      </c>
      <c r="K4" s="115" t="s">
        <v>154</v>
      </c>
      <c r="L4" s="168" t="s">
        <v>157</v>
      </c>
      <c r="M4" s="116" t="s">
        <v>199</v>
      </c>
      <c r="P4" s="200" t="s">
        <v>169</v>
      </c>
      <c r="Q4" s="199" t="s">
        <v>177</v>
      </c>
    </row>
    <row r="5" spans="1:17" x14ac:dyDescent="0.35">
      <c r="A5" s="117">
        <v>1</v>
      </c>
      <c r="B5" s="118">
        <f>'Actual Sales'!AF5</f>
        <v>6980</v>
      </c>
      <c r="C5" s="119">
        <f>'1'!$AG$37</f>
        <v>6394.8116990179033</v>
      </c>
      <c r="D5" s="120">
        <f>C5-B5</f>
        <v>-585.18830098209673</v>
      </c>
      <c r="E5" s="169">
        <f t="shared" ref="E5:E20" si="0">ABS(B5-C5)</f>
        <v>585.18830098209673</v>
      </c>
      <c r="F5" s="172">
        <f>ABS(B5-C5)/B5</f>
        <v>8.3837865470214434E-2</v>
      </c>
      <c r="H5" s="121"/>
      <c r="I5" s="194">
        <f>'Actual Sales'!AE5</f>
        <v>132</v>
      </c>
      <c r="J5" s="197">
        <f>'1'!$AG$35</f>
        <v>120.25803393517566</v>
      </c>
      <c r="K5" s="120">
        <f t="shared" ref="K5:K20" si="1">J5-I5</f>
        <v>-11.741966064824339</v>
      </c>
      <c r="L5" s="169">
        <f t="shared" ref="L5:L20" si="2">ABS(I5-J5)</f>
        <v>11.741966064824339</v>
      </c>
      <c r="M5" s="172">
        <f>ABS(I5-J5)/I5</f>
        <v>8.8954288369881354E-2</v>
      </c>
      <c r="P5" s="200" t="s">
        <v>170</v>
      </c>
      <c r="Q5" s="199" t="s">
        <v>176</v>
      </c>
    </row>
    <row r="6" spans="1:17" x14ac:dyDescent="0.35">
      <c r="A6" s="117">
        <v>2</v>
      </c>
      <c r="B6" s="118">
        <f>'Actual Sales'!AF6</f>
        <v>6265</v>
      </c>
      <c r="C6" s="119">
        <f>'2'!$AG$37</f>
        <v>7494.6469883259842</v>
      </c>
      <c r="D6" s="120">
        <f>C6-B6</f>
        <v>1229.6469883259842</v>
      </c>
      <c r="E6" s="118">
        <f t="shared" si="0"/>
        <v>1229.6469883259842</v>
      </c>
      <c r="F6" s="172">
        <f t="shared" ref="F6:F20" si="3">ABS(B6-C6)/B6</f>
        <v>0.19627246421803421</v>
      </c>
      <c r="H6" s="121"/>
      <c r="I6" s="194">
        <f>'Actual Sales'!AE6</f>
        <v>116</v>
      </c>
      <c r="J6" s="197">
        <f>'2'!$AG$35</f>
        <v>144.21500964459926</v>
      </c>
      <c r="K6" s="120">
        <f t="shared" si="1"/>
        <v>28.215009644599263</v>
      </c>
      <c r="L6" s="118">
        <f t="shared" si="2"/>
        <v>28.215009644599263</v>
      </c>
      <c r="M6" s="172">
        <f t="shared" ref="M6:M20" si="4">ABS(I6-J6)/I6</f>
        <v>0.24323284176378676</v>
      </c>
    </row>
    <row r="7" spans="1:17" x14ac:dyDescent="0.35">
      <c r="A7" s="117">
        <v>3</v>
      </c>
      <c r="B7" s="118">
        <f>'Actual Sales'!AF7</f>
        <v>7260</v>
      </c>
      <c r="C7" s="119">
        <f>'3'!$AG$37</f>
        <v>7949.2595268694358</v>
      </c>
      <c r="D7" s="120">
        <f t="shared" ref="D7:D20" si="5">C7-B7</f>
        <v>689.25952686943583</v>
      </c>
      <c r="E7" s="118">
        <f t="shared" si="0"/>
        <v>689.25952686943583</v>
      </c>
      <c r="F7" s="172">
        <f t="shared" si="3"/>
        <v>9.4939328769894749E-2</v>
      </c>
      <c r="H7" s="121"/>
      <c r="I7" s="194">
        <f>'Actual Sales'!AE7</f>
        <v>134</v>
      </c>
      <c r="J7" s="197">
        <f>'3'!$AG$35</f>
        <v>147.82566281664762</v>
      </c>
      <c r="K7" s="120">
        <f t="shared" si="1"/>
        <v>13.825662816647622</v>
      </c>
      <c r="L7" s="118">
        <f t="shared" si="2"/>
        <v>13.825662816647622</v>
      </c>
      <c r="M7" s="172">
        <f t="shared" si="4"/>
        <v>0.10317658818393748</v>
      </c>
      <c r="P7" s="200" t="s">
        <v>172</v>
      </c>
      <c r="Q7" s="199" t="s">
        <v>174</v>
      </c>
    </row>
    <row r="8" spans="1:17" x14ac:dyDescent="0.35">
      <c r="A8" s="117">
        <v>4</v>
      </c>
      <c r="B8" s="118">
        <f>'Actual Sales'!AF8</f>
        <v>9035</v>
      </c>
      <c r="C8" s="119">
        <f>'4'!$AG$37</f>
        <v>6223.6211549709833</v>
      </c>
      <c r="D8" s="120">
        <f t="shared" si="5"/>
        <v>-2811.3788450290167</v>
      </c>
      <c r="E8" s="118">
        <f t="shared" si="0"/>
        <v>2811.3788450290167</v>
      </c>
      <c r="F8" s="172">
        <f t="shared" si="3"/>
        <v>0.31116533979291827</v>
      </c>
      <c r="H8" s="121"/>
      <c r="I8" s="194">
        <f>'Actual Sales'!AE8</f>
        <v>169</v>
      </c>
      <c r="J8" s="197">
        <f>'4'!$AG$35</f>
        <v>113.94763645780647</v>
      </c>
      <c r="K8" s="325">
        <f t="shared" si="1"/>
        <v>-55.052363542193532</v>
      </c>
      <c r="L8" s="326">
        <f t="shared" si="2"/>
        <v>55.052363542193532</v>
      </c>
      <c r="M8" s="327">
        <f t="shared" si="4"/>
        <v>0.32575363042718064</v>
      </c>
      <c r="P8" s="200" t="s">
        <v>173</v>
      </c>
      <c r="Q8" s="199" t="s">
        <v>175</v>
      </c>
    </row>
    <row r="9" spans="1:17" x14ac:dyDescent="0.35">
      <c r="A9" s="328">
        <v>5</v>
      </c>
      <c r="B9" s="118">
        <f>'Actual Sales'!AF9</f>
        <v>8125</v>
      </c>
      <c r="C9" s="119">
        <f>'5'!$AG$37</f>
        <v>6719.4646877304149</v>
      </c>
      <c r="D9" s="325">
        <f t="shared" si="5"/>
        <v>-1405.5353122695851</v>
      </c>
      <c r="E9" s="326">
        <f t="shared" si="0"/>
        <v>1405.5353122695851</v>
      </c>
      <c r="F9" s="327">
        <f t="shared" si="3"/>
        <v>0.17298896151010279</v>
      </c>
      <c r="H9" s="121"/>
      <c r="I9" s="194">
        <f>'Actual Sales'!AE9</f>
        <v>148</v>
      </c>
      <c r="J9" s="197">
        <f>'5'!$AG$35</f>
        <v>130.31576244095351</v>
      </c>
      <c r="K9" s="325">
        <f t="shared" si="1"/>
        <v>-17.684237559046494</v>
      </c>
      <c r="L9" s="326">
        <f t="shared" si="2"/>
        <v>17.684237559046494</v>
      </c>
      <c r="M9" s="327">
        <f t="shared" si="4"/>
        <v>0.11948809161517901</v>
      </c>
    </row>
    <row r="10" spans="1:17" x14ac:dyDescent="0.35">
      <c r="A10" s="117">
        <v>6</v>
      </c>
      <c r="B10" s="118">
        <f>'Actual Sales'!AF10</f>
        <v>7610</v>
      </c>
      <c r="C10" s="119">
        <f>'6'!$AG$37</f>
        <v>4829.1442738954556</v>
      </c>
      <c r="D10" s="325">
        <f t="shared" si="5"/>
        <v>-2780.8557261045444</v>
      </c>
      <c r="E10" s="326">
        <f t="shared" si="0"/>
        <v>2780.8557261045444</v>
      </c>
      <c r="F10" s="327">
        <f t="shared" si="3"/>
        <v>0.36542125178771939</v>
      </c>
      <c r="G10" s="110"/>
      <c r="H10" s="121"/>
      <c r="I10" s="194">
        <f>'Actual Sales'!AE10</f>
        <v>145</v>
      </c>
      <c r="J10" s="197">
        <f>'6'!$AG$35</f>
        <v>88.235102110235331</v>
      </c>
      <c r="K10" s="325">
        <f t="shared" si="1"/>
        <v>-56.764897889764669</v>
      </c>
      <c r="L10" s="326">
        <f t="shared" si="2"/>
        <v>56.764897889764669</v>
      </c>
      <c r="M10" s="327">
        <f t="shared" si="4"/>
        <v>0.39148205441217016</v>
      </c>
      <c r="Q10" s="198"/>
    </row>
    <row r="11" spans="1:17" x14ac:dyDescent="0.35">
      <c r="A11" s="117">
        <v>7</v>
      </c>
      <c r="B11" s="118">
        <f>'Actual Sales'!AF11</f>
        <v>6900</v>
      </c>
      <c r="C11" s="119">
        <f>'7'!$AG$37</f>
        <v>7683.2145402559754</v>
      </c>
      <c r="D11" s="325">
        <f t="shared" si="5"/>
        <v>783.21454025597541</v>
      </c>
      <c r="E11" s="326">
        <f t="shared" si="0"/>
        <v>783.21454025597541</v>
      </c>
      <c r="F11" s="327">
        <f t="shared" si="3"/>
        <v>0.11350935366028629</v>
      </c>
      <c r="H11" s="121"/>
      <c r="I11" s="194">
        <f>'Actual Sales'!AE11</f>
        <v>130</v>
      </c>
      <c r="J11" s="197">
        <f>'7'!$AG$35</f>
        <v>145.96940279459091</v>
      </c>
      <c r="K11" s="325">
        <f t="shared" si="1"/>
        <v>15.969402794590906</v>
      </c>
      <c r="L11" s="326">
        <f t="shared" si="2"/>
        <v>15.969402794590906</v>
      </c>
      <c r="M11" s="327">
        <f t="shared" si="4"/>
        <v>0.12284155995839158</v>
      </c>
    </row>
    <row r="12" spans="1:17" x14ac:dyDescent="0.35">
      <c r="A12" s="117">
        <v>8</v>
      </c>
      <c r="B12" s="118">
        <f>'Actual Sales'!AF12</f>
        <v>8380</v>
      </c>
      <c r="C12" s="119">
        <f>'8'!$AG$37</f>
        <v>6348.1256560344282</v>
      </c>
      <c r="D12" s="325">
        <f t="shared" si="5"/>
        <v>-2031.8743439655718</v>
      </c>
      <c r="E12" s="326">
        <f t="shared" si="0"/>
        <v>2031.8743439655718</v>
      </c>
      <c r="F12" s="327">
        <f t="shared" si="3"/>
        <v>0.24246710548515177</v>
      </c>
      <c r="H12" s="121"/>
      <c r="I12" s="194">
        <f>'Actual Sales'!AE12</f>
        <v>158</v>
      </c>
      <c r="J12" s="197">
        <f>'8'!$AG$35</f>
        <v>118.88097787662232</v>
      </c>
      <c r="K12" s="325">
        <f t="shared" si="1"/>
        <v>-39.119022123377675</v>
      </c>
      <c r="L12" s="326">
        <f t="shared" si="2"/>
        <v>39.119022123377675</v>
      </c>
      <c r="M12" s="327">
        <f t="shared" si="4"/>
        <v>0.24758874761631441</v>
      </c>
    </row>
    <row r="13" spans="1:17" x14ac:dyDescent="0.35">
      <c r="A13" s="117">
        <v>9</v>
      </c>
      <c r="B13" s="118">
        <f>'Actual Sales'!AF13</f>
        <v>11125</v>
      </c>
      <c r="C13" s="119">
        <f>'9'!$AG$37</f>
        <v>7057.5135736598204</v>
      </c>
      <c r="D13" s="325">
        <f t="shared" si="5"/>
        <v>-4067.4864263401796</v>
      </c>
      <c r="E13" s="326">
        <f t="shared" si="0"/>
        <v>4067.4864263401796</v>
      </c>
      <c r="F13" s="327">
        <f t="shared" si="3"/>
        <v>0.36561675742383637</v>
      </c>
      <c r="H13" s="121"/>
      <c r="I13" s="194">
        <f>'Actual Sales'!AE13</f>
        <v>213</v>
      </c>
      <c r="J13" s="197">
        <f>'9'!$AG$35</f>
        <v>135.42787651237356</v>
      </c>
      <c r="K13" s="325">
        <f t="shared" si="1"/>
        <v>-77.572123487626442</v>
      </c>
      <c r="L13" s="326">
        <f t="shared" si="2"/>
        <v>77.572123487626442</v>
      </c>
      <c r="M13" s="327">
        <f t="shared" si="4"/>
        <v>0.36418837318134478</v>
      </c>
    </row>
    <row r="14" spans="1:17" x14ac:dyDescent="0.35">
      <c r="A14" s="117">
        <v>10</v>
      </c>
      <c r="B14" s="118">
        <f>'Actual Sales'!AF14</f>
        <v>10475</v>
      </c>
      <c r="C14" s="119">
        <f>'10'!$AG$37</f>
        <v>6159.3744945085091</v>
      </c>
      <c r="D14" s="325">
        <f t="shared" si="5"/>
        <v>-4315.6255054914909</v>
      </c>
      <c r="E14" s="326">
        <f t="shared" si="0"/>
        <v>4315.6255054914909</v>
      </c>
      <c r="F14" s="327">
        <f t="shared" si="3"/>
        <v>0.41199288835240966</v>
      </c>
      <c r="H14" s="121"/>
      <c r="I14" s="194">
        <f>'Actual Sales'!AE14</f>
        <v>197</v>
      </c>
      <c r="J14" s="197">
        <f>'10'!$AG$35</f>
        <v>116.50986395654833</v>
      </c>
      <c r="K14" s="325">
        <f t="shared" si="1"/>
        <v>-80.49013604345167</v>
      </c>
      <c r="L14" s="326">
        <f t="shared" si="2"/>
        <v>80.49013604345167</v>
      </c>
      <c r="M14" s="327">
        <f t="shared" si="4"/>
        <v>0.40857937077894246</v>
      </c>
    </row>
    <row r="15" spans="1:17" x14ac:dyDescent="0.35">
      <c r="A15" s="117">
        <v>11</v>
      </c>
      <c r="B15" s="118">
        <f>'Actual Sales'!AF15</f>
        <v>10195</v>
      </c>
      <c r="C15" s="119">
        <f>'11'!$AG$37</f>
        <v>4597.694533992988</v>
      </c>
      <c r="D15" s="325">
        <f t="shared" si="5"/>
        <v>-5597.305466007012</v>
      </c>
      <c r="E15" s="326">
        <f t="shared" si="0"/>
        <v>5597.305466007012</v>
      </c>
      <c r="F15" s="327">
        <f t="shared" si="3"/>
        <v>0.54902456753379225</v>
      </c>
      <c r="H15" s="121"/>
      <c r="I15" s="194">
        <f>'Actual Sales'!AE15</f>
        <v>186</v>
      </c>
      <c r="J15" s="197">
        <f>'11'!$AG$35</f>
        <v>87.327477337951876</v>
      </c>
      <c r="K15" s="325">
        <f t="shared" si="1"/>
        <v>-98.672522662048124</v>
      </c>
      <c r="L15" s="326">
        <f t="shared" si="2"/>
        <v>98.672522662048124</v>
      </c>
      <c r="M15" s="327">
        <f t="shared" si="4"/>
        <v>0.53049743366692537</v>
      </c>
    </row>
    <row r="16" spans="1:17" x14ac:dyDescent="0.35">
      <c r="A16" s="328">
        <v>12</v>
      </c>
      <c r="B16" s="118">
        <f>'Actual Sales'!AF16</f>
        <v>8245</v>
      </c>
      <c r="C16" s="119">
        <f>'12'!$AG$37</f>
        <v>7833.2686571698177</v>
      </c>
      <c r="D16" s="325">
        <f t="shared" si="5"/>
        <v>-411.73134283018226</v>
      </c>
      <c r="E16" s="326">
        <f t="shared" si="0"/>
        <v>411.73134283018226</v>
      </c>
      <c r="F16" s="327">
        <f t="shared" si="3"/>
        <v>4.993709433962186E-2</v>
      </c>
      <c r="H16" s="121"/>
      <c r="I16" s="194">
        <f>'Actual Sales'!AE16</f>
        <v>158</v>
      </c>
      <c r="J16" s="197">
        <f>'12'!$AG$35</f>
        <v>148.32991585218997</v>
      </c>
      <c r="K16" s="325">
        <f t="shared" si="1"/>
        <v>-9.6700841478100301</v>
      </c>
      <c r="L16" s="326">
        <f t="shared" si="2"/>
        <v>9.6700841478100301</v>
      </c>
      <c r="M16" s="327">
        <f t="shared" si="4"/>
        <v>6.1203064226645759E-2</v>
      </c>
    </row>
    <row r="17" spans="1:13" x14ac:dyDescent="0.35">
      <c r="A17" s="117">
        <v>13</v>
      </c>
      <c r="B17" s="118">
        <f>'Actual Sales'!AF17</f>
        <v>10510</v>
      </c>
      <c r="C17" s="119">
        <f>'13'!$AG$37</f>
        <v>6223.006437820085</v>
      </c>
      <c r="D17" s="120">
        <f t="shared" si="5"/>
        <v>-4286.993562179915</v>
      </c>
      <c r="E17" s="118">
        <f t="shared" si="0"/>
        <v>4286.993562179915</v>
      </c>
      <c r="F17" s="172">
        <f t="shared" si="3"/>
        <v>0.4078966281807721</v>
      </c>
      <c r="H17" s="121"/>
      <c r="I17" s="194">
        <f>'Actual Sales'!AE17</f>
        <v>201</v>
      </c>
      <c r="J17" s="197">
        <f>'13'!$AG$35</f>
        <v>118.28226935294046</v>
      </c>
      <c r="K17" s="120">
        <f t="shared" si="1"/>
        <v>-82.71773064705954</v>
      </c>
      <c r="L17" s="118">
        <f t="shared" si="2"/>
        <v>82.71773064705954</v>
      </c>
      <c r="M17" s="172">
        <f t="shared" si="4"/>
        <v>0.4115309982440773</v>
      </c>
    </row>
    <row r="18" spans="1:13" x14ac:dyDescent="0.35">
      <c r="A18" s="117">
        <v>14</v>
      </c>
      <c r="B18" s="118">
        <f>'Actual Sales'!AF18</f>
        <v>10050</v>
      </c>
      <c r="C18" s="119">
        <f>'14'!$AG$37</f>
        <v>7108.5158222484724</v>
      </c>
      <c r="D18" s="120">
        <f t="shared" si="5"/>
        <v>-2941.4841777515276</v>
      </c>
      <c r="E18" s="118">
        <f t="shared" si="0"/>
        <v>2941.4841777515276</v>
      </c>
      <c r="F18" s="172">
        <f t="shared" si="3"/>
        <v>0.29268499281109728</v>
      </c>
      <c r="H18" s="121"/>
      <c r="I18" s="194">
        <f>'Actual Sales'!AE18</f>
        <v>187</v>
      </c>
      <c r="J18" s="197">
        <f>'14'!$AG$35</f>
        <v>136.53788852579817</v>
      </c>
      <c r="K18" s="120">
        <f t="shared" si="1"/>
        <v>-50.462111474201834</v>
      </c>
      <c r="L18" s="118">
        <f t="shared" si="2"/>
        <v>50.462111474201834</v>
      </c>
      <c r="M18" s="172">
        <f t="shared" si="4"/>
        <v>0.26985086349840554</v>
      </c>
    </row>
    <row r="19" spans="1:13" x14ac:dyDescent="0.35">
      <c r="A19" s="117">
        <v>15</v>
      </c>
      <c r="B19" s="118">
        <f>'Actual Sales'!AF19</f>
        <v>8215</v>
      </c>
      <c r="C19" s="119">
        <f>'15'!$AG$37</f>
        <v>6259.8174451759205</v>
      </c>
      <c r="D19" s="120">
        <f t="shared" si="5"/>
        <v>-1955.1825548240795</v>
      </c>
      <c r="E19" s="118">
        <f t="shared" si="0"/>
        <v>1955.1825548240795</v>
      </c>
      <c r="F19" s="172">
        <f t="shared" si="3"/>
        <v>0.23800152828047225</v>
      </c>
      <c r="H19" s="121"/>
      <c r="I19" s="194">
        <f>'Actual Sales'!AE19</f>
        <v>152</v>
      </c>
      <c r="J19" s="197">
        <f>'15'!$AG$35</f>
        <v>117.66607691305019</v>
      </c>
      <c r="K19" s="120">
        <f t="shared" si="1"/>
        <v>-34.33392308694981</v>
      </c>
      <c r="L19" s="118">
        <f t="shared" si="2"/>
        <v>34.33392308694981</v>
      </c>
      <c r="M19" s="172">
        <f t="shared" si="4"/>
        <v>0.22588107294045928</v>
      </c>
    </row>
    <row r="20" spans="1:13" ht="22" thickBot="1" x14ac:dyDescent="0.4">
      <c r="A20" s="117">
        <v>16</v>
      </c>
      <c r="B20" s="118">
        <f>'Actual Sales'!AF20</f>
        <v>8800</v>
      </c>
      <c r="C20" s="119">
        <f>'16'!$AG$37</f>
        <v>8264.7934174728362</v>
      </c>
      <c r="D20" s="120">
        <f t="shared" si="5"/>
        <v>-535.20658252716385</v>
      </c>
      <c r="E20" s="118">
        <f t="shared" si="0"/>
        <v>535.20658252716385</v>
      </c>
      <c r="F20" s="172">
        <f t="shared" si="3"/>
        <v>6.0818929832632256E-2</v>
      </c>
      <c r="H20" s="121"/>
      <c r="I20" s="194">
        <f>'Actual Sales'!AE20</f>
        <v>162</v>
      </c>
      <c r="J20" s="197">
        <f>'16'!$AG$35</f>
        <v>155.47279255676008</v>
      </c>
      <c r="K20" s="120">
        <f t="shared" si="1"/>
        <v>-6.5272074432399165</v>
      </c>
      <c r="L20" s="118">
        <f t="shared" si="2"/>
        <v>6.5272074432399165</v>
      </c>
      <c r="M20" s="172">
        <f t="shared" si="4"/>
        <v>4.0291403970616771E-2</v>
      </c>
    </row>
    <row r="21" spans="1:13" ht="22" thickBot="1" x14ac:dyDescent="0.4">
      <c r="A21" s="122" t="s">
        <v>144</v>
      </c>
      <c r="B21" s="164">
        <f>AVERAGE(B5:B20)</f>
        <v>8635.625</v>
      </c>
      <c r="C21" s="164">
        <f>AVERAGE(C5:C20)</f>
        <v>6696.6420568218164</v>
      </c>
      <c r="D21" s="164">
        <f>AVERAGE(D5:D20)</f>
        <v>-1938.9829431781859</v>
      </c>
      <c r="E21" s="164">
        <f>AVERAGE(E5:E20)</f>
        <v>2276.74807510961</v>
      </c>
      <c r="F21" s="173">
        <f>AVERAGE(F5:F20)</f>
        <v>0.24728594109055974</v>
      </c>
      <c r="H21" s="121"/>
      <c r="I21" s="193">
        <f>AVERAGE(I5:I20)</f>
        <v>161.75</v>
      </c>
      <c r="J21" s="164">
        <f>AVERAGE(J5:J20)</f>
        <v>126.57510931776523</v>
      </c>
      <c r="K21" s="164">
        <f>AVERAGE(K5:K20)</f>
        <v>-35.174890682234768</v>
      </c>
      <c r="L21" s="164">
        <f>AVERAGE(L5:L20)</f>
        <v>42.426150089214488</v>
      </c>
      <c r="M21" s="173">
        <f>AVERAGE(M5:M20)</f>
        <v>0.24715877392839114</v>
      </c>
    </row>
    <row r="22" spans="1:13" ht="22" thickBot="1" x14ac:dyDescent="0.4">
      <c r="B22" s="165"/>
      <c r="C22" s="166"/>
      <c r="D22" s="167" t="s">
        <v>39</v>
      </c>
      <c r="E22" s="164">
        <f>SUM(E5:E20)</f>
        <v>36427.96920175376</v>
      </c>
      <c r="F22" s="173">
        <f>SUM(F5:F20)</f>
        <v>3.9565750574489558</v>
      </c>
      <c r="I22" s="165"/>
      <c r="J22" s="166"/>
      <c r="K22" s="167" t="s">
        <v>39</v>
      </c>
      <c r="L22" s="164">
        <f>SUM(L5:L20)</f>
        <v>678.81840142743181</v>
      </c>
      <c r="M22" s="173">
        <f>SUM(M5:M20)</f>
        <v>3.9545403828542582</v>
      </c>
    </row>
    <row r="23" spans="1:13" x14ac:dyDescent="0.35">
      <c r="C23" s="125"/>
      <c r="D23" s="126"/>
      <c r="F23" s="174"/>
      <c r="J23" s="125"/>
      <c r="K23" s="126"/>
      <c r="M23" s="174"/>
    </row>
    <row r="24" spans="1:13" ht="24" x14ac:dyDescent="0.35">
      <c r="A24" s="178" t="s">
        <v>155</v>
      </c>
      <c r="B24" s="175">
        <f>COUNT(A5:A20)</f>
        <v>16</v>
      </c>
      <c r="C24" s="176"/>
      <c r="D24" s="177" t="s">
        <v>156</v>
      </c>
      <c r="E24" s="179">
        <f>E22/$B$24</f>
        <v>2276.74807510961</v>
      </c>
      <c r="F24" s="180"/>
      <c r="I24" s="191"/>
      <c r="J24" s="176"/>
      <c r="K24" s="177" t="s">
        <v>156</v>
      </c>
      <c r="L24" s="179">
        <f>L22/$B$24</f>
        <v>42.426150089214488</v>
      </c>
      <c r="M24" s="180"/>
    </row>
    <row r="25" spans="1:13" x14ac:dyDescent="0.35">
      <c r="A25" s="141"/>
      <c r="B25" s="141"/>
      <c r="C25" s="141"/>
      <c r="D25" s="181"/>
      <c r="E25" s="181"/>
      <c r="F25" s="180"/>
      <c r="I25" s="141"/>
      <c r="J25" s="141"/>
      <c r="K25" s="181"/>
      <c r="L25" s="181"/>
      <c r="M25" s="180"/>
    </row>
    <row r="26" spans="1:13" ht="24" x14ac:dyDescent="0.35">
      <c r="A26" s="141"/>
      <c r="B26" s="141"/>
      <c r="C26" s="141"/>
      <c r="D26" s="181"/>
      <c r="E26" s="182" t="s">
        <v>153</v>
      </c>
      <c r="F26" s="183">
        <f>(F22/$B$24)*100</f>
        <v>24.728594109055972</v>
      </c>
      <c r="I26" s="141"/>
      <c r="J26" s="141"/>
      <c r="K26" s="181"/>
      <c r="L26" s="182" t="s">
        <v>153</v>
      </c>
      <c r="M26" s="183">
        <f>(M22/$B$24)*100</f>
        <v>24.715877392839115</v>
      </c>
    </row>
    <row r="27" spans="1:13" x14ac:dyDescent="0.35">
      <c r="G27" s="110"/>
    </row>
    <row r="28" spans="1:13" x14ac:dyDescent="0.35">
      <c r="I28" s="110"/>
    </row>
    <row r="29" spans="1:13" x14ac:dyDescent="0.35">
      <c r="C29" s="110"/>
      <c r="J29" s="110"/>
    </row>
    <row r="32" spans="1:13" x14ac:dyDescent="0.35">
      <c r="C32" s="260" t="s">
        <v>184</v>
      </c>
    </row>
  </sheetData>
  <mergeCells count="2">
    <mergeCell ref="B3:F3"/>
    <mergeCell ref="I3:M3"/>
  </mergeCells>
  <pageMargins left="0.75" right="0.75" top="1" bottom="1" header="0.5" footer="0.5"/>
  <pageSetup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10D1-8D23-2D42-9967-8F83F06EA955}">
  <dimension ref="A1:BJ75"/>
  <sheetViews>
    <sheetView topLeftCell="AI2" zoomScale="90" zoomScaleNormal="90" workbookViewId="0">
      <selection activeCell="AZ27" sqref="AZ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16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53</v>
      </c>
      <c r="K2" s="262">
        <f>_xlfn.XLOOKUP($B$1,daily_demand!$E$1:$AH$1,daily_demand!$E$3:$AH$3)</f>
        <v>1</v>
      </c>
      <c r="L2" s="263">
        <f>_xlfn.XLOOKUP($B$1,daily_demand!$E$1:$AH$1,daily_demand!$E$4:$AH$4)</f>
        <v>18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24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3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6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2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2.25683127716154</v>
      </c>
      <c r="AJ4" s="45">
        <f t="shared" ref="AJ4:AJ18" si="1">K4*K$28</f>
        <v>4.1870294827765615E-2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1.1073346386924106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0.38822635078475848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3.9483936683617653E-2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7.776223605668961E-2</v>
      </c>
      <c r="BF4" s="44">
        <f>SUM(AI4:BE4)</f>
        <v>3.9115087342067816</v>
      </c>
      <c r="BG4" s="54">
        <f>ROUNDUP(BF4*2, 0)</f>
        <v>8</v>
      </c>
      <c r="BH4" s="86">
        <f>CEILING($BG$1*BG4, 0.5)</f>
        <v>4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2.25683127716154</v>
      </c>
      <c r="AJ5" s="45">
        <f t="shared" si="1"/>
        <v>5.5827059770354161E-2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3.9483936683617653E-2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9.7202795070862005E-2</v>
      </c>
      <c r="BF5" s="44">
        <f t="shared" ref="BF5:BF19" si="23">SUM(AI5:BE5)</f>
        <v>2.4493450686863736</v>
      </c>
      <c r="BG5" s="54">
        <f t="shared" ref="BG5:BG18" si="24">ROUNDUP(BF5*2, 0)</f>
        <v>5</v>
      </c>
      <c r="BH5" s="86">
        <f t="shared" ref="BH5:BH18" si="25">CEILING($BG$1*BG5, 0.5)</f>
        <v>2.5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225</v>
      </c>
      <c r="C6" s="7">
        <f>B6*0.02</f>
        <v>4.5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2.791352988517708E-2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1.1073346386924106</v>
      </c>
      <c r="AP6" s="45">
        <f t="shared" si="7"/>
        <v>0</v>
      </c>
      <c r="AQ6" s="45">
        <f t="shared" si="8"/>
        <v>0</v>
      </c>
      <c r="AR6" s="45">
        <f t="shared" si="9"/>
        <v>0.55711403497843393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3.9483936683617653E-2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8.274930010657279E-2</v>
      </c>
      <c r="BC6" s="45">
        <f t="shared" si="20"/>
        <v>0</v>
      </c>
      <c r="BD6" s="45">
        <f t="shared" si="21"/>
        <v>0</v>
      </c>
      <c r="BE6" s="45">
        <f t="shared" si="22"/>
        <v>7.776223605668961E-2</v>
      </c>
      <c r="BF6" s="44">
        <f t="shared" si="23"/>
        <v>1.8923576764029018</v>
      </c>
      <c r="BG6" s="54">
        <f t="shared" si="24"/>
        <v>4</v>
      </c>
      <c r="BH6" s="86">
        <f t="shared" si="25"/>
        <v>2</v>
      </c>
      <c r="BI6" s="6"/>
    </row>
    <row r="7" spans="1:61" ht="24" x14ac:dyDescent="0.2">
      <c r="A7" s="286" t="s">
        <v>47</v>
      </c>
      <c r="B7" s="295">
        <f>_xlfn.XLOOKUP($B$1,cost!$A$16:$A$45,cost!$E$16:$E$45)</f>
        <v>200</v>
      </c>
      <c r="C7" s="7">
        <f>B7*0.02</f>
        <v>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3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4.1870294827765615E-2</v>
      </c>
      <c r="AK7" s="45">
        <f t="shared" si="2"/>
        <v>0</v>
      </c>
      <c r="AL7" s="45">
        <f t="shared" si="3"/>
        <v>0</v>
      </c>
      <c r="AM7" s="45">
        <f t="shared" si="4"/>
        <v>0.92338468853333255</v>
      </c>
      <c r="AN7" s="45">
        <f t="shared" si="5"/>
        <v>0.56871670630461513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0.57828422220821485</v>
      </c>
      <c r="AU7" s="45">
        <f t="shared" si="12"/>
        <v>0.24264146924047406</v>
      </c>
      <c r="AV7" s="45">
        <f t="shared" si="13"/>
        <v>0</v>
      </c>
      <c r="AW7" s="45">
        <f t="shared" si="14"/>
        <v>0</v>
      </c>
      <c r="AX7" s="45">
        <f t="shared" si="15"/>
        <v>4.9354920854522068E-2</v>
      </c>
      <c r="AY7" s="45">
        <f t="shared" si="16"/>
        <v>5.1088751942157076E-2</v>
      </c>
      <c r="AZ7" s="45">
        <f t="shared" si="17"/>
        <v>0</v>
      </c>
      <c r="BA7" s="45">
        <f t="shared" si="18"/>
        <v>0.78494094409189796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3.2402819980029793</v>
      </c>
      <c r="BG7" s="54">
        <f t="shared" si="24"/>
        <v>7</v>
      </c>
      <c r="BH7" s="86">
        <f t="shared" si="25"/>
        <v>3.5</v>
      </c>
      <c r="BI7" s="6"/>
    </row>
    <row r="8" spans="1:61" ht="24" x14ac:dyDescent="0.2">
      <c r="A8" s="286" t="s">
        <v>46</v>
      </c>
      <c r="B8" s="295">
        <f>_xlfn.XLOOKUP($B$1,cost!$A$16:$A$45,cost!$F$16:$F$45)</f>
        <v>190</v>
      </c>
      <c r="C8" s="7">
        <f t="shared" ref="C8:C19" si="26">B8*0.02</f>
        <v>3.8000000000000003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1.395676494258854E-2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0.42653752972846137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1.9741968341808826E-2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3.8881118028344805E-2</v>
      </c>
      <c r="BF8" s="44">
        <f t="shared" si="23"/>
        <v>0.49911738104120351</v>
      </c>
      <c r="BG8" s="54">
        <f t="shared" si="24"/>
        <v>1</v>
      </c>
      <c r="BH8" s="86">
        <f t="shared" si="25"/>
        <v>0.5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3.5544794144038447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3.5544794144038447</v>
      </c>
      <c r="BG9" s="54">
        <f t="shared" si="24"/>
        <v>8</v>
      </c>
      <c r="BH9" s="86">
        <f t="shared" si="25"/>
        <v>4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4.6169234426666632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4.6169234426666632</v>
      </c>
      <c r="BG10" s="54">
        <f t="shared" si="24"/>
        <v>10</v>
      </c>
      <c r="BH10" s="86">
        <f t="shared" si="25"/>
        <v>5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200</v>
      </c>
      <c r="C11" s="7">
        <f t="shared" si="26"/>
        <v>4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0.92338468853333255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0.92338468853333255</v>
      </c>
      <c r="BG11" s="54">
        <f t="shared" si="24"/>
        <v>2</v>
      </c>
      <c r="BH11" s="86">
        <f t="shared" si="25"/>
        <v>1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3.7494332111295865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3.7494332111295865</v>
      </c>
      <c r="BG12" s="54">
        <f t="shared" si="24"/>
        <v>8</v>
      </c>
      <c r="BH12" s="86">
        <f t="shared" si="25"/>
        <v>4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6.9783824712942699E-2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0.14868439740271985</v>
      </c>
      <c r="AQ13" s="45">
        <f t="shared" si="8"/>
        <v>0.10800185209827079</v>
      </c>
      <c r="AR13" s="45">
        <f t="shared" si="9"/>
        <v>0</v>
      </c>
      <c r="AS13" s="45">
        <f t="shared" si="10"/>
        <v>0.13087835834485342</v>
      </c>
      <c r="AT13" s="45">
        <f t="shared" si="11"/>
        <v>0</v>
      </c>
      <c r="AU13" s="45">
        <f t="shared" si="12"/>
        <v>0</v>
      </c>
      <c r="AV13" s="45">
        <f t="shared" si="13"/>
        <v>0.31240644612537799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0.76975487868416481</v>
      </c>
      <c r="BG13" s="54">
        <f t="shared" si="24"/>
        <v>2</v>
      </c>
      <c r="BH13" s="86">
        <f t="shared" si="25"/>
        <v>1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5.5827059770354161E-2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0.1786831707287963</v>
      </c>
      <c r="BD14" s="45">
        <f t="shared" si="21"/>
        <v>0</v>
      </c>
      <c r="BE14" s="45">
        <f t="shared" si="22"/>
        <v>0</v>
      </c>
      <c r="BF14" s="44">
        <f t="shared" si="23"/>
        <v>0.23451023049915046</v>
      </c>
      <c r="BG14" s="54">
        <f t="shared" si="24"/>
        <v>1</v>
      </c>
      <c r="BH14" s="86">
        <f t="shared" si="25"/>
        <v>0.5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2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6.9783824712942699E-2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0.3717109935067997</v>
      </c>
      <c r="AQ15" s="45">
        <f t="shared" si="8"/>
        <v>0.270004630245677</v>
      </c>
      <c r="AR15" s="45">
        <f t="shared" si="9"/>
        <v>0</v>
      </c>
      <c r="AS15" s="45">
        <f t="shared" si="10"/>
        <v>0.3271958958621336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0.46130465564653717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1.4999999999740901</v>
      </c>
      <c r="BG15" s="54">
        <f t="shared" si="24"/>
        <v>3</v>
      </c>
      <c r="BH15" s="86">
        <f t="shared" si="25"/>
        <v>1.5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6.9783824712942699E-2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0.10217750388431415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0.17196132859725685</v>
      </c>
      <c r="BG16" s="54">
        <f t="shared" si="24"/>
        <v>1</v>
      </c>
      <c r="BH16" s="86">
        <f t="shared" si="25"/>
        <v>0.5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6.9783824712942699E-2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0.14868439740271985</v>
      </c>
      <c r="AQ17" s="45">
        <f t="shared" si="8"/>
        <v>0.10800185209827079</v>
      </c>
      <c r="AR17" s="45">
        <f t="shared" si="9"/>
        <v>0</v>
      </c>
      <c r="AS17" s="45">
        <f t="shared" si="10"/>
        <v>0.13087835834485342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0.45734843255878677</v>
      </c>
      <c r="BG17" s="54">
        <f t="shared" si="24"/>
        <v>1</v>
      </c>
      <c r="BH17" s="86">
        <f t="shared" si="25"/>
        <v>0.5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0.1327634319019125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0.1327634319019125</v>
      </c>
      <c r="BG18" s="54">
        <f t="shared" si="24"/>
        <v>1</v>
      </c>
      <c r="BH18" s="86">
        <f t="shared" si="25"/>
        <v>0.5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2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1.2108801588560112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1.2022230708259087</v>
      </c>
      <c r="BE19" s="45">
        <f t="shared" si="27"/>
        <v>0</v>
      </c>
      <c r="BF19" s="44">
        <f t="shared" si="23"/>
        <v>2.4131032296819201</v>
      </c>
      <c r="BG19" s="54">
        <f>ROUNDUP(BF19*2, 0)</f>
        <v>5</v>
      </c>
      <c r="BH19" s="86">
        <f>CEILING($BG$1*BG19, 0.5)</f>
        <v>2.5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26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30.516273146970953</v>
      </c>
      <c r="BG20" s="54">
        <f>SUM(BG4:BG19)</f>
        <v>67</v>
      </c>
      <c r="BH20" s="86">
        <f>SUM(BH4:BH19)</f>
        <v>33.5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71.099999999999994</v>
      </c>
      <c r="L21" s="4">
        <f t="shared" si="28"/>
        <v>10.5</v>
      </c>
      <c r="M21" s="4">
        <f t="shared" si="28"/>
        <v>38</v>
      </c>
      <c r="N21" s="4">
        <f t="shared" si="28"/>
        <v>18</v>
      </c>
      <c r="O21" s="4">
        <f t="shared" si="28"/>
        <v>16.2</v>
      </c>
      <c r="P21" s="4">
        <f t="shared" si="28"/>
        <v>10.5</v>
      </c>
      <c r="Q21" s="4">
        <f t="shared" si="28"/>
        <v>16.3</v>
      </c>
      <c r="R21" s="4">
        <f t="shared" si="28"/>
        <v>16.3</v>
      </c>
      <c r="S21" s="4">
        <f t="shared" si="28"/>
        <v>6.75</v>
      </c>
      <c r="T21" s="4">
        <f t="shared" si="28"/>
        <v>16.3</v>
      </c>
      <c r="U21" s="4">
        <f t="shared" si="28"/>
        <v>10</v>
      </c>
      <c r="V21" s="4">
        <f t="shared" si="28"/>
        <v>20</v>
      </c>
      <c r="W21" s="4">
        <f t="shared" si="28"/>
        <v>17.5</v>
      </c>
      <c r="X21" s="4">
        <f t="shared" si="28"/>
        <v>11.25</v>
      </c>
      <c r="Y21" s="4">
        <f t="shared" si="28"/>
        <v>31.8</v>
      </c>
      <c r="Z21" s="4">
        <f t="shared" si="28"/>
        <v>31</v>
      </c>
      <c r="AA21" s="4">
        <f t="shared" si="28"/>
        <v>9</v>
      </c>
      <c r="AB21" s="4">
        <f t="shared" si="28"/>
        <v>10</v>
      </c>
      <c r="AC21" s="4">
        <f t="shared" si="28"/>
        <v>6.75</v>
      </c>
      <c r="AD21" s="4">
        <f t="shared" si="28"/>
        <v>26.400000000000002</v>
      </c>
      <c r="AE21" s="4">
        <f t="shared" si="28"/>
        <v>11.25</v>
      </c>
      <c r="AF21" s="4">
        <f t="shared" si="28"/>
        <v>22.8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2690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1.4219999999999999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0.36</v>
      </c>
      <c r="O22" s="4">
        <f t="shared" si="29"/>
        <v>0.32400000000000001</v>
      </c>
      <c r="P22" s="4">
        <f t="shared" si="29"/>
        <v>0.21000000000000002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0.13500000000000001</v>
      </c>
      <c r="T22" s="4">
        <f t="shared" si="29"/>
        <v>0.32600000000000001</v>
      </c>
      <c r="U22" s="4">
        <f t="shared" si="29"/>
        <v>0.2</v>
      </c>
      <c r="V22" s="4">
        <f t="shared" si="29"/>
        <v>0.4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0.63600000000000012</v>
      </c>
      <c r="Z22" s="4">
        <f t="shared" si="29"/>
        <v>0.62000000000000011</v>
      </c>
      <c r="AA22" s="4">
        <f t="shared" si="29"/>
        <v>0.18000000000000002</v>
      </c>
      <c r="AB22" s="4">
        <f t="shared" si="29"/>
        <v>0.2</v>
      </c>
      <c r="AC22" s="4">
        <f t="shared" si="29"/>
        <v>0.13500000000000001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0.45600000000000002</v>
      </c>
      <c r="AG22" s="9"/>
      <c r="BF22" s="432" t="s">
        <v>131</v>
      </c>
      <c r="BG22" s="432"/>
      <c r="BH22" s="41">
        <f>SUMPRODUCT(B4:B19,BH4:BH19)</f>
        <v>3572.5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69.677999999999997</v>
      </c>
      <c r="L25" s="69">
        <f t="shared" si="31"/>
        <v>10.29</v>
      </c>
      <c r="M25" s="69">
        <f t="shared" si="31"/>
        <v>37.24</v>
      </c>
      <c r="N25" s="69">
        <f t="shared" si="31"/>
        <v>17.64</v>
      </c>
      <c r="O25" s="69">
        <f t="shared" si="31"/>
        <v>15.875999999999999</v>
      </c>
      <c r="P25" s="69">
        <f t="shared" si="31"/>
        <v>10.29</v>
      </c>
      <c r="Q25" s="69">
        <f t="shared" si="31"/>
        <v>15.974</v>
      </c>
      <c r="R25" s="69">
        <f t="shared" si="31"/>
        <v>15.974</v>
      </c>
      <c r="S25" s="69">
        <f t="shared" si="31"/>
        <v>6.6150000000000002</v>
      </c>
      <c r="T25" s="69">
        <f t="shared" si="31"/>
        <v>15.974</v>
      </c>
      <c r="U25" s="69">
        <f t="shared" si="31"/>
        <v>9.8000000000000007</v>
      </c>
      <c r="V25" s="69">
        <f t="shared" si="31"/>
        <v>19.600000000000001</v>
      </c>
      <c r="W25" s="69">
        <f t="shared" si="31"/>
        <v>17.149999999999999</v>
      </c>
      <c r="X25" s="69">
        <f t="shared" si="31"/>
        <v>11.025</v>
      </c>
      <c r="Y25" s="69">
        <f t="shared" si="31"/>
        <v>31.164000000000001</v>
      </c>
      <c r="Z25" s="69">
        <f t="shared" si="31"/>
        <v>30.38</v>
      </c>
      <c r="AA25" s="69">
        <f t="shared" si="31"/>
        <v>8.82</v>
      </c>
      <c r="AB25" s="69">
        <f t="shared" si="31"/>
        <v>9.8000000000000007</v>
      </c>
      <c r="AC25" s="69">
        <f t="shared" si="31"/>
        <v>6.6150000000000002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22.344000000000001</v>
      </c>
      <c r="AG25" s="16"/>
      <c r="BF25" s="434" t="s">
        <v>42</v>
      </c>
      <c r="BG25" s="434"/>
      <c r="BH25" s="39">
        <f>AG50+AG51-AG52-BH22</f>
        <v>11799.659868463255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132.6</v>
      </c>
      <c r="L26" s="4">
        <f t="shared" si="32"/>
        <v>51</v>
      </c>
      <c r="M26" s="4">
        <f t="shared" si="32"/>
        <v>16</v>
      </c>
      <c r="N26" s="4">
        <f t="shared" si="32"/>
        <v>29.8</v>
      </c>
      <c r="O26" s="4">
        <f t="shared" si="32"/>
        <v>47</v>
      </c>
      <c r="P26" s="4">
        <f t="shared" si="32"/>
        <v>40.1</v>
      </c>
      <c r="Q26" s="4">
        <f t="shared" si="32"/>
        <v>34.6</v>
      </c>
      <c r="R26" s="4">
        <f t="shared" si="32"/>
        <v>34.6</v>
      </c>
      <c r="S26" s="4">
        <f t="shared" si="32"/>
        <v>43.55</v>
      </c>
      <c r="T26" s="4">
        <f t="shared" si="32"/>
        <v>54.6</v>
      </c>
      <c r="U26" s="4">
        <f t="shared" si="32"/>
        <v>60.5</v>
      </c>
      <c r="V26" s="4">
        <f t="shared" si="32"/>
        <v>31.3</v>
      </c>
      <c r="W26" s="4">
        <f t="shared" si="32"/>
        <v>63.2</v>
      </c>
      <c r="X26" s="4">
        <f t="shared" si="32"/>
        <v>51.25</v>
      </c>
      <c r="Y26" s="4">
        <f t="shared" si="32"/>
        <v>30.099999999999998</v>
      </c>
      <c r="Z26" s="4">
        <f t="shared" si="32"/>
        <v>30.5</v>
      </c>
      <c r="AA26" s="4">
        <f t="shared" si="32"/>
        <v>41.5</v>
      </c>
      <c r="AB26" s="4">
        <f t="shared" si="32"/>
        <v>40.5</v>
      </c>
      <c r="AC26" s="4">
        <f t="shared" si="32"/>
        <v>43.55</v>
      </c>
      <c r="AD26" s="4">
        <f t="shared" si="32"/>
        <v>34.399999999999991</v>
      </c>
      <c r="AE26" s="4">
        <f t="shared" si="32"/>
        <v>111.25</v>
      </c>
      <c r="AF26" s="4">
        <f t="shared" si="32"/>
        <v>78.7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0.65553347373416782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0.62816188870151779</v>
      </c>
      <c r="O27" s="70">
        <f t="shared" si="33"/>
        <v>0.74750302182072659</v>
      </c>
      <c r="P27" s="70">
        <f t="shared" si="33"/>
        <v>0.79579281603492757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0.86813515399182695</v>
      </c>
      <c r="T27" s="70">
        <f t="shared" si="33"/>
        <v>0.77365602063082728</v>
      </c>
      <c r="U27" s="70">
        <f t="shared" si="33"/>
        <v>0.86059743954480805</v>
      </c>
      <c r="V27" s="70">
        <f t="shared" si="33"/>
        <v>0.61493123772102154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0.49131627056672761</v>
      </c>
      <c r="Z27" s="70">
        <f t="shared" si="33"/>
        <v>0.50098554533508544</v>
      </c>
      <c r="AA27" s="70">
        <f t="shared" si="33"/>
        <v>0.82472178060413359</v>
      </c>
      <c r="AB27" s="70">
        <f t="shared" si="33"/>
        <v>0.80516898608349907</v>
      </c>
      <c r="AC27" s="70">
        <f t="shared" si="33"/>
        <v>0.86813515399182695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0.77886861169391541</v>
      </c>
      <c r="AG27" s="9"/>
      <c r="BF27" s="430" t="s">
        <v>130</v>
      </c>
      <c r="BG27" s="430"/>
      <c r="BH27" s="40">
        <f>BH25-AG41</f>
        <v>879.3333010782153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75.227709238718006</v>
      </c>
      <c r="K28" s="72">
        <v>1.395676494258854</v>
      </c>
      <c r="L28" s="72">
        <v>24.996221407530577</v>
      </c>
      <c r="M28" s="72">
        <v>0.33190857975478122</v>
      </c>
      <c r="N28" s="72">
        <v>23.084617213333313</v>
      </c>
      <c r="O28" s="72">
        <v>14.217917657615379</v>
      </c>
      <c r="P28" s="72">
        <v>36.91115462308035</v>
      </c>
      <c r="Q28" s="72">
        <v>7.4342198701359932</v>
      </c>
      <c r="R28" s="72">
        <v>5.4000926049135396</v>
      </c>
      <c r="S28" s="72">
        <v>18.570467832614465</v>
      </c>
      <c r="T28" s="72">
        <v>6.5439179172426716</v>
      </c>
      <c r="U28" s="72">
        <v>11.565684444164296</v>
      </c>
      <c r="V28" s="72">
        <v>4.852829384809481</v>
      </c>
      <c r="W28" s="72">
        <v>4.4629492303625424</v>
      </c>
      <c r="X28" s="72">
        <v>4.8435206354240448</v>
      </c>
      <c r="Y28" s="72">
        <v>0.98709841709044133</v>
      </c>
      <c r="Z28" s="72">
        <v>1.0217750388431415</v>
      </c>
      <c r="AA28" s="72">
        <v>9.2260931129307426</v>
      </c>
      <c r="AB28" s="72">
        <v>15.698818881837958</v>
      </c>
      <c r="AC28" s="72">
        <v>2.7583100035524266</v>
      </c>
      <c r="AD28" s="72">
        <v>2.2335396341099538</v>
      </c>
      <c r="AE28" s="72">
        <v>4.8088922833036349</v>
      </c>
      <c r="AF28" s="72">
        <v>1.9440559014172401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35.460992907801419</v>
      </c>
      <c r="Q29" s="74">
        <f>(F13/Q13)*(6/20)</f>
        <v>15</v>
      </c>
      <c r="R29" s="74">
        <f>(F13/R13)*(3/20)</f>
        <v>7.5</v>
      </c>
      <c r="S29" s="74">
        <f>(F6/S6)*(12/47)</f>
        <v>17.021276595744681</v>
      </c>
      <c r="T29" s="74">
        <f>(F13/T13)*(3/20)</f>
        <v>7.5</v>
      </c>
      <c r="U29" s="74">
        <f>(F7/U7)*(6/47)</f>
        <v>7.6595744680851059</v>
      </c>
      <c r="V29" s="74">
        <f>(F7/V7)*(3/47)</f>
        <v>3.8297872340425529</v>
      </c>
      <c r="W29" s="74">
        <f>(F13/W13)*(8/20)</f>
        <v>5.7142857142857144</v>
      </c>
      <c r="X29" s="74">
        <f>(F19/X19)*(3/4)</f>
        <v>6</v>
      </c>
      <c r="Y29" s="74">
        <f>(F7/Y7)*(1/29)</f>
        <v>2.0689655172413794</v>
      </c>
      <c r="Z29" s="74">
        <f>(F16/Z16)*(4/5)</f>
        <v>0</v>
      </c>
      <c r="AA29" s="74">
        <f>(F15/AA15)*(4/16)</f>
        <v>10</v>
      </c>
      <c r="AB29" s="74">
        <f>(F7/AB7)*(11/47)</f>
        <v>14.042553191489361</v>
      </c>
      <c r="AC29" s="74">
        <f>(F6/AC6)*(1/47)</f>
        <v>1.4184397163120568</v>
      </c>
      <c r="AD29" s="74">
        <f>(F14/AD14)</f>
        <v>0</v>
      </c>
      <c r="AE29" s="74">
        <f>(F19/AE19)*(1/4)</f>
        <v>2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0.45779735069365884</v>
      </c>
      <c r="K30" s="70">
        <f t="shared" si="34"/>
        <v>-1.1904761904761905</v>
      </c>
      <c r="L30" s="70">
        <f t="shared" si="34"/>
        <v>0.27586206896551724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1.0416666666666667</v>
      </c>
      <c r="P30" s="70">
        <f t="shared" si="34"/>
        <v>0.73467903255137301</v>
      </c>
      <c r="Q30" s="70">
        <f t="shared" si="34"/>
        <v>1.3015184381778742</v>
      </c>
      <c r="R30" s="70">
        <f t="shared" si="34"/>
        <v>1.2110726643598615</v>
      </c>
      <c r="S30" s="70">
        <f t="shared" si="34"/>
        <v>0.93816100535025493</v>
      </c>
      <c r="T30" s="70">
        <f t="shared" si="34"/>
        <v>1.0416666666666667</v>
      </c>
      <c r="U30" s="70">
        <f t="shared" si="34"/>
        <v>0.59056710622117947</v>
      </c>
      <c r="V30" s="70">
        <f t="shared" si="34"/>
        <v>0.13192165883029458</v>
      </c>
      <c r="W30" s="70">
        <f t="shared" si="34"/>
        <v>1.209865053513262</v>
      </c>
      <c r="X30" s="70">
        <f t="shared" si="34"/>
        <v>1.5228426395939088</v>
      </c>
      <c r="Y30" s="70">
        <f t="shared" si="34"/>
        <v>0.75279261777561934</v>
      </c>
      <c r="Z30" s="70">
        <f t="shared" si="34"/>
        <v>-0.64516129032258063</v>
      </c>
      <c r="AA30" s="70">
        <f t="shared" si="34"/>
        <v>1.1627906976744187</v>
      </c>
      <c r="AB30" s="70">
        <f t="shared" si="34"/>
        <v>0.64897724472192553</v>
      </c>
      <c r="AC30" s="70">
        <f t="shared" si="34"/>
        <v>0.2682305873795236</v>
      </c>
      <c r="AD30" s="70">
        <f t="shared" si="34"/>
        <v>-1.6528925619834711</v>
      </c>
      <c r="AE30" s="70">
        <f t="shared" si="34"/>
        <v>0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0.35925323817455834</v>
      </c>
      <c r="K31" s="70">
        <f t="shared" ref="K31:AF31" si="35">NORMDIST(K30,0,1,FALSE)</f>
        <v>0.19640914652400149</v>
      </c>
      <c r="L31" s="70">
        <f t="shared" si="35"/>
        <v>0.38404771597918042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0.23189438328624271</v>
      </c>
      <c r="P31" s="70">
        <f t="shared" si="35"/>
        <v>0.30458192705896603</v>
      </c>
      <c r="Q31" s="70">
        <f t="shared" si="35"/>
        <v>0.17103045213676746</v>
      </c>
      <c r="R31" s="70">
        <f t="shared" si="35"/>
        <v>0.19161118613778638</v>
      </c>
      <c r="S31" s="70">
        <f t="shared" si="35"/>
        <v>0.25691459379413667</v>
      </c>
      <c r="T31" s="70">
        <f t="shared" si="35"/>
        <v>0.23189438328624271</v>
      </c>
      <c r="U31" s="70">
        <f t="shared" si="35"/>
        <v>0.3351010044835166</v>
      </c>
      <c r="V31" s="70">
        <f t="shared" si="35"/>
        <v>0.39548587953186165</v>
      </c>
      <c r="W31" s="70">
        <f t="shared" si="35"/>
        <v>0.1918914834573347</v>
      </c>
      <c r="X31" s="70">
        <f t="shared" si="35"/>
        <v>0.1251223293178855</v>
      </c>
      <c r="Y31" s="70">
        <f t="shared" si="35"/>
        <v>0.30050619911253779</v>
      </c>
      <c r="Z31" s="70">
        <f t="shared" si="35"/>
        <v>0.32398596615315295</v>
      </c>
      <c r="AA31" s="70">
        <f t="shared" si="35"/>
        <v>0.2029126604716732</v>
      </c>
      <c r="AB31" s="70">
        <f t="shared" si="35"/>
        <v>0.32318697111623867</v>
      </c>
      <c r="AC31" s="70">
        <f t="shared" si="35"/>
        <v>0.38484587204181958</v>
      </c>
      <c r="AD31" s="70">
        <f t="shared" si="35"/>
        <v>0.10177757907817411</v>
      </c>
      <c r="AE31" s="70">
        <f t="shared" si="35"/>
        <v>0.3989422804014327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0.67645098032399109</v>
      </c>
      <c r="K32" s="70">
        <f t="shared" ref="K32:AF32" si="36">NORMDIST(K30,0,1,TRUE)</f>
        <v>0.11692964134637239</v>
      </c>
      <c r="L32" s="70">
        <f t="shared" si="36"/>
        <v>0.60867299579262324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0.85121687581824801</v>
      </c>
      <c r="P32" s="70">
        <f t="shared" si="36"/>
        <v>0.76873250358248335</v>
      </c>
      <c r="Q32" s="70">
        <f t="shared" si="36"/>
        <v>0.90345947127020609</v>
      </c>
      <c r="R32" s="70">
        <f t="shared" si="36"/>
        <v>0.88706622156702475</v>
      </c>
      <c r="S32" s="70">
        <f t="shared" si="36"/>
        <v>0.82591916269481458</v>
      </c>
      <c r="T32" s="70">
        <f t="shared" si="36"/>
        <v>0.85121687581824801</v>
      </c>
      <c r="U32" s="70">
        <f t="shared" si="36"/>
        <v>0.72259474492746256</v>
      </c>
      <c r="V32" s="70">
        <f t="shared" si="36"/>
        <v>0.55247687145932511</v>
      </c>
      <c r="W32" s="70">
        <f t="shared" si="36"/>
        <v>0.88683466058836546</v>
      </c>
      <c r="X32" s="70">
        <f t="shared" si="36"/>
        <v>0.93610096034524259</v>
      </c>
      <c r="Y32" s="70">
        <f t="shared" si="36"/>
        <v>0.77421272821047848</v>
      </c>
      <c r="Z32" s="70">
        <f t="shared" si="36"/>
        <v>0.25941133433509533</v>
      </c>
      <c r="AA32" s="70">
        <f t="shared" si="36"/>
        <v>0.87754278386503259</v>
      </c>
      <c r="AB32" s="70">
        <f t="shared" si="36"/>
        <v>0.7418234577444639</v>
      </c>
      <c r="AC32" s="70">
        <f t="shared" si="36"/>
        <v>0.60573908397805565</v>
      </c>
      <c r="AD32" s="70">
        <f t="shared" si="36"/>
        <v>4.9176365594524589E-2</v>
      </c>
      <c r="AE32" s="70">
        <f t="shared" si="36"/>
        <v>0.5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0.21113335414735096</v>
      </c>
      <c r="K33" s="70">
        <f t="shared" ref="K33:AF33" si="37">K31-(K30*(1-K32))</f>
        <v>1.2476833830164151</v>
      </c>
      <c r="L33" s="70">
        <f t="shared" si="37"/>
        <v>0.27609543895645577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7.6911962263584377E-2</v>
      </c>
      <c r="P33" s="70">
        <f t="shared" si="37"/>
        <v>0.13467454653036678</v>
      </c>
      <c r="Q33" s="70">
        <f t="shared" si="37"/>
        <v>4.5381173963499916E-2</v>
      </c>
      <c r="R33" s="70">
        <f t="shared" si="37"/>
        <v>5.4840174194736774E-2</v>
      </c>
      <c r="S33" s="70">
        <f t="shared" si="37"/>
        <v>9.359874045568975E-2</v>
      </c>
      <c r="T33" s="70">
        <f t="shared" si="37"/>
        <v>7.6911962263584377E-2</v>
      </c>
      <c r="U33" s="70">
        <f t="shared" si="37"/>
        <v>0.17127458574477999</v>
      </c>
      <c r="V33" s="70">
        <f t="shared" si="37"/>
        <v>0.33644788604985265</v>
      </c>
      <c r="W33" s="70">
        <f t="shared" si="37"/>
        <v>5.4976694034231027E-2</v>
      </c>
      <c r="X33" s="70">
        <f t="shared" si="37"/>
        <v>2.781414710251888E-2</v>
      </c>
      <c r="Y33" s="70">
        <f t="shared" si="37"/>
        <v>0.13053520772168864</v>
      </c>
      <c r="Z33" s="70">
        <f t="shared" si="37"/>
        <v>0.80178510529180103</v>
      </c>
      <c r="AA33" s="70">
        <f t="shared" si="37"/>
        <v>6.0520548686827352E-2</v>
      </c>
      <c r="AB33" s="70">
        <f t="shared" si="37"/>
        <v>0.15563627007140707</v>
      </c>
      <c r="AC33" s="70">
        <f t="shared" si="37"/>
        <v>0.27909303495646443</v>
      </c>
      <c r="AD33" s="70">
        <f t="shared" si="37"/>
        <v>1.6733868921450756</v>
      </c>
      <c r="AE33" s="70">
        <f t="shared" si="37"/>
        <v>0.3989422804014327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4.1825517456590227</v>
      </c>
      <c r="K34" s="74">
        <f t="shared" si="38"/>
        <v>1.0480540417337887</v>
      </c>
      <c r="L34" s="74">
        <f t="shared" si="38"/>
        <v>2.0016919324343045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0.369177418865205</v>
      </c>
      <c r="P34" s="74">
        <f t="shared" si="38"/>
        <v>2.1009229258737219</v>
      </c>
      <c r="Q34" s="74">
        <f t="shared" si="38"/>
        <v>0.41841442394346923</v>
      </c>
      <c r="R34" s="74">
        <f t="shared" si="38"/>
        <v>0.15848810342278929</v>
      </c>
      <c r="S34" s="74">
        <f t="shared" si="38"/>
        <v>0.80026923089614743</v>
      </c>
      <c r="T34" s="74">
        <f t="shared" si="38"/>
        <v>0.25842419320564347</v>
      </c>
      <c r="U34" s="74">
        <f t="shared" si="38"/>
        <v>1.3513564815263142</v>
      </c>
      <c r="V34" s="74">
        <f t="shared" si="38"/>
        <v>2.1162572032535731</v>
      </c>
      <c r="W34" s="74">
        <f t="shared" si="38"/>
        <v>0.16877845068508923</v>
      </c>
      <c r="X34" s="74">
        <f t="shared" si="38"/>
        <v>5.4793869791962192E-2</v>
      </c>
      <c r="Y34" s="74">
        <f t="shared" si="38"/>
        <v>0.18535999496479785</v>
      </c>
      <c r="Z34" s="74">
        <f t="shared" si="38"/>
        <v>1.2427669132022916</v>
      </c>
      <c r="AA34" s="74">
        <f t="shared" si="38"/>
        <v>0.2081906874826861</v>
      </c>
      <c r="AB34" s="74">
        <f t="shared" si="38"/>
        <v>1.2092938184548327</v>
      </c>
      <c r="AC34" s="74">
        <f t="shared" si="38"/>
        <v>0.43538513453208449</v>
      </c>
      <c r="AD34" s="74">
        <f t="shared" si="38"/>
        <v>2.0247981394955414</v>
      </c>
      <c r="AE34" s="74">
        <f t="shared" si="38"/>
        <v>0.82581052043096559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48.817448254340974</v>
      </c>
      <c r="K35" s="74">
        <f t="shared" si="39"/>
        <v>-4.8054041733788688E-2</v>
      </c>
      <c r="L35" s="74">
        <f t="shared" si="39"/>
        <v>15.998308067565695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10.630822581134796</v>
      </c>
      <c r="P35" s="74">
        <f t="shared" si="39"/>
        <v>21.899077074126279</v>
      </c>
      <c r="Q35" s="74">
        <f t="shared" si="39"/>
        <v>2.5815855760565309</v>
      </c>
      <c r="R35" s="74">
        <f t="shared" si="39"/>
        <v>3.8415118965772108</v>
      </c>
      <c r="S35" s="74">
        <f t="shared" si="39"/>
        <v>8.1997307691038532</v>
      </c>
      <c r="T35" s="74">
        <f t="shared" si="39"/>
        <v>3.7415758067943568</v>
      </c>
      <c r="U35" s="74">
        <f t="shared" si="39"/>
        <v>1.6486435184736858</v>
      </c>
      <c r="V35" s="74">
        <f t="shared" si="39"/>
        <v>0.88374279674642686</v>
      </c>
      <c r="W35" s="74">
        <f t="shared" si="39"/>
        <v>1.8312215493149107</v>
      </c>
      <c r="X35" s="74">
        <f t="shared" si="39"/>
        <v>2.9452061302080379</v>
      </c>
      <c r="Y35" s="74">
        <f t="shared" si="39"/>
        <v>0.81464000503520217</v>
      </c>
      <c r="Z35" s="74">
        <f t="shared" si="39"/>
        <v>-0.2427669132022916</v>
      </c>
      <c r="AA35" s="74">
        <f t="shared" si="39"/>
        <v>5.791809312517314</v>
      </c>
      <c r="AB35" s="74">
        <f t="shared" si="39"/>
        <v>7.7907061815451675</v>
      </c>
      <c r="AC35" s="74">
        <f t="shared" si="39"/>
        <v>0.56461486546791551</v>
      </c>
      <c r="AD35" s="74">
        <f t="shared" si="39"/>
        <v>-2.4798139495541438E-2</v>
      </c>
      <c r="AE35" s="74">
        <f t="shared" si="39"/>
        <v>1.1741894795690344</v>
      </c>
      <c r="AF35" s="74">
        <f t="shared" si="39"/>
        <v>0.69099903829292908</v>
      </c>
      <c r="AG35" s="187">
        <f>SUM(J35:AF35)</f>
        <v>155.47279255676008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13.251517262900407</v>
      </c>
      <c r="K36" s="74">
        <f t="shared" ref="K36:AF36" si="40">K29-K35</f>
        <v>4.8054041733788688E-2</v>
      </c>
      <c r="L36" s="74">
        <f t="shared" si="40"/>
        <v>4.001691932434305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5.3691774188652044</v>
      </c>
      <c r="P36" s="74">
        <f t="shared" si="40"/>
        <v>13.56191583367514</v>
      </c>
      <c r="Q36" s="74">
        <f t="shared" si="40"/>
        <v>12.418414423943469</v>
      </c>
      <c r="R36" s="74">
        <f t="shared" si="40"/>
        <v>3.6584881034227892</v>
      </c>
      <c r="S36" s="74">
        <f t="shared" si="40"/>
        <v>8.8215458266408273</v>
      </c>
      <c r="T36" s="74">
        <f t="shared" si="40"/>
        <v>3.7584241932056432</v>
      </c>
      <c r="U36" s="74">
        <f t="shared" si="40"/>
        <v>6.0109309496114198</v>
      </c>
      <c r="V36" s="74">
        <f t="shared" si="40"/>
        <v>2.9460444372961261</v>
      </c>
      <c r="W36" s="74">
        <f t="shared" si="40"/>
        <v>3.8830641649708038</v>
      </c>
      <c r="X36" s="74">
        <f t="shared" si="40"/>
        <v>3.0547938697919621</v>
      </c>
      <c r="Y36" s="74">
        <f t="shared" si="40"/>
        <v>1.2543255122061772</v>
      </c>
      <c r="Z36" s="74">
        <f t="shared" si="40"/>
        <v>0.2427669132022916</v>
      </c>
      <c r="AA36" s="74">
        <f t="shared" si="40"/>
        <v>4.208190687482686</v>
      </c>
      <c r="AB36" s="74">
        <f t="shared" si="40"/>
        <v>6.2518470099441936</v>
      </c>
      <c r="AC36" s="74">
        <f t="shared" si="40"/>
        <v>0.85382485084414128</v>
      </c>
      <c r="AD36" s="74">
        <f t="shared" si="40"/>
        <v>2.4798139495541438E-2</v>
      </c>
      <c r="AE36" s="74">
        <f t="shared" si="40"/>
        <v>0.82581052043096559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2440.8724127170485</v>
      </c>
      <c r="K37" s="70">
        <f t="shared" ref="K37:AF37" si="41">K20*K35</f>
        <v>-9.6108083467577377</v>
      </c>
      <c r="L37" s="70">
        <f t="shared" si="41"/>
        <v>959.89848405394173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637.84935486808774</v>
      </c>
      <c r="P37" s="70">
        <f t="shared" si="41"/>
        <v>1094.953853706314</v>
      </c>
      <c r="Q37" s="70">
        <f t="shared" si="41"/>
        <v>129.07927880282654</v>
      </c>
      <c r="R37" s="70">
        <f t="shared" si="41"/>
        <v>192.07559482886055</v>
      </c>
      <c r="S37" s="70">
        <f t="shared" si="41"/>
        <v>409.98653845519266</v>
      </c>
      <c r="T37" s="70">
        <f t="shared" si="41"/>
        <v>261.91030647560495</v>
      </c>
      <c r="U37" s="70">
        <f t="shared" si="41"/>
        <v>115.40504629315801</v>
      </c>
      <c r="V37" s="70">
        <f t="shared" si="41"/>
        <v>44.18713983732134</v>
      </c>
      <c r="W37" s="70">
        <f t="shared" si="41"/>
        <v>146.49772394519286</v>
      </c>
      <c r="X37" s="70">
        <f t="shared" si="41"/>
        <v>176.71236781248228</v>
      </c>
      <c r="Y37" s="70">
        <f t="shared" si="41"/>
        <v>48.878400302112134</v>
      </c>
      <c r="Z37" s="70">
        <f t="shared" si="41"/>
        <v>-14.566014792137496</v>
      </c>
      <c r="AA37" s="70">
        <f t="shared" si="41"/>
        <v>289.5904656258657</v>
      </c>
      <c r="AB37" s="70">
        <f t="shared" si="41"/>
        <v>389.53530907725838</v>
      </c>
      <c r="AC37" s="70">
        <f t="shared" si="41"/>
        <v>28.230743273395774</v>
      </c>
      <c r="AD37" s="70">
        <f t="shared" si="41"/>
        <v>-1.4878883697324863</v>
      </c>
      <c r="AE37" s="70">
        <f t="shared" si="41"/>
        <v>140.90273754828414</v>
      </c>
      <c r="AF37" s="70">
        <f t="shared" si="41"/>
        <v>69.099903829292913</v>
      </c>
      <c r="AG37" s="288">
        <f>SUM(J37:AF37)</f>
        <v>8264.7934174728362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660.78690831452877</v>
      </c>
      <c r="K38" s="70">
        <f t="shared" ref="K38:AF38" si="42">(K20-K22)*K36</f>
        <v>9.5424754994122907</v>
      </c>
      <c r="L38" s="70">
        <f t="shared" si="42"/>
        <v>239.26116064024708</v>
      </c>
      <c r="M38" s="70">
        <f t="shared" si="42"/>
        <v>25.836977878321211</v>
      </c>
      <c r="N38" s="70">
        <f t="shared" si="42"/>
        <v>380.89999685023088</v>
      </c>
      <c r="O38" s="70">
        <f t="shared" si="42"/>
        <v>320.41103164819992</v>
      </c>
      <c r="P38" s="70">
        <f t="shared" si="42"/>
        <v>675.24778935868528</v>
      </c>
      <c r="Q38" s="70">
        <f t="shared" si="42"/>
        <v>616.87231809496791</v>
      </c>
      <c r="R38" s="70">
        <f t="shared" si="42"/>
        <v>181.73173804942363</v>
      </c>
      <c r="S38" s="70">
        <f t="shared" si="42"/>
        <v>439.88638264544488</v>
      </c>
      <c r="T38" s="70">
        <f t="shared" si="42"/>
        <v>261.86444723740999</v>
      </c>
      <c r="U38" s="70">
        <f t="shared" si="42"/>
        <v>419.56298028287711</v>
      </c>
      <c r="V38" s="70">
        <f t="shared" si="42"/>
        <v>146.12380408988787</v>
      </c>
      <c r="W38" s="70">
        <f t="shared" si="42"/>
        <v>309.28606073992455</v>
      </c>
      <c r="X38" s="70">
        <f t="shared" si="42"/>
        <v>182.60030356681452</v>
      </c>
      <c r="Y38" s="70">
        <f t="shared" si="42"/>
        <v>74.461779706607501</v>
      </c>
      <c r="Z38" s="70">
        <f t="shared" si="42"/>
        <v>14.415499305952077</v>
      </c>
      <c r="AA38" s="70">
        <f t="shared" si="42"/>
        <v>209.6520600503874</v>
      </c>
      <c r="AB38" s="70">
        <f t="shared" si="42"/>
        <v>311.34198109522083</v>
      </c>
      <c r="AC38" s="70">
        <f t="shared" si="42"/>
        <v>42.575976187343109</v>
      </c>
      <c r="AD38" s="70">
        <f>(AD20-AD22)*AD36</f>
        <v>1.4747949520788404</v>
      </c>
      <c r="AE38" s="70">
        <f t="shared" si="42"/>
        <v>98.911455084618908</v>
      </c>
      <c r="AF38" s="70">
        <f t="shared" si="42"/>
        <v>68.517260697685913</v>
      </c>
      <c r="AG38" s="288">
        <f>SUM(J38:AF38)</f>
        <v>5691.2651819762696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2.5095310473954133</v>
      </c>
      <c r="K39" s="70">
        <f t="shared" ref="K39:AF39" si="43">K23*K34</f>
        <v>3.8777999544150181</v>
      </c>
      <c r="L39" s="70">
        <f t="shared" si="43"/>
        <v>3.0025378986514566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1.181367740368656</v>
      </c>
      <c r="P39" s="70">
        <f t="shared" si="43"/>
        <v>1.260553755524233</v>
      </c>
      <c r="Q39" s="70">
        <f t="shared" si="43"/>
        <v>0.37657298154912228</v>
      </c>
      <c r="R39" s="70">
        <f t="shared" si="43"/>
        <v>0.14263929308051035</v>
      </c>
      <c r="S39" s="70">
        <f t="shared" si="43"/>
        <v>0.24008076926884422</v>
      </c>
      <c r="T39" s="70">
        <f t="shared" si="43"/>
        <v>0.23258177388507911</v>
      </c>
      <c r="U39" s="70">
        <f t="shared" si="43"/>
        <v>0.67567824076315708</v>
      </c>
      <c r="V39" s="70">
        <f t="shared" si="43"/>
        <v>2.7511343642296451</v>
      </c>
      <c r="W39" s="70">
        <f t="shared" si="43"/>
        <v>0.11814491547956248</v>
      </c>
      <c r="X39" s="70">
        <f t="shared" si="43"/>
        <v>0.13698467447990548</v>
      </c>
      <c r="Y39" s="70">
        <f t="shared" si="43"/>
        <v>0.35218399043311593</v>
      </c>
      <c r="Z39" s="70">
        <f t="shared" si="43"/>
        <v>1.8641503698034374</v>
      </c>
      <c r="AA39" s="70">
        <f t="shared" si="43"/>
        <v>0.10409534374134305</v>
      </c>
      <c r="AB39" s="70">
        <f t="shared" si="43"/>
        <v>0.60464690922741637</v>
      </c>
      <c r="AC39" s="70">
        <f t="shared" si="43"/>
        <v>0.13061554035962533</v>
      </c>
      <c r="AD39" s="70">
        <f t="shared" si="43"/>
        <v>1.6198385115964333</v>
      </c>
      <c r="AE39" s="70">
        <f t="shared" si="43"/>
        <v>2.064526301077414</v>
      </c>
      <c r="AF39" s="70">
        <f t="shared" si="43"/>
        <v>0.46350144256060638</v>
      </c>
      <c r="AG39" s="288">
        <f t="shared" ref="AG39" si="44">SUM(J39:AF39)</f>
        <v>40.899603597447552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418.9655172413793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450</v>
      </c>
      <c r="O40" s="70">
        <f t="shared" si="45"/>
        <v>259.2</v>
      </c>
      <c r="P40" s="70">
        <f t="shared" si="45"/>
        <v>372.34042553191489</v>
      </c>
      <c r="Q40" s="70">
        <f t="shared" si="45"/>
        <v>244.5</v>
      </c>
      <c r="R40" s="70">
        <f t="shared" si="45"/>
        <v>122.25</v>
      </c>
      <c r="S40" s="70">
        <f t="shared" si="45"/>
        <v>114.8936170212766</v>
      </c>
      <c r="T40" s="70">
        <f t="shared" si="45"/>
        <v>122.25</v>
      </c>
      <c r="U40" s="70">
        <f t="shared" si="45"/>
        <v>76.595744680851055</v>
      </c>
      <c r="V40" s="70">
        <f t="shared" si="45"/>
        <v>76.595744680851055</v>
      </c>
      <c r="W40" s="70">
        <f t="shared" si="45"/>
        <v>100</v>
      </c>
      <c r="X40" s="70">
        <f t="shared" si="45"/>
        <v>67.5</v>
      </c>
      <c r="Y40" s="70">
        <f t="shared" si="45"/>
        <v>65.793103448275872</v>
      </c>
      <c r="Z40" s="70">
        <f t="shared" si="45"/>
        <v>0</v>
      </c>
      <c r="AA40" s="70">
        <f t="shared" si="45"/>
        <v>90</v>
      </c>
      <c r="AB40" s="70">
        <f t="shared" si="45"/>
        <v>140.42553191489361</v>
      </c>
      <c r="AC40" s="70">
        <f t="shared" si="45"/>
        <v>9.5744680851063837</v>
      </c>
      <c r="AD40" s="70">
        <f t="shared" si="45"/>
        <v>0</v>
      </c>
      <c r="AE40" s="70">
        <f t="shared" si="45"/>
        <v>22.5</v>
      </c>
      <c r="AF40" s="70">
        <f t="shared" si="45"/>
        <v>31.448275862068968</v>
      </c>
      <c r="AG40" s="289">
        <f>SUM(J40:AF40)</f>
        <v>2994.8324284666173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2680.1842727428029</v>
      </c>
      <c r="K41" s="76">
        <f t="shared" ref="K41:AF41" si="46">K37+K38-K40-K39</f>
        <v>-3.9461328017604651</v>
      </c>
      <c r="L41" s="76">
        <f t="shared" si="46"/>
        <v>986.15710679553729</v>
      </c>
      <c r="M41" s="76">
        <f t="shared" si="46"/>
        <v>-10.497644490268256</v>
      </c>
      <c r="N41" s="76">
        <f t="shared" si="46"/>
        <v>664.83664896848734</v>
      </c>
      <c r="O41" s="76">
        <f t="shared" si="46"/>
        <v>697.87901877591912</v>
      </c>
      <c r="P41" s="76">
        <f t="shared" si="46"/>
        <v>1396.6006637775602</v>
      </c>
      <c r="Q41" s="76">
        <f t="shared" si="46"/>
        <v>501.07502391624524</v>
      </c>
      <c r="R41" s="76">
        <f t="shared" si="46"/>
        <v>251.41469358520365</v>
      </c>
      <c r="S41" s="76">
        <f t="shared" si="46"/>
        <v>734.73922331009214</v>
      </c>
      <c r="T41" s="76">
        <f t="shared" si="46"/>
        <v>401.29217193912979</v>
      </c>
      <c r="U41" s="76">
        <f t="shared" si="46"/>
        <v>457.69660365442087</v>
      </c>
      <c r="V41" s="76">
        <f t="shared" si="46"/>
        <v>110.96406488212853</v>
      </c>
      <c r="W41" s="76">
        <f t="shared" si="46"/>
        <v>355.66563976963789</v>
      </c>
      <c r="X41" s="76">
        <f t="shared" si="46"/>
        <v>291.67568670481694</v>
      </c>
      <c r="Y41" s="76">
        <f t="shared" si="46"/>
        <v>57.194892570010651</v>
      </c>
      <c r="Z41" s="76">
        <f t="shared" si="46"/>
        <v>-2.0146658559888566</v>
      </c>
      <c r="AA41" s="76">
        <f t="shared" si="46"/>
        <v>409.13843033251175</v>
      </c>
      <c r="AB41" s="76">
        <f t="shared" si="46"/>
        <v>559.84711134835823</v>
      </c>
      <c r="AC41" s="76">
        <f t="shared" si="46"/>
        <v>61.10163583527288</v>
      </c>
      <c r="AD41" s="76">
        <f t="shared" si="46"/>
        <v>-1.6329319292500792</v>
      </c>
      <c r="AE41" s="76">
        <f t="shared" si="46"/>
        <v>215.24966633182561</v>
      </c>
      <c r="AF41" s="76">
        <f t="shared" si="46"/>
        <v>105.70538722234924</v>
      </c>
      <c r="AG41" s="290">
        <f>SUM(J41:AF41)</f>
        <v>10920.32656738504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1.1220448883754672</v>
      </c>
      <c r="K43" s="70">
        <f t="shared" si="47"/>
        <v>0.47104344554625477</v>
      </c>
      <c r="L43" s="70">
        <f t="shared" si="47"/>
        <v>0.96499605621111406</v>
      </c>
      <c r="M43" s="70">
        <f t="shared" si="47"/>
        <v>-0.51804081374075117</v>
      </c>
      <c r="N43" s="70">
        <f t="shared" si="47"/>
        <v>0.32808170388219388</v>
      </c>
      <c r="O43" s="70">
        <f t="shared" si="47"/>
        <v>0.67039951200320402</v>
      </c>
      <c r="P43" s="70">
        <f t="shared" si="47"/>
        <v>0.82763811686412503</v>
      </c>
      <c r="Q43" s="70">
        <f t="shared" si="47"/>
        <v>0.48093490999305777</v>
      </c>
      <c r="R43" s="70">
        <f t="shared" si="47"/>
        <v>0.4844611089666227</v>
      </c>
      <c r="S43" s="70">
        <f t="shared" si="47"/>
        <v>1.1193529628788847</v>
      </c>
      <c r="T43" s="70">
        <f t="shared" si="47"/>
        <v>0.75711842775079519</v>
      </c>
      <c r="U43" s="70">
        <f t="shared" si="47"/>
        <v>1.0856380791082758</v>
      </c>
      <c r="V43" s="70">
        <f t="shared" si="47"/>
        <v>0.29456746976303355</v>
      </c>
      <c r="W43" s="70">
        <f t="shared" si="47"/>
        <v>0.80226359295196825</v>
      </c>
      <c r="X43" s="70">
        <f t="shared" si="47"/>
        <v>0.93579727686499736</v>
      </c>
      <c r="Y43" s="70">
        <f t="shared" si="47"/>
        <v>-9.0856217672948408E-3</v>
      </c>
      <c r="Z43" s="70">
        <f t="shared" si="47"/>
        <v>1.4048412156865465E-2</v>
      </c>
      <c r="AA43" s="70">
        <f t="shared" si="47"/>
        <v>0.9378177653868438</v>
      </c>
      <c r="AB43" s="70">
        <f t="shared" si="47"/>
        <v>0.86213885223139752</v>
      </c>
      <c r="AC43" s="70">
        <f t="shared" si="47"/>
        <v>1.1271217971489913</v>
      </c>
      <c r="AD43" s="70">
        <f t="shared" si="47"/>
        <v>0.19300796207434201</v>
      </c>
      <c r="AE43" s="70">
        <f t="shared" si="47"/>
        <v>1.3569527938664905</v>
      </c>
      <c r="AF43" s="70">
        <f t="shared" si="47"/>
        <v>0.79332428690524381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0.21258127376346389</v>
      </c>
      <c r="K44" s="70">
        <f t="shared" ref="K44:AF44" si="48">NORMDIST(K43,0,1,FALSE)</f>
        <v>0.35704998357080936</v>
      </c>
      <c r="L44" s="70">
        <f t="shared" si="48"/>
        <v>0.25043716519774278</v>
      </c>
      <c r="M44" s="70">
        <f t="shared" si="48"/>
        <v>0.34884706026795881</v>
      </c>
      <c r="N44" s="70">
        <f t="shared" si="48"/>
        <v>0.37803921875827101</v>
      </c>
      <c r="O44" s="70">
        <f t="shared" si="48"/>
        <v>0.3186518071234748</v>
      </c>
      <c r="P44" s="70">
        <f t="shared" si="48"/>
        <v>0.28324841936351758</v>
      </c>
      <c r="Q44" s="70">
        <f t="shared" si="48"/>
        <v>0.35537286135303447</v>
      </c>
      <c r="R44" s="70">
        <f t="shared" si="48"/>
        <v>0.35476849951945666</v>
      </c>
      <c r="S44" s="70">
        <f t="shared" si="48"/>
        <v>0.21322356538852247</v>
      </c>
      <c r="T44" s="70">
        <f t="shared" si="48"/>
        <v>0.29952640849913176</v>
      </c>
      <c r="U44" s="70">
        <f t="shared" si="48"/>
        <v>0.22129833567878013</v>
      </c>
      <c r="V44" s="70">
        <f t="shared" si="48"/>
        <v>0.38200425552264722</v>
      </c>
      <c r="W44" s="70">
        <f t="shared" si="48"/>
        <v>0.28916669163229386</v>
      </c>
      <c r="X44" s="70">
        <f t="shared" si="48"/>
        <v>0.25748422963271411</v>
      </c>
      <c r="Y44" s="70">
        <f t="shared" si="48"/>
        <v>0.39892581469325561</v>
      </c>
      <c r="Z44" s="70">
        <f t="shared" si="48"/>
        <v>0.39890291514155091</v>
      </c>
      <c r="AA44" s="70">
        <f t="shared" si="48"/>
        <v>0.25699732216252819</v>
      </c>
      <c r="AB44" s="70">
        <f t="shared" si="48"/>
        <v>0.27511110809747835</v>
      </c>
      <c r="AC44" s="70">
        <f t="shared" si="48"/>
        <v>0.21137101894885479</v>
      </c>
      <c r="AD44" s="70">
        <f t="shared" si="48"/>
        <v>0.3915803415504362</v>
      </c>
      <c r="AE44" s="70">
        <f t="shared" si="48"/>
        <v>0.15888112854287811</v>
      </c>
      <c r="AF44" s="70">
        <f t="shared" si="48"/>
        <v>0.29123631995948956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0.86907832271682806</v>
      </c>
      <c r="K45" s="70">
        <f t="shared" ref="K45:AF45" si="49">NORMDIST(K43,0,1,TRUE)</f>
        <v>0.68119514493865185</v>
      </c>
      <c r="L45" s="70">
        <f t="shared" si="49"/>
        <v>0.83272660643917551</v>
      </c>
      <c r="M45" s="70">
        <f t="shared" si="49"/>
        <v>0.30221489676136187</v>
      </c>
      <c r="N45" s="70">
        <f t="shared" si="49"/>
        <v>0.62857505637400146</v>
      </c>
      <c r="O45" s="70">
        <f t="shared" si="49"/>
        <v>0.74869842717286084</v>
      </c>
      <c r="P45" s="70">
        <f t="shared" si="49"/>
        <v>0.79606226257730139</v>
      </c>
      <c r="Q45" s="70">
        <f t="shared" si="49"/>
        <v>0.68471861977894388</v>
      </c>
      <c r="R45" s="70">
        <f t="shared" si="49"/>
        <v>0.6859706706429054</v>
      </c>
      <c r="S45" s="70">
        <f t="shared" si="49"/>
        <v>0.86850520535387432</v>
      </c>
      <c r="T45" s="70">
        <f t="shared" si="49"/>
        <v>0.77551054260051411</v>
      </c>
      <c r="U45" s="70">
        <f t="shared" si="49"/>
        <v>0.86118042712075682</v>
      </c>
      <c r="V45" s="70">
        <f t="shared" si="49"/>
        <v>0.61583784228582639</v>
      </c>
      <c r="W45" s="70">
        <f t="shared" si="49"/>
        <v>0.78879975123790236</v>
      </c>
      <c r="X45" s="70">
        <f t="shared" si="49"/>
        <v>0.8253112130844027</v>
      </c>
      <c r="Y45" s="70">
        <f t="shared" si="49"/>
        <v>0.49637541120076767</v>
      </c>
      <c r="Z45" s="70">
        <f t="shared" si="49"/>
        <v>0.50560432123844246</v>
      </c>
      <c r="AA45" s="70">
        <f t="shared" si="49"/>
        <v>0.82583096514109577</v>
      </c>
      <c r="AB45" s="70">
        <f t="shared" si="49"/>
        <v>0.80569444316143268</v>
      </c>
      <c r="AC45" s="70">
        <f t="shared" si="49"/>
        <v>0.87015450566220687</v>
      </c>
      <c r="AD45" s="70">
        <f t="shared" si="49"/>
        <v>0.57652363374969129</v>
      </c>
      <c r="AE45" s="70">
        <f t="shared" si="49"/>
        <v>0.91260189481844733</v>
      </c>
      <c r="AF45" s="70">
        <f t="shared" si="49"/>
        <v>0.78620554488227379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6.5681274990338295E-2</v>
      </c>
      <c r="K46" s="70">
        <f t="shared" ref="K46:AF46" si="50">K44-(K43*(1-K45))</f>
        <v>0.20687904618583758</v>
      </c>
      <c r="L46" s="70">
        <f t="shared" si="50"/>
        <v>8.9019000102497581E-2</v>
      </c>
      <c r="M46" s="70">
        <f t="shared" si="50"/>
        <v>0.71032822296587694</v>
      </c>
      <c r="N46" s="70">
        <f t="shared" si="50"/>
        <v>0.25618149038910559</v>
      </c>
      <c r="O46" s="70">
        <f t="shared" si="50"/>
        <v>0.15017935533452306</v>
      </c>
      <c r="P46" s="70">
        <f t="shared" si="50"/>
        <v>0.1144617744054649</v>
      </c>
      <c r="Q46" s="70">
        <f t="shared" si="50"/>
        <v>0.20374303913393382</v>
      </c>
      <c r="R46" s="70">
        <f t="shared" si="50"/>
        <v>0.2026335023710738</v>
      </c>
      <c r="S46" s="70">
        <f t="shared" si="50"/>
        <v>6.6034477398231178E-2</v>
      </c>
      <c r="T46" s="70">
        <f t="shared" si="50"/>
        <v>0.1295613034662039</v>
      </c>
      <c r="U46" s="70">
        <f t="shared" si="50"/>
        <v>7.0590521235527254E-2</v>
      </c>
      <c r="V46" s="70">
        <f t="shared" si="50"/>
        <v>0.26884258074607564</v>
      </c>
      <c r="W46" s="70">
        <f t="shared" si="50"/>
        <v>0.11972842122806393</v>
      </c>
      <c r="X46" s="70">
        <f t="shared" si="50"/>
        <v>9.4010938538248379E-2</v>
      </c>
      <c r="Y46" s="70">
        <f t="shared" si="50"/>
        <v>0.4035015572197948</v>
      </c>
      <c r="Z46" s="70">
        <f t="shared" si="50"/>
        <v>0.39195744087773526</v>
      </c>
      <c r="AA46" s="70">
        <f t="shared" si="50"/>
        <v>9.3658507091567311E-2</v>
      </c>
      <c r="AB46" s="70">
        <f t="shared" si="50"/>
        <v>0.10759273834249336</v>
      </c>
      <c r="AC46" s="70">
        <f t="shared" si="50"/>
        <v>6.5019332019142229E-2</v>
      </c>
      <c r="AD46" s="70">
        <f t="shared" si="50"/>
        <v>0.30984603111381648</v>
      </c>
      <c r="AE46" s="70">
        <f t="shared" si="50"/>
        <v>4.0286025538132833E-2</v>
      </c>
      <c r="AF46" s="70">
        <f t="shared" si="50"/>
        <v>0.12162798630892427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1.3011460575586016</v>
      </c>
      <c r="K47" s="74">
        <f t="shared" si="51"/>
        <v>0.17377839879610357</v>
      </c>
      <c r="L47" s="74">
        <f t="shared" si="51"/>
        <v>0.6453877507431075</v>
      </c>
      <c r="M47" s="74">
        <f t="shared" si="51"/>
        <v>2.2872568779501239</v>
      </c>
      <c r="N47" s="74">
        <f t="shared" si="51"/>
        <v>3.1894595553443645</v>
      </c>
      <c r="O47" s="74">
        <f t="shared" si="51"/>
        <v>0.7208609056057107</v>
      </c>
      <c r="P47" s="74">
        <f t="shared" si="51"/>
        <v>1.7856036807252524</v>
      </c>
      <c r="Q47" s="74">
        <f t="shared" si="51"/>
        <v>1.87851082081487</v>
      </c>
      <c r="R47" s="74">
        <f t="shared" si="51"/>
        <v>0.58561082185240332</v>
      </c>
      <c r="S47" s="74">
        <f t="shared" si="51"/>
        <v>0.56459478175487665</v>
      </c>
      <c r="T47" s="74">
        <f t="shared" si="51"/>
        <v>0.43532597964644509</v>
      </c>
      <c r="U47" s="74">
        <f t="shared" si="51"/>
        <v>0.55695921254831005</v>
      </c>
      <c r="V47" s="74">
        <f t="shared" si="51"/>
        <v>1.6910198328928159</v>
      </c>
      <c r="W47" s="74">
        <f t="shared" si="51"/>
        <v>0.36756625317015623</v>
      </c>
      <c r="X47" s="74">
        <f t="shared" si="51"/>
        <v>0.18520154892034929</v>
      </c>
      <c r="Y47" s="74">
        <f t="shared" si="51"/>
        <v>0.57297221125210862</v>
      </c>
      <c r="Z47" s="74">
        <f t="shared" si="51"/>
        <v>0.60753403336048972</v>
      </c>
      <c r="AA47" s="74">
        <f t="shared" si="51"/>
        <v>0.32218526439499157</v>
      </c>
      <c r="AB47" s="74">
        <f t="shared" si="51"/>
        <v>0.83599557692117332</v>
      </c>
      <c r="AC47" s="74">
        <f t="shared" si="51"/>
        <v>0.10143015794986188</v>
      </c>
      <c r="AD47" s="74">
        <f t="shared" si="51"/>
        <v>0.37491369764771793</v>
      </c>
      <c r="AE47" s="74">
        <f t="shared" si="51"/>
        <v>8.3392072863934963E-2</v>
      </c>
      <c r="AF47" s="74">
        <f t="shared" si="51"/>
        <v>0.14473730370761986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51.698853942441396</v>
      </c>
      <c r="K48" s="74">
        <f t="shared" si="52"/>
        <v>0.82622160120389643</v>
      </c>
      <c r="L48" s="74">
        <f t="shared" si="52"/>
        <v>17.354612249256892</v>
      </c>
      <c r="M48" s="74">
        <f t="shared" si="52"/>
        <v>-0.28725687795012389</v>
      </c>
      <c r="N48" s="74">
        <f t="shared" si="52"/>
        <v>15.810540444655636</v>
      </c>
      <c r="O48" s="74">
        <f t="shared" si="52"/>
        <v>10.279139094394289</v>
      </c>
      <c r="P48" s="74">
        <f t="shared" si="52"/>
        <v>22.214396319274748</v>
      </c>
      <c r="Q48" s="74">
        <f t="shared" si="52"/>
        <v>1.12148917918513</v>
      </c>
      <c r="R48" s="74">
        <f t="shared" si="52"/>
        <v>3.4143891781475966</v>
      </c>
      <c r="S48" s="74">
        <f t="shared" si="52"/>
        <v>8.4354052182451227</v>
      </c>
      <c r="T48" s="74">
        <f t="shared" si="52"/>
        <v>3.564674020353555</v>
      </c>
      <c r="U48" s="74">
        <f t="shared" si="52"/>
        <v>2.44304078745169</v>
      </c>
      <c r="V48" s="74">
        <f t="shared" si="52"/>
        <v>1.3089801671071841</v>
      </c>
      <c r="W48" s="74">
        <f t="shared" si="52"/>
        <v>1.6324337468298438</v>
      </c>
      <c r="X48" s="74">
        <f t="shared" si="52"/>
        <v>2.8147984510796507</v>
      </c>
      <c r="Y48" s="74">
        <f t="shared" si="52"/>
        <v>0.42702778874789138</v>
      </c>
      <c r="Z48" s="74">
        <f t="shared" si="52"/>
        <v>0.39246596663951028</v>
      </c>
      <c r="AA48" s="74">
        <f t="shared" si="52"/>
        <v>5.6778147356050086</v>
      </c>
      <c r="AB48" s="74">
        <f t="shared" si="52"/>
        <v>8.1640044230788273</v>
      </c>
      <c r="AC48" s="74">
        <f t="shared" si="52"/>
        <v>0.89856984205013812</v>
      </c>
      <c r="AD48" s="74">
        <f t="shared" si="52"/>
        <v>1.6250863023522821</v>
      </c>
      <c r="AE48" s="74">
        <f t="shared" si="52"/>
        <v>1.916607927136065</v>
      </c>
      <c r="AF48" s="74">
        <f t="shared" si="52"/>
        <v>0.85526269629238016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23.52885529627661</v>
      </c>
      <c r="K49" s="74">
        <f t="shared" ref="K49:AF49" si="53">K28-K48</f>
        <v>0.56945489305495756</v>
      </c>
      <c r="L49" s="74">
        <f t="shared" si="53"/>
        <v>7.6416091582736847</v>
      </c>
      <c r="M49" s="74">
        <f t="shared" si="53"/>
        <v>0.61916545770490505</v>
      </c>
      <c r="N49" s="74">
        <f t="shared" si="53"/>
        <v>7.2740767686776771</v>
      </c>
      <c r="O49" s="74">
        <f t="shared" si="53"/>
        <v>3.9387785632210903</v>
      </c>
      <c r="P49" s="74">
        <f t="shared" si="53"/>
        <v>14.696758303805602</v>
      </c>
      <c r="Q49" s="74">
        <f t="shared" si="53"/>
        <v>6.3127306909508629</v>
      </c>
      <c r="R49" s="74">
        <f t="shared" si="53"/>
        <v>1.985703426765943</v>
      </c>
      <c r="S49" s="74">
        <f t="shared" si="53"/>
        <v>10.135062614369343</v>
      </c>
      <c r="T49" s="74">
        <f t="shared" si="53"/>
        <v>2.9792438968891166</v>
      </c>
      <c r="U49" s="74">
        <f t="shared" si="53"/>
        <v>9.1226436567126061</v>
      </c>
      <c r="V49" s="74">
        <f t="shared" si="53"/>
        <v>3.5438492177022969</v>
      </c>
      <c r="W49" s="74">
        <f t="shared" si="53"/>
        <v>2.8305154835326984</v>
      </c>
      <c r="X49" s="74">
        <f t="shared" si="53"/>
        <v>2.0287221843443941</v>
      </c>
      <c r="Y49" s="74">
        <f t="shared" si="53"/>
        <v>0.56007062834254995</v>
      </c>
      <c r="Z49" s="74">
        <f t="shared" si="53"/>
        <v>0.62930907220363119</v>
      </c>
      <c r="AA49" s="74">
        <f t="shared" si="53"/>
        <v>3.548278377325734</v>
      </c>
      <c r="AB49" s="74">
        <f t="shared" si="53"/>
        <v>7.534814458759131</v>
      </c>
      <c r="AC49" s="74">
        <f t="shared" si="53"/>
        <v>1.8597401615022884</v>
      </c>
      <c r="AD49" s="74">
        <f t="shared" si="53"/>
        <v>0.60845333175767169</v>
      </c>
      <c r="AE49" s="74">
        <f t="shared" si="53"/>
        <v>2.8922843561675702</v>
      </c>
      <c r="AF49" s="74">
        <f t="shared" si="53"/>
        <v>1.0887932051248599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2584.9426971220696</v>
      </c>
      <c r="K50" s="70">
        <f t="shared" ref="K50:AF50" si="54">K48*K20</f>
        <v>165.24432024077927</v>
      </c>
      <c r="L50" s="70">
        <f t="shared" si="54"/>
        <v>1041.2767349554135</v>
      </c>
      <c r="M50" s="70">
        <f t="shared" si="54"/>
        <v>-14.362843897506195</v>
      </c>
      <c r="N50" s="70">
        <f t="shared" si="54"/>
        <v>711.47432000950369</v>
      </c>
      <c r="O50" s="70">
        <f t="shared" si="54"/>
        <v>616.74834566365735</v>
      </c>
      <c r="P50" s="70">
        <f t="shared" si="54"/>
        <v>1110.7198159637373</v>
      </c>
      <c r="Q50" s="70">
        <f t="shared" si="54"/>
        <v>56.074458959256503</v>
      </c>
      <c r="R50" s="70">
        <f t="shared" si="54"/>
        <v>170.71945890737982</v>
      </c>
      <c r="S50" s="70">
        <f t="shared" si="54"/>
        <v>421.77026091225616</v>
      </c>
      <c r="T50" s="70">
        <f t="shared" si="54"/>
        <v>249.52718142474885</v>
      </c>
      <c r="U50" s="70">
        <f t="shared" si="54"/>
        <v>171.01285512161829</v>
      </c>
      <c r="V50" s="70">
        <f t="shared" si="54"/>
        <v>65.449008355359211</v>
      </c>
      <c r="W50" s="70">
        <f t="shared" si="54"/>
        <v>130.59469974638751</v>
      </c>
      <c r="X50" s="70">
        <f t="shared" si="54"/>
        <v>168.88790706477903</v>
      </c>
      <c r="Y50" s="70">
        <f t="shared" si="54"/>
        <v>25.621667324873481</v>
      </c>
      <c r="Z50" s="70">
        <f t="shared" si="54"/>
        <v>23.547957998370617</v>
      </c>
      <c r="AA50" s="70">
        <f t="shared" si="54"/>
        <v>283.89073678025045</v>
      </c>
      <c r="AB50" s="70">
        <f t="shared" si="54"/>
        <v>408.20022115394136</v>
      </c>
      <c r="AC50" s="70">
        <f t="shared" si="54"/>
        <v>44.928492102506908</v>
      </c>
      <c r="AD50" s="70">
        <f t="shared" si="54"/>
        <v>97.505178141136923</v>
      </c>
      <c r="AE50" s="70">
        <f t="shared" si="54"/>
        <v>229.99295125632779</v>
      </c>
      <c r="AF50" s="70">
        <f t="shared" si="54"/>
        <v>85.526269629238016</v>
      </c>
      <c r="AG50" s="186">
        <f>SUM(J50:AF50)</f>
        <v>8849.2926949360863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1173.2663693488332</v>
      </c>
      <c r="K51" s="70">
        <f t="shared" ref="K51:AF51" si="55">(K20-K22)*K49</f>
        <v>113.08121375306736</v>
      </c>
      <c r="L51" s="70">
        <f t="shared" si="55"/>
        <v>456.89181157318359</v>
      </c>
      <c r="M51" s="70">
        <f t="shared" si="55"/>
        <v>30.487707137389528</v>
      </c>
      <c r="N51" s="70">
        <f t="shared" si="55"/>
        <v>324.71478695377152</v>
      </c>
      <c r="O51" s="70">
        <f t="shared" si="55"/>
        <v>235.05054953878178</v>
      </c>
      <c r="P51" s="70">
        <f t="shared" si="55"/>
        <v>731.75159594648096</v>
      </c>
      <c r="Q51" s="70">
        <f t="shared" si="55"/>
        <v>313.57858434229314</v>
      </c>
      <c r="R51" s="70">
        <f t="shared" si="55"/>
        <v>98.637832021171448</v>
      </c>
      <c r="S51" s="70">
        <f t="shared" si="55"/>
        <v>505.38489726552729</v>
      </c>
      <c r="T51" s="70">
        <f t="shared" si="55"/>
        <v>207.57583927185232</v>
      </c>
      <c r="U51" s="70">
        <f t="shared" si="55"/>
        <v>636.76052723853991</v>
      </c>
      <c r="V51" s="70">
        <f t="shared" si="55"/>
        <v>175.77492119803392</v>
      </c>
      <c r="W51" s="70">
        <f t="shared" si="55"/>
        <v>225.45055826337943</v>
      </c>
      <c r="X51" s="70">
        <f t="shared" si="55"/>
        <v>121.26686856918616</v>
      </c>
      <c r="Y51" s="70">
        <f t="shared" si="55"/>
        <v>33.248032780927133</v>
      </c>
      <c r="Z51" s="70">
        <f t="shared" si="55"/>
        <v>37.36837270745162</v>
      </c>
      <c r="AA51" s="70">
        <f t="shared" si="55"/>
        <v>176.77522875836806</v>
      </c>
      <c r="AB51" s="70">
        <f t="shared" si="55"/>
        <v>375.23376004620468</v>
      </c>
      <c r="AC51" s="70">
        <f t="shared" si="55"/>
        <v>92.735943153311609</v>
      </c>
      <c r="AD51" s="70">
        <f t="shared" si="55"/>
        <v>36.185936546292254</v>
      </c>
      <c r="AE51" s="70">
        <f t="shared" si="55"/>
        <v>346.42335875997071</v>
      </c>
      <c r="AF51" s="70">
        <f t="shared" si="55"/>
        <v>108.38283081094905</v>
      </c>
      <c r="AG51" s="51">
        <f>SUM(J51:AF51)</f>
        <v>6556.0275259849668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0.78068763453516088</v>
      </c>
      <c r="K52" s="70">
        <f t="shared" ref="K52:AF52" si="56">K47*K23</f>
        <v>0.64298007554558323</v>
      </c>
      <c r="L52" s="70">
        <f t="shared" si="56"/>
        <v>0.9680816261146612</v>
      </c>
      <c r="M52" s="70">
        <f t="shared" si="56"/>
        <v>9.1490275118004956</v>
      </c>
      <c r="N52" s="70">
        <f t="shared" si="56"/>
        <v>8.9304867549642193</v>
      </c>
      <c r="O52" s="70">
        <f t="shared" si="56"/>
        <v>2.3067548979382742</v>
      </c>
      <c r="P52" s="70">
        <f t="shared" si="56"/>
        <v>1.0713622084351515</v>
      </c>
      <c r="Q52" s="70">
        <f t="shared" si="56"/>
        <v>1.6906597387333828</v>
      </c>
      <c r="R52" s="70">
        <f t="shared" si="56"/>
        <v>0.52704973966716295</v>
      </c>
      <c r="S52" s="70">
        <f t="shared" si="56"/>
        <v>0.16937843452646298</v>
      </c>
      <c r="T52" s="70">
        <f t="shared" si="56"/>
        <v>0.39179338168180056</v>
      </c>
      <c r="U52" s="70">
        <f t="shared" si="56"/>
        <v>0.27847960627415502</v>
      </c>
      <c r="V52" s="70">
        <f t="shared" si="56"/>
        <v>2.1983257827606608</v>
      </c>
      <c r="W52" s="70">
        <f t="shared" si="56"/>
        <v>0.25729637721910936</v>
      </c>
      <c r="X52" s="70">
        <f t="shared" si="56"/>
        <v>0.46300387230087325</v>
      </c>
      <c r="Y52" s="70">
        <f t="shared" si="56"/>
        <v>1.0886472013790065</v>
      </c>
      <c r="Z52" s="70">
        <f t="shared" si="56"/>
        <v>0.91130105004073458</v>
      </c>
      <c r="AA52" s="70">
        <f t="shared" si="56"/>
        <v>0.16109263219749578</v>
      </c>
      <c r="AB52" s="70">
        <f t="shared" si="56"/>
        <v>0.41799778846058666</v>
      </c>
      <c r="AC52" s="70">
        <f t="shared" si="56"/>
        <v>3.0429047384958562E-2</v>
      </c>
      <c r="AD52" s="70">
        <f t="shared" si="56"/>
        <v>0.29993095811817433</v>
      </c>
      <c r="AE52" s="70">
        <f t="shared" si="56"/>
        <v>0.20848018215983741</v>
      </c>
      <c r="AF52" s="70">
        <f t="shared" si="56"/>
        <v>0.21710595556142981</v>
      </c>
      <c r="AG52" s="51">
        <f>SUM(J52:AF52)</f>
        <v>33.160352457799377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507.78703736134656</v>
      </c>
      <c r="K53" s="70">
        <f t="shared" ref="K53:AF53" si="57">K21*K28</f>
        <v>99.232598741804509</v>
      </c>
      <c r="L53" s="70">
        <f t="shared" si="57"/>
        <v>262.46032477907107</v>
      </c>
      <c r="M53" s="70">
        <f t="shared" si="57"/>
        <v>12.612526030681686</v>
      </c>
      <c r="N53" s="70">
        <f t="shared" si="57"/>
        <v>415.52310983999962</v>
      </c>
      <c r="O53" s="70">
        <f t="shared" si="57"/>
        <v>230.33026605336912</v>
      </c>
      <c r="P53" s="70">
        <f t="shared" si="57"/>
        <v>387.56712354234367</v>
      </c>
      <c r="Q53" s="70">
        <f t="shared" si="57"/>
        <v>121.17778388321669</v>
      </c>
      <c r="R53" s="70">
        <f t="shared" si="57"/>
        <v>88.021509460090698</v>
      </c>
      <c r="S53" s="70">
        <f t="shared" si="57"/>
        <v>125.35065787014764</v>
      </c>
      <c r="T53" s="70">
        <f t="shared" si="57"/>
        <v>106.66586205105556</v>
      </c>
      <c r="U53" s="70">
        <f t="shared" si="57"/>
        <v>115.65684444164296</v>
      </c>
      <c r="V53" s="70">
        <f t="shared" si="57"/>
        <v>97.056587696189624</v>
      </c>
      <c r="W53" s="70">
        <f t="shared" si="57"/>
        <v>78.101611531344489</v>
      </c>
      <c r="X53" s="70">
        <f t="shared" si="57"/>
        <v>54.489607148520506</v>
      </c>
      <c r="Y53" s="70">
        <f t="shared" si="57"/>
        <v>31.389729663476036</v>
      </c>
      <c r="Z53" s="70">
        <f t="shared" si="57"/>
        <v>31.675026204137385</v>
      </c>
      <c r="AA53" s="70">
        <f t="shared" si="57"/>
        <v>83.034838016376682</v>
      </c>
      <c r="AB53" s="70">
        <f t="shared" si="57"/>
        <v>156.98818881837957</v>
      </c>
      <c r="AC53" s="70">
        <f t="shared" si="57"/>
        <v>18.618592523978879</v>
      </c>
      <c r="AD53" s="70">
        <f t="shared" si="57"/>
        <v>58.965446340502787</v>
      </c>
      <c r="AE53" s="70">
        <f t="shared" si="57"/>
        <v>54.100038187165893</v>
      </c>
      <c r="AF53" s="70">
        <f t="shared" si="57"/>
        <v>44.324474552313077</v>
      </c>
      <c r="AG53" s="67">
        <f>SUM(J53:AF53)</f>
        <v>3181.1297847371548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3249.6413414750214</v>
      </c>
      <c r="K54" s="79">
        <f t="shared" ref="K54:AF54" si="58">K50+K51-K53-K52</f>
        <v>178.44995517649656</v>
      </c>
      <c r="L54" s="79">
        <f t="shared" si="58"/>
        <v>1234.7401401234115</v>
      </c>
      <c r="M54" s="79">
        <f t="shared" si="58"/>
        <v>-5.6366903025988488</v>
      </c>
      <c r="N54" s="79">
        <f t="shared" si="58"/>
        <v>611.73551036831134</v>
      </c>
      <c r="O54" s="79">
        <f t="shared" si="58"/>
        <v>619.16187425113174</v>
      </c>
      <c r="P54" s="79">
        <f t="shared" si="58"/>
        <v>1453.8329261594392</v>
      </c>
      <c r="Q54" s="79">
        <f t="shared" si="58"/>
        <v>246.78459967959955</v>
      </c>
      <c r="R54" s="79">
        <f t="shared" si="58"/>
        <v>180.80873172879342</v>
      </c>
      <c r="S54" s="79">
        <f t="shared" si="58"/>
        <v>801.63512187310937</v>
      </c>
      <c r="T54" s="79">
        <f t="shared" si="58"/>
        <v>350.0453652638638</v>
      </c>
      <c r="U54" s="79">
        <f t="shared" si="58"/>
        <v>691.83805831224106</v>
      </c>
      <c r="V54" s="79">
        <f t="shared" si="58"/>
        <v>141.96901607444283</v>
      </c>
      <c r="W54" s="79">
        <f t="shared" si="58"/>
        <v>277.68635010120335</v>
      </c>
      <c r="X54" s="79">
        <f t="shared" si="58"/>
        <v>235.20216461314379</v>
      </c>
      <c r="Y54" s="79">
        <f t="shared" si="58"/>
        <v>26.391323240945574</v>
      </c>
      <c r="Z54" s="79">
        <f t="shared" si="58"/>
        <v>28.330003451644114</v>
      </c>
      <c r="AA54" s="79">
        <f t="shared" si="58"/>
        <v>377.4700348900443</v>
      </c>
      <c r="AB54" s="79">
        <f>AB50+AB51-AB53-AB52</f>
        <v>626.02779459330588</v>
      </c>
      <c r="AC54" s="79">
        <f t="shared" si="58"/>
        <v>119.01541368445469</v>
      </c>
      <c r="AD54" s="79">
        <f t="shared" si="58"/>
        <v>74.42573738880823</v>
      </c>
      <c r="AE54" s="79">
        <f t="shared" si="58"/>
        <v>522.10779164697271</v>
      </c>
      <c r="AF54" s="79">
        <f t="shared" si="58"/>
        <v>149.36751993231255</v>
      </c>
      <c r="AG54" s="68">
        <f>SUM(J54:AF54)</f>
        <v>12191.030083726098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1270.7035163410583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31373-36B7-324B-A4FB-9FEC518A3989}">
  <dimension ref="A1:BJ75"/>
  <sheetViews>
    <sheetView topLeftCell="AH12" zoomScale="90" zoomScaleNormal="90" workbookViewId="0">
      <selection activeCell="AZ27" sqref="AZ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13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45</v>
      </c>
      <c r="K2" s="262">
        <f>_xlfn.XLOOKUP($B$1,daily_demand!$E$1:$AH$1,daily_demand!$E$3:$AH$3)</f>
        <v>1</v>
      </c>
      <c r="L2" s="263">
        <f>_xlfn.XLOOKUP($B$1,daily_demand!$E$1:$AH$1,daily_demand!$E$4:$AH$4)</f>
        <v>18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18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2</v>
      </c>
      <c r="V2" s="262">
        <f>_xlfn.XLOOKUP($B$1,daily_demand!$E$1:$AH$1,daily_demand!$E$14:$AH$14)</f>
        <v>4</v>
      </c>
      <c r="W2" s="262">
        <f>_xlfn.XLOOKUP($B$1,daily_demand!$E$1:$AH$1,daily_demand!$E$15:$AH$15)</f>
        <v>1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6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2.0167931691344907</v>
      </c>
      <c r="AJ4" s="45">
        <f t="shared" ref="AJ4:AJ18" si="1">K4*K$28</f>
        <v>4.2036757729725142E-2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0.93215343899160141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0.50035865487877385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4.3217526310095185E-2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7.8288341361272717E-2</v>
      </c>
      <c r="BF4" s="44">
        <f>SUM(AI4:BE4)</f>
        <v>3.6128478884059589</v>
      </c>
      <c r="BG4" s="54">
        <f>ROUNDUP(BF4*2, 0)</f>
        <v>8</v>
      </c>
      <c r="BH4" s="86">
        <f>CEILING($BG$1*BG4, 0.5)</f>
        <v>4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2.0167931691344907</v>
      </c>
      <c r="AJ5" s="45">
        <f t="shared" si="1"/>
        <v>5.6049010306300197E-2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4.3217526310095185E-2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9.7860426701590897E-2</v>
      </c>
      <c r="BF5" s="44">
        <f t="shared" ref="BF5:BF19" si="23">SUM(AI5:BE5)</f>
        <v>2.2139201324524769</v>
      </c>
      <c r="BG5" s="54">
        <f t="shared" ref="BG5:BG18" si="24">ROUNDUP(BF5*2, 0)</f>
        <v>5</v>
      </c>
      <c r="BH5" s="86">
        <f t="shared" ref="BH5:BH18" si="25">CEILING($BG$1*BG5, 0.5)</f>
        <v>2.5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220</v>
      </c>
      <c r="C6" s="7">
        <f>B6*0.02</f>
        <v>4.4000000000000004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1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2.8024505153150098E-2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0.93215343899160141</v>
      </c>
      <c r="AP6" s="45">
        <f t="shared" si="7"/>
        <v>0</v>
      </c>
      <c r="AQ6" s="45">
        <f t="shared" si="8"/>
        <v>0</v>
      </c>
      <c r="AR6" s="45">
        <f t="shared" si="9"/>
        <v>0.56063097704943943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4.3217526310095185E-2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8.3359866568633645E-2</v>
      </c>
      <c r="BC6" s="45">
        <f t="shared" si="20"/>
        <v>0</v>
      </c>
      <c r="BD6" s="45">
        <f t="shared" si="21"/>
        <v>0</v>
      </c>
      <c r="BE6" s="45">
        <f t="shared" si="22"/>
        <v>7.8288341361272717E-2</v>
      </c>
      <c r="BF6" s="44">
        <f t="shared" si="23"/>
        <v>1.7256746554341924</v>
      </c>
      <c r="BG6" s="54">
        <f t="shared" si="24"/>
        <v>4</v>
      </c>
      <c r="BH6" s="86">
        <f t="shared" si="25"/>
        <v>2</v>
      </c>
      <c r="BI6" s="6"/>
    </row>
    <row r="7" spans="1:61" ht="24" x14ac:dyDescent="0.2">
      <c r="A7" s="286" t="s">
        <v>47</v>
      </c>
      <c r="B7" s="295">
        <f>_xlfn.XLOOKUP($B$1,cost!$A$16:$A$45,cost!$E$16:$E$45)</f>
        <v>175</v>
      </c>
      <c r="C7" s="7">
        <f>B7*0.02</f>
        <v>3.5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4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4.2036757729725142E-2</v>
      </c>
      <c r="AK7" s="45">
        <f t="shared" si="2"/>
        <v>0</v>
      </c>
      <c r="AL7" s="45">
        <f t="shared" si="3"/>
        <v>0</v>
      </c>
      <c r="AM7" s="45">
        <f t="shared" si="4"/>
        <v>0.96221884968935467</v>
      </c>
      <c r="AN7" s="45">
        <f t="shared" si="5"/>
        <v>0.58116687396802014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0.56068898847511128</v>
      </c>
      <c r="AU7" s="45">
        <f t="shared" si="12"/>
        <v>0.31272415929923369</v>
      </c>
      <c r="AV7" s="45">
        <f t="shared" si="13"/>
        <v>0</v>
      </c>
      <c r="AW7" s="45">
        <f t="shared" si="14"/>
        <v>0</v>
      </c>
      <c r="AX7" s="45">
        <f t="shared" si="15"/>
        <v>5.4021907887618986E-2</v>
      </c>
      <c r="AY7" s="45">
        <f t="shared" si="16"/>
        <v>5.4960566236084231E-2</v>
      </c>
      <c r="AZ7" s="45">
        <f t="shared" si="17"/>
        <v>0</v>
      </c>
      <c r="BA7" s="45">
        <f t="shared" si="18"/>
        <v>0.82076912519509948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3.3885872284802474</v>
      </c>
      <c r="BG7" s="54">
        <f t="shared" si="24"/>
        <v>7</v>
      </c>
      <c r="BH7" s="86">
        <f t="shared" si="25"/>
        <v>3.5</v>
      </c>
      <c r="BI7" s="6"/>
    </row>
    <row r="8" spans="1:61" ht="24" x14ac:dyDescent="0.2">
      <c r="A8" s="286" t="s">
        <v>46</v>
      </c>
      <c r="B8" s="295">
        <f>_xlfn.XLOOKUP($B$1,cost!$A$16:$A$45,cost!$F$16:$F$45)</f>
        <v>180</v>
      </c>
      <c r="C8" s="7">
        <f t="shared" ref="C8:C19" si="26">B8*0.02</f>
        <v>3.6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1.4012252576575049E-2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0.43587515547601502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2.1608763155047592E-2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3.9144170680636359E-2</v>
      </c>
      <c r="BF8" s="44">
        <f t="shared" si="23"/>
        <v>0.51064034188827412</v>
      </c>
      <c r="BG8" s="54">
        <f t="shared" si="24"/>
        <v>2</v>
      </c>
      <c r="BH8" s="86">
        <f t="shared" si="25"/>
        <v>1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3.6322929623001254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3.6322929623001254</v>
      </c>
      <c r="BG9" s="54">
        <f t="shared" si="24"/>
        <v>8</v>
      </c>
      <c r="BH9" s="86">
        <f t="shared" si="25"/>
        <v>4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4.811094248446774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4.811094248446774</v>
      </c>
      <c r="BG10" s="54">
        <f t="shared" si="24"/>
        <v>10</v>
      </c>
      <c r="BH10" s="86">
        <f t="shared" si="25"/>
        <v>5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190</v>
      </c>
      <c r="C11" s="7">
        <f t="shared" si="26"/>
        <v>3.8000000000000003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0.96221884968935467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0.96221884968935467</v>
      </c>
      <c r="BG11" s="54">
        <f t="shared" si="24"/>
        <v>2</v>
      </c>
      <c r="BH11" s="86">
        <f t="shared" si="25"/>
        <v>1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3.7492040951581527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3.7492040951581527</v>
      </c>
      <c r="BG12" s="54">
        <f t="shared" si="24"/>
        <v>8</v>
      </c>
      <c r="BH12" s="86">
        <f t="shared" si="25"/>
        <v>4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7.0061262882875244E-2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0.14865915245614175</v>
      </c>
      <c r="AQ13" s="45">
        <f t="shared" si="8"/>
        <v>0.10797667620844736</v>
      </c>
      <c r="AR13" s="45">
        <f t="shared" si="9"/>
        <v>0</v>
      </c>
      <c r="AS13" s="45">
        <f t="shared" si="10"/>
        <v>0.13084302397809661</v>
      </c>
      <c r="AT13" s="45">
        <f t="shared" si="11"/>
        <v>0</v>
      </c>
      <c r="AU13" s="45">
        <f t="shared" si="12"/>
        <v>0</v>
      </c>
      <c r="AV13" s="45">
        <f t="shared" si="13"/>
        <v>0.24226429356698703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0.69980440909254793</v>
      </c>
      <c r="BG13" s="54">
        <f t="shared" si="24"/>
        <v>2</v>
      </c>
      <c r="BH13" s="86">
        <f t="shared" si="25"/>
        <v>1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5.6049010306300197E-2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0.17856105877463255</v>
      </c>
      <c r="BD14" s="45">
        <f t="shared" si="21"/>
        <v>0</v>
      </c>
      <c r="BE14" s="45">
        <f t="shared" si="22"/>
        <v>0</v>
      </c>
      <c r="BF14" s="44">
        <f t="shared" si="23"/>
        <v>0.23461006908093274</v>
      </c>
      <c r="BG14" s="54">
        <f t="shared" si="24"/>
        <v>1</v>
      </c>
      <c r="BH14" s="86">
        <f t="shared" si="25"/>
        <v>0.5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2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7.0061262882875244E-2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0.37164788114035441</v>
      </c>
      <c r="AQ15" s="45">
        <f t="shared" si="8"/>
        <v>0.26994169052111844</v>
      </c>
      <c r="AR15" s="45">
        <f t="shared" si="9"/>
        <v>0</v>
      </c>
      <c r="AS15" s="45">
        <f t="shared" si="10"/>
        <v>0.32710755994524154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0.4612416053766244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1.4999999998662139</v>
      </c>
      <c r="BG15" s="54">
        <f t="shared" si="24"/>
        <v>3</v>
      </c>
      <c r="BH15" s="86">
        <f t="shared" si="25"/>
        <v>1.5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7.0061262882875244E-2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0.10992113247216846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0.17998239535504371</v>
      </c>
      <c r="BG16" s="54">
        <f t="shared" si="24"/>
        <v>1</v>
      </c>
      <c r="BH16" s="86">
        <f t="shared" si="25"/>
        <v>0.5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1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7.0061262882875244E-2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0.14865915245614175</v>
      </c>
      <c r="AQ17" s="45">
        <f t="shared" si="8"/>
        <v>0.10797667620844736</v>
      </c>
      <c r="AR17" s="45">
        <f t="shared" si="9"/>
        <v>0</v>
      </c>
      <c r="AS17" s="45">
        <f t="shared" si="10"/>
        <v>0.13084302397809661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0.45754011552556095</v>
      </c>
      <c r="BG17" s="54">
        <f t="shared" si="24"/>
        <v>1</v>
      </c>
      <c r="BH17" s="86">
        <f t="shared" si="25"/>
        <v>0.5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0.13222887150235471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0.13222887150235471</v>
      </c>
      <c r="BG18" s="54">
        <f t="shared" si="24"/>
        <v>1</v>
      </c>
      <c r="BH18" s="86">
        <f t="shared" si="25"/>
        <v>0.5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1.2104971827572371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0.95146023013993153</v>
      </c>
      <c r="BE19" s="45">
        <f t="shared" si="27"/>
        <v>0</v>
      </c>
      <c r="BF19" s="44">
        <f t="shared" si="23"/>
        <v>2.1619574128971686</v>
      </c>
      <c r="BG19" s="54">
        <f>ROUNDUP(BF19*2, 0)</f>
        <v>5</v>
      </c>
      <c r="BH19" s="86">
        <f>CEILING($BG$1*BG19, 0.5)</f>
        <v>2.5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25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29.972603675575382</v>
      </c>
      <c r="BG20" s="54">
        <f>SUM(BG4:BG19)</f>
        <v>68</v>
      </c>
      <c r="BH20" s="86">
        <f>SUM(BH4:BH19)</f>
        <v>34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70.150000000000006</v>
      </c>
      <c r="L21" s="4">
        <f t="shared" si="28"/>
        <v>10.5</v>
      </c>
      <c r="M21" s="4">
        <f t="shared" si="28"/>
        <v>38</v>
      </c>
      <c r="N21" s="4">
        <f t="shared" si="28"/>
        <v>16.600000000000001</v>
      </c>
      <c r="O21" s="4">
        <f t="shared" si="28"/>
        <v>14.899999999999999</v>
      </c>
      <c r="P21" s="4">
        <f t="shared" si="28"/>
        <v>10.35</v>
      </c>
      <c r="Q21" s="4">
        <f t="shared" si="28"/>
        <v>16.3</v>
      </c>
      <c r="R21" s="4">
        <f t="shared" si="28"/>
        <v>16.3</v>
      </c>
      <c r="S21" s="4">
        <f t="shared" si="28"/>
        <v>6.6</v>
      </c>
      <c r="T21" s="4">
        <f t="shared" si="28"/>
        <v>16.3</v>
      </c>
      <c r="U21" s="4">
        <f t="shared" si="28"/>
        <v>8.75</v>
      </c>
      <c r="V21" s="4">
        <f t="shared" si="28"/>
        <v>18.75</v>
      </c>
      <c r="W21" s="4">
        <f t="shared" si="28"/>
        <v>17.5</v>
      </c>
      <c r="X21" s="4">
        <f t="shared" si="28"/>
        <v>11.25</v>
      </c>
      <c r="Y21" s="4">
        <f t="shared" si="28"/>
        <v>30.150000000000002</v>
      </c>
      <c r="Z21" s="4">
        <f t="shared" si="28"/>
        <v>29.75</v>
      </c>
      <c r="AA21" s="4">
        <f t="shared" si="28"/>
        <v>9</v>
      </c>
      <c r="AB21" s="4">
        <f t="shared" si="28"/>
        <v>8.75</v>
      </c>
      <c r="AC21" s="4">
        <f t="shared" si="28"/>
        <v>6.6</v>
      </c>
      <c r="AD21" s="4">
        <f t="shared" si="28"/>
        <v>26.400000000000002</v>
      </c>
      <c r="AE21" s="4">
        <f t="shared" si="28"/>
        <v>11.25</v>
      </c>
      <c r="AF21" s="4">
        <f t="shared" si="28"/>
        <v>22.400000000000002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2725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1.403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0.33200000000000007</v>
      </c>
      <c r="O22" s="4">
        <f t="shared" si="29"/>
        <v>0.29799999999999999</v>
      </c>
      <c r="P22" s="4">
        <f t="shared" si="29"/>
        <v>0.20700000000000002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0.13200000000000001</v>
      </c>
      <c r="T22" s="4">
        <f t="shared" si="29"/>
        <v>0.32600000000000001</v>
      </c>
      <c r="U22" s="4">
        <f t="shared" si="29"/>
        <v>0.17500000000000002</v>
      </c>
      <c r="V22" s="4">
        <f t="shared" si="29"/>
        <v>0.375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0.60299999999999998</v>
      </c>
      <c r="Z22" s="4">
        <f t="shared" si="29"/>
        <v>0.59500000000000008</v>
      </c>
      <c r="AA22" s="4">
        <f t="shared" si="29"/>
        <v>0.18000000000000002</v>
      </c>
      <c r="AB22" s="4">
        <f t="shared" si="29"/>
        <v>0.17500000000000002</v>
      </c>
      <c r="AC22" s="4">
        <f t="shared" si="29"/>
        <v>0.13200000000000001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0.44800000000000001</v>
      </c>
      <c r="AG22" s="9"/>
      <c r="BF22" s="432" t="s">
        <v>131</v>
      </c>
      <c r="BG22" s="432"/>
      <c r="BH22" s="41">
        <f>SUMPRODUCT(B4:B19,BH4:BH19)</f>
        <v>3550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68.747</v>
      </c>
      <c r="L25" s="69">
        <f t="shared" si="31"/>
        <v>10.29</v>
      </c>
      <c r="M25" s="69">
        <f t="shared" si="31"/>
        <v>37.24</v>
      </c>
      <c r="N25" s="69">
        <f t="shared" si="31"/>
        <v>16.268000000000001</v>
      </c>
      <c r="O25" s="69">
        <f t="shared" si="31"/>
        <v>14.601999999999999</v>
      </c>
      <c r="P25" s="69">
        <f t="shared" si="31"/>
        <v>10.142999999999999</v>
      </c>
      <c r="Q25" s="69">
        <f t="shared" si="31"/>
        <v>15.974</v>
      </c>
      <c r="R25" s="69">
        <f t="shared" si="31"/>
        <v>15.974</v>
      </c>
      <c r="S25" s="69">
        <f t="shared" si="31"/>
        <v>6.468</v>
      </c>
      <c r="T25" s="69">
        <f t="shared" si="31"/>
        <v>15.974</v>
      </c>
      <c r="U25" s="69">
        <f t="shared" si="31"/>
        <v>8.5749999999999993</v>
      </c>
      <c r="V25" s="69">
        <f t="shared" si="31"/>
        <v>18.375</v>
      </c>
      <c r="W25" s="69">
        <f t="shared" si="31"/>
        <v>17.149999999999999</v>
      </c>
      <c r="X25" s="69">
        <f t="shared" si="31"/>
        <v>11.025</v>
      </c>
      <c r="Y25" s="69">
        <f t="shared" si="31"/>
        <v>29.547000000000001</v>
      </c>
      <c r="Z25" s="69">
        <f t="shared" si="31"/>
        <v>29.155000000000001</v>
      </c>
      <c r="AA25" s="69">
        <f t="shared" si="31"/>
        <v>8.82</v>
      </c>
      <c r="AB25" s="69">
        <f t="shared" si="31"/>
        <v>8.5749999999999993</v>
      </c>
      <c r="AC25" s="69">
        <f t="shared" si="31"/>
        <v>6.468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21.952000000000002</v>
      </c>
      <c r="AG25" s="16"/>
      <c r="BF25" s="434" t="s">
        <v>42</v>
      </c>
      <c r="BG25" s="434"/>
      <c r="BH25" s="39">
        <f>AG50+AG51-AG52-BH22</f>
        <v>11094.089863180032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133.54999999999998</v>
      </c>
      <c r="L26" s="4">
        <f t="shared" si="32"/>
        <v>51</v>
      </c>
      <c r="M26" s="4">
        <f t="shared" si="32"/>
        <v>16</v>
      </c>
      <c r="N26" s="4">
        <f t="shared" si="32"/>
        <v>31.2</v>
      </c>
      <c r="O26" s="4">
        <f t="shared" si="32"/>
        <v>48.300000000000004</v>
      </c>
      <c r="P26" s="4">
        <f t="shared" si="32"/>
        <v>40.25</v>
      </c>
      <c r="Q26" s="4">
        <f t="shared" si="32"/>
        <v>34.6</v>
      </c>
      <c r="R26" s="4">
        <f t="shared" si="32"/>
        <v>34.6</v>
      </c>
      <c r="S26" s="4">
        <f t="shared" si="32"/>
        <v>43.699999999999996</v>
      </c>
      <c r="T26" s="4">
        <f t="shared" si="32"/>
        <v>54.6</v>
      </c>
      <c r="U26" s="4">
        <f t="shared" si="32"/>
        <v>61.75</v>
      </c>
      <c r="V26" s="4">
        <f t="shared" si="32"/>
        <v>32.549999999999997</v>
      </c>
      <c r="W26" s="4">
        <f t="shared" si="32"/>
        <v>63.2</v>
      </c>
      <c r="X26" s="4">
        <f t="shared" si="32"/>
        <v>51.25</v>
      </c>
      <c r="Y26" s="4">
        <f t="shared" si="32"/>
        <v>31.749999999999996</v>
      </c>
      <c r="Z26" s="4">
        <f t="shared" si="32"/>
        <v>31.75</v>
      </c>
      <c r="AA26" s="4">
        <f t="shared" si="32"/>
        <v>41.5</v>
      </c>
      <c r="AB26" s="4">
        <f t="shared" si="32"/>
        <v>41.75</v>
      </c>
      <c r="AC26" s="4">
        <f t="shared" si="32"/>
        <v>43.699999999999996</v>
      </c>
      <c r="AD26" s="4">
        <f t="shared" si="32"/>
        <v>34.399999999999991</v>
      </c>
      <c r="AE26" s="4">
        <f t="shared" si="32"/>
        <v>111.25</v>
      </c>
      <c r="AF26" s="4">
        <f t="shared" si="32"/>
        <v>79.099999999999994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0.66016797085473344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0.65728490772731096</v>
      </c>
      <c r="O27" s="70">
        <f t="shared" si="33"/>
        <v>0.76786111729356787</v>
      </c>
      <c r="P27" s="70">
        <f t="shared" si="33"/>
        <v>0.79872204472843444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0.87107319406793182</v>
      </c>
      <c r="T27" s="70">
        <f t="shared" si="33"/>
        <v>0.77365602063082728</v>
      </c>
      <c r="U27" s="70">
        <f t="shared" si="33"/>
        <v>0.87806612157838604</v>
      </c>
      <c r="V27" s="70">
        <f t="shared" si="33"/>
        <v>0.63917525773195871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0.5179698843336541</v>
      </c>
      <c r="Z27" s="70">
        <f t="shared" si="33"/>
        <v>0.52130366964945407</v>
      </c>
      <c r="AA27" s="70">
        <f t="shared" si="33"/>
        <v>0.82472178060413359</v>
      </c>
      <c r="AB27" s="70">
        <f t="shared" si="33"/>
        <v>0.82960755091902627</v>
      </c>
      <c r="AC27" s="70">
        <f t="shared" si="33"/>
        <v>0.87107319406793182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0.78276530894984764</v>
      </c>
      <c r="AG27" s="9"/>
      <c r="BF27" s="430" t="s">
        <v>130</v>
      </c>
      <c r="BG27" s="430"/>
      <c r="BH27" s="40">
        <f>BH25-AG41</f>
        <v>1181.1848579395501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67.22643897114969</v>
      </c>
      <c r="K28" s="72">
        <v>1.4012252576575048</v>
      </c>
      <c r="L28" s="72">
        <v>24.99469396772102</v>
      </c>
      <c r="M28" s="72">
        <v>0.33057217875588679</v>
      </c>
      <c r="N28" s="72">
        <v>24.055471242233867</v>
      </c>
      <c r="O28" s="72">
        <v>14.529171849200502</v>
      </c>
      <c r="P28" s="72">
        <v>31.071781299720048</v>
      </c>
      <c r="Q28" s="72">
        <v>7.4329576228070877</v>
      </c>
      <c r="R28" s="72">
        <v>5.3988338104223681</v>
      </c>
      <c r="S28" s="72">
        <v>18.687699234981316</v>
      </c>
      <c r="T28" s="72">
        <v>6.5421511989048309</v>
      </c>
      <c r="U28" s="72">
        <v>11.213779769502226</v>
      </c>
      <c r="V28" s="72">
        <v>6.2544831859846735</v>
      </c>
      <c r="W28" s="72">
        <v>3.4609184795283858</v>
      </c>
      <c r="X28" s="72">
        <v>4.8419887310289482</v>
      </c>
      <c r="Y28" s="72">
        <v>1.0804381577523796</v>
      </c>
      <c r="Z28" s="72">
        <v>1.0992113247216846</v>
      </c>
      <c r="AA28" s="72">
        <v>9.2248321075324871</v>
      </c>
      <c r="AB28" s="72">
        <v>16.415382503901988</v>
      </c>
      <c r="AC28" s="72">
        <v>2.7786622189544548</v>
      </c>
      <c r="AD28" s="72">
        <v>2.2320132346829067</v>
      </c>
      <c r="AE28" s="72">
        <v>3.8058409205597261</v>
      </c>
      <c r="AF28" s="72">
        <v>1.9572085340318179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17.730496453900709</v>
      </c>
      <c r="Q29" s="74">
        <f>(F13/Q13)*(6/20)</f>
        <v>30</v>
      </c>
      <c r="R29" s="74">
        <f>(F13/R13)*(3/20)</f>
        <v>15</v>
      </c>
      <c r="S29" s="74">
        <f>(F6/S6)*(12/47)</f>
        <v>8.5106382978723403</v>
      </c>
      <c r="T29" s="74">
        <f>(F13/T13)*(3/20)</f>
        <v>15</v>
      </c>
      <c r="U29" s="74">
        <f>(F7/U7)*(6/47)</f>
        <v>10.212765957446807</v>
      </c>
      <c r="V29" s="74">
        <f>(F7/V7)*(3/47)</f>
        <v>5.1063829787234036</v>
      </c>
      <c r="W29" s="74">
        <f>(F13/W13)*(8/20)</f>
        <v>11.428571428571429</v>
      </c>
      <c r="X29" s="74">
        <f>(F19/X19)*(3/4)</f>
        <v>0</v>
      </c>
      <c r="Y29" s="74">
        <f>(F7/Y7)*(1/29)</f>
        <v>2.7586206896551726</v>
      </c>
      <c r="Z29" s="74">
        <f>(F16/Z16)*(4/5)</f>
        <v>0</v>
      </c>
      <c r="AA29" s="74">
        <f>(F15/AA15)*(4/16)</f>
        <v>10</v>
      </c>
      <c r="AB29" s="74">
        <f>(F7/AB7)*(11/47)</f>
        <v>18.723404255319149</v>
      </c>
      <c r="AC29" s="74">
        <f>(F6/AC6)*(1/47)</f>
        <v>0.70921985815602839</v>
      </c>
      <c r="AD29" s="74">
        <f>(F14/AD14)</f>
        <v>0</v>
      </c>
      <c r="AE29" s="74">
        <f>(F19/AE19)*(1/4)</f>
        <v>0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-0.70497310658148971</v>
      </c>
      <c r="K30" s="70">
        <f t="shared" si="34"/>
        <v>-1.1904761904761905</v>
      </c>
      <c r="L30" s="70">
        <f t="shared" si="34"/>
        <v>0.27586206896551724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1.0416666666666667</v>
      </c>
      <c r="P30" s="70">
        <f t="shared" si="34"/>
        <v>-1.727586833969811E-2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-5.7235286798556689E-2</v>
      </c>
      <c r="T30" s="70">
        <f t="shared" si="34"/>
        <v>3.2738095238095237</v>
      </c>
      <c r="U30" s="70">
        <f t="shared" si="34"/>
        <v>1.0409082328829922</v>
      </c>
      <c r="V30" s="70">
        <f t="shared" si="34"/>
        <v>0.1758955451070594</v>
      </c>
      <c r="W30" s="70">
        <f t="shared" si="34"/>
        <v>3.3969288040949279</v>
      </c>
      <c r="X30" s="70">
        <f t="shared" si="34"/>
        <v>-1.5228426395939088</v>
      </c>
      <c r="Y30" s="70">
        <f t="shared" si="34"/>
        <v>1.2384652744050513</v>
      </c>
      <c r="Z30" s="70">
        <f t="shared" si="34"/>
        <v>-0.64516129032258063</v>
      </c>
      <c r="AA30" s="70">
        <f t="shared" si="34"/>
        <v>1.1627906976744187</v>
      </c>
      <c r="AB30" s="70">
        <f t="shared" si="34"/>
        <v>1.2514033790629537</v>
      </c>
      <c r="AC30" s="70">
        <f t="shared" si="34"/>
        <v>-0.18639752682305871</v>
      </c>
      <c r="AD30" s="70">
        <f t="shared" si="34"/>
        <v>-1.6528925619834711</v>
      </c>
      <c r="AE30" s="70">
        <f t="shared" si="34"/>
        <v>-0.48309178743961356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0.31116496488906387</v>
      </c>
      <c r="K31" s="70">
        <f t="shared" ref="K31:AF31" si="35">NORMDIST(K30,0,1,FALSE)</f>
        <v>0.19640914652400149</v>
      </c>
      <c r="L31" s="70">
        <f t="shared" si="35"/>
        <v>0.38404771597918042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0.23189438328624271</v>
      </c>
      <c r="P31" s="70">
        <f t="shared" si="35"/>
        <v>0.39888275155902747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0.39828937212860233</v>
      </c>
      <c r="T31" s="70">
        <f t="shared" si="35"/>
        <v>1.8774272333183636E-3</v>
      </c>
      <c r="U31" s="70">
        <f t="shared" si="35"/>
        <v>0.23207759364980557</v>
      </c>
      <c r="V31" s="70">
        <f t="shared" si="35"/>
        <v>0.39281828444180655</v>
      </c>
      <c r="W31" s="70">
        <f t="shared" si="35"/>
        <v>1.2451476231921485E-3</v>
      </c>
      <c r="X31" s="70">
        <f t="shared" si="35"/>
        <v>0.1251223293178855</v>
      </c>
      <c r="Y31" s="70">
        <f t="shared" si="35"/>
        <v>0.18528934454325996</v>
      </c>
      <c r="Z31" s="70">
        <f t="shared" si="35"/>
        <v>0.32398596615315295</v>
      </c>
      <c r="AA31" s="70">
        <f t="shared" si="35"/>
        <v>0.2029126604716732</v>
      </c>
      <c r="AB31" s="70">
        <f t="shared" si="35"/>
        <v>0.18232877933413894</v>
      </c>
      <c r="AC31" s="70">
        <f t="shared" si="35"/>
        <v>0.39207169825391602</v>
      </c>
      <c r="AD31" s="70">
        <f t="shared" si="35"/>
        <v>0.10177757907817411</v>
      </c>
      <c r="AE31" s="70">
        <f t="shared" si="35"/>
        <v>0.35500359217664224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0.24041348629186277</v>
      </c>
      <c r="K32" s="70">
        <f t="shared" ref="K32:AF32" si="36">NORMDIST(K30,0,1,TRUE)</f>
        <v>0.11692964134637239</v>
      </c>
      <c r="L32" s="70">
        <f t="shared" si="36"/>
        <v>0.60867299579262324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0.85121687581824801</v>
      </c>
      <c r="P32" s="70">
        <f t="shared" si="36"/>
        <v>0.49310826850302508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0.47717888470998132</v>
      </c>
      <c r="T32" s="70">
        <f t="shared" si="36"/>
        <v>0.99946945944972954</v>
      </c>
      <c r="U32" s="70">
        <f t="shared" si="36"/>
        <v>0.85104092980796553</v>
      </c>
      <c r="V32" s="70">
        <f t="shared" si="36"/>
        <v>0.56981199736182153</v>
      </c>
      <c r="W32" s="70">
        <f t="shared" si="36"/>
        <v>0.99965926652649517</v>
      </c>
      <c r="X32" s="70">
        <f t="shared" si="36"/>
        <v>6.389903965475742E-2</v>
      </c>
      <c r="Y32" s="70">
        <f t="shared" si="36"/>
        <v>0.8922282048162371</v>
      </c>
      <c r="Z32" s="70">
        <f t="shared" si="36"/>
        <v>0.25941133433509533</v>
      </c>
      <c r="AA32" s="70">
        <f t="shared" si="36"/>
        <v>0.87754278386503259</v>
      </c>
      <c r="AB32" s="70">
        <f t="shared" si="36"/>
        <v>0.89460632745632507</v>
      </c>
      <c r="AC32" s="70">
        <f t="shared" si="36"/>
        <v>0.42606651587719524</v>
      </c>
      <c r="AD32" s="70">
        <f t="shared" si="36"/>
        <v>4.9176365594524589E-2</v>
      </c>
      <c r="AE32" s="70">
        <f t="shared" si="36"/>
        <v>0.31451528251747035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0.84665302917529273</v>
      </c>
      <c r="K33" s="70">
        <f t="shared" ref="K33:AF33" si="37">K31-(K30*(1-K32))</f>
        <v>1.2476833830164151</v>
      </c>
      <c r="L33" s="70">
        <f t="shared" si="37"/>
        <v>0.27609543895645577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7.6911962263584377E-2</v>
      </c>
      <c r="P33" s="70">
        <f t="shared" si="37"/>
        <v>0.40763974637485084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0.42821318860656782</v>
      </c>
      <c r="T33" s="70">
        <f t="shared" si="37"/>
        <v>1.4053852707577295E-4</v>
      </c>
      <c r="U33" s="70">
        <f t="shared" si="37"/>
        <v>7.7024871124321381E-2</v>
      </c>
      <c r="V33" s="70">
        <f t="shared" si="37"/>
        <v>0.31715013121924707</v>
      </c>
      <c r="W33" s="70">
        <f t="shared" si="37"/>
        <v>8.7700272524280937E-5</v>
      </c>
      <c r="X33" s="70">
        <f t="shared" si="37"/>
        <v>1.5506567866964278</v>
      </c>
      <c r="Y33" s="70">
        <f t="shared" si="37"/>
        <v>5.1817718647876071E-2</v>
      </c>
      <c r="Z33" s="70">
        <f t="shared" si="37"/>
        <v>0.80178510529180103</v>
      </c>
      <c r="AA33" s="70">
        <f t="shared" si="37"/>
        <v>6.0520548686827352E-2</v>
      </c>
      <c r="AB33" s="70">
        <f t="shared" si="37"/>
        <v>5.0438781381129671E-2</v>
      </c>
      <c r="AC33" s="70">
        <f t="shared" si="37"/>
        <v>0.49905148025534807</v>
      </c>
      <c r="AD33" s="70">
        <f t="shared" si="37"/>
        <v>1.6733868921450756</v>
      </c>
      <c r="AE33" s="70">
        <f t="shared" si="37"/>
        <v>0.68615562960781595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16.772196507962548</v>
      </c>
      <c r="K34" s="74">
        <f t="shared" si="38"/>
        <v>1.0480540417337887</v>
      </c>
      <c r="L34" s="74">
        <f t="shared" si="38"/>
        <v>2.0016919324343045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0.369177418865205</v>
      </c>
      <c r="P34" s="74">
        <f t="shared" si="38"/>
        <v>6.3591800434476733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3.6612227625861551</v>
      </c>
      <c r="T34" s="74">
        <f t="shared" si="38"/>
        <v>4.7220945097459709E-4</v>
      </c>
      <c r="U34" s="74">
        <f t="shared" si="38"/>
        <v>0.60772623317089569</v>
      </c>
      <c r="V34" s="74">
        <f t="shared" si="38"/>
        <v>1.9948743253690642</v>
      </c>
      <c r="W34" s="74">
        <f t="shared" si="38"/>
        <v>2.6923983664954245E-4</v>
      </c>
      <c r="X34" s="74">
        <f t="shared" si="38"/>
        <v>3.0547938697919625</v>
      </c>
      <c r="Y34" s="74">
        <f t="shared" si="38"/>
        <v>7.3581160479984017E-2</v>
      </c>
      <c r="Z34" s="74">
        <f t="shared" si="38"/>
        <v>1.2427669132022916</v>
      </c>
      <c r="AA34" s="74">
        <f t="shared" si="38"/>
        <v>0.2081906874826861</v>
      </c>
      <c r="AB34" s="74">
        <f t="shared" si="38"/>
        <v>0.39190933133137751</v>
      </c>
      <c r="AC34" s="74">
        <f t="shared" si="38"/>
        <v>0.77852030919834303</v>
      </c>
      <c r="AD34" s="74">
        <f t="shared" si="38"/>
        <v>2.0247981394955414</v>
      </c>
      <c r="AE34" s="74">
        <f t="shared" si="38"/>
        <v>1.4203421532881788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28.227803492037452</v>
      </c>
      <c r="K35" s="74">
        <f t="shared" si="39"/>
        <v>-4.8054041733788688E-2</v>
      </c>
      <c r="L35" s="74">
        <f t="shared" si="39"/>
        <v>15.998308067565695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10.630822581134796</v>
      </c>
      <c r="P35" s="74">
        <f t="shared" si="39"/>
        <v>11.640819956552328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5.3387772374138454</v>
      </c>
      <c r="T35" s="74">
        <f t="shared" si="39"/>
        <v>3.9995277905490254</v>
      </c>
      <c r="U35" s="74">
        <f t="shared" si="39"/>
        <v>1.3922737668291043</v>
      </c>
      <c r="V35" s="74">
        <f t="shared" si="39"/>
        <v>2.0051256746309356</v>
      </c>
      <c r="W35" s="74">
        <f t="shared" si="39"/>
        <v>0.9997307601633505</v>
      </c>
      <c r="X35" s="74">
        <f t="shared" si="39"/>
        <v>-5.4793869791962546E-2</v>
      </c>
      <c r="Y35" s="74">
        <f t="shared" si="39"/>
        <v>0.92641883952001602</v>
      </c>
      <c r="Z35" s="74">
        <f t="shared" si="39"/>
        <v>-0.2427669132022916</v>
      </c>
      <c r="AA35" s="74">
        <f t="shared" si="39"/>
        <v>5.791809312517314</v>
      </c>
      <c r="AB35" s="74">
        <f t="shared" si="39"/>
        <v>8.6080906686686234</v>
      </c>
      <c r="AC35" s="74">
        <f t="shared" si="39"/>
        <v>0.22147969080165697</v>
      </c>
      <c r="AD35" s="74">
        <f t="shared" si="39"/>
        <v>-2.4798139495541438E-2</v>
      </c>
      <c r="AE35" s="74">
        <f t="shared" si="39"/>
        <v>-0.42034215328817881</v>
      </c>
      <c r="AF35" s="74">
        <f t="shared" si="39"/>
        <v>0.35403274880761504</v>
      </c>
      <c r="AG35" s="187">
        <f>SUM(J35:AF35)</f>
        <v>118.28226935294046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2.8066792665832381</v>
      </c>
      <c r="K36" s="74">
        <f t="shared" ref="K36:AF36" si="40">K29-K35</f>
        <v>4.8054041733788688E-2</v>
      </c>
      <c r="L36" s="74">
        <f t="shared" si="40"/>
        <v>4.001691932434305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5.3691774188652044</v>
      </c>
      <c r="P36" s="74">
        <f t="shared" si="40"/>
        <v>6.0896764973483819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3.1718610604584949</v>
      </c>
      <c r="T36" s="74">
        <f t="shared" si="40"/>
        <v>11.000472209450974</v>
      </c>
      <c r="U36" s="74">
        <f t="shared" si="40"/>
        <v>8.8204921906177027</v>
      </c>
      <c r="V36" s="74">
        <f t="shared" si="40"/>
        <v>3.101257304092468</v>
      </c>
      <c r="W36" s="74">
        <f t="shared" si="40"/>
        <v>10.428840668408078</v>
      </c>
      <c r="X36" s="74">
        <f t="shared" si="40"/>
        <v>5.4793869791962546E-2</v>
      </c>
      <c r="Y36" s="74">
        <f t="shared" si="40"/>
        <v>1.8322018501351565</v>
      </c>
      <c r="Z36" s="74">
        <f t="shared" si="40"/>
        <v>0.2427669132022916</v>
      </c>
      <c r="AA36" s="74">
        <f t="shared" si="40"/>
        <v>4.208190687482686</v>
      </c>
      <c r="AB36" s="74">
        <f t="shared" si="40"/>
        <v>10.115313586650526</v>
      </c>
      <c r="AC36" s="74">
        <f t="shared" si="40"/>
        <v>0.48774016735437142</v>
      </c>
      <c r="AD36" s="74">
        <f t="shared" si="40"/>
        <v>2.4798139495541438E-2</v>
      </c>
      <c r="AE36" s="74">
        <f t="shared" si="40"/>
        <v>0.42034215328817881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1411.3901746018726</v>
      </c>
      <c r="K37" s="70">
        <f t="shared" ref="K37:AF37" si="41">K20*K35</f>
        <v>-9.6108083467577377</v>
      </c>
      <c r="L37" s="70">
        <f t="shared" si="41"/>
        <v>959.89848405394173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637.84935486808774</v>
      </c>
      <c r="P37" s="70">
        <f t="shared" si="41"/>
        <v>582.04099782761637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266.93886187069228</v>
      </c>
      <c r="T37" s="70">
        <f t="shared" si="41"/>
        <v>279.9669453384318</v>
      </c>
      <c r="U37" s="70">
        <f t="shared" si="41"/>
        <v>97.459163678037299</v>
      </c>
      <c r="V37" s="70">
        <f t="shared" si="41"/>
        <v>100.25628373154677</v>
      </c>
      <c r="W37" s="70">
        <f t="shared" si="41"/>
        <v>79.97846081306804</v>
      </c>
      <c r="X37" s="70">
        <f t="shared" si="41"/>
        <v>-3.2876321875177528</v>
      </c>
      <c r="Y37" s="70">
        <f t="shared" si="41"/>
        <v>55.585130371200961</v>
      </c>
      <c r="Z37" s="70">
        <f t="shared" si="41"/>
        <v>-14.566014792137496</v>
      </c>
      <c r="AA37" s="70">
        <f t="shared" si="41"/>
        <v>289.5904656258657</v>
      </c>
      <c r="AB37" s="70">
        <f t="shared" si="41"/>
        <v>430.4045334334312</v>
      </c>
      <c r="AC37" s="70">
        <f t="shared" si="41"/>
        <v>11.073984540082849</v>
      </c>
      <c r="AD37" s="70">
        <f t="shared" si="41"/>
        <v>-1.4878883697324863</v>
      </c>
      <c r="AE37" s="70">
        <f t="shared" si="41"/>
        <v>-50.441058394581461</v>
      </c>
      <c r="AF37" s="70">
        <f t="shared" si="41"/>
        <v>35.403274880761501</v>
      </c>
      <c r="AG37" s="288">
        <f>SUM(J37:AF37)</f>
        <v>6223.006437820085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139.95506162817318</v>
      </c>
      <c r="K38" s="70">
        <f t="shared" ref="K38:AF38" si="42">(K20-K22)*K36</f>
        <v>9.5433885262052325</v>
      </c>
      <c r="L38" s="70">
        <f t="shared" si="42"/>
        <v>239.26116064024708</v>
      </c>
      <c r="M38" s="70">
        <f t="shared" si="42"/>
        <v>25.836977878321211</v>
      </c>
      <c r="N38" s="70">
        <f t="shared" si="42"/>
        <v>381.13891261886454</v>
      </c>
      <c r="O38" s="70">
        <f t="shared" si="42"/>
        <v>320.55063026109042</v>
      </c>
      <c r="P38" s="70">
        <f t="shared" si="42"/>
        <v>303.22326183246798</v>
      </c>
      <c r="Q38" s="70">
        <f t="shared" si="42"/>
        <v>1341.422871748664</v>
      </c>
      <c r="R38" s="70">
        <f t="shared" si="42"/>
        <v>546.41638009837322</v>
      </c>
      <c r="S38" s="70">
        <f t="shared" si="42"/>
        <v>158.17436736294422</v>
      </c>
      <c r="T38" s="70">
        <f t="shared" si="42"/>
        <v>766.44690072128719</v>
      </c>
      <c r="U38" s="70">
        <f t="shared" si="42"/>
        <v>615.89086720988109</v>
      </c>
      <c r="V38" s="70">
        <f t="shared" si="42"/>
        <v>153.89989371558872</v>
      </c>
      <c r="W38" s="70">
        <f t="shared" si="42"/>
        <v>830.65715923870346</v>
      </c>
      <c r="X38" s="70">
        <f t="shared" si="42"/>
        <v>3.2753035668145611</v>
      </c>
      <c r="Y38" s="70">
        <f t="shared" si="42"/>
        <v>108.82729329247789</v>
      </c>
      <c r="Z38" s="70">
        <f t="shared" si="42"/>
        <v>14.421568478782133</v>
      </c>
      <c r="AA38" s="70">
        <f t="shared" si="42"/>
        <v>209.6520600503874</v>
      </c>
      <c r="AB38" s="70">
        <f t="shared" si="42"/>
        <v>503.99549945486251</v>
      </c>
      <c r="AC38" s="70">
        <f t="shared" si="42"/>
        <v>24.322626665627794</v>
      </c>
      <c r="AD38" s="70">
        <f>(AD20-AD22)*AD36</f>
        <v>1.4747949520788404</v>
      </c>
      <c r="AE38" s="70">
        <f t="shared" si="42"/>
        <v>50.34648141009162</v>
      </c>
      <c r="AF38" s="70">
        <f t="shared" si="42"/>
        <v>33.411883514842245</v>
      </c>
      <c r="AG38" s="288">
        <f>SUM(J38:AF38)</f>
        <v>6782.1453448667771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10.063317904777529</v>
      </c>
      <c r="K39" s="70">
        <f t="shared" ref="K39:AF39" si="43">K23*K34</f>
        <v>3.8777999544150181</v>
      </c>
      <c r="L39" s="70">
        <f t="shared" si="43"/>
        <v>3.0025378986514566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1.181367740368656</v>
      </c>
      <c r="P39" s="70">
        <f t="shared" si="43"/>
        <v>3.8155080260686036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1.0983668287758466</v>
      </c>
      <c r="T39" s="70">
        <f t="shared" si="43"/>
        <v>4.2498850587713733E-4</v>
      </c>
      <c r="U39" s="70">
        <f t="shared" si="43"/>
        <v>0.30386311658544785</v>
      </c>
      <c r="V39" s="70">
        <f t="shared" si="43"/>
        <v>2.5933366229797836</v>
      </c>
      <c r="W39" s="70">
        <f t="shared" si="43"/>
        <v>1.8846788565467974E-4</v>
      </c>
      <c r="X39" s="70">
        <f t="shared" si="43"/>
        <v>7.6369846744799066</v>
      </c>
      <c r="Y39" s="70">
        <f t="shared" si="43"/>
        <v>0.13980420491196965</v>
      </c>
      <c r="Z39" s="70">
        <f t="shared" si="43"/>
        <v>1.8641503698034374</v>
      </c>
      <c r="AA39" s="70">
        <f t="shared" si="43"/>
        <v>0.10409534374134305</v>
      </c>
      <c r="AB39" s="70">
        <f t="shared" si="43"/>
        <v>0.19595466566568875</v>
      </c>
      <c r="AC39" s="70">
        <f t="shared" si="43"/>
        <v>0.2335560927595029</v>
      </c>
      <c r="AD39" s="70">
        <f t="shared" si="43"/>
        <v>1.6198385115964333</v>
      </c>
      <c r="AE39" s="70">
        <f t="shared" si="43"/>
        <v>3.5508553832204468</v>
      </c>
      <c r="AF39" s="70">
        <f t="shared" si="43"/>
        <v>0.9689508767885775</v>
      </c>
      <c r="AG39" s="288">
        <f t="shared" ref="AG39" si="44">SUM(J39:AF39)</f>
        <v>59.445456830093569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209.48275862068965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415.00000000000006</v>
      </c>
      <c r="O40" s="70">
        <f t="shared" si="45"/>
        <v>238.39999999999998</v>
      </c>
      <c r="P40" s="70">
        <f t="shared" si="45"/>
        <v>183.51063829787233</v>
      </c>
      <c r="Q40" s="70">
        <f t="shared" si="45"/>
        <v>489</v>
      </c>
      <c r="R40" s="70">
        <f t="shared" si="45"/>
        <v>244.5</v>
      </c>
      <c r="S40" s="70">
        <f t="shared" si="45"/>
        <v>56.170212765957444</v>
      </c>
      <c r="T40" s="70">
        <f t="shared" si="45"/>
        <v>244.5</v>
      </c>
      <c r="U40" s="70">
        <f t="shared" si="45"/>
        <v>89.361702127659569</v>
      </c>
      <c r="V40" s="70">
        <f t="shared" si="45"/>
        <v>95.744680851063819</v>
      </c>
      <c r="W40" s="70">
        <f t="shared" si="45"/>
        <v>200</v>
      </c>
      <c r="X40" s="70">
        <f t="shared" si="45"/>
        <v>0</v>
      </c>
      <c r="Y40" s="70">
        <f t="shared" si="45"/>
        <v>83.172413793103459</v>
      </c>
      <c r="Z40" s="70">
        <f t="shared" si="45"/>
        <v>0</v>
      </c>
      <c r="AA40" s="70">
        <f t="shared" si="45"/>
        <v>90</v>
      </c>
      <c r="AB40" s="70">
        <f t="shared" si="45"/>
        <v>163.82978723404256</v>
      </c>
      <c r="AC40" s="70">
        <f t="shared" si="45"/>
        <v>4.6808510638297873</v>
      </c>
      <c r="AD40" s="70">
        <f t="shared" si="45"/>
        <v>0</v>
      </c>
      <c r="AE40" s="70">
        <f t="shared" si="45"/>
        <v>0</v>
      </c>
      <c r="AF40" s="70">
        <f t="shared" si="45"/>
        <v>15.448275862068968</v>
      </c>
      <c r="AG40" s="289">
        <f>SUM(J40:AF40)</f>
        <v>3032.8013206162877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1331.7991597045786</v>
      </c>
      <c r="K41" s="76">
        <f t="shared" ref="K41:AF41" si="46">K37+K38-K40-K39</f>
        <v>-3.9452197749675233</v>
      </c>
      <c r="L41" s="76">
        <f t="shared" si="46"/>
        <v>986.15710679553729</v>
      </c>
      <c r="M41" s="76">
        <f t="shared" si="46"/>
        <v>-10.497644490268256</v>
      </c>
      <c r="N41" s="76">
        <f t="shared" si="46"/>
        <v>700.07556473712077</v>
      </c>
      <c r="O41" s="76">
        <f t="shared" si="46"/>
        <v>718.81861738880957</v>
      </c>
      <c r="P41" s="76">
        <f t="shared" si="46"/>
        <v>697.93811333614337</v>
      </c>
      <c r="Q41" s="76">
        <f t="shared" si="46"/>
        <v>1002.1924499584519</v>
      </c>
      <c r="R41" s="76">
        <f t="shared" si="46"/>
        <v>501.91394125698349</v>
      </c>
      <c r="S41" s="76">
        <f t="shared" si="46"/>
        <v>367.84464963890321</v>
      </c>
      <c r="T41" s="76">
        <f t="shared" si="46"/>
        <v>801.91342107121307</v>
      </c>
      <c r="U41" s="76">
        <f t="shared" si="46"/>
        <v>623.68446564367332</v>
      </c>
      <c r="V41" s="76">
        <f t="shared" si="46"/>
        <v>155.81815997309189</v>
      </c>
      <c r="W41" s="76">
        <f t="shared" si="46"/>
        <v>710.63543158388586</v>
      </c>
      <c r="X41" s="76">
        <f t="shared" si="46"/>
        <v>-7.6493132951830987</v>
      </c>
      <c r="Y41" s="76">
        <f t="shared" si="46"/>
        <v>81.100205665663424</v>
      </c>
      <c r="Z41" s="76">
        <f t="shared" si="46"/>
        <v>-2.0085966831588005</v>
      </c>
      <c r="AA41" s="76">
        <f t="shared" si="46"/>
        <v>409.13843033251175</v>
      </c>
      <c r="AB41" s="76">
        <f t="shared" si="46"/>
        <v>770.37429098858547</v>
      </c>
      <c r="AC41" s="76">
        <f t="shared" si="46"/>
        <v>30.48220404912135</v>
      </c>
      <c r="AD41" s="76">
        <f t="shared" si="46"/>
        <v>-1.6329319292500792</v>
      </c>
      <c r="AE41" s="76">
        <f t="shared" si="46"/>
        <v>-3.6454323677102876</v>
      </c>
      <c r="AF41" s="76">
        <f t="shared" si="46"/>
        <v>52.397931656746202</v>
      </c>
      <c r="AG41" s="290">
        <f>SUM(J41:AF41)</f>
        <v>9912.9050052404818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1.1219807658328971</v>
      </c>
      <c r="K43" s="70">
        <f t="shared" si="47"/>
        <v>0.47764911625893436</v>
      </c>
      <c r="L43" s="70">
        <f t="shared" si="47"/>
        <v>0.9647853748580717</v>
      </c>
      <c r="M43" s="70">
        <f t="shared" si="47"/>
        <v>-0.51845584510686737</v>
      </c>
      <c r="N43" s="70">
        <f t="shared" si="47"/>
        <v>0.40606194716737892</v>
      </c>
      <c r="O43" s="70">
        <f t="shared" si="47"/>
        <v>0.73524413525010457</v>
      </c>
      <c r="P43" s="70">
        <f t="shared" si="47"/>
        <v>0.83793469870000303</v>
      </c>
      <c r="Q43" s="70">
        <f t="shared" si="47"/>
        <v>0.48079800681204854</v>
      </c>
      <c r="R43" s="70">
        <f t="shared" si="47"/>
        <v>0.48402553993853564</v>
      </c>
      <c r="S43" s="70">
        <f t="shared" si="47"/>
        <v>1.1330642380095106</v>
      </c>
      <c r="T43" s="70">
        <f t="shared" si="47"/>
        <v>0.75659261872167594</v>
      </c>
      <c r="U43" s="70">
        <f t="shared" si="47"/>
        <v>1.1677794384666953</v>
      </c>
      <c r="V43" s="70">
        <f t="shared" si="47"/>
        <v>0.35842339999756334</v>
      </c>
      <c r="W43" s="70">
        <f t="shared" si="47"/>
        <v>0.80160211059556541</v>
      </c>
      <c r="X43" s="70">
        <f t="shared" si="47"/>
        <v>0.93501966042078588</v>
      </c>
      <c r="Y43" s="70">
        <f t="shared" si="47"/>
        <v>5.6646589966464517E-2</v>
      </c>
      <c r="Z43" s="70">
        <f t="shared" si="47"/>
        <v>6.4007306272054573E-2</v>
      </c>
      <c r="AA43" s="70">
        <f t="shared" si="47"/>
        <v>0.93745119405014166</v>
      </c>
      <c r="AB43" s="70">
        <f t="shared" si="47"/>
        <v>0.95436068261286855</v>
      </c>
      <c r="AC43" s="70">
        <f t="shared" si="47"/>
        <v>1.1401680890733683</v>
      </c>
      <c r="AD43" s="70">
        <f t="shared" si="47"/>
        <v>0.19174647494455099</v>
      </c>
      <c r="AE43" s="70">
        <f t="shared" si="47"/>
        <v>1.3554787055844089</v>
      </c>
      <c r="AF43" s="70">
        <f t="shared" si="47"/>
        <v>0.80437691935446887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0.21259656875300911</v>
      </c>
      <c r="K44" s="70">
        <f t="shared" ref="K44:AF44" si="48">NORMDIST(K43,0,1,FALSE)</f>
        <v>0.35593296289520387</v>
      </c>
      <c r="L44" s="70">
        <f t="shared" si="48"/>
        <v>0.25048808036197112</v>
      </c>
      <c r="M44" s="70">
        <f t="shared" si="48"/>
        <v>0.34877203506256998</v>
      </c>
      <c r="N44" s="70">
        <f t="shared" si="48"/>
        <v>0.36737149840748168</v>
      </c>
      <c r="O44" s="70">
        <f t="shared" si="48"/>
        <v>0.30445545168670651</v>
      </c>
      <c r="P44" s="70">
        <f t="shared" si="48"/>
        <v>0.28082998935176035</v>
      </c>
      <c r="Q44" s="70">
        <f t="shared" si="48"/>
        <v>0.3553962570818528</v>
      </c>
      <c r="R44" s="70">
        <f t="shared" si="48"/>
        <v>0.35484333567798582</v>
      </c>
      <c r="S44" s="70">
        <f t="shared" si="48"/>
        <v>0.20995631012511609</v>
      </c>
      <c r="T44" s="70">
        <f t="shared" si="48"/>
        <v>0.29964563218996382</v>
      </c>
      <c r="U44" s="70">
        <f t="shared" si="48"/>
        <v>0.20173648929013777</v>
      </c>
      <c r="V44" s="70">
        <f t="shared" si="48"/>
        <v>0.3741224233245834</v>
      </c>
      <c r="W44" s="70">
        <f t="shared" si="48"/>
        <v>0.28932012496912535</v>
      </c>
      <c r="X44" s="70">
        <f t="shared" si="48"/>
        <v>0.25767158896419284</v>
      </c>
      <c r="Y44" s="70">
        <f t="shared" si="48"/>
        <v>0.39830272339051997</v>
      </c>
      <c r="Z44" s="70">
        <f t="shared" si="48"/>
        <v>0.39812589650801511</v>
      </c>
      <c r="AA44" s="70">
        <f t="shared" si="48"/>
        <v>0.25708566987486597</v>
      </c>
      <c r="AB44" s="70">
        <f t="shared" si="48"/>
        <v>0.25300635057989934</v>
      </c>
      <c r="AC44" s="70">
        <f t="shared" si="48"/>
        <v>0.20826787466879707</v>
      </c>
      <c r="AD44" s="70">
        <f t="shared" si="48"/>
        <v>0.3916753823419955</v>
      </c>
      <c r="AE44" s="70">
        <f t="shared" si="48"/>
        <v>0.15919907850861659</v>
      </c>
      <c r="AF44" s="70">
        <f t="shared" si="48"/>
        <v>0.28867619619790807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0.86906469097467598</v>
      </c>
      <c r="K45" s="70">
        <f t="shared" ref="K45:AF45" si="49">NORMDIST(K43,0,1,TRUE)</f>
        <v>0.68355001685889549</v>
      </c>
      <c r="L45" s="70">
        <f t="shared" si="49"/>
        <v>0.83267383863490829</v>
      </c>
      <c r="M45" s="70">
        <f t="shared" si="49"/>
        <v>0.30207012985676007</v>
      </c>
      <c r="N45" s="70">
        <f t="shared" si="49"/>
        <v>0.65765145770320221</v>
      </c>
      <c r="O45" s="70">
        <f t="shared" si="49"/>
        <v>0.76890458791776783</v>
      </c>
      <c r="P45" s="70">
        <f t="shared" si="49"/>
        <v>0.79896631018902142</v>
      </c>
      <c r="Q45" s="70">
        <f t="shared" si="49"/>
        <v>0.68466996650224698</v>
      </c>
      <c r="R45" s="70">
        <f t="shared" si="49"/>
        <v>0.68581612817234694</v>
      </c>
      <c r="S45" s="70">
        <f t="shared" si="49"/>
        <v>0.87140636100935431</v>
      </c>
      <c r="T45" s="70">
        <f t="shared" si="49"/>
        <v>0.77535301756446873</v>
      </c>
      <c r="U45" s="70">
        <f t="shared" si="49"/>
        <v>0.87855212797584148</v>
      </c>
      <c r="V45" s="70">
        <f t="shared" si="49"/>
        <v>0.63998675867417365</v>
      </c>
      <c r="W45" s="70">
        <f t="shared" si="49"/>
        <v>0.78860842182411572</v>
      </c>
      <c r="X45" s="70">
        <f t="shared" si="49"/>
        <v>0.82511091626520483</v>
      </c>
      <c r="Y45" s="70">
        <f t="shared" si="49"/>
        <v>0.52258663966171803</v>
      </c>
      <c r="Z45" s="70">
        <f t="shared" si="49"/>
        <v>0.52551779541209687</v>
      </c>
      <c r="AA45" s="70">
        <f t="shared" si="49"/>
        <v>0.82573674109618478</v>
      </c>
      <c r="AB45" s="70">
        <f t="shared" si="49"/>
        <v>0.83004944950711956</v>
      </c>
      <c r="AC45" s="70">
        <f t="shared" si="49"/>
        <v>0.87289186034591193</v>
      </c>
      <c r="AD45" s="70">
        <f t="shared" si="49"/>
        <v>0.57602960017908811</v>
      </c>
      <c r="AE45" s="70">
        <f t="shared" si="49"/>
        <v>0.91236745570108968</v>
      </c>
      <c r="AF45" s="70">
        <f t="shared" si="49"/>
        <v>0.78941033663417604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6.5689670458209032E-2</v>
      </c>
      <c r="K46" s="70">
        <f t="shared" ref="K46:AF46" si="50">K44-(K43*(1-K45))</f>
        <v>0.20478090810770064</v>
      </c>
      <c r="L46" s="70">
        <f t="shared" si="50"/>
        <v>8.9054247045788931E-2</v>
      </c>
      <c r="M46" s="70">
        <f t="shared" si="50"/>
        <v>0.71061785571300962</v>
      </c>
      <c r="N46" s="70">
        <f t="shared" si="50"/>
        <v>0.22835678271253018</v>
      </c>
      <c r="O46" s="70">
        <f t="shared" si="50"/>
        <v>0.13454390527003915</v>
      </c>
      <c r="P46" s="70">
        <f t="shared" si="50"/>
        <v>0.11237688505144813</v>
      </c>
      <c r="Q46" s="70">
        <f t="shared" si="50"/>
        <v>0.20378620548815665</v>
      </c>
      <c r="R46" s="70">
        <f t="shared" si="50"/>
        <v>0.20277031747662635</v>
      </c>
      <c r="S46" s="70">
        <f t="shared" si="50"/>
        <v>6.4251456549310054E-2</v>
      </c>
      <c r="T46" s="70">
        <f t="shared" si="50"/>
        <v>0.12967938346114288</v>
      </c>
      <c r="U46" s="70">
        <f t="shared" si="50"/>
        <v>5.9912161494790867E-2</v>
      </c>
      <c r="V46" s="70">
        <f t="shared" si="50"/>
        <v>0.24508525332443745</v>
      </c>
      <c r="W46" s="70">
        <f t="shared" si="50"/>
        <v>0.11986818974120905</v>
      </c>
      <c r="X46" s="70">
        <f t="shared" si="50"/>
        <v>9.4146857279182289E-2</v>
      </c>
      <c r="Y46" s="70">
        <f t="shared" si="50"/>
        <v>0.37125888452292533</v>
      </c>
      <c r="Z46" s="70">
        <f t="shared" si="50"/>
        <v>0.36775556871831755</v>
      </c>
      <c r="AA46" s="70">
        <f t="shared" si="50"/>
        <v>9.3722369736415428E-2</v>
      </c>
      <c r="AB46" s="70">
        <f t="shared" si="50"/>
        <v>9.0812227201081175E-2</v>
      </c>
      <c r="AC46" s="70">
        <f t="shared" si="50"/>
        <v>6.334322997372463E-2</v>
      </c>
      <c r="AD46" s="70">
        <f t="shared" si="50"/>
        <v>0.31038055269550374</v>
      </c>
      <c r="AE46" s="70">
        <f t="shared" si="50"/>
        <v>4.0415030795261264E-2</v>
      </c>
      <c r="AF46" s="70">
        <f t="shared" si="50"/>
        <v>0.11928273153181196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1.3013123717771209</v>
      </c>
      <c r="K47" s="74">
        <f t="shared" si="51"/>
        <v>0.17201596281046852</v>
      </c>
      <c r="L47" s="74">
        <f t="shared" si="51"/>
        <v>0.64564329108196972</v>
      </c>
      <c r="M47" s="74">
        <f t="shared" si="51"/>
        <v>2.288189495395891</v>
      </c>
      <c r="N47" s="74">
        <f t="shared" si="51"/>
        <v>2.8430419447710005</v>
      </c>
      <c r="O47" s="74">
        <f t="shared" si="51"/>
        <v>0.64581074529618787</v>
      </c>
      <c r="P47" s="74">
        <f t="shared" si="51"/>
        <v>1.7530794068025908</v>
      </c>
      <c r="Q47" s="74">
        <f t="shared" si="51"/>
        <v>1.8789088146008044</v>
      </c>
      <c r="R47" s="74">
        <f t="shared" si="51"/>
        <v>0.58600621750745019</v>
      </c>
      <c r="S47" s="74">
        <f t="shared" si="51"/>
        <v>0.54934995349660098</v>
      </c>
      <c r="T47" s="74">
        <f t="shared" si="51"/>
        <v>0.4357227284294401</v>
      </c>
      <c r="U47" s="74">
        <f t="shared" si="51"/>
        <v>0.47270695419389991</v>
      </c>
      <c r="V47" s="74">
        <f t="shared" si="51"/>
        <v>1.5415862434107115</v>
      </c>
      <c r="W47" s="74">
        <f t="shared" si="51"/>
        <v>0.36799534250551175</v>
      </c>
      <c r="X47" s="74">
        <f t="shared" si="51"/>
        <v>0.18546930883998911</v>
      </c>
      <c r="Y47" s="74">
        <f t="shared" si="51"/>
        <v>0.52718761602255393</v>
      </c>
      <c r="Z47" s="74">
        <f t="shared" si="51"/>
        <v>0.57002113151339218</v>
      </c>
      <c r="AA47" s="74">
        <f t="shared" si="51"/>
        <v>0.32240495189326906</v>
      </c>
      <c r="AB47" s="74">
        <f t="shared" si="51"/>
        <v>0.70561100535240073</v>
      </c>
      <c r="AC47" s="74">
        <f t="shared" si="51"/>
        <v>9.8815438759010429E-2</v>
      </c>
      <c r="AD47" s="74">
        <f t="shared" si="51"/>
        <v>0.37556046876155952</v>
      </c>
      <c r="AE47" s="74">
        <f t="shared" si="51"/>
        <v>8.3659113746190811E-2</v>
      </c>
      <c r="AF47" s="74">
        <f t="shared" si="51"/>
        <v>0.14194645052285623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43.698687628222878</v>
      </c>
      <c r="K48" s="74">
        <f t="shared" si="52"/>
        <v>0.82798403718953151</v>
      </c>
      <c r="L48" s="74">
        <f t="shared" si="52"/>
        <v>17.354356708918029</v>
      </c>
      <c r="M48" s="74">
        <f t="shared" si="52"/>
        <v>-0.288189495395891</v>
      </c>
      <c r="N48" s="74">
        <f t="shared" si="52"/>
        <v>16.156958055228998</v>
      </c>
      <c r="O48" s="74">
        <f t="shared" si="52"/>
        <v>10.354189254703812</v>
      </c>
      <c r="P48" s="74">
        <f t="shared" si="52"/>
        <v>16.246920593197409</v>
      </c>
      <c r="Q48" s="74">
        <f t="shared" si="52"/>
        <v>1.1210911853991956</v>
      </c>
      <c r="R48" s="74">
        <f t="shared" si="52"/>
        <v>3.4139937824925499</v>
      </c>
      <c r="S48" s="74">
        <f t="shared" si="52"/>
        <v>8.4506500465033998</v>
      </c>
      <c r="T48" s="74">
        <f t="shared" si="52"/>
        <v>3.56427727157056</v>
      </c>
      <c r="U48" s="74">
        <f t="shared" si="52"/>
        <v>1.5272930458061</v>
      </c>
      <c r="V48" s="74">
        <f t="shared" si="52"/>
        <v>2.4584137565892883</v>
      </c>
      <c r="W48" s="74">
        <f t="shared" si="52"/>
        <v>0.6320046574944882</v>
      </c>
      <c r="X48" s="74">
        <f t="shared" si="52"/>
        <v>2.814530691160011</v>
      </c>
      <c r="Y48" s="74">
        <f t="shared" si="52"/>
        <v>0.47281238397744607</v>
      </c>
      <c r="Z48" s="74">
        <f t="shared" si="52"/>
        <v>0.42997886848660782</v>
      </c>
      <c r="AA48" s="74">
        <f t="shared" si="52"/>
        <v>5.6775950481067312</v>
      </c>
      <c r="AB48" s="74">
        <f t="shared" si="52"/>
        <v>8.2943889946475995</v>
      </c>
      <c r="AC48" s="74">
        <f t="shared" si="52"/>
        <v>0.90118456124098956</v>
      </c>
      <c r="AD48" s="74">
        <f t="shared" si="52"/>
        <v>1.6244395312384405</v>
      </c>
      <c r="AE48" s="74">
        <f t="shared" si="52"/>
        <v>0.91634088625380916</v>
      </c>
      <c r="AF48" s="74">
        <f t="shared" si="52"/>
        <v>0.85805354947714374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23.527751342926813</v>
      </c>
      <c r="K49" s="74">
        <f t="shared" ref="K49:AF49" si="53">K28-K48</f>
        <v>0.57324122046797332</v>
      </c>
      <c r="L49" s="74">
        <f t="shared" si="53"/>
        <v>7.6403372588029903</v>
      </c>
      <c r="M49" s="74">
        <f t="shared" si="53"/>
        <v>0.61876167415177785</v>
      </c>
      <c r="N49" s="74">
        <f t="shared" si="53"/>
        <v>7.8985131870048697</v>
      </c>
      <c r="O49" s="74">
        <f t="shared" si="53"/>
        <v>4.1749825944966901</v>
      </c>
      <c r="P49" s="74">
        <f t="shared" si="53"/>
        <v>14.824860706522639</v>
      </c>
      <c r="Q49" s="74">
        <f t="shared" si="53"/>
        <v>6.3118664374078923</v>
      </c>
      <c r="R49" s="74">
        <f t="shared" si="53"/>
        <v>1.9848400279298182</v>
      </c>
      <c r="S49" s="74">
        <f t="shared" si="53"/>
        <v>10.237049188477917</v>
      </c>
      <c r="T49" s="74">
        <f t="shared" si="53"/>
        <v>2.9778739273342709</v>
      </c>
      <c r="U49" s="74">
        <f t="shared" si="53"/>
        <v>9.6864867236961256</v>
      </c>
      <c r="V49" s="74">
        <f t="shared" si="53"/>
        <v>3.7960694293953852</v>
      </c>
      <c r="W49" s="74">
        <f t="shared" si="53"/>
        <v>2.8289138220338979</v>
      </c>
      <c r="X49" s="74">
        <f t="shared" si="53"/>
        <v>2.0274580398689372</v>
      </c>
      <c r="Y49" s="74">
        <f t="shared" si="53"/>
        <v>0.60762577377493354</v>
      </c>
      <c r="Z49" s="74">
        <f t="shared" si="53"/>
        <v>0.66923245623507677</v>
      </c>
      <c r="AA49" s="74">
        <f t="shared" si="53"/>
        <v>3.5472370594257558</v>
      </c>
      <c r="AB49" s="74">
        <f t="shared" si="53"/>
        <v>8.1209935092543883</v>
      </c>
      <c r="AC49" s="74">
        <f t="shared" si="53"/>
        <v>1.8774776577134653</v>
      </c>
      <c r="AD49" s="74">
        <f t="shared" si="53"/>
        <v>0.60757370344446615</v>
      </c>
      <c r="AE49" s="74">
        <f t="shared" si="53"/>
        <v>2.8895000343059172</v>
      </c>
      <c r="AF49" s="74">
        <f t="shared" si="53"/>
        <v>1.0991549845546742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2184.9343814111439</v>
      </c>
      <c r="K50" s="70">
        <f t="shared" ref="K50:AF50" si="54">K48*K20</f>
        <v>165.59680743790631</v>
      </c>
      <c r="L50" s="70">
        <f t="shared" si="54"/>
        <v>1041.2614025350817</v>
      </c>
      <c r="M50" s="70">
        <f t="shared" si="54"/>
        <v>-14.409474769794549</v>
      </c>
      <c r="N50" s="70">
        <f t="shared" si="54"/>
        <v>727.06311248530494</v>
      </c>
      <c r="O50" s="70">
        <f t="shared" si="54"/>
        <v>621.2513552822287</v>
      </c>
      <c r="P50" s="70">
        <f t="shared" si="54"/>
        <v>812.3460296598704</v>
      </c>
      <c r="Q50" s="70">
        <f t="shared" si="54"/>
        <v>56.054559269959782</v>
      </c>
      <c r="R50" s="70">
        <f t="shared" si="54"/>
        <v>170.6996891246275</v>
      </c>
      <c r="S50" s="70">
        <f t="shared" si="54"/>
        <v>422.53250232517001</v>
      </c>
      <c r="T50" s="70">
        <f t="shared" si="54"/>
        <v>249.4994090099392</v>
      </c>
      <c r="U50" s="70">
        <f t="shared" si="54"/>
        <v>106.910513206427</v>
      </c>
      <c r="V50" s="70">
        <f t="shared" si="54"/>
        <v>122.92068782946441</v>
      </c>
      <c r="W50" s="70">
        <f t="shared" si="54"/>
        <v>50.560372599559059</v>
      </c>
      <c r="X50" s="70">
        <f t="shared" si="54"/>
        <v>168.87184146960067</v>
      </c>
      <c r="Y50" s="70">
        <f t="shared" si="54"/>
        <v>28.368743038646762</v>
      </c>
      <c r="Z50" s="70">
        <f t="shared" si="54"/>
        <v>25.798732109196468</v>
      </c>
      <c r="AA50" s="70">
        <f t="shared" si="54"/>
        <v>283.87975240533655</v>
      </c>
      <c r="AB50" s="70">
        <f t="shared" si="54"/>
        <v>414.71944973237999</v>
      </c>
      <c r="AC50" s="70">
        <f t="shared" si="54"/>
        <v>45.059228062049478</v>
      </c>
      <c r="AD50" s="70">
        <f t="shared" si="54"/>
        <v>97.466371874306432</v>
      </c>
      <c r="AE50" s="70">
        <f t="shared" si="54"/>
        <v>109.96090635045709</v>
      </c>
      <c r="AF50" s="70">
        <f t="shared" si="54"/>
        <v>85.805354947714378</v>
      </c>
      <c r="AG50" s="186">
        <f>SUM(J50:AF50)</f>
        <v>7977.1517273965756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1173.2113207150455</v>
      </c>
      <c r="K51" s="70">
        <f t="shared" ref="K51:AF51" si="55">(K20-K22)*K49</f>
        <v>113.84398666127811</v>
      </c>
      <c r="L51" s="70">
        <f t="shared" si="55"/>
        <v>456.81576470383078</v>
      </c>
      <c r="M51" s="70">
        <f t="shared" si="55"/>
        <v>30.467824835233543</v>
      </c>
      <c r="N51" s="70">
        <f t="shared" si="55"/>
        <v>352.81078703713354</v>
      </c>
      <c r="O51" s="70">
        <f t="shared" si="55"/>
        <v>249.25481085664137</v>
      </c>
      <c r="P51" s="70">
        <f t="shared" si="55"/>
        <v>738.17428915988171</v>
      </c>
      <c r="Q51" s="70">
        <f t="shared" si="55"/>
        <v>313.53565341179961</v>
      </c>
      <c r="R51" s="70">
        <f t="shared" si="55"/>
        <v>98.594943547385782</v>
      </c>
      <c r="S51" s="70">
        <f t="shared" si="55"/>
        <v>510.50116893101676</v>
      </c>
      <c r="T51" s="70">
        <f t="shared" si="55"/>
        <v>207.480388013088</v>
      </c>
      <c r="U51" s="70">
        <f t="shared" si="55"/>
        <v>676.35893548208196</v>
      </c>
      <c r="V51" s="70">
        <f t="shared" si="55"/>
        <v>188.379945433746</v>
      </c>
      <c r="W51" s="70">
        <f t="shared" si="55"/>
        <v>225.32298592499998</v>
      </c>
      <c r="X51" s="70">
        <f t="shared" si="55"/>
        <v>121.19130433316572</v>
      </c>
      <c r="Y51" s="70">
        <f t="shared" si="55"/>
        <v>36.091148084909726</v>
      </c>
      <c r="Z51" s="70">
        <f t="shared" si="55"/>
        <v>39.755754062644733</v>
      </c>
      <c r="AA51" s="70">
        <f t="shared" si="55"/>
        <v>176.72335030059116</v>
      </c>
      <c r="AB51" s="70">
        <f t="shared" si="55"/>
        <v>404.62850159859994</v>
      </c>
      <c r="AC51" s="70">
        <f t="shared" si="55"/>
        <v>93.626055834855094</v>
      </c>
      <c r="AD51" s="70">
        <f t="shared" si="55"/>
        <v>36.133623291249293</v>
      </c>
      <c r="AE51" s="70">
        <f t="shared" si="55"/>
        <v>346.08986660899126</v>
      </c>
      <c r="AF51" s="70">
        <f t="shared" si="55"/>
        <v>109.42307702238693</v>
      </c>
      <c r="AG51" s="51">
        <f>SUM(J51:AF51)</f>
        <v>6698.4154858505563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0.78078742306627247</v>
      </c>
      <c r="K52" s="70">
        <f t="shared" ref="K52:AF52" si="56">K47*K23</f>
        <v>0.63645906239873351</v>
      </c>
      <c r="L52" s="70">
        <f t="shared" si="56"/>
        <v>0.96846493662295452</v>
      </c>
      <c r="M52" s="70">
        <f t="shared" si="56"/>
        <v>9.152757981583564</v>
      </c>
      <c r="N52" s="70">
        <f t="shared" si="56"/>
        <v>7.9605174453588008</v>
      </c>
      <c r="O52" s="70">
        <f t="shared" si="56"/>
        <v>2.0665943849478015</v>
      </c>
      <c r="P52" s="70">
        <f t="shared" si="56"/>
        <v>1.0518476440815545</v>
      </c>
      <c r="Q52" s="70">
        <f t="shared" si="56"/>
        <v>1.6910179331407238</v>
      </c>
      <c r="R52" s="70">
        <f t="shared" si="56"/>
        <v>0.52740559575670509</v>
      </c>
      <c r="S52" s="70">
        <f t="shared" si="56"/>
        <v>0.16480498604898028</v>
      </c>
      <c r="T52" s="70">
        <f t="shared" si="56"/>
        <v>0.39215045558649603</v>
      </c>
      <c r="U52" s="70">
        <f t="shared" si="56"/>
        <v>0.23635347709694995</v>
      </c>
      <c r="V52" s="70">
        <f t="shared" si="56"/>
        <v>2.004062116433925</v>
      </c>
      <c r="W52" s="70">
        <f t="shared" si="56"/>
        <v>0.25759673975385827</v>
      </c>
      <c r="X52" s="70">
        <f t="shared" si="56"/>
        <v>0.46367327209997278</v>
      </c>
      <c r="Y52" s="70">
        <f t="shared" si="56"/>
        <v>1.0016564704428526</v>
      </c>
      <c r="Z52" s="70">
        <f t="shared" si="56"/>
        <v>0.85503169727008821</v>
      </c>
      <c r="AA52" s="70">
        <f t="shared" si="56"/>
        <v>0.16120247594663453</v>
      </c>
      <c r="AB52" s="70">
        <f t="shared" si="56"/>
        <v>0.35280550267620037</v>
      </c>
      <c r="AC52" s="70">
        <f t="shared" si="56"/>
        <v>2.9644631627703127E-2</v>
      </c>
      <c r="AD52" s="70">
        <f t="shared" si="56"/>
        <v>0.30044837500924765</v>
      </c>
      <c r="AE52" s="70">
        <f t="shared" si="56"/>
        <v>0.20914778436547704</v>
      </c>
      <c r="AF52" s="70">
        <f t="shared" si="56"/>
        <v>0.21291967578428433</v>
      </c>
      <c r="AG52" s="51">
        <f>SUM(J52:AF52)</f>
        <v>31.477350067099781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453.77846305526043</v>
      </c>
      <c r="K53" s="70">
        <f t="shared" ref="K53:AF53" si="57">K21*K28</f>
        <v>98.295951824673978</v>
      </c>
      <c r="L53" s="70">
        <f t="shared" si="57"/>
        <v>262.44428666107069</v>
      </c>
      <c r="M53" s="70">
        <f t="shared" si="57"/>
        <v>12.561742792723699</v>
      </c>
      <c r="N53" s="70">
        <f t="shared" si="57"/>
        <v>399.32082262108224</v>
      </c>
      <c r="O53" s="70">
        <f t="shared" si="57"/>
        <v>216.48466055308745</v>
      </c>
      <c r="P53" s="70">
        <f t="shared" si="57"/>
        <v>321.59293645210249</v>
      </c>
      <c r="Q53" s="70">
        <f t="shared" si="57"/>
        <v>121.15720925175553</v>
      </c>
      <c r="R53" s="70">
        <f t="shared" si="57"/>
        <v>88.000991109884609</v>
      </c>
      <c r="S53" s="70">
        <f t="shared" si="57"/>
        <v>123.33881495087668</v>
      </c>
      <c r="T53" s="70">
        <f t="shared" si="57"/>
        <v>106.63706454214875</v>
      </c>
      <c r="U53" s="70">
        <f t="shared" si="57"/>
        <v>98.120572983144484</v>
      </c>
      <c r="V53" s="70">
        <f t="shared" si="57"/>
        <v>117.27155973721263</v>
      </c>
      <c r="W53" s="70">
        <f t="shared" si="57"/>
        <v>60.566073391746755</v>
      </c>
      <c r="X53" s="70">
        <f t="shared" si="57"/>
        <v>54.472373224075668</v>
      </c>
      <c r="Y53" s="70">
        <f t="shared" si="57"/>
        <v>32.575210456234245</v>
      </c>
      <c r="Z53" s="70">
        <f t="shared" si="57"/>
        <v>32.701536910470118</v>
      </c>
      <c r="AA53" s="70">
        <f t="shared" si="57"/>
        <v>83.023488967792389</v>
      </c>
      <c r="AB53" s="70">
        <f t="shared" si="57"/>
        <v>143.6345969091424</v>
      </c>
      <c r="AC53" s="70">
        <f t="shared" si="57"/>
        <v>18.339170645099401</v>
      </c>
      <c r="AD53" s="70">
        <f t="shared" si="57"/>
        <v>58.925149395628743</v>
      </c>
      <c r="AE53" s="70">
        <f t="shared" si="57"/>
        <v>42.815710356296918</v>
      </c>
      <c r="AF53" s="70">
        <f t="shared" si="57"/>
        <v>43.841471162312729</v>
      </c>
      <c r="AG53" s="67">
        <f>SUM(J53:AF53)</f>
        <v>2989.8998579538229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2903.5864516478628</v>
      </c>
      <c r="K54" s="79">
        <f t="shared" ref="K54:AF54" si="58">K50+K51-K53-K52</f>
        <v>180.50838321211171</v>
      </c>
      <c r="L54" s="79">
        <f t="shared" si="58"/>
        <v>1234.664415641219</v>
      </c>
      <c r="M54" s="79">
        <f t="shared" si="58"/>
        <v>-5.6561507088682692</v>
      </c>
      <c r="N54" s="79">
        <f t="shared" si="58"/>
        <v>672.59255945599739</v>
      </c>
      <c r="O54" s="79">
        <f t="shared" si="58"/>
        <v>651.95491120083477</v>
      </c>
      <c r="P54" s="79">
        <f t="shared" si="58"/>
        <v>1227.8755347235679</v>
      </c>
      <c r="Q54" s="79">
        <f t="shared" si="58"/>
        <v>246.74198549686312</v>
      </c>
      <c r="R54" s="79">
        <f t="shared" si="58"/>
        <v>180.76623596637197</v>
      </c>
      <c r="S54" s="79">
        <f t="shared" si="58"/>
        <v>809.53005131926113</v>
      </c>
      <c r="T54" s="79">
        <f t="shared" si="58"/>
        <v>349.95058202529196</v>
      </c>
      <c r="U54" s="79">
        <f t="shared" si="58"/>
        <v>684.91252222826756</v>
      </c>
      <c r="V54" s="79">
        <f t="shared" si="58"/>
        <v>192.02501140956392</v>
      </c>
      <c r="W54" s="79">
        <f t="shared" si="58"/>
        <v>215.05968839305845</v>
      </c>
      <c r="X54" s="79">
        <f t="shared" si="58"/>
        <v>235.12709930659071</v>
      </c>
      <c r="Y54" s="79">
        <f t="shared" si="58"/>
        <v>30.88302419687939</v>
      </c>
      <c r="Z54" s="79">
        <f t="shared" si="58"/>
        <v>31.997917564100998</v>
      </c>
      <c r="AA54" s="79">
        <f t="shared" si="58"/>
        <v>377.41841126218867</v>
      </c>
      <c r="AB54" s="79">
        <f>AB50+AB51-AB53-AB52</f>
        <v>675.36054891916126</v>
      </c>
      <c r="AC54" s="79">
        <f t="shared" si="58"/>
        <v>120.31646862017746</v>
      </c>
      <c r="AD54" s="79">
        <f t="shared" si="58"/>
        <v>74.374397394917722</v>
      </c>
      <c r="AE54" s="79">
        <f t="shared" si="58"/>
        <v>413.02591481878596</v>
      </c>
      <c r="AF54" s="79">
        <f t="shared" si="58"/>
        <v>151.17404113200431</v>
      </c>
      <c r="AG54" s="68">
        <f>SUM(J54:AF54)</f>
        <v>11654.190005226208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1741.2849999857262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EAF3A-5653-9A44-8D12-2A08544A8C03}">
  <dimension ref="A1:BJ75"/>
  <sheetViews>
    <sheetView topLeftCell="AI2" zoomScale="90" zoomScaleNormal="90" workbookViewId="0">
      <selection activeCell="AZ27" sqref="AZ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12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46</v>
      </c>
      <c r="K2" s="262">
        <f>_xlfn.XLOOKUP($B$1,daily_demand!$E$1:$AH$1,daily_demand!$E$3:$AH$3)</f>
        <v>1</v>
      </c>
      <c r="L2" s="263">
        <f>_xlfn.XLOOKUP($B$1,daily_demand!$E$1:$AH$1,daily_demand!$E$4:$AH$4)</f>
        <v>16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19</v>
      </c>
      <c r="Q2" s="262">
        <f>_xlfn.XLOOKUP($B$1,daily_demand!$E$1:$AH$1,daily_demand!$E$9:$AH$9)</f>
        <v>2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1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6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3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3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2.2171381221432021</v>
      </c>
      <c r="AJ4" s="45">
        <f t="shared" ref="AJ4:AJ18" si="1">K4*K$28</f>
        <v>0.72373283029534496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1.1324550933699653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0.95626590400388423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0.3174227343461522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0.53238136294918892</v>
      </c>
      <c r="BF4" s="44">
        <f>SUM(AI4:BE4)</f>
        <v>5.879396047107738</v>
      </c>
      <c r="BG4" s="54">
        <f>ROUNDUP(BF4*2, 0)</f>
        <v>12</v>
      </c>
      <c r="BH4" s="86">
        <f>CEILING($BG$1*BG4, 0.5)</f>
        <v>6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2.2171381221432021</v>
      </c>
      <c r="AJ5" s="45">
        <f t="shared" si="1"/>
        <v>0.96497710706045992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0.3174227343461522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0.66547670368648626</v>
      </c>
      <c r="BF5" s="44">
        <f t="shared" ref="BF5:BF19" si="23">SUM(AI5:BE5)</f>
        <v>4.1650146672363002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220</v>
      </c>
      <c r="C6" s="7">
        <f>B6*0.02</f>
        <v>4.4000000000000004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3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0.48248855353022996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1.1324550933699653</v>
      </c>
      <c r="AP6" s="45">
        <f t="shared" si="7"/>
        <v>0</v>
      </c>
      <c r="AQ6" s="45">
        <f t="shared" si="8"/>
        <v>0</v>
      </c>
      <c r="AR6" s="45">
        <f t="shared" si="9"/>
        <v>0.73084485309771074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0.3174227343461522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0.25355728798057725</v>
      </c>
      <c r="BC6" s="45">
        <f t="shared" si="20"/>
        <v>0</v>
      </c>
      <c r="BD6" s="45">
        <f t="shared" si="21"/>
        <v>0</v>
      </c>
      <c r="BE6" s="45">
        <f t="shared" si="22"/>
        <v>0.53238136294918892</v>
      </c>
      <c r="BF6" s="44">
        <f t="shared" si="23"/>
        <v>3.4491498852738247</v>
      </c>
      <c r="BG6" s="54">
        <f t="shared" si="24"/>
        <v>7</v>
      </c>
      <c r="BH6" s="86">
        <f t="shared" si="25"/>
        <v>3.5</v>
      </c>
      <c r="BI6" s="6"/>
    </row>
    <row r="7" spans="1:61" ht="24" x14ac:dyDescent="0.2">
      <c r="A7" s="286" t="s">
        <v>47</v>
      </c>
      <c r="B7" s="295">
        <f>_xlfn.XLOOKUP($B$1,cost!$A$16:$A$45,cost!$E$16:$E$45)</f>
        <v>175</v>
      </c>
      <c r="C7" s="7">
        <f>B7*0.02</f>
        <v>3.5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3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0.72373283029534496</v>
      </c>
      <c r="AK7" s="45">
        <f t="shared" si="2"/>
        <v>0</v>
      </c>
      <c r="AL7" s="45">
        <f t="shared" si="3"/>
        <v>0</v>
      </c>
      <c r="AM7" s="45">
        <f t="shared" si="4"/>
        <v>1.1697821571540548</v>
      </c>
      <c r="AN7" s="45">
        <f t="shared" si="5"/>
        <v>0.85551000408815936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1.0079114853106721</v>
      </c>
      <c r="AU7" s="45">
        <f t="shared" si="12"/>
        <v>0.59766619000242771</v>
      </c>
      <c r="AV7" s="45">
        <f t="shared" si="13"/>
        <v>0</v>
      </c>
      <c r="AW7" s="45">
        <f t="shared" si="14"/>
        <v>0</v>
      </c>
      <c r="AX7" s="45">
        <f t="shared" si="15"/>
        <v>0.39677841793269025</v>
      </c>
      <c r="AY7" s="45">
        <f t="shared" si="16"/>
        <v>0.39688930163521929</v>
      </c>
      <c r="AZ7" s="45">
        <f t="shared" si="17"/>
        <v>0</v>
      </c>
      <c r="BA7" s="45">
        <f t="shared" si="18"/>
        <v>1.1044966713786026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6.252767057797171</v>
      </c>
      <c r="BG7" s="54">
        <f t="shared" si="24"/>
        <v>13</v>
      </c>
      <c r="BH7" s="86">
        <f t="shared" si="25"/>
        <v>6.5</v>
      </c>
      <c r="BI7" s="6"/>
    </row>
    <row r="8" spans="1:61" ht="24" x14ac:dyDescent="0.2">
      <c r="A8" s="286" t="s">
        <v>46</v>
      </c>
      <c r="B8" s="295">
        <f>_xlfn.XLOOKUP($B$1,cost!$A$16:$A$45,cost!$F$16:$F$45)</f>
        <v>180</v>
      </c>
      <c r="C8" s="7">
        <f t="shared" ref="C8:C19" si="26">B8*0.02</f>
        <v>3.6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0.24124427676511498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0.64163250306611952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0.1587113671730761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0.26619068147459446</v>
      </c>
      <c r="BF8" s="44">
        <f t="shared" si="23"/>
        <v>1.3077788284789049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5.3469375255509961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5.3469375255509961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0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5.8489107857702738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5.8489107857702738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190</v>
      </c>
      <c r="C11" s="7">
        <f t="shared" si="26"/>
        <v>3.8000000000000003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1.1697821571540548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1.1697821571540548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4.4726279213105746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4.4726279213105746</v>
      </c>
      <c r="BG12" s="54">
        <f t="shared" si="24"/>
        <v>9</v>
      </c>
      <c r="BH12" s="86">
        <f t="shared" si="25"/>
        <v>4.5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1.2062213838255751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0.2423606470985003</v>
      </c>
      <c r="AQ13" s="45">
        <f t="shared" si="8"/>
        <v>0.2215812444307175</v>
      </c>
      <c r="AR13" s="45">
        <f t="shared" si="9"/>
        <v>0</v>
      </c>
      <c r="AS13" s="45">
        <f t="shared" si="10"/>
        <v>0.28971768796968683</v>
      </c>
      <c r="AT13" s="45">
        <f t="shared" si="11"/>
        <v>0</v>
      </c>
      <c r="AU13" s="45">
        <f t="shared" si="12"/>
        <v>0</v>
      </c>
      <c r="AV13" s="45">
        <f t="shared" si="13"/>
        <v>0.87737553846178895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2.8372565017862685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0.96497710706045992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0.80328526501323239</v>
      </c>
      <c r="BD14" s="45">
        <f t="shared" si="21"/>
        <v>0</v>
      </c>
      <c r="BE14" s="45">
        <f t="shared" si="22"/>
        <v>0</v>
      </c>
      <c r="BF14" s="44">
        <f t="shared" si="23"/>
        <v>1.7682623720736923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3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1.2062213838255751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0.60590161774625084</v>
      </c>
      <c r="AQ15" s="45">
        <f t="shared" si="8"/>
        <v>0.55395311107679379</v>
      </c>
      <c r="AR15" s="45">
        <f t="shared" si="9"/>
        <v>0</v>
      </c>
      <c r="AS15" s="45">
        <f t="shared" si="10"/>
        <v>0.72429421992421705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0.74491362397605343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3.8352839565488903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1.2062213838255751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0.79377860327043859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1.9999999870960137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1.2062213838255751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0.2423606470985003</v>
      </c>
      <c r="AQ17" s="45">
        <f t="shared" si="8"/>
        <v>0.2215812444307175</v>
      </c>
      <c r="AR17" s="45">
        <f t="shared" si="9"/>
        <v>0</v>
      </c>
      <c r="AS17" s="45">
        <f t="shared" si="10"/>
        <v>0.28971768796968683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1.9598809633244796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2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2.4934074582379191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2.4934074582379191</v>
      </c>
      <c r="BG18" s="54">
        <f t="shared" si="24"/>
        <v>5</v>
      </c>
      <c r="BH18" s="86">
        <f t="shared" si="25"/>
        <v>2.5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2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2.9194932801657183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4.3604197447428534</v>
      </c>
      <c r="BE19" s="45">
        <f t="shared" si="27"/>
        <v>0</v>
      </c>
      <c r="BF19" s="44">
        <f t="shared" si="23"/>
        <v>7.2799130249085717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28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60.066369139655677</v>
      </c>
      <c r="BG20" s="54">
        <f>SUM(BG4:BG19)</f>
        <v>125</v>
      </c>
      <c r="BH20" s="86">
        <f>SUM(BH4:BH19)</f>
        <v>62.5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70.150000000000006</v>
      </c>
      <c r="L21" s="4">
        <f t="shared" si="28"/>
        <v>10.5</v>
      </c>
      <c r="M21" s="4">
        <f t="shared" si="28"/>
        <v>38</v>
      </c>
      <c r="N21" s="4">
        <f t="shared" si="28"/>
        <v>16.600000000000001</v>
      </c>
      <c r="O21" s="4">
        <f t="shared" si="28"/>
        <v>14.899999999999999</v>
      </c>
      <c r="P21" s="4">
        <f t="shared" si="28"/>
        <v>10.35</v>
      </c>
      <c r="Q21" s="4">
        <f t="shared" si="28"/>
        <v>16.3</v>
      </c>
      <c r="R21" s="4">
        <f t="shared" si="28"/>
        <v>16.3</v>
      </c>
      <c r="S21" s="4">
        <f t="shared" si="28"/>
        <v>6.6</v>
      </c>
      <c r="T21" s="4">
        <f t="shared" si="28"/>
        <v>16.3</v>
      </c>
      <c r="U21" s="4">
        <f t="shared" si="28"/>
        <v>8.75</v>
      </c>
      <c r="V21" s="4">
        <f t="shared" si="28"/>
        <v>18.75</v>
      </c>
      <c r="W21" s="4">
        <f t="shared" si="28"/>
        <v>17.5</v>
      </c>
      <c r="X21" s="4">
        <f t="shared" si="28"/>
        <v>11.25</v>
      </c>
      <c r="Y21" s="4">
        <f t="shared" si="28"/>
        <v>30.150000000000002</v>
      </c>
      <c r="Z21" s="4">
        <f t="shared" si="28"/>
        <v>29.75</v>
      </c>
      <c r="AA21" s="4">
        <f t="shared" si="28"/>
        <v>9</v>
      </c>
      <c r="AB21" s="4">
        <f t="shared" si="28"/>
        <v>8.75</v>
      </c>
      <c r="AC21" s="4">
        <f t="shared" si="28"/>
        <v>6.6</v>
      </c>
      <c r="AD21" s="4">
        <f t="shared" si="28"/>
        <v>26.400000000000002</v>
      </c>
      <c r="AE21" s="4">
        <f t="shared" si="28"/>
        <v>11.25</v>
      </c>
      <c r="AF21" s="4">
        <f t="shared" si="28"/>
        <v>22.400000000000002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3520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1.403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0.33200000000000007</v>
      </c>
      <c r="O22" s="4">
        <f t="shared" si="29"/>
        <v>0.29799999999999999</v>
      </c>
      <c r="P22" s="4">
        <f t="shared" si="29"/>
        <v>0.20700000000000002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0.13200000000000001</v>
      </c>
      <c r="T22" s="4">
        <f t="shared" si="29"/>
        <v>0.32600000000000001</v>
      </c>
      <c r="U22" s="4">
        <f t="shared" si="29"/>
        <v>0.17500000000000002</v>
      </c>
      <c r="V22" s="4">
        <f t="shared" si="29"/>
        <v>0.375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0.60299999999999998</v>
      </c>
      <c r="Z22" s="4">
        <f t="shared" si="29"/>
        <v>0.59500000000000008</v>
      </c>
      <c r="AA22" s="4">
        <f t="shared" si="29"/>
        <v>0.18000000000000002</v>
      </c>
      <c r="AB22" s="4">
        <f t="shared" si="29"/>
        <v>0.17500000000000002</v>
      </c>
      <c r="AC22" s="4">
        <f t="shared" si="29"/>
        <v>0.13200000000000001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0.44800000000000001</v>
      </c>
      <c r="AG22" s="9"/>
      <c r="BF22" s="432" t="s">
        <v>131</v>
      </c>
      <c r="BG22" s="432"/>
      <c r="BH22" s="41">
        <f>SUMPRODUCT(B4:B19,BH4:BH19)</f>
        <v>7447.5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68.747</v>
      </c>
      <c r="L25" s="69">
        <f t="shared" si="31"/>
        <v>10.29</v>
      </c>
      <c r="M25" s="69">
        <f t="shared" si="31"/>
        <v>37.24</v>
      </c>
      <c r="N25" s="69">
        <f t="shared" si="31"/>
        <v>16.268000000000001</v>
      </c>
      <c r="O25" s="69">
        <f t="shared" si="31"/>
        <v>14.601999999999999</v>
      </c>
      <c r="P25" s="69">
        <f t="shared" si="31"/>
        <v>10.142999999999999</v>
      </c>
      <c r="Q25" s="69">
        <f t="shared" si="31"/>
        <v>15.974</v>
      </c>
      <c r="R25" s="69">
        <f t="shared" si="31"/>
        <v>15.974</v>
      </c>
      <c r="S25" s="69">
        <f t="shared" si="31"/>
        <v>6.468</v>
      </c>
      <c r="T25" s="69">
        <f t="shared" si="31"/>
        <v>15.974</v>
      </c>
      <c r="U25" s="69">
        <f t="shared" si="31"/>
        <v>8.5749999999999993</v>
      </c>
      <c r="V25" s="69">
        <f t="shared" si="31"/>
        <v>18.375</v>
      </c>
      <c r="W25" s="69">
        <f t="shared" si="31"/>
        <v>17.149999999999999</v>
      </c>
      <c r="X25" s="69">
        <f t="shared" si="31"/>
        <v>11.025</v>
      </c>
      <c r="Y25" s="69">
        <f t="shared" si="31"/>
        <v>29.547000000000001</v>
      </c>
      <c r="Z25" s="69">
        <f t="shared" si="31"/>
        <v>29.155000000000001</v>
      </c>
      <c r="AA25" s="69">
        <f t="shared" si="31"/>
        <v>8.82</v>
      </c>
      <c r="AB25" s="69">
        <f t="shared" si="31"/>
        <v>8.5749999999999993</v>
      </c>
      <c r="AC25" s="69">
        <f t="shared" si="31"/>
        <v>6.468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21.952000000000002</v>
      </c>
      <c r="AG25" s="16"/>
      <c r="BF25" s="434" t="s">
        <v>42</v>
      </c>
      <c r="BG25" s="434"/>
      <c r="BH25" s="39">
        <f>AG50+AG51-AG52-BH22</f>
        <v>21904.966990821951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133.54999999999998</v>
      </c>
      <c r="L26" s="4">
        <f t="shared" si="32"/>
        <v>51</v>
      </c>
      <c r="M26" s="4">
        <f t="shared" si="32"/>
        <v>16</v>
      </c>
      <c r="N26" s="4">
        <f t="shared" si="32"/>
        <v>31.2</v>
      </c>
      <c r="O26" s="4">
        <f t="shared" si="32"/>
        <v>48.300000000000004</v>
      </c>
      <c r="P26" s="4">
        <f t="shared" si="32"/>
        <v>40.25</v>
      </c>
      <c r="Q26" s="4">
        <f t="shared" si="32"/>
        <v>34.6</v>
      </c>
      <c r="R26" s="4">
        <f t="shared" si="32"/>
        <v>34.6</v>
      </c>
      <c r="S26" s="4">
        <f t="shared" si="32"/>
        <v>43.699999999999996</v>
      </c>
      <c r="T26" s="4">
        <f t="shared" si="32"/>
        <v>54.6</v>
      </c>
      <c r="U26" s="4">
        <f t="shared" si="32"/>
        <v>61.75</v>
      </c>
      <c r="V26" s="4">
        <f t="shared" si="32"/>
        <v>32.549999999999997</v>
      </c>
      <c r="W26" s="4">
        <f t="shared" si="32"/>
        <v>63.2</v>
      </c>
      <c r="X26" s="4">
        <f t="shared" si="32"/>
        <v>51.25</v>
      </c>
      <c r="Y26" s="4">
        <f t="shared" si="32"/>
        <v>31.749999999999996</v>
      </c>
      <c r="Z26" s="4">
        <f t="shared" si="32"/>
        <v>31.75</v>
      </c>
      <c r="AA26" s="4">
        <f t="shared" si="32"/>
        <v>41.5</v>
      </c>
      <c r="AB26" s="4">
        <f t="shared" si="32"/>
        <v>41.75</v>
      </c>
      <c r="AC26" s="4">
        <f t="shared" si="32"/>
        <v>43.699999999999996</v>
      </c>
      <c r="AD26" s="4">
        <f t="shared" si="32"/>
        <v>34.399999999999991</v>
      </c>
      <c r="AE26" s="4">
        <f t="shared" si="32"/>
        <v>111.25</v>
      </c>
      <c r="AF26" s="4">
        <f t="shared" si="32"/>
        <v>79.099999999999994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0.66016797085473344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0.65728490772731096</v>
      </c>
      <c r="O27" s="70">
        <f t="shared" si="33"/>
        <v>0.76786111729356787</v>
      </c>
      <c r="P27" s="70">
        <f t="shared" si="33"/>
        <v>0.79872204472843444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0.87107319406793182</v>
      </c>
      <c r="T27" s="70">
        <f t="shared" si="33"/>
        <v>0.77365602063082728</v>
      </c>
      <c r="U27" s="70">
        <f t="shared" si="33"/>
        <v>0.87806612157838604</v>
      </c>
      <c r="V27" s="70">
        <f t="shared" si="33"/>
        <v>0.63917525773195871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0.5179698843336541</v>
      </c>
      <c r="Z27" s="70">
        <f t="shared" si="33"/>
        <v>0.52130366964945407</v>
      </c>
      <c r="AA27" s="70">
        <f t="shared" si="33"/>
        <v>0.82472178060413359</v>
      </c>
      <c r="AB27" s="70">
        <f t="shared" si="33"/>
        <v>0.82960755091902627</v>
      </c>
      <c r="AC27" s="70">
        <f t="shared" si="33"/>
        <v>0.87107319406793182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0.78276530894984764</v>
      </c>
      <c r="AG27" s="9"/>
      <c r="BF27" s="430" t="s">
        <v>130</v>
      </c>
      <c r="BG27" s="430"/>
      <c r="BH27" s="40">
        <f>BH25-AG41</f>
        <v>8005.9973721539209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73.904604071440076</v>
      </c>
      <c r="K28" s="72">
        <v>24.124427676511498</v>
      </c>
      <c r="L28" s="72">
        <v>29.817519475403831</v>
      </c>
      <c r="M28" s="72">
        <v>6.2335186455947973</v>
      </c>
      <c r="N28" s="72">
        <v>29.244553928851367</v>
      </c>
      <c r="O28" s="72">
        <v>21.387750102203984</v>
      </c>
      <c r="P28" s="72">
        <v>37.74850311233218</v>
      </c>
      <c r="Q28" s="72">
        <v>12.118032354925015</v>
      </c>
      <c r="R28" s="72">
        <v>11.079062221535874</v>
      </c>
      <c r="S28" s="72">
        <v>24.361495103257027</v>
      </c>
      <c r="T28" s="72">
        <v>14.485884398484341</v>
      </c>
      <c r="U28" s="72">
        <v>20.15822970621344</v>
      </c>
      <c r="V28" s="72">
        <v>11.953323800048553</v>
      </c>
      <c r="W28" s="72">
        <v>12.533936263739841</v>
      </c>
      <c r="X28" s="72">
        <v>11.677973120662873</v>
      </c>
      <c r="Y28" s="72">
        <v>7.9355683586538044</v>
      </c>
      <c r="Z28" s="72">
        <v>7.937786032704385</v>
      </c>
      <c r="AA28" s="72">
        <v>14.898272479521067</v>
      </c>
      <c r="AB28" s="72">
        <v>22.089933427572053</v>
      </c>
      <c r="AC28" s="72">
        <v>8.4519095993525752</v>
      </c>
      <c r="AD28" s="72">
        <v>10.041065812665405</v>
      </c>
      <c r="AE28" s="72">
        <v>17.441678978971414</v>
      </c>
      <c r="AF28" s="72">
        <v>13.309534073729724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20</v>
      </c>
      <c r="M29" s="74">
        <f>F18/M18</f>
        <v>5</v>
      </c>
      <c r="N29" s="74">
        <f>F11/N11</f>
        <v>25</v>
      </c>
      <c r="O29" s="74">
        <f>F9/O9</f>
        <v>16</v>
      </c>
      <c r="P29" s="74">
        <f>(F6/P6)*(25/47)</f>
        <v>53.191489361702125</v>
      </c>
      <c r="Q29" s="74">
        <f>(F13/Q13)*(6/20)</f>
        <v>30</v>
      </c>
      <c r="R29" s="74">
        <f>(F13/R13)*(3/20)</f>
        <v>15</v>
      </c>
      <c r="S29" s="74">
        <f>(F6/S6)*(12/47)</f>
        <v>25.531914893617021</v>
      </c>
      <c r="T29" s="74">
        <f>(F13/T13)*(3/20)</f>
        <v>15</v>
      </c>
      <c r="U29" s="74">
        <f>(F7/U7)*(6/47)</f>
        <v>7.6595744680851059</v>
      </c>
      <c r="V29" s="74">
        <f>(F7/V7)*(3/47)</f>
        <v>3.8297872340425529</v>
      </c>
      <c r="W29" s="74">
        <f>(F13/W13)*(8/20)</f>
        <v>11.428571428571429</v>
      </c>
      <c r="X29" s="74">
        <f>(F19/X19)*(3/4)</f>
        <v>6</v>
      </c>
      <c r="Y29" s="74">
        <f>(F7/Y7)*(1/29)</f>
        <v>2.0689655172413794</v>
      </c>
      <c r="Z29" s="74">
        <f>(F16/Z16)*(4/5)</f>
        <v>0</v>
      </c>
      <c r="AA29" s="74">
        <f>(F15/AA15)*(4/16)</f>
        <v>15</v>
      </c>
      <c r="AB29" s="74">
        <f>(F7/AB7)*(11/47)</f>
        <v>14.042553191489361</v>
      </c>
      <c r="AC29" s="74">
        <f>(F6/AC6)*(1/47)</f>
        <v>2.1276595744680851</v>
      </c>
      <c r="AD29" s="74">
        <f>(F14/AD14)</f>
        <v>0</v>
      </c>
      <c r="AE29" s="74">
        <f>(F19/AE19)*(1/4)</f>
        <v>2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0.81115424115302281</v>
      </c>
      <c r="K30" s="70">
        <f t="shared" si="34"/>
        <v>-1.1904761904761905</v>
      </c>
      <c r="L30" s="70">
        <f t="shared" si="34"/>
        <v>0.55172413793103448</v>
      </c>
      <c r="M30" s="70">
        <f t="shared" si="34"/>
        <v>0.93167701863354035</v>
      </c>
      <c r="N30" s="70">
        <f t="shared" si="34"/>
        <v>0.48192771084337355</v>
      </c>
      <c r="O30" s="70">
        <f t="shared" si="34"/>
        <v>1.0416666666666667</v>
      </c>
      <c r="P30" s="70">
        <f t="shared" si="34"/>
        <v>2.1917621385706489</v>
      </c>
      <c r="Q30" s="70">
        <f t="shared" si="34"/>
        <v>3.0368763557483729</v>
      </c>
      <c r="R30" s="70">
        <f t="shared" si="34"/>
        <v>3.8062283737024218</v>
      </c>
      <c r="S30" s="70">
        <f t="shared" si="34"/>
        <v>1.9335572974990667</v>
      </c>
      <c r="T30" s="70">
        <f t="shared" si="34"/>
        <v>3.2738095238095237</v>
      </c>
      <c r="U30" s="70">
        <f t="shared" si="34"/>
        <v>0.59056710622117947</v>
      </c>
      <c r="V30" s="70">
        <f t="shared" si="34"/>
        <v>-2.7060853093393809E-2</v>
      </c>
      <c r="W30" s="70">
        <f t="shared" si="34"/>
        <v>3.3969288040949279</v>
      </c>
      <c r="X30" s="70">
        <f t="shared" si="34"/>
        <v>1.5228426395939088</v>
      </c>
      <c r="Y30" s="70">
        <f t="shared" si="34"/>
        <v>0.75279261777561934</v>
      </c>
      <c r="Z30" s="70">
        <f t="shared" si="34"/>
        <v>-0.64516129032258063</v>
      </c>
      <c r="AA30" s="70">
        <f t="shared" si="34"/>
        <v>2.6162790697674421</v>
      </c>
      <c r="AB30" s="70">
        <f t="shared" si="34"/>
        <v>0.64897724472192553</v>
      </c>
      <c r="AC30" s="70">
        <f t="shared" si="34"/>
        <v>0.72285870158210574</v>
      </c>
      <c r="AD30" s="70">
        <f t="shared" si="34"/>
        <v>-2.4793388429752068</v>
      </c>
      <c r="AE30" s="70">
        <f t="shared" si="34"/>
        <v>0.48309178743961356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0.2871001599664737</v>
      </c>
      <c r="K31" s="70">
        <f t="shared" ref="K31:AF31" si="35">NORMDIST(K30,0,1,FALSE)</f>
        <v>0.19640914652400149</v>
      </c>
      <c r="L31" s="70">
        <f t="shared" si="35"/>
        <v>0.34261829454031262</v>
      </c>
      <c r="M31" s="70">
        <f t="shared" si="35"/>
        <v>0.25847674077806199</v>
      </c>
      <c r="N31" s="70">
        <f t="shared" si="35"/>
        <v>0.35520304600227354</v>
      </c>
      <c r="O31" s="70">
        <f t="shared" si="35"/>
        <v>0.23189438328624271</v>
      </c>
      <c r="P31" s="70">
        <f t="shared" si="35"/>
        <v>3.6122144912366573E-2</v>
      </c>
      <c r="Q31" s="70">
        <f t="shared" si="35"/>
        <v>3.9650074963903017E-3</v>
      </c>
      <c r="R31" s="70">
        <f t="shared" si="35"/>
        <v>2.8511277631641297E-4</v>
      </c>
      <c r="S31" s="70">
        <f t="shared" si="35"/>
        <v>6.1528152507597703E-2</v>
      </c>
      <c r="T31" s="70">
        <f t="shared" si="35"/>
        <v>1.8774272333183636E-3</v>
      </c>
      <c r="U31" s="70">
        <f t="shared" si="35"/>
        <v>0.3351010044835166</v>
      </c>
      <c r="V31" s="70">
        <f t="shared" si="35"/>
        <v>0.39879623646427698</v>
      </c>
      <c r="W31" s="70">
        <f t="shared" si="35"/>
        <v>1.2451476231921485E-3</v>
      </c>
      <c r="X31" s="70">
        <f t="shared" si="35"/>
        <v>0.1251223293178855</v>
      </c>
      <c r="Y31" s="70">
        <f t="shared" si="35"/>
        <v>0.30050619911253779</v>
      </c>
      <c r="Z31" s="70">
        <f t="shared" si="35"/>
        <v>0.32398596615315295</v>
      </c>
      <c r="AA31" s="70">
        <f t="shared" si="35"/>
        <v>1.3018333853177754E-2</v>
      </c>
      <c r="AB31" s="70">
        <f t="shared" si="35"/>
        <v>0.32318697111623867</v>
      </c>
      <c r="AC31" s="70">
        <f t="shared" si="35"/>
        <v>0.30721701728615403</v>
      </c>
      <c r="AD31" s="70">
        <f t="shared" si="35"/>
        <v>1.8453539531909157E-2</v>
      </c>
      <c r="AE31" s="70">
        <f t="shared" si="35"/>
        <v>0.35500359217664224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0.79136145005436331</v>
      </c>
      <c r="K32" s="70">
        <f t="shared" ref="K32:AF32" si="36">NORMDIST(K30,0,1,TRUE)</f>
        <v>0.11692964134637239</v>
      </c>
      <c r="L32" s="70">
        <f t="shared" si="36"/>
        <v>0.70943131516669988</v>
      </c>
      <c r="M32" s="70">
        <f t="shared" si="36"/>
        <v>0.82424826667399453</v>
      </c>
      <c r="N32" s="70">
        <f t="shared" si="36"/>
        <v>0.68507134998371932</v>
      </c>
      <c r="O32" s="70">
        <f t="shared" si="36"/>
        <v>0.85121687581824801</v>
      </c>
      <c r="P32" s="70">
        <f t="shared" si="36"/>
        <v>0.98580165685794507</v>
      </c>
      <c r="Q32" s="70">
        <f t="shared" si="36"/>
        <v>0.99880478256280925</v>
      </c>
      <c r="R32" s="70">
        <f t="shared" si="36"/>
        <v>0.99992944894959968</v>
      </c>
      <c r="S32" s="70">
        <f t="shared" si="36"/>
        <v>0.97341620906437087</v>
      </c>
      <c r="T32" s="70">
        <f t="shared" si="36"/>
        <v>0.99946945944972954</v>
      </c>
      <c r="U32" s="70">
        <f t="shared" si="36"/>
        <v>0.72259474492746256</v>
      </c>
      <c r="V32" s="70">
        <f t="shared" si="36"/>
        <v>0.48920559901162575</v>
      </c>
      <c r="W32" s="70">
        <f t="shared" si="36"/>
        <v>0.99965926652649517</v>
      </c>
      <c r="X32" s="70">
        <f t="shared" si="36"/>
        <v>0.93610096034524259</v>
      </c>
      <c r="Y32" s="70">
        <f t="shared" si="36"/>
        <v>0.77421272821047848</v>
      </c>
      <c r="Z32" s="70">
        <f t="shared" si="36"/>
        <v>0.25941133433509533</v>
      </c>
      <c r="AA32" s="70">
        <f t="shared" si="36"/>
        <v>0.99555530647059776</v>
      </c>
      <c r="AB32" s="70">
        <f t="shared" si="36"/>
        <v>0.7418234577444639</v>
      </c>
      <c r="AC32" s="70">
        <f t="shared" si="36"/>
        <v>0.76511665083721758</v>
      </c>
      <c r="AD32" s="70">
        <f t="shared" si="36"/>
        <v>6.5813098275342924E-3</v>
      </c>
      <c r="AE32" s="70">
        <f t="shared" si="36"/>
        <v>0.68548471748252959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0.11786211531005372</v>
      </c>
      <c r="K33" s="70">
        <f t="shared" ref="K33:AF33" si="37">K31-(K30*(1-K32))</f>
        <v>1.2476833830164151</v>
      </c>
      <c r="L33" s="70">
        <f t="shared" si="37"/>
        <v>0.18230453739090566</v>
      </c>
      <c r="M33" s="70">
        <f t="shared" si="37"/>
        <v>9.4732889853212182E-2</v>
      </c>
      <c r="N33" s="70">
        <f t="shared" si="37"/>
        <v>0.20343020262093345</v>
      </c>
      <c r="O33" s="70">
        <f t="shared" si="37"/>
        <v>7.6911962263584377E-2</v>
      </c>
      <c r="P33" s="70">
        <f t="shared" si="37"/>
        <v>5.0027539831763619E-3</v>
      </c>
      <c r="Q33" s="70">
        <f t="shared" si="37"/>
        <v>3.35279921407534E-4</v>
      </c>
      <c r="R33" s="70">
        <f t="shared" si="37"/>
        <v>1.6579366488186985E-5</v>
      </c>
      <c r="S33" s="70">
        <f t="shared" si="37"/>
        <v>1.0126869548822463E-2</v>
      </c>
      <c r="T33" s="70">
        <f t="shared" si="37"/>
        <v>1.4053852707577295E-4</v>
      </c>
      <c r="U33" s="70">
        <f t="shared" si="37"/>
        <v>0.17127458574477999</v>
      </c>
      <c r="V33" s="70">
        <f t="shared" si="37"/>
        <v>0.41261876871035147</v>
      </c>
      <c r="W33" s="70">
        <f t="shared" si="37"/>
        <v>8.7700272524280937E-5</v>
      </c>
      <c r="X33" s="70">
        <f t="shared" si="37"/>
        <v>2.781414710251888E-2</v>
      </c>
      <c r="Y33" s="70">
        <f t="shared" si="37"/>
        <v>0.13053520772168864</v>
      </c>
      <c r="Z33" s="70">
        <f t="shared" si="37"/>
        <v>0.80178510529180103</v>
      </c>
      <c r="AA33" s="70">
        <f t="shared" si="37"/>
        <v>1.389775200671883E-3</v>
      </c>
      <c r="AB33" s="70">
        <f t="shared" si="37"/>
        <v>0.15563627007140707</v>
      </c>
      <c r="AC33" s="70">
        <f t="shared" si="37"/>
        <v>0.13742954448708875</v>
      </c>
      <c r="AD33" s="70">
        <f t="shared" si="37"/>
        <v>2.4814750854140555</v>
      </c>
      <c r="AE33" s="70">
        <f t="shared" si="37"/>
        <v>0.20306384216820242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2.3348485042921641</v>
      </c>
      <c r="K34" s="74">
        <f t="shared" si="38"/>
        <v>1.0480540417337887</v>
      </c>
      <c r="L34" s="74">
        <f t="shared" si="38"/>
        <v>1.321707896084066</v>
      </c>
      <c r="M34" s="74">
        <f t="shared" si="38"/>
        <v>0.30503990532734326</v>
      </c>
      <c r="N34" s="74">
        <f t="shared" si="38"/>
        <v>2.5327060226306215</v>
      </c>
      <c r="O34" s="74">
        <f t="shared" si="38"/>
        <v>0.369177418865205</v>
      </c>
      <c r="P34" s="74">
        <f t="shared" si="38"/>
        <v>7.8042962137551242E-2</v>
      </c>
      <c r="Q34" s="74">
        <f t="shared" si="38"/>
        <v>3.0912808753774637E-3</v>
      </c>
      <c r="R34" s="74">
        <f t="shared" si="38"/>
        <v>4.7914369150860388E-5</v>
      </c>
      <c r="S34" s="74">
        <f t="shared" si="38"/>
        <v>8.6584734642432062E-2</v>
      </c>
      <c r="T34" s="74">
        <f t="shared" si="38"/>
        <v>4.7220945097459709E-4</v>
      </c>
      <c r="U34" s="74">
        <f t="shared" si="38"/>
        <v>1.3513564815263142</v>
      </c>
      <c r="V34" s="74">
        <f t="shared" si="38"/>
        <v>2.5953720551881108</v>
      </c>
      <c r="W34" s="74">
        <f t="shared" si="38"/>
        <v>2.6923983664954245E-4</v>
      </c>
      <c r="X34" s="74">
        <f t="shared" si="38"/>
        <v>5.4793869791962192E-2</v>
      </c>
      <c r="Y34" s="74">
        <f t="shared" si="38"/>
        <v>0.18535999496479785</v>
      </c>
      <c r="Z34" s="74">
        <f t="shared" si="38"/>
        <v>1.2427669132022916</v>
      </c>
      <c r="AA34" s="74">
        <f t="shared" si="38"/>
        <v>4.7808266903112771E-3</v>
      </c>
      <c r="AB34" s="74">
        <f t="shared" si="38"/>
        <v>1.2092938184548327</v>
      </c>
      <c r="AC34" s="74">
        <f t="shared" si="38"/>
        <v>0.21439008939985846</v>
      </c>
      <c r="AD34" s="74">
        <f t="shared" si="38"/>
        <v>3.0025848533510069</v>
      </c>
      <c r="AE34" s="74">
        <f t="shared" si="38"/>
        <v>0.42034215328817898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43.665151495707839</v>
      </c>
      <c r="K35" s="74">
        <f t="shared" si="39"/>
        <v>-4.8054041733788688E-2</v>
      </c>
      <c r="L35" s="74">
        <f t="shared" si="39"/>
        <v>14.678292103915934</v>
      </c>
      <c r="M35" s="74">
        <f t="shared" si="39"/>
        <v>1.6949600946726568</v>
      </c>
      <c r="N35" s="74">
        <f t="shared" si="39"/>
        <v>16.46729397736938</v>
      </c>
      <c r="O35" s="74">
        <f t="shared" si="39"/>
        <v>10.630822581134796</v>
      </c>
      <c r="P35" s="74">
        <f t="shared" si="39"/>
        <v>18.921957037862448</v>
      </c>
      <c r="Q35" s="74">
        <f t="shared" si="39"/>
        <v>1.9969087191246226</v>
      </c>
      <c r="R35" s="74">
        <f t="shared" si="39"/>
        <v>3.999952085630849</v>
      </c>
      <c r="S35" s="74">
        <f t="shared" si="39"/>
        <v>8.9134152653575676</v>
      </c>
      <c r="T35" s="74">
        <f t="shared" si="39"/>
        <v>3.9995277905490254</v>
      </c>
      <c r="U35" s="74">
        <f t="shared" si="39"/>
        <v>1.6486435184736858</v>
      </c>
      <c r="V35" s="74">
        <f t="shared" si="39"/>
        <v>1.4046279448118892</v>
      </c>
      <c r="W35" s="74">
        <f t="shared" si="39"/>
        <v>0.9997307601633505</v>
      </c>
      <c r="X35" s="74">
        <f t="shared" si="39"/>
        <v>2.9452061302080379</v>
      </c>
      <c r="Y35" s="74">
        <f t="shared" si="39"/>
        <v>0.81464000503520217</v>
      </c>
      <c r="Z35" s="74">
        <f t="shared" si="39"/>
        <v>-0.2427669132022916</v>
      </c>
      <c r="AA35" s="74">
        <f t="shared" si="39"/>
        <v>5.9952191733096889</v>
      </c>
      <c r="AB35" s="74">
        <f t="shared" si="39"/>
        <v>7.7907061815451675</v>
      </c>
      <c r="AC35" s="74">
        <f t="shared" si="39"/>
        <v>0.78560991060014151</v>
      </c>
      <c r="AD35" s="74">
        <f t="shared" si="39"/>
        <v>-2.5848533510068883E-3</v>
      </c>
      <c r="AE35" s="74">
        <f t="shared" si="39"/>
        <v>0.57965784671182097</v>
      </c>
      <c r="AF35" s="74">
        <f t="shared" si="39"/>
        <v>0.69099903829292908</v>
      </c>
      <c r="AG35" s="187">
        <f>SUM(J35:AF35)</f>
        <v>148.32991585218997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18.403814021533542</v>
      </c>
      <c r="K36" s="74">
        <f t="shared" ref="K36:AF36" si="40">K29-K35</f>
        <v>4.8054041733788688E-2</v>
      </c>
      <c r="L36" s="74">
        <f t="shared" si="40"/>
        <v>5.3217078960840656</v>
      </c>
      <c r="M36" s="74">
        <f t="shared" si="40"/>
        <v>3.3050399053273432</v>
      </c>
      <c r="N36" s="74">
        <f t="shared" si="40"/>
        <v>8.5327060226306202</v>
      </c>
      <c r="O36" s="74">
        <f t="shared" si="40"/>
        <v>5.3691774188652044</v>
      </c>
      <c r="P36" s="74">
        <f t="shared" si="40"/>
        <v>34.269532323839677</v>
      </c>
      <c r="Q36" s="74">
        <f t="shared" si="40"/>
        <v>28.003091280875378</v>
      </c>
      <c r="R36" s="74">
        <f t="shared" si="40"/>
        <v>11.000047914369151</v>
      </c>
      <c r="S36" s="74">
        <f t="shared" si="40"/>
        <v>16.618499628259453</v>
      </c>
      <c r="T36" s="74">
        <f t="shared" si="40"/>
        <v>11.000472209450974</v>
      </c>
      <c r="U36" s="74">
        <f t="shared" si="40"/>
        <v>6.0109309496114198</v>
      </c>
      <c r="V36" s="74">
        <f t="shared" si="40"/>
        <v>2.4251592892306637</v>
      </c>
      <c r="W36" s="74">
        <f t="shared" si="40"/>
        <v>10.428840668408078</v>
      </c>
      <c r="X36" s="74">
        <f t="shared" si="40"/>
        <v>3.0547938697919621</v>
      </c>
      <c r="Y36" s="74">
        <f t="shared" si="40"/>
        <v>1.2543255122061772</v>
      </c>
      <c r="Z36" s="74">
        <f t="shared" si="40"/>
        <v>0.2427669132022916</v>
      </c>
      <c r="AA36" s="74">
        <f t="shared" si="40"/>
        <v>9.0047808266903111</v>
      </c>
      <c r="AB36" s="74">
        <f t="shared" si="40"/>
        <v>6.2518470099441936</v>
      </c>
      <c r="AC36" s="74">
        <f t="shared" si="40"/>
        <v>1.3420496638679436</v>
      </c>
      <c r="AD36" s="74">
        <f t="shared" si="40"/>
        <v>2.5848533510068883E-3</v>
      </c>
      <c r="AE36" s="74">
        <f t="shared" si="40"/>
        <v>1.420342153288179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2183.2575747853921</v>
      </c>
      <c r="K37" s="70">
        <f t="shared" ref="K37:AF37" si="41">K20*K35</f>
        <v>-9.6108083467577377</v>
      </c>
      <c r="L37" s="70">
        <f t="shared" si="41"/>
        <v>880.69752623495606</v>
      </c>
      <c r="M37" s="70">
        <f t="shared" si="41"/>
        <v>84.74800473363284</v>
      </c>
      <c r="N37" s="70">
        <f t="shared" si="41"/>
        <v>741.02822898162208</v>
      </c>
      <c r="O37" s="70">
        <f t="shared" si="41"/>
        <v>637.84935486808774</v>
      </c>
      <c r="P37" s="70">
        <f t="shared" si="41"/>
        <v>946.09785189312242</v>
      </c>
      <c r="Q37" s="70">
        <f t="shared" si="41"/>
        <v>99.845435956231128</v>
      </c>
      <c r="R37" s="70">
        <f t="shared" si="41"/>
        <v>199.99760428154246</v>
      </c>
      <c r="S37" s="70">
        <f t="shared" si="41"/>
        <v>445.67076326787839</v>
      </c>
      <c r="T37" s="70">
        <f t="shared" si="41"/>
        <v>279.9669453384318</v>
      </c>
      <c r="U37" s="70">
        <f t="shared" si="41"/>
        <v>115.40504629315801</v>
      </c>
      <c r="V37" s="70">
        <f t="shared" si="41"/>
        <v>70.231397240594461</v>
      </c>
      <c r="W37" s="70">
        <f t="shared" si="41"/>
        <v>79.97846081306804</v>
      </c>
      <c r="X37" s="70">
        <f t="shared" si="41"/>
        <v>176.71236781248228</v>
      </c>
      <c r="Y37" s="70">
        <f t="shared" si="41"/>
        <v>48.878400302112134</v>
      </c>
      <c r="Z37" s="70">
        <f t="shared" si="41"/>
        <v>-14.566014792137496</v>
      </c>
      <c r="AA37" s="70">
        <f t="shared" si="41"/>
        <v>299.76095866548445</v>
      </c>
      <c r="AB37" s="70">
        <f t="shared" si="41"/>
        <v>389.53530907725838</v>
      </c>
      <c r="AC37" s="70">
        <f t="shared" si="41"/>
        <v>39.280495530007073</v>
      </c>
      <c r="AD37" s="70">
        <f t="shared" si="41"/>
        <v>-0.1550912010604133</v>
      </c>
      <c r="AE37" s="70">
        <f t="shared" si="41"/>
        <v>69.558941605418511</v>
      </c>
      <c r="AF37" s="70">
        <f t="shared" si="41"/>
        <v>69.099903829292913</v>
      </c>
      <c r="AG37" s="288">
        <f>SUM(J37:AF37)</f>
        <v>7833.2686571698177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917.70618618377011</v>
      </c>
      <c r="K38" s="70">
        <f t="shared" ref="K38:AF38" si="42">(K20-K22)*K36</f>
        <v>9.5433885262052325</v>
      </c>
      <c r="L38" s="70">
        <f t="shared" si="42"/>
        <v>318.1849151068663</v>
      </c>
      <c r="M38" s="70">
        <f t="shared" si="42"/>
        <v>162.74016493831837</v>
      </c>
      <c r="N38" s="70">
        <f t="shared" si="42"/>
        <v>381.13891261886454</v>
      </c>
      <c r="O38" s="70">
        <f t="shared" si="42"/>
        <v>320.55063026109042</v>
      </c>
      <c r="P38" s="70">
        <f t="shared" si="42"/>
        <v>1706.382823000949</v>
      </c>
      <c r="Q38" s="70">
        <f t="shared" si="42"/>
        <v>1391.0255562862035</v>
      </c>
      <c r="R38" s="70">
        <f t="shared" si="42"/>
        <v>546.41638009837322</v>
      </c>
      <c r="S38" s="70">
        <f t="shared" si="42"/>
        <v>828.73133946204246</v>
      </c>
      <c r="T38" s="70">
        <f t="shared" si="42"/>
        <v>766.44690072128719</v>
      </c>
      <c r="U38" s="70">
        <f t="shared" si="42"/>
        <v>419.71325355661742</v>
      </c>
      <c r="V38" s="70">
        <f t="shared" si="42"/>
        <v>120.34852972807168</v>
      </c>
      <c r="W38" s="70">
        <f t="shared" si="42"/>
        <v>830.65715923870346</v>
      </c>
      <c r="X38" s="70">
        <f t="shared" si="42"/>
        <v>182.60030356681452</v>
      </c>
      <c r="Y38" s="70">
        <f t="shared" si="42"/>
        <v>74.503172448510298</v>
      </c>
      <c r="Z38" s="70">
        <f t="shared" si="42"/>
        <v>14.421568478782133</v>
      </c>
      <c r="AA38" s="70">
        <f t="shared" si="42"/>
        <v>448.61818078571127</v>
      </c>
      <c r="AB38" s="70">
        <f t="shared" si="42"/>
        <v>311.49827727046949</v>
      </c>
      <c r="AC38" s="70">
        <f t="shared" si="42"/>
        <v>66.925332637766616</v>
      </c>
      <c r="AD38" s="70">
        <f>(AD20-AD22)*AD36</f>
        <v>0.15372639849108166</v>
      </c>
      <c r="AE38" s="70">
        <f t="shared" si="42"/>
        <v>170.12148141009166</v>
      </c>
      <c r="AF38" s="70">
        <f t="shared" si="42"/>
        <v>68.522767188138204</v>
      </c>
      <c r="AG38" s="288">
        <f>SUM(J38:AF38)</f>
        <v>10056.95094991214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1.4009091025752984</v>
      </c>
      <c r="K39" s="70">
        <f t="shared" ref="K39:AF39" si="43">K23*K34</f>
        <v>3.8777999544150181</v>
      </c>
      <c r="L39" s="70">
        <f t="shared" si="43"/>
        <v>1.982561844126099</v>
      </c>
      <c r="M39" s="70">
        <f t="shared" si="43"/>
        <v>1.2201596213093731</v>
      </c>
      <c r="N39" s="70">
        <f t="shared" si="43"/>
        <v>7.0915768633657397</v>
      </c>
      <c r="O39" s="70">
        <f t="shared" si="43"/>
        <v>1.181367740368656</v>
      </c>
      <c r="P39" s="70">
        <f t="shared" si="43"/>
        <v>4.6825777282530741E-2</v>
      </c>
      <c r="Q39" s="70">
        <f t="shared" si="43"/>
        <v>2.7821527878397171E-3</v>
      </c>
      <c r="R39" s="70">
        <f t="shared" si="43"/>
        <v>4.3122932235774346E-5</v>
      </c>
      <c r="S39" s="70">
        <f t="shared" si="43"/>
        <v>2.5975420392729619E-2</v>
      </c>
      <c r="T39" s="70">
        <f t="shared" si="43"/>
        <v>4.2498850587713733E-4</v>
      </c>
      <c r="U39" s="70">
        <f t="shared" si="43"/>
        <v>0.67567824076315708</v>
      </c>
      <c r="V39" s="70">
        <f t="shared" si="43"/>
        <v>3.3739836717445439</v>
      </c>
      <c r="W39" s="70">
        <f t="shared" si="43"/>
        <v>1.8846788565467974E-4</v>
      </c>
      <c r="X39" s="70">
        <f t="shared" si="43"/>
        <v>0.13698467447990548</v>
      </c>
      <c r="Y39" s="70">
        <f t="shared" si="43"/>
        <v>0.35218399043311593</v>
      </c>
      <c r="Z39" s="70">
        <f t="shared" si="43"/>
        <v>1.8641503698034374</v>
      </c>
      <c r="AA39" s="70">
        <f t="shared" si="43"/>
        <v>2.3904133451556385E-3</v>
      </c>
      <c r="AB39" s="70">
        <f t="shared" si="43"/>
        <v>0.60464690922741637</v>
      </c>
      <c r="AC39" s="70">
        <f t="shared" si="43"/>
        <v>6.4317026819957532E-2</v>
      </c>
      <c r="AD39" s="70">
        <f t="shared" si="43"/>
        <v>2.4020678826808055</v>
      </c>
      <c r="AE39" s="70">
        <f t="shared" si="43"/>
        <v>1.0508553832204475</v>
      </c>
      <c r="AF39" s="70">
        <f t="shared" si="43"/>
        <v>0.46350144256060638</v>
      </c>
      <c r="AG39" s="288">
        <f t="shared" ref="AG39" si="44">SUM(J39:AF39)</f>
        <v>27.821375061025602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418.9655172413793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190</v>
      </c>
      <c r="N40" s="70">
        <f t="shared" si="45"/>
        <v>415.00000000000006</v>
      </c>
      <c r="O40" s="70">
        <f t="shared" si="45"/>
        <v>238.39999999999998</v>
      </c>
      <c r="P40" s="70">
        <f t="shared" si="45"/>
        <v>550.531914893617</v>
      </c>
      <c r="Q40" s="70">
        <f t="shared" si="45"/>
        <v>489</v>
      </c>
      <c r="R40" s="70">
        <f t="shared" si="45"/>
        <v>244.5</v>
      </c>
      <c r="S40" s="70">
        <f t="shared" si="45"/>
        <v>168.51063829787233</v>
      </c>
      <c r="T40" s="70">
        <f t="shared" si="45"/>
        <v>244.5</v>
      </c>
      <c r="U40" s="70">
        <f t="shared" si="45"/>
        <v>67.021276595744681</v>
      </c>
      <c r="V40" s="70">
        <f t="shared" si="45"/>
        <v>71.808510638297861</v>
      </c>
      <c r="W40" s="70">
        <f t="shared" si="45"/>
        <v>200</v>
      </c>
      <c r="X40" s="70">
        <f t="shared" si="45"/>
        <v>67.5</v>
      </c>
      <c r="Y40" s="70">
        <f t="shared" si="45"/>
        <v>62.379310344827594</v>
      </c>
      <c r="Z40" s="70">
        <f t="shared" si="45"/>
        <v>0</v>
      </c>
      <c r="AA40" s="70">
        <f t="shared" si="45"/>
        <v>135</v>
      </c>
      <c r="AB40" s="70">
        <f t="shared" si="45"/>
        <v>122.87234042553192</v>
      </c>
      <c r="AC40" s="70">
        <f t="shared" si="45"/>
        <v>14.042553191489361</v>
      </c>
      <c r="AD40" s="70">
        <f t="shared" si="45"/>
        <v>0</v>
      </c>
      <c r="AE40" s="70">
        <f t="shared" si="45"/>
        <v>22.5</v>
      </c>
      <c r="AF40" s="70">
        <f t="shared" si="45"/>
        <v>30.896551724137936</v>
      </c>
      <c r="AG40" s="289">
        <f>SUM(J40:AF40)</f>
        <v>3963.4286133528981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2680.5973346252076</v>
      </c>
      <c r="K41" s="76">
        <f t="shared" ref="K41:AF41" si="46">K37+K38-K40-K39</f>
        <v>-3.9452197749675233</v>
      </c>
      <c r="L41" s="76">
        <f t="shared" si="46"/>
        <v>986.89987949769636</v>
      </c>
      <c r="M41" s="76">
        <f t="shared" si="46"/>
        <v>56.268010050641827</v>
      </c>
      <c r="N41" s="76">
        <f t="shared" si="46"/>
        <v>700.07556473712077</v>
      </c>
      <c r="O41" s="76">
        <f t="shared" si="46"/>
        <v>718.81861738880957</v>
      </c>
      <c r="P41" s="76">
        <f t="shared" si="46"/>
        <v>2101.9019342231718</v>
      </c>
      <c r="Q41" s="76">
        <f t="shared" si="46"/>
        <v>1001.8682100896467</v>
      </c>
      <c r="R41" s="76">
        <f t="shared" si="46"/>
        <v>501.91394125698349</v>
      </c>
      <c r="S41" s="76">
        <f t="shared" si="46"/>
        <v>1105.8654890116557</v>
      </c>
      <c r="T41" s="76">
        <f t="shared" si="46"/>
        <v>801.91342107121307</v>
      </c>
      <c r="U41" s="76">
        <f t="shared" si="46"/>
        <v>467.42134501326763</v>
      </c>
      <c r="V41" s="76">
        <f t="shared" si="46"/>
        <v>115.39743265862374</v>
      </c>
      <c r="W41" s="76">
        <f t="shared" si="46"/>
        <v>710.63543158388586</v>
      </c>
      <c r="X41" s="76">
        <f t="shared" si="46"/>
        <v>291.67568670481694</v>
      </c>
      <c r="Y41" s="76">
        <f t="shared" si="46"/>
        <v>60.650078415361726</v>
      </c>
      <c r="Z41" s="76">
        <f t="shared" si="46"/>
        <v>-2.0085966831588005</v>
      </c>
      <c r="AA41" s="76">
        <f t="shared" si="46"/>
        <v>613.37674903785046</v>
      </c>
      <c r="AB41" s="76">
        <f t="shared" si="46"/>
        <v>577.55659901296849</v>
      </c>
      <c r="AC41" s="76">
        <f t="shared" si="46"/>
        <v>92.098957949464364</v>
      </c>
      <c r="AD41" s="76">
        <f t="shared" si="46"/>
        <v>-2.4034326852501371</v>
      </c>
      <c r="AE41" s="76">
        <f t="shared" si="46"/>
        <v>216.12956763228974</v>
      </c>
      <c r="AF41" s="76">
        <f t="shared" si="46"/>
        <v>106.26261785073257</v>
      </c>
      <c r="AG41" s="290">
        <f>SUM(J41:AF41)</f>
        <v>13898.96961866803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1.408612017740539</v>
      </c>
      <c r="K43" s="70">
        <f t="shared" si="47"/>
        <v>27.529080567275596</v>
      </c>
      <c r="L43" s="70">
        <f t="shared" si="47"/>
        <v>1.9058647552281145</v>
      </c>
      <c r="M43" s="70">
        <f t="shared" si="47"/>
        <v>1.3147573433524213</v>
      </c>
      <c r="N43" s="70">
        <f t="shared" si="47"/>
        <v>0.82285573725713801</v>
      </c>
      <c r="O43" s="70">
        <f t="shared" si="47"/>
        <v>2.1641146046258304</v>
      </c>
      <c r="P43" s="70">
        <f t="shared" si="47"/>
        <v>1.2018271225853963</v>
      </c>
      <c r="Q43" s="70">
        <f t="shared" si="47"/>
        <v>1.0974004723346003</v>
      </c>
      <c r="R43" s="70">
        <f t="shared" si="47"/>
        <v>2.4495024988013405</v>
      </c>
      <c r="S43" s="70">
        <f t="shared" si="47"/>
        <v>1.7966660939481902</v>
      </c>
      <c r="T43" s="70">
        <f t="shared" si="47"/>
        <v>3.1207989281203399</v>
      </c>
      <c r="U43" s="70">
        <f t="shared" si="47"/>
        <v>2.1746805711297137</v>
      </c>
      <c r="V43" s="70">
        <f t="shared" si="47"/>
        <v>1.2644393958741738</v>
      </c>
      <c r="W43" s="70">
        <f t="shared" si="47"/>
        <v>3.7569824963321961</v>
      </c>
      <c r="X43" s="70">
        <f t="shared" si="47"/>
        <v>4.4050624977984132</v>
      </c>
      <c r="Y43" s="70">
        <f t="shared" si="47"/>
        <v>4.88420306947451</v>
      </c>
      <c r="Z43" s="70">
        <f t="shared" si="47"/>
        <v>4.4759909888415388</v>
      </c>
      <c r="AA43" s="70">
        <f t="shared" si="47"/>
        <v>2.5867071161398449</v>
      </c>
      <c r="AB43" s="70">
        <f t="shared" si="47"/>
        <v>1.68467611680464</v>
      </c>
      <c r="AC43" s="70">
        <f t="shared" si="47"/>
        <v>4.7768651277901117</v>
      </c>
      <c r="AD43" s="70">
        <f t="shared" si="47"/>
        <v>5.8190626550953759</v>
      </c>
      <c r="AE43" s="70">
        <f t="shared" si="47"/>
        <v>7.9428400864596211</v>
      </c>
      <c r="AF43" s="70">
        <f t="shared" si="47"/>
        <v>10.344146280445147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0.14792758115891691</v>
      </c>
      <c r="K44" s="70">
        <f t="shared" ref="K44:AF44" si="48">NORMDIST(K43,0,1,FALSE)</f>
        <v>1.0859588951628314E-165</v>
      </c>
      <c r="L44" s="70">
        <f t="shared" si="48"/>
        <v>6.4887598110866807E-2</v>
      </c>
      <c r="M44" s="70">
        <f t="shared" si="48"/>
        <v>0.16809399379568504</v>
      </c>
      <c r="N44" s="70">
        <f t="shared" si="48"/>
        <v>0.28436850890296395</v>
      </c>
      <c r="O44" s="70">
        <f t="shared" si="48"/>
        <v>3.836404660976981E-2</v>
      </c>
      <c r="P44" s="70">
        <f t="shared" si="48"/>
        <v>0.19376043589882344</v>
      </c>
      <c r="Q44" s="70">
        <f t="shared" si="48"/>
        <v>0.21847527438811457</v>
      </c>
      <c r="R44" s="70">
        <f t="shared" si="48"/>
        <v>1.9861545989250721E-2</v>
      </c>
      <c r="S44" s="70">
        <f t="shared" si="48"/>
        <v>7.9424923676611595E-2</v>
      </c>
      <c r="T44" s="70">
        <f t="shared" si="48"/>
        <v>3.0621698650689314E-3</v>
      </c>
      <c r="U44" s="70">
        <f t="shared" si="48"/>
        <v>3.7494676112074271E-2</v>
      </c>
      <c r="V44" s="70">
        <f t="shared" si="48"/>
        <v>0.17936328115832248</v>
      </c>
      <c r="W44" s="70">
        <f t="shared" si="48"/>
        <v>3.4347464178198246E-4</v>
      </c>
      <c r="X44" s="70">
        <f t="shared" si="48"/>
        <v>2.4392707629956763E-5</v>
      </c>
      <c r="Y44" s="70">
        <f t="shared" si="48"/>
        <v>2.6349183975116076E-6</v>
      </c>
      <c r="Z44" s="70">
        <f t="shared" si="48"/>
        <v>1.7802241185400163E-5</v>
      </c>
      <c r="AA44" s="70">
        <f t="shared" si="48"/>
        <v>1.4059381472738207E-2</v>
      </c>
      <c r="AB44" s="70">
        <f t="shared" si="48"/>
        <v>9.6519970634243557E-2</v>
      </c>
      <c r="AC44" s="70">
        <f t="shared" si="48"/>
        <v>4.4253607484527861E-6</v>
      </c>
      <c r="AD44" s="70">
        <f t="shared" si="48"/>
        <v>1.7700311030657374E-8</v>
      </c>
      <c r="AE44" s="70">
        <f t="shared" si="48"/>
        <v>7.968398584378657E-15</v>
      </c>
      <c r="AF44" s="70">
        <f t="shared" si="48"/>
        <v>2.3219853244331769E-24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0.92052503833768884</v>
      </c>
      <c r="K45" s="70">
        <f t="shared" ref="K45:AF45" si="49">NORMDIST(K43,0,1,TRUE)</f>
        <v>1</v>
      </c>
      <c r="L45" s="70">
        <f t="shared" si="49"/>
        <v>0.97166612259544294</v>
      </c>
      <c r="M45" s="70">
        <f t="shared" si="49"/>
        <v>0.90570426614317423</v>
      </c>
      <c r="N45" s="70">
        <f t="shared" si="49"/>
        <v>0.79470498194100803</v>
      </c>
      <c r="O45" s="70">
        <f t="shared" si="49"/>
        <v>0.98477222254060293</v>
      </c>
      <c r="P45" s="70">
        <f t="shared" si="49"/>
        <v>0.88528474263240076</v>
      </c>
      <c r="Q45" s="70">
        <f t="shared" si="49"/>
        <v>0.86376681647920006</v>
      </c>
      <c r="R45" s="70">
        <f t="shared" si="49"/>
        <v>0.99284731414048477</v>
      </c>
      <c r="S45" s="70">
        <f t="shared" si="49"/>
        <v>0.96380567761122671</v>
      </c>
      <c r="T45" s="70">
        <f t="shared" si="49"/>
        <v>0.99909819430593183</v>
      </c>
      <c r="U45" s="70">
        <f t="shared" si="49"/>
        <v>0.98517296908450336</v>
      </c>
      <c r="V45" s="70">
        <f t="shared" si="49"/>
        <v>0.89696381990487117</v>
      </c>
      <c r="W45" s="70">
        <f t="shared" si="49"/>
        <v>0.99991401273981861</v>
      </c>
      <c r="X45" s="70">
        <f t="shared" si="49"/>
        <v>0.99999471233080717</v>
      </c>
      <c r="Y45" s="70">
        <f t="shared" si="49"/>
        <v>0.99999948075996559</v>
      </c>
      <c r="Z45" s="70">
        <f t="shared" si="49"/>
        <v>0.99999619711536825</v>
      </c>
      <c r="AA45" s="70">
        <f t="shared" si="49"/>
        <v>0.99515510418499553</v>
      </c>
      <c r="AB45" s="70">
        <f t="shared" si="49"/>
        <v>0.95397446158064869</v>
      </c>
      <c r="AC45" s="70">
        <f t="shared" si="49"/>
        <v>0.99999910975446527</v>
      </c>
      <c r="AD45" s="70">
        <f t="shared" si="49"/>
        <v>0.99999999704107245</v>
      </c>
      <c r="AE45" s="70">
        <f t="shared" si="49"/>
        <v>0.999999999999999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3.5978195051916809E-2</v>
      </c>
      <c r="K46" s="70">
        <f t="shared" ref="K46:AF46" si="50">K44-(K43*(1-K45))</f>
        <v>1.0859588951628314E-165</v>
      </c>
      <c r="L46" s="70">
        <f t="shared" si="50"/>
        <v>1.088705978656726E-2</v>
      </c>
      <c r="M46" s="70">
        <f t="shared" si="50"/>
        <v>4.4117985260617817E-2</v>
      </c>
      <c r="N46" s="70">
        <f t="shared" si="50"/>
        <v>0.11544032546281463</v>
      </c>
      <c r="O46" s="70">
        <f t="shared" si="50"/>
        <v>5.4093910138965778E-3</v>
      </c>
      <c r="P46" s="70">
        <f t="shared" si="50"/>
        <v>5.5892528220078452E-2</v>
      </c>
      <c r="Q46" s="70">
        <f t="shared" si="50"/>
        <v>6.8972914444742434E-2</v>
      </c>
      <c r="R46" s="70">
        <f t="shared" si="50"/>
        <v>2.3410241032271531E-3</v>
      </c>
      <c r="S46" s="70">
        <f t="shared" si="50"/>
        <v>1.439581184727276E-2</v>
      </c>
      <c r="T46" s="70">
        <f t="shared" si="50"/>
        <v>2.4781562164816846E-4</v>
      </c>
      <c r="U46" s="70">
        <f t="shared" si="50"/>
        <v>5.250620052604113E-3</v>
      </c>
      <c r="V46" s="70">
        <f t="shared" si="50"/>
        <v>4.9080275845655219E-2</v>
      </c>
      <c r="W46" s="70">
        <f t="shared" si="50"/>
        <v>2.0422010372952743E-5</v>
      </c>
      <c r="X46" s="70">
        <f t="shared" si="50"/>
        <v>1.1001943678452335E-6</v>
      </c>
      <c r="Y46" s="70">
        <f t="shared" si="50"/>
        <v>9.8844627635663505E-8</v>
      </c>
      <c r="Z46" s="70">
        <f t="shared" si="50"/>
        <v>7.8056384206558291E-7</v>
      </c>
      <c r="AA46" s="70">
        <f t="shared" si="50"/>
        <v>1.5270549911099943E-3</v>
      </c>
      <c r="AB46" s="70">
        <f t="shared" si="50"/>
        <v>1.8981845296088026E-2</v>
      </c>
      <c r="AC46" s="70">
        <f t="shared" si="50"/>
        <v>1.7277789840714623E-7</v>
      </c>
      <c r="AD46" s="70">
        <f t="shared" si="50"/>
        <v>4.8212624030299344E-10</v>
      </c>
      <c r="AE46" s="70">
        <f t="shared" si="50"/>
        <v>3.1907033965830866E-17</v>
      </c>
      <c r="AF46" s="70">
        <f t="shared" si="50"/>
        <v>2.3219853244331769E-24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0.71272804397847189</v>
      </c>
      <c r="K47" s="74">
        <f t="shared" si="51"/>
        <v>9.1220547193677836E-166</v>
      </c>
      <c r="L47" s="74">
        <f t="shared" si="51"/>
        <v>7.893118345261263E-2</v>
      </c>
      <c r="M47" s="74">
        <f t="shared" si="51"/>
        <v>0.14205991253918937</v>
      </c>
      <c r="N47" s="74">
        <f t="shared" si="51"/>
        <v>1.4372320520120421</v>
      </c>
      <c r="O47" s="74">
        <f t="shared" si="51"/>
        <v>2.5965076866703574E-2</v>
      </c>
      <c r="P47" s="74">
        <f t="shared" si="51"/>
        <v>0.87192344023322388</v>
      </c>
      <c r="Q47" s="74">
        <f t="shared" si="51"/>
        <v>0.63593027118052525</v>
      </c>
      <c r="R47" s="74">
        <f t="shared" si="51"/>
        <v>6.7655596583264723E-3</v>
      </c>
      <c r="S47" s="74">
        <f t="shared" si="51"/>
        <v>0.1230841912941821</v>
      </c>
      <c r="T47" s="74">
        <f t="shared" si="51"/>
        <v>8.3266048873784602E-4</v>
      </c>
      <c r="U47" s="74">
        <f t="shared" si="51"/>
        <v>4.1427392215046453E-2</v>
      </c>
      <c r="V47" s="74">
        <f t="shared" si="51"/>
        <v>0.3087149350691713</v>
      </c>
      <c r="W47" s="74">
        <f t="shared" si="51"/>
        <v>6.2695571844964917E-5</v>
      </c>
      <c r="X47" s="74">
        <f t="shared" si="51"/>
        <v>2.1673829046551101E-6</v>
      </c>
      <c r="Y47" s="74">
        <f t="shared" si="51"/>
        <v>1.4035937124264216E-7</v>
      </c>
      <c r="Z47" s="74">
        <f t="shared" si="51"/>
        <v>1.2098739552016535E-6</v>
      </c>
      <c r="AA47" s="74">
        <f t="shared" si="51"/>
        <v>5.2530691694183803E-3</v>
      </c>
      <c r="AB47" s="74">
        <f t="shared" si="51"/>
        <v>0.14748893795060394</v>
      </c>
      <c r="AC47" s="74">
        <f t="shared" si="51"/>
        <v>2.6953352151514815E-7</v>
      </c>
      <c r="AD47" s="74">
        <f t="shared" si="51"/>
        <v>5.8337275076662207E-10</v>
      </c>
      <c r="AE47" s="74">
        <f t="shared" si="51"/>
        <v>6.604756030926989E-17</v>
      </c>
      <c r="AF47" s="74">
        <f t="shared" si="51"/>
        <v>2.7631625360754804E-24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45.287271956021527</v>
      </c>
      <c r="K48" s="74">
        <f t="shared" si="52"/>
        <v>1</v>
      </c>
      <c r="L48" s="74">
        <f t="shared" si="52"/>
        <v>15.921068816547388</v>
      </c>
      <c r="M48" s="74">
        <f t="shared" si="52"/>
        <v>1.8579400874608107</v>
      </c>
      <c r="N48" s="74">
        <f t="shared" si="52"/>
        <v>17.562767947987957</v>
      </c>
      <c r="O48" s="74">
        <f t="shared" si="52"/>
        <v>10.974034923133296</v>
      </c>
      <c r="P48" s="74">
        <f t="shared" si="52"/>
        <v>18.128076559766775</v>
      </c>
      <c r="Q48" s="74">
        <f t="shared" si="52"/>
        <v>1.3640697288194747</v>
      </c>
      <c r="R48" s="74">
        <f t="shared" si="52"/>
        <v>3.9932344403416735</v>
      </c>
      <c r="S48" s="74">
        <f t="shared" si="52"/>
        <v>8.8769158087058173</v>
      </c>
      <c r="T48" s="74">
        <f t="shared" si="52"/>
        <v>3.9991673395112621</v>
      </c>
      <c r="U48" s="74">
        <f t="shared" si="52"/>
        <v>2.9585726077849537</v>
      </c>
      <c r="V48" s="74">
        <f t="shared" si="52"/>
        <v>3.6912850649308289</v>
      </c>
      <c r="W48" s="74">
        <f t="shared" si="52"/>
        <v>0.99993730442815498</v>
      </c>
      <c r="X48" s="74">
        <f t="shared" si="52"/>
        <v>2.9999978326170953</v>
      </c>
      <c r="Y48" s="74">
        <f t="shared" si="52"/>
        <v>0.99999985964062876</v>
      </c>
      <c r="Z48" s="74">
        <f t="shared" si="52"/>
        <v>0.99999879012604476</v>
      </c>
      <c r="AA48" s="74">
        <f t="shared" si="52"/>
        <v>5.9947469308305816</v>
      </c>
      <c r="AB48" s="74">
        <f t="shared" si="52"/>
        <v>8.8525110620493965</v>
      </c>
      <c r="AC48" s="74">
        <f t="shared" si="52"/>
        <v>0.9999997304664785</v>
      </c>
      <c r="AD48" s="74">
        <f t="shared" si="52"/>
        <v>2.9999999994166271</v>
      </c>
      <c r="AE48" s="74">
        <f t="shared" si="52"/>
        <v>0.99999999999999989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28.617332115418549</v>
      </c>
      <c r="K49" s="74">
        <f t="shared" ref="K49:AF49" si="53">K28-K48</f>
        <v>23.124427676511498</v>
      </c>
      <c r="L49" s="74">
        <f t="shared" si="53"/>
        <v>13.896450658856443</v>
      </c>
      <c r="M49" s="74">
        <f t="shared" si="53"/>
        <v>4.3755785581339861</v>
      </c>
      <c r="N49" s="74">
        <f t="shared" si="53"/>
        <v>11.68178598086341</v>
      </c>
      <c r="O49" s="74">
        <f t="shared" si="53"/>
        <v>10.413715179070689</v>
      </c>
      <c r="P49" s="74">
        <f t="shared" si="53"/>
        <v>19.620426552565405</v>
      </c>
      <c r="Q49" s="74">
        <f t="shared" si="53"/>
        <v>10.75396262610554</v>
      </c>
      <c r="R49" s="74">
        <f t="shared" si="53"/>
        <v>7.085827781194201</v>
      </c>
      <c r="S49" s="74">
        <f t="shared" si="53"/>
        <v>15.48457929455121</v>
      </c>
      <c r="T49" s="74">
        <f t="shared" si="53"/>
        <v>10.486717058973079</v>
      </c>
      <c r="U49" s="74">
        <f t="shared" si="53"/>
        <v>17.199657098428485</v>
      </c>
      <c r="V49" s="74">
        <f t="shared" si="53"/>
        <v>8.2620387351177236</v>
      </c>
      <c r="W49" s="74">
        <f t="shared" si="53"/>
        <v>11.533998959311687</v>
      </c>
      <c r="X49" s="74">
        <f t="shared" si="53"/>
        <v>8.6779752880457774</v>
      </c>
      <c r="Y49" s="74">
        <f t="shared" si="53"/>
        <v>6.9355684990131756</v>
      </c>
      <c r="Z49" s="74">
        <f t="shared" si="53"/>
        <v>6.9377872425783398</v>
      </c>
      <c r="AA49" s="74">
        <f t="shared" si="53"/>
        <v>8.9035255486904852</v>
      </c>
      <c r="AB49" s="74">
        <f t="shared" si="53"/>
        <v>13.237422365522656</v>
      </c>
      <c r="AC49" s="74">
        <f t="shared" si="53"/>
        <v>7.451909868886097</v>
      </c>
      <c r="AD49" s="74">
        <f t="shared" si="53"/>
        <v>7.0410658132487782</v>
      </c>
      <c r="AE49" s="74">
        <f t="shared" si="53"/>
        <v>16.441678978971414</v>
      </c>
      <c r="AF49" s="74">
        <f t="shared" si="53"/>
        <v>12.309534073729724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2264.3635978010761</v>
      </c>
      <c r="K50" s="70">
        <f t="shared" ref="K50:AF50" si="54">K48*K20</f>
        <v>200</v>
      </c>
      <c r="L50" s="70">
        <f t="shared" si="54"/>
        <v>955.26412899284333</v>
      </c>
      <c r="M50" s="70">
        <f t="shared" si="54"/>
        <v>92.897004373040531</v>
      </c>
      <c r="N50" s="70">
        <f t="shared" si="54"/>
        <v>790.32455765945804</v>
      </c>
      <c r="O50" s="70">
        <f t="shared" si="54"/>
        <v>658.44209538799771</v>
      </c>
      <c r="P50" s="70">
        <f t="shared" si="54"/>
        <v>906.40382798833878</v>
      </c>
      <c r="Q50" s="70">
        <f t="shared" si="54"/>
        <v>68.203486440973734</v>
      </c>
      <c r="R50" s="70">
        <f t="shared" si="54"/>
        <v>199.66172201708366</v>
      </c>
      <c r="S50" s="70">
        <f t="shared" si="54"/>
        <v>443.84579043529084</v>
      </c>
      <c r="T50" s="70">
        <f t="shared" si="54"/>
        <v>279.94171376578834</v>
      </c>
      <c r="U50" s="70">
        <f t="shared" si="54"/>
        <v>207.10008254494676</v>
      </c>
      <c r="V50" s="70">
        <f t="shared" si="54"/>
        <v>184.56425324654145</v>
      </c>
      <c r="W50" s="70">
        <f t="shared" si="54"/>
        <v>79.994984354252395</v>
      </c>
      <c r="X50" s="70">
        <f t="shared" si="54"/>
        <v>179.99986995702571</v>
      </c>
      <c r="Y50" s="70">
        <f t="shared" si="54"/>
        <v>59.999991578437729</v>
      </c>
      <c r="Z50" s="70">
        <f t="shared" si="54"/>
        <v>59.999927407562687</v>
      </c>
      <c r="AA50" s="70">
        <f t="shared" si="54"/>
        <v>299.73734654152906</v>
      </c>
      <c r="AB50" s="70">
        <f t="shared" si="54"/>
        <v>442.62555310246984</v>
      </c>
      <c r="AC50" s="70">
        <f t="shared" si="54"/>
        <v>49.999986523323926</v>
      </c>
      <c r="AD50" s="70">
        <f t="shared" si="54"/>
        <v>179.99999996499761</v>
      </c>
      <c r="AE50" s="70">
        <f t="shared" si="54"/>
        <v>119.99999999999999</v>
      </c>
      <c r="AF50" s="70">
        <f t="shared" si="54"/>
        <v>100</v>
      </c>
      <c r="AG50" s="186">
        <f>SUM(J50:AF50)</f>
        <v>8823.3699200829778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1427.003265935346</v>
      </c>
      <c r="K51" s="70">
        <f t="shared" ref="K51:AF51" si="55">(K20-K22)*K49</f>
        <v>4592.4419632721538</v>
      </c>
      <c r="L51" s="70">
        <f t="shared" si="55"/>
        <v>830.86878489302671</v>
      </c>
      <c r="M51" s="70">
        <f t="shared" si="55"/>
        <v>215.45348820251749</v>
      </c>
      <c r="N51" s="70">
        <f t="shared" si="55"/>
        <v>521.80201619320678</v>
      </c>
      <c r="O51" s="70">
        <f t="shared" si="55"/>
        <v>621.71962362087822</v>
      </c>
      <c r="P51" s="70">
        <f t="shared" si="55"/>
        <v>976.95989933188923</v>
      </c>
      <c r="Q51" s="70">
        <f t="shared" si="55"/>
        <v>534.19233948916656</v>
      </c>
      <c r="R51" s="70">
        <f t="shared" si="55"/>
        <v>351.98140920304076</v>
      </c>
      <c r="S51" s="70">
        <f t="shared" si="55"/>
        <v>772.18500026067977</v>
      </c>
      <c r="T51" s="70">
        <f t="shared" si="55"/>
        <v>730.65152436689038</v>
      </c>
      <c r="U51" s="70">
        <f t="shared" si="55"/>
        <v>1200.966056897769</v>
      </c>
      <c r="V51" s="70">
        <f t="shared" si="55"/>
        <v>410.00367223021703</v>
      </c>
      <c r="W51" s="70">
        <f t="shared" si="55"/>
        <v>918.68301710917592</v>
      </c>
      <c r="X51" s="70">
        <f t="shared" si="55"/>
        <v>518.72597284293636</v>
      </c>
      <c r="Y51" s="70">
        <f t="shared" si="55"/>
        <v>411.95196213588559</v>
      </c>
      <c r="Z51" s="70">
        <f t="shared" si="55"/>
        <v>412.1392511453663</v>
      </c>
      <c r="AA51" s="70">
        <f t="shared" si="55"/>
        <v>443.57364283575998</v>
      </c>
      <c r="AB51" s="70">
        <f t="shared" si="55"/>
        <v>659.55456936216638</v>
      </c>
      <c r="AC51" s="70">
        <f t="shared" si="55"/>
        <v>371.61184134161192</v>
      </c>
      <c r="AD51" s="70">
        <f t="shared" si="55"/>
        <v>418.74626604553134</v>
      </c>
      <c r="AE51" s="70">
        <f t="shared" si="55"/>
        <v>1969.3020997063011</v>
      </c>
      <c r="AF51" s="70">
        <f t="shared" si="55"/>
        <v>1225.4387361079416</v>
      </c>
      <c r="AG51" s="51">
        <f>SUM(J51:AF51)</f>
        <v>20535.95640252946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0.42763682638708311</v>
      </c>
      <c r="K52" s="70">
        <f t="shared" ref="K52:AF52" si="56">K47*K23</f>
        <v>3.3751602461660801E-165</v>
      </c>
      <c r="L52" s="70">
        <f t="shared" si="56"/>
        <v>0.11839677517891894</v>
      </c>
      <c r="M52" s="70">
        <f t="shared" si="56"/>
        <v>0.56823965015675748</v>
      </c>
      <c r="N52" s="70">
        <f t="shared" si="56"/>
        <v>4.0242497456337176</v>
      </c>
      <c r="O52" s="70">
        <f t="shared" si="56"/>
        <v>8.3088245973451436E-2</v>
      </c>
      <c r="P52" s="70">
        <f t="shared" si="56"/>
        <v>0.52315406413993426</v>
      </c>
      <c r="Q52" s="70">
        <f t="shared" si="56"/>
        <v>0.57233724406247266</v>
      </c>
      <c r="R52" s="70">
        <f t="shared" si="56"/>
        <v>6.0890036924938244E-3</v>
      </c>
      <c r="S52" s="70">
        <f t="shared" si="56"/>
        <v>3.6925257388254633E-2</v>
      </c>
      <c r="T52" s="70">
        <f t="shared" si="56"/>
        <v>7.4939443986406131E-4</v>
      </c>
      <c r="U52" s="70">
        <f t="shared" si="56"/>
        <v>2.0713696107523227E-2</v>
      </c>
      <c r="V52" s="70">
        <f t="shared" si="56"/>
        <v>0.40132941558992269</v>
      </c>
      <c r="W52" s="70">
        <f t="shared" si="56"/>
        <v>4.3886900291475443E-5</v>
      </c>
      <c r="X52" s="70">
        <f t="shared" si="56"/>
        <v>5.4184572616377757E-6</v>
      </c>
      <c r="Y52" s="70">
        <f t="shared" si="56"/>
        <v>2.6668280536102012E-7</v>
      </c>
      <c r="Z52" s="70">
        <f t="shared" si="56"/>
        <v>1.8148109328024801E-6</v>
      </c>
      <c r="AA52" s="70">
        <f t="shared" si="56"/>
        <v>2.6265345847091902E-3</v>
      </c>
      <c r="AB52" s="70">
        <f t="shared" si="56"/>
        <v>7.3744468975301972E-2</v>
      </c>
      <c r="AC52" s="70">
        <f t="shared" si="56"/>
        <v>8.0860056454544444E-8</v>
      </c>
      <c r="AD52" s="70">
        <f t="shared" si="56"/>
        <v>4.6669820061329766E-10</v>
      </c>
      <c r="AE52" s="70">
        <f t="shared" si="56"/>
        <v>1.6511890077317471E-16</v>
      </c>
      <c r="AF52" s="70">
        <f t="shared" si="56"/>
        <v>4.1447438041132207E-24</v>
      </c>
      <c r="AG52" s="51">
        <f>SUM(J52:AF52)</f>
        <v>6.8593317904884508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498.85607748222048</v>
      </c>
      <c r="K53" s="70">
        <f t="shared" ref="K53:AF53" si="57">K21*K28</f>
        <v>1692.3286015072817</v>
      </c>
      <c r="L53" s="70">
        <f t="shared" si="57"/>
        <v>313.0839544917402</v>
      </c>
      <c r="M53" s="70">
        <f t="shared" si="57"/>
        <v>236.87370853260231</v>
      </c>
      <c r="N53" s="70">
        <f t="shared" si="57"/>
        <v>485.45959521893275</v>
      </c>
      <c r="O53" s="70">
        <f t="shared" si="57"/>
        <v>318.67747652283936</v>
      </c>
      <c r="P53" s="70">
        <f t="shared" si="57"/>
        <v>390.69700721263803</v>
      </c>
      <c r="Q53" s="70">
        <f t="shared" si="57"/>
        <v>197.52392738527774</v>
      </c>
      <c r="R53" s="70">
        <f t="shared" si="57"/>
        <v>180.58871421103476</v>
      </c>
      <c r="S53" s="70">
        <f t="shared" si="57"/>
        <v>160.78586768149637</v>
      </c>
      <c r="T53" s="70">
        <f t="shared" si="57"/>
        <v>236.11991569529476</v>
      </c>
      <c r="U53" s="70">
        <f t="shared" si="57"/>
        <v>176.3845099293676</v>
      </c>
      <c r="V53" s="70">
        <f t="shared" si="57"/>
        <v>224.12482125091037</v>
      </c>
      <c r="W53" s="70">
        <f t="shared" si="57"/>
        <v>219.34388461544722</v>
      </c>
      <c r="X53" s="70">
        <f t="shared" si="57"/>
        <v>131.37719760745733</v>
      </c>
      <c r="Y53" s="70">
        <f t="shared" si="57"/>
        <v>239.25738601341223</v>
      </c>
      <c r="Z53" s="70">
        <f t="shared" si="57"/>
        <v>236.14913447295547</v>
      </c>
      <c r="AA53" s="70">
        <f t="shared" si="57"/>
        <v>134.08445231568959</v>
      </c>
      <c r="AB53" s="70">
        <f t="shared" si="57"/>
        <v>193.28691749125545</v>
      </c>
      <c r="AC53" s="70">
        <f t="shared" si="57"/>
        <v>55.782603355726991</v>
      </c>
      <c r="AD53" s="70">
        <f t="shared" si="57"/>
        <v>265.08413745436673</v>
      </c>
      <c r="AE53" s="70">
        <f t="shared" si="57"/>
        <v>196.2188885134284</v>
      </c>
      <c r="AF53" s="70">
        <f t="shared" si="57"/>
        <v>298.13356325154587</v>
      </c>
      <c r="AG53" s="67">
        <f>SUM(J53:AF53)</f>
        <v>7080.2223422129227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3192.0831494278145</v>
      </c>
      <c r="K54" s="79">
        <f t="shared" ref="K54:AF54" si="58">K50+K51-K53-K52</f>
        <v>3100.113361764872</v>
      </c>
      <c r="L54" s="79">
        <f t="shared" si="58"/>
        <v>1472.9305626189507</v>
      </c>
      <c r="M54" s="79">
        <f t="shared" si="58"/>
        <v>70.908544392798945</v>
      </c>
      <c r="N54" s="79">
        <f t="shared" si="58"/>
        <v>822.64272888809853</v>
      </c>
      <c r="O54" s="79">
        <f t="shared" si="58"/>
        <v>961.40115424006308</v>
      </c>
      <c r="P54" s="79">
        <f t="shared" si="58"/>
        <v>1492.1435660434499</v>
      </c>
      <c r="Q54" s="79">
        <f t="shared" si="58"/>
        <v>404.29956130080012</v>
      </c>
      <c r="R54" s="79">
        <f t="shared" si="58"/>
        <v>371.04832800539714</v>
      </c>
      <c r="S54" s="79">
        <f t="shared" si="58"/>
        <v>1055.2079977570861</v>
      </c>
      <c r="T54" s="79">
        <f t="shared" si="58"/>
        <v>774.47257304294419</v>
      </c>
      <c r="U54" s="79">
        <f t="shared" si="58"/>
        <v>1231.6609158172405</v>
      </c>
      <c r="V54" s="79">
        <f t="shared" si="58"/>
        <v>370.04177481025823</v>
      </c>
      <c r="W54" s="79">
        <f t="shared" si="58"/>
        <v>779.33407296108089</v>
      </c>
      <c r="X54" s="79">
        <f t="shared" si="58"/>
        <v>567.34863977404746</v>
      </c>
      <c r="Y54" s="79">
        <f t="shared" si="58"/>
        <v>232.6945674342283</v>
      </c>
      <c r="Z54" s="79">
        <f t="shared" si="58"/>
        <v>235.99004226516257</v>
      </c>
      <c r="AA54" s="79">
        <f t="shared" si="58"/>
        <v>609.22391052701471</v>
      </c>
      <c r="AB54" s="79">
        <f>AB50+AB51-AB53-AB52</f>
        <v>908.81946050440547</v>
      </c>
      <c r="AC54" s="79">
        <f t="shared" si="58"/>
        <v>365.82922442834882</v>
      </c>
      <c r="AD54" s="79">
        <f t="shared" si="58"/>
        <v>333.66212855569557</v>
      </c>
      <c r="AE54" s="79">
        <f t="shared" si="58"/>
        <v>1893.0832111928726</v>
      </c>
      <c r="AF54" s="79">
        <f t="shared" si="58"/>
        <v>1027.3051728563958</v>
      </c>
      <c r="AG54" s="68">
        <f>SUM(J54:AF54)</f>
        <v>22272.244648609027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8373.2750299409963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3AC1A-C5CA-804E-8D3C-7B21B00C931C}">
  <dimension ref="A1:BJ75"/>
  <sheetViews>
    <sheetView topLeftCell="AI1" zoomScale="90" zoomScaleNormal="90" workbookViewId="0">
      <selection activeCell="AZ27" sqref="AZ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10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54</v>
      </c>
      <c r="K2" s="262">
        <f>_xlfn.XLOOKUP($B$1,daily_demand!$E$1:$AH$1,daily_demand!$E$3:$AH$3)</f>
        <v>1</v>
      </c>
      <c r="L2" s="263">
        <f>_xlfn.XLOOKUP($B$1,daily_demand!$E$1:$AH$1,daily_demand!$E$4:$AH$4)</f>
        <v>17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24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6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2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2.2867931691344907</v>
      </c>
      <c r="AJ4" s="45">
        <f t="shared" ref="AJ4:AJ18" si="1">K4*K$28</f>
        <v>4.2036757729650071E-2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1.1121534389916017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0.50035865487877362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4.321752631009524E-2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7.8288341361172631E-2</v>
      </c>
      <c r="BF4" s="44">
        <f>SUM(AI4:BE4)</f>
        <v>4.0628478884057841</v>
      </c>
      <c r="BG4" s="54">
        <f>ROUNDUP(BF4*2, 0)</f>
        <v>9</v>
      </c>
      <c r="BH4" s="86">
        <f>CEILING($BG$1*BG4, 0.5)</f>
        <v>4.5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2.2867931691344907</v>
      </c>
      <c r="AJ5" s="45">
        <f t="shared" si="1"/>
        <v>5.6049010306200096E-2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4.321752631009524E-2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9.7860426701465789E-2</v>
      </c>
      <c r="BF5" s="44">
        <f t="shared" ref="BF5:BF19" si="23">SUM(AI5:BE5)</f>
        <v>2.4839201324522522</v>
      </c>
      <c r="BG5" s="54">
        <f t="shared" ref="BG5:BG18" si="24">ROUNDUP(BF5*2, 0)</f>
        <v>5</v>
      </c>
      <c r="BH5" s="86">
        <f t="shared" ref="BH5:BH18" si="25">CEILING($BG$1*BG5, 0.5)</f>
        <v>2.5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220</v>
      </c>
      <c r="C6" s="7">
        <f>B6*0.02</f>
        <v>4.4000000000000004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1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2.8024505153100048E-2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1.1121534389916017</v>
      </c>
      <c r="AP6" s="45">
        <f t="shared" si="7"/>
        <v>0</v>
      </c>
      <c r="AQ6" s="45">
        <f t="shared" si="8"/>
        <v>0</v>
      </c>
      <c r="AR6" s="45">
        <f t="shared" si="9"/>
        <v>0.56063097704943943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4.321752631009524E-2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8.3359866568649091E-2</v>
      </c>
      <c r="BC6" s="45">
        <f t="shared" si="20"/>
        <v>0</v>
      </c>
      <c r="BD6" s="45">
        <f t="shared" si="21"/>
        <v>0</v>
      </c>
      <c r="BE6" s="45">
        <f t="shared" si="22"/>
        <v>7.8288341361172631E-2</v>
      </c>
      <c r="BF6" s="44">
        <f t="shared" si="23"/>
        <v>1.9056746554340582</v>
      </c>
      <c r="BG6" s="54">
        <f t="shared" si="24"/>
        <v>4</v>
      </c>
      <c r="BH6" s="86">
        <f t="shared" si="25"/>
        <v>2</v>
      </c>
      <c r="BI6" s="6"/>
    </row>
    <row r="7" spans="1:61" ht="24" x14ac:dyDescent="0.2">
      <c r="A7" s="286" t="s">
        <v>47</v>
      </c>
      <c r="B7" s="295">
        <f>_xlfn.XLOOKUP($B$1,cost!$A$16:$A$45,cost!$E$16:$E$45)</f>
        <v>175</v>
      </c>
      <c r="C7" s="7">
        <f>B7*0.02</f>
        <v>3.5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2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4.2036757729650071E-2</v>
      </c>
      <c r="AK7" s="45">
        <f t="shared" si="2"/>
        <v>0</v>
      </c>
      <c r="AL7" s="45">
        <f t="shared" si="3"/>
        <v>0</v>
      </c>
      <c r="AM7" s="45">
        <f t="shared" si="4"/>
        <v>0.96221884968935467</v>
      </c>
      <c r="AN7" s="45">
        <f t="shared" si="5"/>
        <v>0.58116687396802014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0.61068898847511155</v>
      </c>
      <c r="AU7" s="45">
        <f t="shared" si="12"/>
        <v>0.31272415929923358</v>
      </c>
      <c r="AV7" s="45">
        <f t="shared" si="13"/>
        <v>0</v>
      </c>
      <c r="AW7" s="45">
        <f t="shared" si="14"/>
        <v>0</v>
      </c>
      <c r="AX7" s="45">
        <f t="shared" si="15"/>
        <v>5.4021907887619049E-2</v>
      </c>
      <c r="AY7" s="45">
        <f t="shared" si="16"/>
        <v>5.4960566218985318E-2</v>
      </c>
      <c r="AZ7" s="45">
        <f t="shared" si="17"/>
        <v>0</v>
      </c>
      <c r="BA7" s="45">
        <f t="shared" si="18"/>
        <v>0.82076912519509959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3.4385872284630739</v>
      </c>
      <c r="BG7" s="54">
        <f t="shared" si="24"/>
        <v>7</v>
      </c>
      <c r="BH7" s="86">
        <f t="shared" si="25"/>
        <v>3.5</v>
      </c>
      <c r="BI7" s="6"/>
    </row>
    <row r="8" spans="1:61" ht="24" x14ac:dyDescent="0.2">
      <c r="A8" s="286" t="s">
        <v>46</v>
      </c>
      <c r="B8" s="295">
        <f>_xlfn.XLOOKUP($B$1,cost!$A$16:$A$45,cost!$F$16:$F$45)</f>
        <v>180</v>
      </c>
      <c r="C8" s="7">
        <f t="shared" ref="C8:C19" si="26">B8*0.02</f>
        <v>3.6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1.4012252576550024E-2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0.43587515547601502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2.160876315504762E-2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3.9144170680586315E-2</v>
      </c>
      <c r="BF8" s="44">
        <f t="shared" si="23"/>
        <v>0.51064034188819896</v>
      </c>
      <c r="BG8" s="54">
        <f t="shared" si="24"/>
        <v>2</v>
      </c>
      <c r="BH8" s="86">
        <f t="shared" si="25"/>
        <v>1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3.6322929623001254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3.6322929623001254</v>
      </c>
      <c r="BG9" s="54">
        <f t="shared" si="24"/>
        <v>8</v>
      </c>
      <c r="BH9" s="86">
        <f t="shared" si="25"/>
        <v>4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4.811094248446774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4.811094248446774</v>
      </c>
      <c r="BG10" s="54">
        <f t="shared" si="24"/>
        <v>10</v>
      </c>
      <c r="BH10" s="86">
        <f t="shared" si="25"/>
        <v>5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190</v>
      </c>
      <c r="C11" s="7">
        <f t="shared" si="26"/>
        <v>3.8000000000000003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0.96221884968935467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0.96221884968935467</v>
      </c>
      <c r="BG11" s="54">
        <f t="shared" si="24"/>
        <v>2</v>
      </c>
      <c r="BH11" s="86">
        <f t="shared" si="25"/>
        <v>1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3.5992040951581532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3.5992040951581532</v>
      </c>
      <c r="BG12" s="54">
        <f t="shared" si="24"/>
        <v>8</v>
      </c>
      <c r="BH12" s="86">
        <f t="shared" si="25"/>
        <v>4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7.0061262882750122E-2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0.14865915245614097</v>
      </c>
      <c r="AQ13" s="45">
        <f t="shared" si="8"/>
        <v>0.10797667620843482</v>
      </c>
      <c r="AR13" s="45">
        <f t="shared" si="9"/>
        <v>0</v>
      </c>
      <c r="AS13" s="45">
        <f t="shared" si="10"/>
        <v>0.13084302397809661</v>
      </c>
      <c r="AT13" s="45">
        <f t="shared" si="11"/>
        <v>0</v>
      </c>
      <c r="AU13" s="45">
        <f t="shared" si="12"/>
        <v>0</v>
      </c>
      <c r="AV13" s="45">
        <f t="shared" si="13"/>
        <v>0.31226429356558449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0.769804409091007</v>
      </c>
      <c r="BG13" s="54">
        <f t="shared" si="24"/>
        <v>2</v>
      </c>
      <c r="BH13" s="86">
        <f t="shared" si="25"/>
        <v>1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5.6049010306200096E-2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0.17856105874898592</v>
      </c>
      <c r="BD14" s="45">
        <f t="shared" si="21"/>
        <v>0</v>
      </c>
      <c r="BE14" s="45">
        <f t="shared" si="22"/>
        <v>0</v>
      </c>
      <c r="BF14" s="44">
        <f t="shared" si="23"/>
        <v>0.23461006905518603</v>
      </c>
      <c r="BG14" s="54">
        <f t="shared" si="24"/>
        <v>1</v>
      </c>
      <c r="BH14" s="86">
        <f t="shared" si="25"/>
        <v>0.5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7.0061262882750122E-2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0.37164788114035247</v>
      </c>
      <c r="AQ15" s="45">
        <f t="shared" si="8"/>
        <v>0.26994169052108707</v>
      </c>
      <c r="AR15" s="45">
        <f t="shared" si="9"/>
        <v>0</v>
      </c>
      <c r="AS15" s="45">
        <f t="shared" si="10"/>
        <v>0.32710755994524154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0.46124160537662429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1.4999999998660556</v>
      </c>
      <c r="BG15" s="54">
        <f t="shared" si="24"/>
        <v>3</v>
      </c>
      <c r="BH15" s="86">
        <f t="shared" si="25"/>
        <v>1.5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7.0061262882750122E-2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0.10992113243797064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0.17998239532072074</v>
      </c>
      <c r="BG16" s="54">
        <f t="shared" si="24"/>
        <v>1</v>
      </c>
      <c r="BH16" s="86">
        <f t="shared" si="25"/>
        <v>0.5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7.0061262882750122E-2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0.14865915245614097</v>
      </c>
      <c r="AQ17" s="45">
        <f t="shared" si="8"/>
        <v>0.10797667620843482</v>
      </c>
      <c r="AR17" s="45">
        <f t="shared" si="9"/>
        <v>0</v>
      </c>
      <c r="AS17" s="45">
        <f t="shared" si="10"/>
        <v>0.13084302397809661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0.45754011552542251</v>
      </c>
      <c r="BG17" s="54">
        <f t="shared" si="24"/>
        <v>1</v>
      </c>
      <c r="BH17" s="86">
        <f t="shared" si="25"/>
        <v>0.5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0.132228871510357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0.132228871510357</v>
      </c>
      <c r="BG18" s="54">
        <f t="shared" si="24"/>
        <v>1</v>
      </c>
      <c r="BH18" s="86">
        <f t="shared" si="25"/>
        <v>0.5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1.2104971827572373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1.2014602301198967</v>
      </c>
      <c r="BE19" s="45">
        <f t="shared" si="27"/>
        <v>0</v>
      </c>
      <c r="BF19" s="44">
        <f t="shared" si="23"/>
        <v>2.4119574128771339</v>
      </c>
      <c r="BG19" s="54">
        <f>ROUNDUP(BF19*2, 0)</f>
        <v>5</v>
      </c>
      <c r="BH19" s="86">
        <f>CEILING($BG$1*BG19, 0.5)</f>
        <v>2.5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21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31.092603675483652</v>
      </c>
      <c r="BG20" s="54">
        <f>SUM(BG4:BG19)</f>
        <v>69</v>
      </c>
      <c r="BH20" s="86">
        <f>SUM(BH4:BH19)</f>
        <v>34.5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70.150000000000006</v>
      </c>
      <c r="L21" s="4">
        <f t="shared" si="28"/>
        <v>10.5</v>
      </c>
      <c r="M21" s="4">
        <f t="shared" si="28"/>
        <v>38</v>
      </c>
      <c r="N21" s="4">
        <f t="shared" si="28"/>
        <v>16.600000000000001</v>
      </c>
      <c r="O21" s="4">
        <f t="shared" si="28"/>
        <v>14.899999999999999</v>
      </c>
      <c r="P21" s="4">
        <f t="shared" si="28"/>
        <v>10.35</v>
      </c>
      <c r="Q21" s="4">
        <f t="shared" si="28"/>
        <v>16.3</v>
      </c>
      <c r="R21" s="4">
        <f t="shared" si="28"/>
        <v>16.3</v>
      </c>
      <c r="S21" s="4">
        <f t="shared" si="28"/>
        <v>6.6</v>
      </c>
      <c r="T21" s="4">
        <f t="shared" si="28"/>
        <v>16.3</v>
      </c>
      <c r="U21" s="4">
        <f t="shared" si="28"/>
        <v>8.75</v>
      </c>
      <c r="V21" s="4">
        <f t="shared" si="28"/>
        <v>18.75</v>
      </c>
      <c r="W21" s="4">
        <f t="shared" si="28"/>
        <v>17.5</v>
      </c>
      <c r="X21" s="4">
        <f t="shared" si="28"/>
        <v>11.25</v>
      </c>
      <c r="Y21" s="4">
        <f t="shared" si="28"/>
        <v>30.150000000000002</v>
      </c>
      <c r="Z21" s="4">
        <f t="shared" si="28"/>
        <v>29.75</v>
      </c>
      <c r="AA21" s="4">
        <f t="shared" si="28"/>
        <v>9</v>
      </c>
      <c r="AB21" s="4">
        <f t="shared" si="28"/>
        <v>8.75</v>
      </c>
      <c r="AC21" s="4">
        <f t="shared" si="28"/>
        <v>6.6</v>
      </c>
      <c r="AD21" s="4">
        <f t="shared" si="28"/>
        <v>26.400000000000002</v>
      </c>
      <c r="AE21" s="4">
        <f t="shared" si="28"/>
        <v>11.25</v>
      </c>
      <c r="AF21" s="4">
        <f t="shared" si="28"/>
        <v>22.400000000000002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2080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1.403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0.33200000000000007</v>
      </c>
      <c r="O22" s="4">
        <f t="shared" si="29"/>
        <v>0.29799999999999999</v>
      </c>
      <c r="P22" s="4">
        <f t="shared" si="29"/>
        <v>0.20700000000000002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0.13200000000000001</v>
      </c>
      <c r="T22" s="4">
        <f t="shared" si="29"/>
        <v>0.32600000000000001</v>
      </c>
      <c r="U22" s="4">
        <f t="shared" si="29"/>
        <v>0.17500000000000002</v>
      </c>
      <c r="V22" s="4">
        <f t="shared" si="29"/>
        <v>0.375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0.60299999999999998</v>
      </c>
      <c r="Z22" s="4">
        <f t="shared" si="29"/>
        <v>0.59500000000000008</v>
      </c>
      <c r="AA22" s="4">
        <f t="shared" si="29"/>
        <v>0.18000000000000002</v>
      </c>
      <c r="AB22" s="4">
        <f t="shared" si="29"/>
        <v>0.17500000000000002</v>
      </c>
      <c r="AC22" s="4">
        <f t="shared" si="29"/>
        <v>0.13200000000000001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0.44800000000000001</v>
      </c>
      <c r="AG22" s="9"/>
      <c r="BF22" s="432" t="s">
        <v>131</v>
      </c>
      <c r="BG22" s="432"/>
      <c r="BH22" s="41">
        <f>SUMPRODUCT(B4:B19,BH4:BH19)</f>
        <v>3612.5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68.747</v>
      </c>
      <c r="L25" s="69">
        <f t="shared" si="31"/>
        <v>10.29</v>
      </c>
      <c r="M25" s="69">
        <f t="shared" si="31"/>
        <v>37.24</v>
      </c>
      <c r="N25" s="69">
        <f t="shared" si="31"/>
        <v>16.268000000000001</v>
      </c>
      <c r="O25" s="69">
        <f t="shared" si="31"/>
        <v>14.601999999999999</v>
      </c>
      <c r="P25" s="69">
        <f t="shared" si="31"/>
        <v>10.142999999999999</v>
      </c>
      <c r="Q25" s="69">
        <f t="shared" si="31"/>
        <v>15.974</v>
      </c>
      <c r="R25" s="69">
        <f t="shared" si="31"/>
        <v>15.974</v>
      </c>
      <c r="S25" s="69">
        <f t="shared" si="31"/>
        <v>6.468</v>
      </c>
      <c r="T25" s="69">
        <f t="shared" si="31"/>
        <v>15.974</v>
      </c>
      <c r="U25" s="69">
        <f t="shared" si="31"/>
        <v>8.5749999999999993</v>
      </c>
      <c r="V25" s="69">
        <f t="shared" si="31"/>
        <v>18.375</v>
      </c>
      <c r="W25" s="69">
        <f t="shared" si="31"/>
        <v>17.149999999999999</v>
      </c>
      <c r="X25" s="69">
        <f t="shared" si="31"/>
        <v>11.025</v>
      </c>
      <c r="Y25" s="69">
        <f t="shared" si="31"/>
        <v>29.547000000000001</v>
      </c>
      <c r="Z25" s="69">
        <f t="shared" si="31"/>
        <v>29.155000000000001</v>
      </c>
      <c r="AA25" s="69">
        <f t="shared" si="31"/>
        <v>8.82</v>
      </c>
      <c r="AB25" s="69">
        <f t="shared" si="31"/>
        <v>8.5749999999999993</v>
      </c>
      <c r="AC25" s="69">
        <f t="shared" si="31"/>
        <v>6.468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21.952000000000002</v>
      </c>
      <c r="AG25" s="16"/>
      <c r="BF25" s="434" t="s">
        <v>42</v>
      </c>
      <c r="BG25" s="434"/>
      <c r="BH25" s="39">
        <f>AG50+AG51-AG52-BH22</f>
        <v>11991.589863129208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133.54999999999998</v>
      </c>
      <c r="L26" s="4">
        <f t="shared" si="32"/>
        <v>51</v>
      </c>
      <c r="M26" s="4">
        <f t="shared" si="32"/>
        <v>16</v>
      </c>
      <c r="N26" s="4">
        <f t="shared" si="32"/>
        <v>31.2</v>
      </c>
      <c r="O26" s="4">
        <f t="shared" si="32"/>
        <v>48.300000000000004</v>
      </c>
      <c r="P26" s="4">
        <f t="shared" si="32"/>
        <v>40.25</v>
      </c>
      <c r="Q26" s="4">
        <f t="shared" si="32"/>
        <v>34.6</v>
      </c>
      <c r="R26" s="4">
        <f t="shared" si="32"/>
        <v>34.6</v>
      </c>
      <c r="S26" s="4">
        <f t="shared" si="32"/>
        <v>43.699999999999996</v>
      </c>
      <c r="T26" s="4">
        <f t="shared" si="32"/>
        <v>54.6</v>
      </c>
      <c r="U26" s="4">
        <f t="shared" si="32"/>
        <v>61.75</v>
      </c>
      <c r="V26" s="4">
        <f t="shared" si="32"/>
        <v>32.549999999999997</v>
      </c>
      <c r="W26" s="4">
        <f t="shared" si="32"/>
        <v>63.2</v>
      </c>
      <c r="X26" s="4">
        <f t="shared" si="32"/>
        <v>51.25</v>
      </c>
      <c r="Y26" s="4">
        <f t="shared" si="32"/>
        <v>31.749999999999996</v>
      </c>
      <c r="Z26" s="4">
        <f t="shared" si="32"/>
        <v>31.75</v>
      </c>
      <c r="AA26" s="4">
        <f t="shared" si="32"/>
        <v>41.5</v>
      </c>
      <c r="AB26" s="4">
        <f t="shared" si="32"/>
        <v>41.75</v>
      </c>
      <c r="AC26" s="4">
        <f t="shared" si="32"/>
        <v>43.699999999999996</v>
      </c>
      <c r="AD26" s="4">
        <f t="shared" si="32"/>
        <v>34.399999999999991</v>
      </c>
      <c r="AE26" s="4">
        <f t="shared" si="32"/>
        <v>111.25</v>
      </c>
      <c r="AF26" s="4">
        <f t="shared" si="32"/>
        <v>79.099999999999994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0.66016797085473344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0.65728490772731096</v>
      </c>
      <c r="O27" s="70">
        <f t="shared" si="33"/>
        <v>0.76786111729356787</v>
      </c>
      <c r="P27" s="70">
        <f t="shared" si="33"/>
        <v>0.79872204472843444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0.87107319406793182</v>
      </c>
      <c r="T27" s="70">
        <f t="shared" si="33"/>
        <v>0.77365602063082728</v>
      </c>
      <c r="U27" s="70">
        <f t="shared" si="33"/>
        <v>0.87806612157838604</v>
      </c>
      <c r="V27" s="70">
        <f t="shared" si="33"/>
        <v>0.63917525773195871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0.5179698843336541</v>
      </c>
      <c r="Z27" s="70">
        <f t="shared" si="33"/>
        <v>0.52130366964945407</v>
      </c>
      <c r="AA27" s="70">
        <f t="shared" si="33"/>
        <v>0.82472178060413359</v>
      </c>
      <c r="AB27" s="70">
        <f t="shared" si="33"/>
        <v>0.82960755091902627</v>
      </c>
      <c r="AC27" s="70">
        <f t="shared" si="33"/>
        <v>0.87107319406793182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0.78276530894984764</v>
      </c>
      <c r="AG27" s="9"/>
      <c r="BF27" s="430" t="s">
        <v>130</v>
      </c>
      <c r="BG27" s="430"/>
      <c r="BH27" s="40">
        <f>BH25-AG41</f>
        <v>3112.0304684437706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76.22643897114969</v>
      </c>
      <c r="K28" s="72">
        <v>1.4012252576550024</v>
      </c>
      <c r="L28" s="72">
        <v>23.994693967721023</v>
      </c>
      <c r="M28" s="72">
        <v>0.33057217877589251</v>
      </c>
      <c r="N28" s="72">
        <v>24.055471242233867</v>
      </c>
      <c r="O28" s="72">
        <v>14.529171849200502</v>
      </c>
      <c r="P28" s="72">
        <v>37.071781299720058</v>
      </c>
      <c r="Q28" s="72">
        <v>7.4329576228070486</v>
      </c>
      <c r="R28" s="72">
        <v>5.398833810421741</v>
      </c>
      <c r="S28" s="72">
        <v>18.687699234981316</v>
      </c>
      <c r="T28" s="72">
        <v>6.5421511989048309</v>
      </c>
      <c r="U28" s="72">
        <v>12.21377976950223</v>
      </c>
      <c r="V28" s="72">
        <v>6.2544831859846708</v>
      </c>
      <c r="W28" s="72">
        <v>4.4609184795083499</v>
      </c>
      <c r="X28" s="72">
        <v>4.8419887310289491</v>
      </c>
      <c r="Y28" s="72">
        <v>1.0804381577523809</v>
      </c>
      <c r="Z28" s="72">
        <v>1.0992113243797064</v>
      </c>
      <c r="AA28" s="72">
        <v>9.2248321075324853</v>
      </c>
      <c r="AB28" s="72">
        <v>16.415382503901991</v>
      </c>
      <c r="AC28" s="72">
        <v>2.7786622189549699</v>
      </c>
      <c r="AD28" s="72">
        <v>2.232013234362324</v>
      </c>
      <c r="AE28" s="72">
        <v>4.8058409204795867</v>
      </c>
      <c r="AF28" s="72">
        <v>1.9572085340293157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17.730496453900709</v>
      </c>
      <c r="Q29" s="74">
        <f>(F13/Q13)*(6/20)</f>
        <v>30</v>
      </c>
      <c r="R29" s="74">
        <f>(F13/R13)*(3/20)</f>
        <v>15</v>
      </c>
      <c r="S29" s="74">
        <f>(F6/S6)*(12/47)</f>
        <v>8.5106382978723403</v>
      </c>
      <c r="T29" s="74">
        <f>(F13/T13)*(3/20)</f>
        <v>15</v>
      </c>
      <c r="U29" s="74">
        <f>(F7/U7)*(6/47)</f>
        <v>5.1063829787234036</v>
      </c>
      <c r="V29" s="74">
        <f>(F7/V7)*(3/47)</f>
        <v>2.5531914893617018</v>
      </c>
      <c r="W29" s="74">
        <f>(F13/W13)*(8/20)</f>
        <v>11.428571428571429</v>
      </c>
      <c r="X29" s="74">
        <f>(F19/X19)*(3/4)</f>
        <v>0</v>
      </c>
      <c r="Y29" s="74">
        <f>(F7/Y7)*(1/29)</f>
        <v>1.3793103448275863</v>
      </c>
      <c r="Z29" s="74">
        <f>(F16/Z16)*(4/5)</f>
        <v>0</v>
      </c>
      <c r="AA29" s="74">
        <f>(F15/AA15)*(4/16)</f>
        <v>5</v>
      </c>
      <c r="AB29" s="74">
        <f>(F7/AB7)*(11/47)</f>
        <v>9.3617021276595747</v>
      </c>
      <c r="AC29" s="74">
        <f>(F6/AC6)*(1/47)</f>
        <v>0.70921985815602839</v>
      </c>
      <c r="AD29" s="74">
        <f>(F14/AD14)</f>
        <v>0</v>
      </c>
      <c r="AE29" s="74">
        <f>(F19/AE19)*(1/4)</f>
        <v>0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-1.159289108600672</v>
      </c>
      <c r="K30" s="70">
        <f t="shared" si="34"/>
        <v>-1.1904761904761905</v>
      </c>
      <c r="L30" s="70">
        <f t="shared" si="34"/>
        <v>0.41379310344827586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1.0416666666666667</v>
      </c>
      <c r="P30" s="70">
        <f t="shared" si="34"/>
        <v>-0.40189125295508271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-5.7235286798556689E-2</v>
      </c>
      <c r="T30" s="70">
        <f t="shared" si="34"/>
        <v>3.2738095238095237</v>
      </c>
      <c r="U30" s="70">
        <f t="shared" si="34"/>
        <v>0.26696869185340982</v>
      </c>
      <c r="V30" s="70">
        <f t="shared" si="34"/>
        <v>-0.23001725129384709</v>
      </c>
      <c r="W30" s="70">
        <f t="shared" si="34"/>
        <v>3.0711959050721269</v>
      </c>
      <c r="X30" s="70">
        <f t="shared" si="34"/>
        <v>-1.5228426395939088</v>
      </c>
      <c r="Y30" s="70">
        <f t="shared" si="34"/>
        <v>0.26711996114618752</v>
      </c>
      <c r="Z30" s="70">
        <f t="shared" si="34"/>
        <v>-0.64516129032258063</v>
      </c>
      <c r="AA30" s="70">
        <f t="shared" si="34"/>
        <v>-0.29069767441860467</v>
      </c>
      <c r="AB30" s="70">
        <f t="shared" si="34"/>
        <v>4.655111038089764E-2</v>
      </c>
      <c r="AC30" s="70">
        <f t="shared" si="34"/>
        <v>-0.18639752682305871</v>
      </c>
      <c r="AD30" s="70">
        <f t="shared" si="34"/>
        <v>-1.6528925619834711</v>
      </c>
      <c r="AE30" s="70">
        <f t="shared" si="34"/>
        <v>-0.96618357487922713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0.20373927793764773</v>
      </c>
      <c r="K31" s="70">
        <f t="shared" ref="K31:AF31" si="35">NORMDIST(K30,0,1,FALSE)</f>
        <v>0.19640914652400149</v>
      </c>
      <c r="L31" s="70">
        <f t="shared" si="35"/>
        <v>0.36620906257573171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0.23189438328624271</v>
      </c>
      <c r="P31" s="70">
        <f t="shared" si="35"/>
        <v>0.36799099073709074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0.39828937212860233</v>
      </c>
      <c r="T31" s="70">
        <f t="shared" si="35"/>
        <v>1.8774272333183636E-3</v>
      </c>
      <c r="U31" s="70">
        <f t="shared" si="35"/>
        <v>0.38497584981324229</v>
      </c>
      <c r="V31" s="70">
        <f t="shared" si="35"/>
        <v>0.3885270436582976</v>
      </c>
      <c r="W31" s="70">
        <f t="shared" si="35"/>
        <v>3.5704605822708328E-3</v>
      </c>
      <c r="X31" s="70">
        <f t="shared" si="35"/>
        <v>0.1251223293178855</v>
      </c>
      <c r="Y31" s="70">
        <f t="shared" si="35"/>
        <v>0.38496029879443444</v>
      </c>
      <c r="Z31" s="70">
        <f t="shared" si="35"/>
        <v>0.32398596615315295</v>
      </c>
      <c r="AA31" s="70">
        <f t="shared" si="35"/>
        <v>0.3824370929331728</v>
      </c>
      <c r="AB31" s="70">
        <f t="shared" si="35"/>
        <v>0.39851025935848744</v>
      </c>
      <c r="AC31" s="70">
        <f t="shared" si="35"/>
        <v>0.39207169825391602</v>
      </c>
      <c r="AD31" s="70">
        <f t="shared" si="35"/>
        <v>0.10177757907817411</v>
      </c>
      <c r="AE31" s="70">
        <f t="shared" si="35"/>
        <v>0.2501501645137153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0.12316917987397938</v>
      </c>
      <c r="K32" s="70">
        <f t="shared" ref="K32:AF32" si="36">NORMDIST(K30,0,1,TRUE)</f>
        <v>0.11692964134637239</v>
      </c>
      <c r="L32" s="70">
        <f t="shared" si="36"/>
        <v>0.66048718243495286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0.85121687581824801</v>
      </c>
      <c r="P32" s="70">
        <f t="shared" si="36"/>
        <v>0.34388203019561597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0.47717888470998132</v>
      </c>
      <c r="T32" s="70">
        <f t="shared" si="36"/>
        <v>0.99946945944972954</v>
      </c>
      <c r="U32" s="70">
        <f t="shared" si="36"/>
        <v>0.60525336662486018</v>
      </c>
      <c r="V32" s="70">
        <f t="shared" si="36"/>
        <v>0.40903918225049851</v>
      </c>
      <c r="W32" s="70">
        <f t="shared" si="36"/>
        <v>0.99893398392725807</v>
      </c>
      <c r="X32" s="70">
        <f t="shared" si="36"/>
        <v>6.389903965475742E-2</v>
      </c>
      <c r="Y32" s="70">
        <f t="shared" si="36"/>
        <v>0.60531160047330523</v>
      </c>
      <c r="Z32" s="70">
        <f t="shared" si="36"/>
        <v>0.25941133433509533</v>
      </c>
      <c r="AA32" s="70">
        <f t="shared" si="36"/>
        <v>0.38564127518763125</v>
      </c>
      <c r="AB32" s="70">
        <f t="shared" si="36"/>
        <v>0.51856450099142481</v>
      </c>
      <c r="AC32" s="70">
        <f t="shared" si="36"/>
        <v>0.42606651587719524</v>
      </c>
      <c r="AD32" s="70">
        <f t="shared" si="36"/>
        <v>4.9176365594524589E-2</v>
      </c>
      <c r="AE32" s="70">
        <f t="shared" si="36"/>
        <v>0.16697616515893529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1.2202396977951384</v>
      </c>
      <c r="K33" s="70">
        <f t="shared" ref="K33:AF33" si="37">K31-(K30*(1-K32))</f>
        <v>1.2476833830164151</v>
      </c>
      <c r="L33" s="70">
        <f t="shared" si="37"/>
        <v>0.22572100013502255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7.6911962263584377E-2</v>
      </c>
      <c r="P33" s="70">
        <f t="shared" si="37"/>
        <v>0.63167906370811977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0.42821318860656782</v>
      </c>
      <c r="T33" s="70">
        <f t="shared" si="37"/>
        <v>1.4053852707577295E-4</v>
      </c>
      <c r="U33" s="70">
        <f t="shared" si="37"/>
        <v>0.27959085748754364</v>
      </c>
      <c r="V33" s="70">
        <f t="shared" si="37"/>
        <v>0.524458226579402</v>
      </c>
      <c r="W33" s="70">
        <f t="shared" si="37"/>
        <v>2.9651638492475757E-4</v>
      </c>
      <c r="X33" s="70">
        <f t="shared" si="37"/>
        <v>1.5506567866964278</v>
      </c>
      <c r="Y33" s="70">
        <f t="shared" si="37"/>
        <v>0.27953114884801278</v>
      </c>
      <c r="Z33" s="70">
        <f t="shared" si="37"/>
        <v>0.80178510529180103</v>
      </c>
      <c r="AA33" s="70">
        <f t="shared" si="37"/>
        <v>0.56102974549490792</v>
      </c>
      <c r="AB33" s="70">
        <f t="shared" si="37"/>
        <v>0.3760989023028567</v>
      </c>
      <c r="AC33" s="70">
        <f t="shared" si="37"/>
        <v>0.49905148025534807</v>
      </c>
      <c r="AD33" s="70">
        <f t="shared" si="37"/>
        <v>1.6733868921450756</v>
      </c>
      <c r="AE33" s="70">
        <f t="shared" si="37"/>
        <v>1.0550041112200579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24.172948413321691</v>
      </c>
      <c r="K34" s="74">
        <f t="shared" si="38"/>
        <v>1.0480540417337887</v>
      </c>
      <c r="L34" s="74">
        <f t="shared" si="38"/>
        <v>1.6364772509789136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0.369177418865205</v>
      </c>
      <c r="P34" s="74">
        <f t="shared" si="38"/>
        <v>9.8541933938466677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3.6612227625861551</v>
      </c>
      <c r="T34" s="74">
        <f t="shared" si="38"/>
        <v>4.7220945097459709E-4</v>
      </c>
      <c r="U34" s="74">
        <f t="shared" si="38"/>
        <v>2.2059718655767191</v>
      </c>
      <c r="V34" s="74">
        <f t="shared" si="38"/>
        <v>3.2988422451844386</v>
      </c>
      <c r="W34" s="74">
        <f t="shared" si="38"/>
        <v>9.1030530171900572E-4</v>
      </c>
      <c r="X34" s="74">
        <f t="shared" si="38"/>
        <v>3.0547938697919625</v>
      </c>
      <c r="Y34" s="74">
        <f t="shared" si="38"/>
        <v>0.3969342313641781</v>
      </c>
      <c r="Z34" s="74">
        <f t="shared" si="38"/>
        <v>1.2427669132022916</v>
      </c>
      <c r="AA34" s="74">
        <f t="shared" si="38"/>
        <v>1.9299423245024832</v>
      </c>
      <c r="AB34" s="74">
        <f t="shared" si="38"/>
        <v>2.9222884708931964</v>
      </c>
      <c r="AC34" s="74">
        <f t="shared" si="38"/>
        <v>0.77852030919834303</v>
      </c>
      <c r="AD34" s="74">
        <f t="shared" si="38"/>
        <v>2.0247981394955414</v>
      </c>
      <c r="AE34" s="74">
        <f t="shared" si="38"/>
        <v>2.1838585102255195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29.827051586678309</v>
      </c>
      <c r="K35" s="74">
        <f t="shared" si="39"/>
        <v>-4.8054041733788688E-2</v>
      </c>
      <c r="L35" s="74">
        <f t="shared" si="39"/>
        <v>15.363522749021087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10.630822581134796</v>
      </c>
      <c r="P35" s="74">
        <f t="shared" si="39"/>
        <v>14.145806606153332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5.3387772374138454</v>
      </c>
      <c r="T35" s="74">
        <f t="shared" si="39"/>
        <v>3.9995277905490254</v>
      </c>
      <c r="U35" s="74">
        <f t="shared" si="39"/>
        <v>0.79402813442328091</v>
      </c>
      <c r="V35" s="74">
        <f t="shared" si="39"/>
        <v>0.70115775481556142</v>
      </c>
      <c r="W35" s="74">
        <f t="shared" si="39"/>
        <v>1.999089694698281</v>
      </c>
      <c r="X35" s="74">
        <f t="shared" si="39"/>
        <v>-5.4793869791962546E-2</v>
      </c>
      <c r="Y35" s="74">
        <f t="shared" si="39"/>
        <v>0.60306576863582184</v>
      </c>
      <c r="Z35" s="74">
        <f t="shared" si="39"/>
        <v>-0.2427669132022916</v>
      </c>
      <c r="AA35" s="74">
        <f t="shared" si="39"/>
        <v>4.0700576754975168</v>
      </c>
      <c r="AB35" s="74">
        <f t="shared" si="39"/>
        <v>6.0777115291068036</v>
      </c>
      <c r="AC35" s="74">
        <f t="shared" si="39"/>
        <v>0.22147969080165697</v>
      </c>
      <c r="AD35" s="74">
        <f t="shared" si="39"/>
        <v>-2.4798139495541438E-2</v>
      </c>
      <c r="AE35" s="74">
        <f t="shared" si="39"/>
        <v>-0.18385851022551947</v>
      </c>
      <c r="AF35" s="74">
        <f t="shared" si="39"/>
        <v>0.35403274880761504</v>
      </c>
      <c r="AG35" s="187">
        <f>SUM(J35:AF35)</f>
        <v>116.50986395654833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1.2074311719423818</v>
      </c>
      <c r="K36" s="74">
        <f t="shared" ref="K36:AF36" si="40">K29-K35</f>
        <v>4.8054041733788688E-2</v>
      </c>
      <c r="L36" s="74">
        <f t="shared" si="40"/>
        <v>4.6364772509789134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5.3691774188652044</v>
      </c>
      <c r="P36" s="74">
        <f t="shared" si="40"/>
        <v>3.5846898477473772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3.1718610604584949</v>
      </c>
      <c r="T36" s="74">
        <f t="shared" si="40"/>
        <v>11.000472209450974</v>
      </c>
      <c r="U36" s="74">
        <f t="shared" si="40"/>
        <v>4.3123548443001223</v>
      </c>
      <c r="V36" s="74">
        <f t="shared" si="40"/>
        <v>1.8520337345461404</v>
      </c>
      <c r="W36" s="74">
        <f t="shared" si="40"/>
        <v>9.429481733873148</v>
      </c>
      <c r="X36" s="74">
        <f t="shared" si="40"/>
        <v>5.4793869791962546E-2</v>
      </c>
      <c r="Y36" s="74">
        <f t="shared" si="40"/>
        <v>0.77624457619176446</v>
      </c>
      <c r="Z36" s="74">
        <f t="shared" si="40"/>
        <v>0.2427669132022916</v>
      </c>
      <c r="AA36" s="74">
        <f t="shared" si="40"/>
        <v>0.92994232450248315</v>
      </c>
      <c r="AB36" s="74">
        <f t="shared" si="40"/>
        <v>3.2839905985527711</v>
      </c>
      <c r="AC36" s="74">
        <f t="shared" si="40"/>
        <v>0.48774016735437142</v>
      </c>
      <c r="AD36" s="74">
        <f t="shared" si="40"/>
        <v>2.4798139495541438E-2</v>
      </c>
      <c r="AE36" s="74">
        <f t="shared" si="40"/>
        <v>0.18385851022551947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1491.3525793339154</v>
      </c>
      <c r="K37" s="70">
        <f t="shared" ref="K37:AF37" si="41">K20*K35</f>
        <v>-9.6108083467577377</v>
      </c>
      <c r="L37" s="70">
        <f t="shared" si="41"/>
        <v>921.8113649412652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637.84935486808774</v>
      </c>
      <c r="P37" s="70">
        <f t="shared" si="41"/>
        <v>707.29033030766664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266.93886187069228</v>
      </c>
      <c r="T37" s="70">
        <f t="shared" si="41"/>
        <v>279.9669453384318</v>
      </c>
      <c r="U37" s="70">
        <f t="shared" si="41"/>
        <v>55.581969409629664</v>
      </c>
      <c r="V37" s="70">
        <f t="shared" si="41"/>
        <v>35.057887740778071</v>
      </c>
      <c r="W37" s="70">
        <f t="shared" si="41"/>
        <v>159.92717557586249</v>
      </c>
      <c r="X37" s="70">
        <f t="shared" si="41"/>
        <v>-3.2876321875177528</v>
      </c>
      <c r="Y37" s="70">
        <f t="shared" si="41"/>
        <v>36.183946118149308</v>
      </c>
      <c r="Z37" s="70">
        <f t="shared" si="41"/>
        <v>-14.566014792137496</v>
      </c>
      <c r="AA37" s="70">
        <f t="shared" si="41"/>
        <v>203.50288377487584</v>
      </c>
      <c r="AB37" s="70">
        <f t="shared" si="41"/>
        <v>303.88557645534019</v>
      </c>
      <c r="AC37" s="70">
        <f t="shared" si="41"/>
        <v>11.073984540082849</v>
      </c>
      <c r="AD37" s="70">
        <f t="shared" si="41"/>
        <v>-1.4878883697324863</v>
      </c>
      <c r="AE37" s="70">
        <f t="shared" si="41"/>
        <v>-22.063021227062336</v>
      </c>
      <c r="AF37" s="70">
        <f t="shared" si="41"/>
        <v>35.403274880761501</v>
      </c>
      <c r="AG37" s="288">
        <f>SUM(J37:AF37)</f>
        <v>6159.3744945085091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60.208555388906873</v>
      </c>
      <c r="K38" s="70">
        <f t="shared" ref="K38:AF38" si="42">(K20-K22)*K36</f>
        <v>9.5433885262052325</v>
      </c>
      <c r="L38" s="70">
        <f t="shared" si="42"/>
        <v>277.21497483602923</v>
      </c>
      <c r="M38" s="70">
        <f t="shared" si="42"/>
        <v>25.836977878321211</v>
      </c>
      <c r="N38" s="70">
        <f t="shared" si="42"/>
        <v>381.13891261886454</v>
      </c>
      <c r="O38" s="70">
        <f t="shared" si="42"/>
        <v>320.55063026109042</v>
      </c>
      <c r="P38" s="70">
        <f t="shared" si="42"/>
        <v>178.49246158888516</v>
      </c>
      <c r="Q38" s="70">
        <f t="shared" si="42"/>
        <v>1341.422871748664</v>
      </c>
      <c r="R38" s="70">
        <f t="shared" si="42"/>
        <v>546.41638009837322</v>
      </c>
      <c r="S38" s="70">
        <f t="shared" si="42"/>
        <v>158.17436736294422</v>
      </c>
      <c r="T38" s="70">
        <f t="shared" si="42"/>
        <v>766.44690072128719</v>
      </c>
      <c r="U38" s="70">
        <f t="shared" si="42"/>
        <v>301.11017700325607</v>
      </c>
      <c r="V38" s="70">
        <f t="shared" si="42"/>
        <v>91.907174076852215</v>
      </c>
      <c r="W38" s="70">
        <f t="shared" si="42"/>
        <v>751.0582201029963</v>
      </c>
      <c r="X38" s="70">
        <f t="shared" si="42"/>
        <v>3.2753035668145611</v>
      </c>
      <c r="Y38" s="70">
        <f t="shared" si="42"/>
        <v>46.106599092062233</v>
      </c>
      <c r="Z38" s="70">
        <f t="shared" si="42"/>
        <v>14.421568478782133</v>
      </c>
      <c r="AA38" s="70">
        <f t="shared" si="42"/>
        <v>46.329726606713713</v>
      </c>
      <c r="AB38" s="70">
        <f t="shared" si="42"/>
        <v>163.62483157289182</v>
      </c>
      <c r="AC38" s="70">
        <f t="shared" si="42"/>
        <v>24.322626665627794</v>
      </c>
      <c r="AD38" s="70">
        <f>(AD20-AD22)*AD36</f>
        <v>1.4747949520788404</v>
      </c>
      <c r="AE38" s="70">
        <f t="shared" si="42"/>
        <v>22.021653062261596</v>
      </c>
      <c r="AF38" s="70">
        <f t="shared" si="42"/>
        <v>33.411883514842245</v>
      </c>
      <c r="AG38" s="288">
        <f>SUM(J38:AF38)</f>
        <v>5564.5109797247524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14.503769047993014</v>
      </c>
      <c r="K39" s="70">
        <f t="shared" ref="K39:AF39" si="43">K23*K34</f>
        <v>3.8777999544150181</v>
      </c>
      <c r="L39" s="70">
        <f t="shared" si="43"/>
        <v>2.4547158764683705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1.181367740368656</v>
      </c>
      <c r="P39" s="70">
        <f t="shared" si="43"/>
        <v>5.9125160363080003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1.0983668287758466</v>
      </c>
      <c r="T39" s="70">
        <f t="shared" si="43"/>
        <v>4.2498850587713733E-4</v>
      </c>
      <c r="U39" s="70">
        <f t="shared" si="43"/>
        <v>1.1029859327883595</v>
      </c>
      <c r="V39" s="70">
        <f t="shared" si="43"/>
        <v>4.2884949187397705</v>
      </c>
      <c r="W39" s="70">
        <f t="shared" si="43"/>
        <v>6.3721371120330401E-4</v>
      </c>
      <c r="X39" s="70">
        <f t="shared" si="43"/>
        <v>7.6369846744799066</v>
      </c>
      <c r="Y39" s="70">
        <f t="shared" si="43"/>
        <v>0.75417503959193843</v>
      </c>
      <c r="Z39" s="70">
        <f t="shared" si="43"/>
        <v>1.8641503698034374</v>
      </c>
      <c r="AA39" s="70">
        <f t="shared" si="43"/>
        <v>0.96497116225124158</v>
      </c>
      <c r="AB39" s="70">
        <f t="shared" si="43"/>
        <v>1.4611442354465982</v>
      </c>
      <c r="AC39" s="70">
        <f t="shared" si="43"/>
        <v>0.2335560927595029</v>
      </c>
      <c r="AD39" s="70">
        <f t="shared" si="43"/>
        <v>1.6198385115964333</v>
      </c>
      <c r="AE39" s="70">
        <f t="shared" si="43"/>
        <v>5.4596462755637987</v>
      </c>
      <c r="AF39" s="70">
        <f t="shared" si="43"/>
        <v>0.9689508767885775</v>
      </c>
      <c r="AG39" s="288">
        <f t="shared" ref="AG39" si="44">SUM(J39:AF39)</f>
        <v>72.579050934467929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209.48275862068965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415.00000000000006</v>
      </c>
      <c r="O40" s="70">
        <f t="shared" si="45"/>
        <v>238.39999999999998</v>
      </c>
      <c r="P40" s="70">
        <f t="shared" si="45"/>
        <v>183.51063829787233</v>
      </c>
      <c r="Q40" s="70">
        <f t="shared" si="45"/>
        <v>489</v>
      </c>
      <c r="R40" s="70">
        <f t="shared" si="45"/>
        <v>244.5</v>
      </c>
      <c r="S40" s="70">
        <f t="shared" si="45"/>
        <v>56.170212765957444</v>
      </c>
      <c r="T40" s="70">
        <f t="shared" si="45"/>
        <v>244.5</v>
      </c>
      <c r="U40" s="70">
        <f t="shared" si="45"/>
        <v>44.680851063829785</v>
      </c>
      <c r="V40" s="70">
        <f t="shared" si="45"/>
        <v>47.87234042553191</v>
      </c>
      <c r="W40" s="70">
        <f t="shared" si="45"/>
        <v>200</v>
      </c>
      <c r="X40" s="70">
        <f t="shared" si="45"/>
        <v>0</v>
      </c>
      <c r="Y40" s="70">
        <f t="shared" si="45"/>
        <v>41.58620689655173</v>
      </c>
      <c r="Z40" s="70">
        <f t="shared" si="45"/>
        <v>0</v>
      </c>
      <c r="AA40" s="70">
        <f t="shared" si="45"/>
        <v>45</v>
      </c>
      <c r="AB40" s="70">
        <f t="shared" si="45"/>
        <v>81.914893617021278</v>
      </c>
      <c r="AC40" s="70">
        <f t="shared" si="45"/>
        <v>4.6808510638297873</v>
      </c>
      <c r="AD40" s="70">
        <f t="shared" si="45"/>
        <v>0</v>
      </c>
      <c r="AE40" s="70">
        <f t="shared" si="45"/>
        <v>0</v>
      </c>
      <c r="AF40" s="70">
        <f t="shared" si="45"/>
        <v>15.448275862068968</v>
      </c>
      <c r="AG40" s="289">
        <f>SUM(J40:AF40)</f>
        <v>2771.747028613353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1327.5746070541395</v>
      </c>
      <c r="K41" s="76">
        <f t="shared" ref="K41:AF41" si="46">K37+K38-K40-K39</f>
        <v>-3.9452197749675233</v>
      </c>
      <c r="L41" s="76">
        <f t="shared" si="46"/>
        <v>986.57162390082601</v>
      </c>
      <c r="M41" s="76">
        <f t="shared" si="46"/>
        <v>-10.497644490268256</v>
      </c>
      <c r="N41" s="76">
        <f t="shared" si="46"/>
        <v>700.07556473712077</v>
      </c>
      <c r="O41" s="76">
        <f t="shared" si="46"/>
        <v>718.81861738880957</v>
      </c>
      <c r="P41" s="76">
        <f t="shared" si="46"/>
        <v>696.3596375623714</v>
      </c>
      <c r="Q41" s="76">
        <f t="shared" si="46"/>
        <v>1002.1924499584519</v>
      </c>
      <c r="R41" s="76">
        <f t="shared" si="46"/>
        <v>501.91394125698349</v>
      </c>
      <c r="S41" s="76">
        <f t="shared" si="46"/>
        <v>367.84464963890321</v>
      </c>
      <c r="T41" s="76">
        <f t="shared" si="46"/>
        <v>801.91342107121307</v>
      </c>
      <c r="U41" s="76">
        <f t="shared" si="46"/>
        <v>310.90830941626757</v>
      </c>
      <c r="V41" s="76">
        <f t="shared" si="46"/>
        <v>74.804226473358611</v>
      </c>
      <c r="W41" s="76">
        <f t="shared" si="46"/>
        <v>710.98475846514759</v>
      </c>
      <c r="X41" s="76">
        <f t="shared" si="46"/>
        <v>-7.6493132951830987</v>
      </c>
      <c r="Y41" s="76">
        <f t="shared" si="46"/>
        <v>39.950163274067883</v>
      </c>
      <c r="Z41" s="76">
        <f t="shared" si="46"/>
        <v>-2.0085966831588005</v>
      </c>
      <c r="AA41" s="76">
        <f t="shared" si="46"/>
        <v>203.86763921933832</v>
      </c>
      <c r="AB41" s="76">
        <f t="shared" si="46"/>
        <v>384.1343701757641</v>
      </c>
      <c r="AC41" s="76">
        <f t="shared" si="46"/>
        <v>30.48220404912135</v>
      </c>
      <c r="AD41" s="76">
        <f t="shared" si="46"/>
        <v>-1.6329319292500792</v>
      </c>
      <c r="AE41" s="76">
        <f t="shared" si="46"/>
        <v>-5.5010144403645391</v>
      </c>
      <c r="AF41" s="76">
        <f t="shared" si="46"/>
        <v>52.397931656746202</v>
      </c>
      <c r="AG41" s="290">
        <f>SUM(J41:AF41)</f>
        <v>8879.5593946854369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1.1219807658328971</v>
      </c>
      <c r="K43" s="70">
        <f t="shared" si="47"/>
        <v>0.47764911625595524</v>
      </c>
      <c r="L43" s="70">
        <f t="shared" si="47"/>
        <v>0.96478537485807214</v>
      </c>
      <c r="M43" s="70">
        <f t="shared" si="47"/>
        <v>-0.51845584510065446</v>
      </c>
      <c r="N43" s="70">
        <f t="shared" si="47"/>
        <v>0.40606194716737892</v>
      </c>
      <c r="O43" s="70">
        <f t="shared" si="47"/>
        <v>0.73524413525010457</v>
      </c>
      <c r="P43" s="70">
        <f t="shared" si="47"/>
        <v>0.8379346987000037</v>
      </c>
      <c r="Q43" s="70">
        <f t="shared" si="47"/>
        <v>0.48079800681204427</v>
      </c>
      <c r="R43" s="70">
        <f t="shared" si="47"/>
        <v>0.48402553993831871</v>
      </c>
      <c r="S43" s="70">
        <f t="shared" si="47"/>
        <v>1.1330642380095106</v>
      </c>
      <c r="T43" s="70">
        <f t="shared" si="47"/>
        <v>0.75659261872167594</v>
      </c>
      <c r="U43" s="70">
        <f t="shared" si="47"/>
        <v>1.1677794384666957</v>
      </c>
      <c r="V43" s="70">
        <f t="shared" si="47"/>
        <v>0.3584233999975629</v>
      </c>
      <c r="W43" s="70">
        <f t="shared" si="47"/>
        <v>0.80160211058903907</v>
      </c>
      <c r="X43" s="70">
        <f t="shared" si="47"/>
        <v>0.93501966042078632</v>
      </c>
      <c r="Y43" s="70">
        <f t="shared" si="47"/>
        <v>5.664658996646546E-2</v>
      </c>
      <c r="Z43" s="70">
        <f t="shared" si="47"/>
        <v>6.4007306051423463E-2</v>
      </c>
      <c r="AA43" s="70">
        <f t="shared" si="47"/>
        <v>0.9374511940501411</v>
      </c>
      <c r="AB43" s="70">
        <f t="shared" si="47"/>
        <v>0.95436068261286899</v>
      </c>
      <c r="AC43" s="70">
        <f t="shared" si="47"/>
        <v>1.1401680890736987</v>
      </c>
      <c r="AD43" s="70">
        <f t="shared" si="47"/>
        <v>0.19174647467960662</v>
      </c>
      <c r="AE43" s="70">
        <f t="shared" si="47"/>
        <v>1.3554787055456941</v>
      </c>
      <c r="AF43" s="70">
        <f t="shared" si="47"/>
        <v>0.80437691935236622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0.21259656875300911</v>
      </c>
      <c r="K44" s="70">
        <f t="shared" ref="K44:AF44" si="48">NORMDIST(K43,0,1,FALSE)</f>
        <v>0.35593296289571036</v>
      </c>
      <c r="L44" s="70">
        <f t="shared" si="48"/>
        <v>0.25048808036197101</v>
      </c>
      <c r="M44" s="70">
        <f t="shared" si="48"/>
        <v>0.34877203506369342</v>
      </c>
      <c r="N44" s="70">
        <f t="shared" si="48"/>
        <v>0.36737149840748168</v>
      </c>
      <c r="O44" s="70">
        <f t="shared" si="48"/>
        <v>0.30445545168670651</v>
      </c>
      <c r="P44" s="70">
        <f t="shared" si="48"/>
        <v>0.28082998935176023</v>
      </c>
      <c r="Q44" s="70">
        <f t="shared" si="48"/>
        <v>0.35539625708185357</v>
      </c>
      <c r="R44" s="70">
        <f t="shared" si="48"/>
        <v>0.35484333567802306</v>
      </c>
      <c r="S44" s="70">
        <f t="shared" si="48"/>
        <v>0.20995631012511609</v>
      </c>
      <c r="T44" s="70">
        <f t="shared" si="48"/>
        <v>0.29964563218996382</v>
      </c>
      <c r="U44" s="70">
        <f t="shared" si="48"/>
        <v>0.20173648929013768</v>
      </c>
      <c r="V44" s="70">
        <f t="shared" si="48"/>
        <v>0.3741224233245834</v>
      </c>
      <c r="W44" s="70">
        <f t="shared" si="48"/>
        <v>0.28932012497063891</v>
      </c>
      <c r="X44" s="70">
        <f t="shared" si="48"/>
        <v>0.25767158896419273</v>
      </c>
      <c r="Y44" s="70">
        <f t="shared" si="48"/>
        <v>0.39830272339051997</v>
      </c>
      <c r="Z44" s="70">
        <f t="shared" si="48"/>
        <v>0.39812589651363745</v>
      </c>
      <c r="AA44" s="70">
        <f t="shared" si="48"/>
        <v>0.25708566987486614</v>
      </c>
      <c r="AB44" s="70">
        <f t="shared" si="48"/>
        <v>0.25300635057989918</v>
      </c>
      <c r="AC44" s="70">
        <f t="shared" si="48"/>
        <v>0.20826787466871863</v>
      </c>
      <c r="AD44" s="70">
        <f t="shared" si="48"/>
        <v>0.39167538236189348</v>
      </c>
      <c r="AE44" s="70">
        <f t="shared" si="48"/>
        <v>0.1591990785169709</v>
      </c>
      <c r="AF44" s="70">
        <f t="shared" si="48"/>
        <v>0.2886761961983963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0.86906469097467598</v>
      </c>
      <c r="K45" s="70">
        <f t="shared" ref="K45:AF45" si="49">NORMDIST(K43,0,1,TRUE)</f>
        <v>0.68355001685783512</v>
      </c>
      <c r="L45" s="70">
        <f t="shared" si="49"/>
        <v>0.8326738386349084</v>
      </c>
      <c r="M45" s="70">
        <f t="shared" si="49"/>
        <v>0.30207012985892689</v>
      </c>
      <c r="N45" s="70">
        <f t="shared" si="49"/>
        <v>0.65765145770320221</v>
      </c>
      <c r="O45" s="70">
        <f t="shared" si="49"/>
        <v>0.76890458791776783</v>
      </c>
      <c r="P45" s="70">
        <f t="shared" si="49"/>
        <v>0.79896631018902153</v>
      </c>
      <c r="Q45" s="70">
        <f t="shared" si="49"/>
        <v>0.68466996650224554</v>
      </c>
      <c r="R45" s="70">
        <f t="shared" si="49"/>
        <v>0.68581612817227</v>
      </c>
      <c r="S45" s="70">
        <f t="shared" si="49"/>
        <v>0.87140636100935431</v>
      </c>
      <c r="T45" s="70">
        <f t="shared" si="49"/>
        <v>0.77535301756446873</v>
      </c>
      <c r="U45" s="70">
        <f t="shared" si="49"/>
        <v>0.87855212797584148</v>
      </c>
      <c r="V45" s="70">
        <f t="shared" si="49"/>
        <v>0.63998675867417343</v>
      </c>
      <c r="W45" s="70">
        <f t="shared" si="49"/>
        <v>0.78860842182222757</v>
      </c>
      <c r="X45" s="70">
        <f t="shared" si="49"/>
        <v>0.82511091626520494</v>
      </c>
      <c r="Y45" s="70">
        <f t="shared" si="49"/>
        <v>0.52258663966171837</v>
      </c>
      <c r="Z45" s="70">
        <f t="shared" si="49"/>
        <v>0.52551779532425791</v>
      </c>
      <c r="AA45" s="70">
        <f t="shared" si="49"/>
        <v>0.82573674109618467</v>
      </c>
      <c r="AB45" s="70">
        <f t="shared" si="49"/>
        <v>0.83004944950711979</v>
      </c>
      <c r="AC45" s="70">
        <f t="shared" si="49"/>
        <v>0.87289186034598076</v>
      </c>
      <c r="AD45" s="70">
        <f t="shared" si="49"/>
        <v>0.57602960007531601</v>
      </c>
      <c r="AE45" s="70">
        <f t="shared" si="49"/>
        <v>0.91236745569492628</v>
      </c>
      <c r="AF45" s="70">
        <f t="shared" si="49"/>
        <v>0.78941033663356908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6.5689670458209032E-2</v>
      </c>
      <c r="K46" s="70">
        <f t="shared" ref="K46:AF46" si="50">K44-(K43*(1-K45))</f>
        <v>0.20478090810864336</v>
      </c>
      <c r="L46" s="70">
        <f t="shared" si="50"/>
        <v>8.9054247045788848E-2</v>
      </c>
      <c r="M46" s="70">
        <f t="shared" si="50"/>
        <v>0.71061785570867353</v>
      </c>
      <c r="N46" s="70">
        <f t="shared" si="50"/>
        <v>0.22835678271253018</v>
      </c>
      <c r="O46" s="70">
        <f t="shared" si="50"/>
        <v>0.13454390527003915</v>
      </c>
      <c r="P46" s="70">
        <f t="shared" si="50"/>
        <v>0.11237688505144799</v>
      </c>
      <c r="Q46" s="70">
        <f t="shared" si="50"/>
        <v>0.20378620548815807</v>
      </c>
      <c r="R46" s="70">
        <f t="shared" si="50"/>
        <v>0.20277031747669452</v>
      </c>
      <c r="S46" s="70">
        <f t="shared" si="50"/>
        <v>6.4251456549310054E-2</v>
      </c>
      <c r="T46" s="70">
        <f t="shared" si="50"/>
        <v>0.12967938346114288</v>
      </c>
      <c r="U46" s="70">
        <f t="shared" si="50"/>
        <v>5.9912161494790728E-2</v>
      </c>
      <c r="V46" s="70">
        <f t="shared" si="50"/>
        <v>0.24508525332443751</v>
      </c>
      <c r="W46" s="70">
        <f t="shared" si="50"/>
        <v>0.11986818974258867</v>
      </c>
      <c r="X46" s="70">
        <f t="shared" si="50"/>
        <v>9.4146857279182178E-2</v>
      </c>
      <c r="Y46" s="70">
        <f t="shared" si="50"/>
        <v>0.37125888452292494</v>
      </c>
      <c r="Z46" s="70">
        <f t="shared" si="50"/>
        <v>0.36775556882300309</v>
      </c>
      <c r="AA46" s="70">
        <f t="shared" si="50"/>
        <v>9.3722369736415567E-2</v>
      </c>
      <c r="AB46" s="70">
        <f t="shared" si="50"/>
        <v>9.0812227201081147E-2</v>
      </c>
      <c r="AC46" s="70">
        <f t="shared" si="50"/>
        <v>6.3343229973682691E-2</v>
      </c>
      <c r="AD46" s="70">
        <f t="shared" si="50"/>
        <v>0.31038055280783239</v>
      </c>
      <c r="AE46" s="70">
        <f t="shared" si="50"/>
        <v>4.0415030798653898E-2</v>
      </c>
      <c r="AF46" s="70">
        <f t="shared" si="50"/>
        <v>0.11928273153225474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1.3013123717771209</v>
      </c>
      <c r="K47" s="74">
        <f t="shared" si="51"/>
        <v>0.17201596281126041</v>
      </c>
      <c r="L47" s="74">
        <f t="shared" si="51"/>
        <v>0.64564329108196916</v>
      </c>
      <c r="M47" s="74">
        <f t="shared" si="51"/>
        <v>2.2881894953819288</v>
      </c>
      <c r="N47" s="74">
        <f t="shared" si="51"/>
        <v>2.8430419447710005</v>
      </c>
      <c r="O47" s="74">
        <f t="shared" si="51"/>
        <v>0.64581074529618787</v>
      </c>
      <c r="P47" s="74">
        <f t="shared" si="51"/>
        <v>1.7530794068025888</v>
      </c>
      <c r="Q47" s="74">
        <f t="shared" si="51"/>
        <v>1.8789088146008175</v>
      </c>
      <c r="R47" s="74">
        <f t="shared" si="51"/>
        <v>0.58600621750764714</v>
      </c>
      <c r="S47" s="74">
        <f t="shared" si="51"/>
        <v>0.54934995349660098</v>
      </c>
      <c r="T47" s="74">
        <f t="shared" si="51"/>
        <v>0.4357227284294401</v>
      </c>
      <c r="U47" s="74">
        <f t="shared" si="51"/>
        <v>0.4727069541938988</v>
      </c>
      <c r="V47" s="74">
        <f t="shared" si="51"/>
        <v>1.5415862434107119</v>
      </c>
      <c r="W47" s="74">
        <f t="shared" si="51"/>
        <v>0.36799534250974719</v>
      </c>
      <c r="X47" s="74">
        <f t="shared" si="51"/>
        <v>0.18546930883998888</v>
      </c>
      <c r="Y47" s="74">
        <f t="shared" si="51"/>
        <v>0.52718761602255337</v>
      </c>
      <c r="Z47" s="74">
        <f t="shared" si="51"/>
        <v>0.57002113167565482</v>
      </c>
      <c r="AA47" s="74">
        <f t="shared" si="51"/>
        <v>0.32240495189326956</v>
      </c>
      <c r="AB47" s="74">
        <f t="shared" si="51"/>
        <v>0.70561100535240051</v>
      </c>
      <c r="AC47" s="74">
        <f t="shared" si="51"/>
        <v>9.8815438758944996E-2</v>
      </c>
      <c r="AD47" s="74">
        <f t="shared" si="51"/>
        <v>0.37556046889747718</v>
      </c>
      <c r="AE47" s="74">
        <f t="shared" si="51"/>
        <v>8.3659113753213568E-2</v>
      </c>
      <c r="AF47" s="74">
        <f t="shared" si="51"/>
        <v>0.14194645052338314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52.698687628222878</v>
      </c>
      <c r="K48" s="74">
        <f t="shared" si="52"/>
        <v>0.82798403718873959</v>
      </c>
      <c r="L48" s="74">
        <f t="shared" si="52"/>
        <v>16.354356708918029</v>
      </c>
      <c r="M48" s="74">
        <f t="shared" si="52"/>
        <v>-0.28818949538192884</v>
      </c>
      <c r="N48" s="74">
        <f t="shared" si="52"/>
        <v>16.156958055228998</v>
      </c>
      <c r="O48" s="74">
        <f t="shared" si="52"/>
        <v>10.354189254703812</v>
      </c>
      <c r="P48" s="74">
        <f t="shared" si="52"/>
        <v>22.246920593197412</v>
      </c>
      <c r="Q48" s="74">
        <f t="shared" si="52"/>
        <v>1.1210911853991825</v>
      </c>
      <c r="R48" s="74">
        <f t="shared" si="52"/>
        <v>3.4139937824923527</v>
      </c>
      <c r="S48" s="74">
        <f t="shared" si="52"/>
        <v>8.4506500465033998</v>
      </c>
      <c r="T48" s="74">
        <f t="shared" si="52"/>
        <v>3.56427727157056</v>
      </c>
      <c r="U48" s="74">
        <f t="shared" si="52"/>
        <v>2.5272930458061014</v>
      </c>
      <c r="V48" s="74">
        <f t="shared" si="52"/>
        <v>2.4584137565892883</v>
      </c>
      <c r="W48" s="74">
        <f t="shared" si="52"/>
        <v>1.6320046574902527</v>
      </c>
      <c r="X48" s="74">
        <f t="shared" si="52"/>
        <v>2.814530691160011</v>
      </c>
      <c r="Y48" s="74">
        <f t="shared" si="52"/>
        <v>0.47281238397744663</v>
      </c>
      <c r="Z48" s="74">
        <f t="shared" si="52"/>
        <v>0.42997886832434518</v>
      </c>
      <c r="AA48" s="74">
        <f t="shared" si="52"/>
        <v>5.6775950481067303</v>
      </c>
      <c r="AB48" s="74">
        <f t="shared" si="52"/>
        <v>8.2943889946475995</v>
      </c>
      <c r="AC48" s="74">
        <f t="shared" si="52"/>
        <v>0.90118456124105495</v>
      </c>
      <c r="AD48" s="74">
        <f t="shared" si="52"/>
        <v>1.6244395311025228</v>
      </c>
      <c r="AE48" s="74">
        <f t="shared" si="52"/>
        <v>1.9163408862467863</v>
      </c>
      <c r="AF48" s="74">
        <f t="shared" si="52"/>
        <v>0.85805354947661683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23.527751342926813</v>
      </c>
      <c r="K49" s="74">
        <f t="shared" ref="K49:AF49" si="53">K28-K48</f>
        <v>0.5732412204662628</v>
      </c>
      <c r="L49" s="74">
        <f t="shared" si="53"/>
        <v>7.6403372588029939</v>
      </c>
      <c r="M49" s="74">
        <f t="shared" si="53"/>
        <v>0.61876167415782135</v>
      </c>
      <c r="N49" s="74">
        <f t="shared" si="53"/>
        <v>7.8985131870048697</v>
      </c>
      <c r="O49" s="74">
        <f t="shared" si="53"/>
        <v>4.1749825944966901</v>
      </c>
      <c r="P49" s="74">
        <f t="shared" si="53"/>
        <v>14.824860706522646</v>
      </c>
      <c r="Q49" s="74">
        <f t="shared" si="53"/>
        <v>6.3118664374078666</v>
      </c>
      <c r="R49" s="74">
        <f t="shared" si="53"/>
        <v>1.9848400279293883</v>
      </c>
      <c r="S49" s="74">
        <f t="shared" si="53"/>
        <v>10.237049188477917</v>
      </c>
      <c r="T49" s="74">
        <f t="shared" si="53"/>
        <v>2.9778739273342709</v>
      </c>
      <c r="U49" s="74">
        <f t="shared" si="53"/>
        <v>9.6864867236961274</v>
      </c>
      <c r="V49" s="74">
        <f t="shared" si="53"/>
        <v>3.7960694293953825</v>
      </c>
      <c r="W49" s="74">
        <f t="shared" si="53"/>
        <v>2.8289138220180972</v>
      </c>
      <c r="X49" s="74">
        <f t="shared" si="53"/>
        <v>2.0274580398689381</v>
      </c>
      <c r="Y49" s="74">
        <f t="shared" si="53"/>
        <v>0.60762577377493432</v>
      </c>
      <c r="Z49" s="74">
        <f t="shared" si="53"/>
        <v>0.66923245605536119</v>
      </c>
      <c r="AA49" s="74">
        <f t="shared" si="53"/>
        <v>3.547237059425755</v>
      </c>
      <c r="AB49" s="74">
        <f t="shared" si="53"/>
        <v>8.1209935092543919</v>
      </c>
      <c r="AC49" s="74">
        <f t="shared" si="53"/>
        <v>1.8774776577139149</v>
      </c>
      <c r="AD49" s="74">
        <f t="shared" si="53"/>
        <v>0.6075737032598012</v>
      </c>
      <c r="AE49" s="74">
        <f t="shared" si="53"/>
        <v>2.8895000342328006</v>
      </c>
      <c r="AF49" s="74">
        <f t="shared" si="53"/>
        <v>1.0991549845526989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2634.9343814111439</v>
      </c>
      <c r="K50" s="70">
        <f t="shared" ref="K50:AF50" si="54">K48*K20</f>
        <v>165.59680743774791</v>
      </c>
      <c r="L50" s="70">
        <f t="shared" si="54"/>
        <v>981.26140253508174</v>
      </c>
      <c r="M50" s="70">
        <f t="shared" si="54"/>
        <v>-14.409474769096441</v>
      </c>
      <c r="N50" s="70">
        <f t="shared" si="54"/>
        <v>727.06311248530494</v>
      </c>
      <c r="O50" s="70">
        <f t="shared" si="54"/>
        <v>621.2513552822287</v>
      </c>
      <c r="P50" s="70">
        <f t="shared" si="54"/>
        <v>1112.3460296598705</v>
      </c>
      <c r="Q50" s="70">
        <f t="shared" si="54"/>
        <v>56.054559269959128</v>
      </c>
      <c r="R50" s="70">
        <f t="shared" si="54"/>
        <v>170.69968912461763</v>
      </c>
      <c r="S50" s="70">
        <f t="shared" si="54"/>
        <v>422.53250232517001</v>
      </c>
      <c r="T50" s="70">
        <f t="shared" si="54"/>
        <v>249.4994090099392</v>
      </c>
      <c r="U50" s="70">
        <f t="shared" si="54"/>
        <v>176.91051320642708</v>
      </c>
      <c r="V50" s="70">
        <f t="shared" si="54"/>
        <v>122.92068782946441</v>
      </c>
      <c r="W50" s="70">
        <f t="shared" si="54"/>
        <v>130.56037259922022</v>
      </c>
      <c r="X50" s="70">
        <f t="shared" si="54"/>
        <v>168.87184146960067</v>
      </c>
      <c r="Y50" s="70">
        <f t="shared" si="54"/>
        <v>28.368743038646798</v>
      </c>
      <c r="Z50" s="70">
        <f t="shared" si="54"/>
        <v>25.798732099460711</v>
      </c>
      <c r="AA50" s="70">
        <f t="shared" si="54"/>
        <v>283.87975240533649</v>
      </c>
      <c r="AB50" s="70">
        <f t="shared" si="54"/>
        <v>414.71944973237999</v>
      </c>
      <c r="AC50" s="70">
        <f t="shared" si="54"/>
        <v>45.059228062052746</v>
      </c>
      <c r="AD50" s="70">
        <f t="shared" si="54"/>
        <v>97.466371866151363</v>
      </c>
      <c r="AE50" s="70">
        <f t="shared" si="54"/>
        <v>229.96090634961436</v>
      </c>
      <c r="AF50" s="70">
        <f t="shared" si="54"/>
        <v>85.805354947661684</v>
      </c>
      <c r="AG50" s="186">
        <f>SUM(J50:AF50)</f>
        <v>8937.1517273779828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1173.2113207150455</v>
      </c>
      <c r="K51" s="70">
        <f t="shared" ref="K51:AF51" si="55">(K20-K22)*K49</f>
        <v>113.8439866609384</v>
      </c>
      <c r="L51" s="70">
        <f t="shared" si="55"/>
        <v>456.81576470383101</v>
      </c>
      <c r="M51" s="70">
        <f t="shared" si="55"/>
        <v>30.467824835531125</v>
      </c>
      <c r="N51" s="70">
        <f t="shared" si="55"/>
        <v>352.81078703713354</v>
      </c>
      <c r="O51" s="70">
        <f t="shared" si="55"/>
        <v>249.25481085664137</v>
      </c>
      <c r="P51" s="70">
        <f t="shared" si="55"/>
        <v>738.17428915988205</v>
      </c>
      <c r="Q51" s="70">
        <f t="shared" si="55"/>
        <v>313.53565341179836</v>
      </c>
      <c r="R51" s="70">
        <f t="shared" si="55"/>
        <v>98.594943547364437</v>
      </c>
      <c r="S51" s="70">
        <f t="shared" si="55"/>
        <v>510.50116893101676</v>
      </c>
      <c r="T51" s="70">
        <f t="shared" si="55"/>
        <v>207.480388013088</v>
      </c>
      <c r="U51" s="70">
        <f t="shared" si="55"/>
        <v>676.35893548208207</v>
      </c>
      <c r="V51" s="70">
        <f t="shared" si="55"/>
        <v>188.37994543374586</v>
      </c>
      <c r="W51" s="70">
        <f t="shared" si="55"/>
        <v>225.32298592374144</v>
      </c>
      <c r="X51" s="70">
        <f t="shared" si="55"/>
        <v>121.19130433316577</v>
      </c>
      <c r="Y51" s="70">
        <f t="shared" si="55"/>
        <v>36.091148084909776</v>
      </c>
      <c r="Z51" s="70">
        <f t="shared" si="55"/>
        <v>39.755754051968729</v>
      </c>
      <c r="AA51" s="70">
        <f t="shared" si="55"/>
        <v>176.72335030059111</v>
      </c>
      <c r="AB51" s="70">
        <f t="shared" si="55"/>
        <v>404.62850159860011</v>
      </c>
      <c r="AC51" s="70">
        <f t="shared" si="55"/>
        <v>93.626055834877519</v>
      </c>
      <c r="AD51" s="70">
        <f t="shared" si="55"/>
        <v>36.133623280266896</v>
      </c>
      <c r="AE51" s="70">
        <f t="shared" si="55"/>
        <v>346.08986660023368</v>
      </c>
      <c r="AF51" s="70">
        <f t="shared" si="55"/>
        <v>109.42307702219028</v>
      </c>
      <c r="AG51" s="51">
        <f>SUM(J51:AF51)</f>
        <v>6698.4154858186439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0.78078742306627247</v>
      </c>
      <c r="K52" s="70">
        <f t="shared" ref="K52:AF52" si="56">K47*K23</f>
        <v>0.63645906240166361</v>
      </c>
      <c r="L52" s="70">
        <f t="shared" si="56"/>
        <v>0.96846493662295374</v>
      </c>
      <c r="M52" s="70">
        <f t="shared" si="56"/>
        <v>9.1527579815277154</v>
      </c>
      <c r="N52" s="70">
        <f t="shared" si="56"/>
        <v>7.9605174453588008</v>
      </c>
      <c r="O52" s="70">
        <f t="shared" si="56"/>
        <v>2.0665943849478015</v>
      </c>
      <c r="P52" s="70">
        <f t="shared" si="56"/>
        <v>1.0518476440815532</v>
      </c>
      <c r="Q52" s="70">
        <f t="shared" si="56"/>
        <v>1.6910179331407356</v>
      </c>
      <c r="R52" s="70">
        <f t="shared" si="56"/>
        <v>0.52740559575688239</v>
      </c>
      <c r="S52" s="70">
        <f t="shared" si="56"/>
        <v>0.16480498604898028</v>
      </c>
      <c r="T52" s="70">
        <f t="shared" si="56"/>
        <v>0.39215045558649603</v>
      </c>
      <c r="U52" s="70">
        <f t="shared" si="56"/>
        <v>0.2363534770969494</v>
      </c>
      <c r="V52" s="70">
        <f t="shared" si="56"/>
        <v>2.0040621164339254</v>
      </c>
      <c r="W52" s="70">
        <f t="shared" si="56"/>
        <v>0.25759673975682307</v>
      </c>
      <c r="X52" s="70">
        <f t="shared" si="56"/>
        <v>0.46367327209997222</v>
      </c>
      <c r="Y52" s="70">
        <f t="shared" si="56"/>
        <v>1.0016564704428514</v>
      </c>
      <c r="Z52" s="70">
        <f t="shared" si="56"/>
        <v>0.85503169751348218</v>
      </c>
      <c r="AA52" s="70">
        <f t="shared" si="56"/>
        <v>0.16120247594663478</v>
      </c>
      <c r="AB52" s="70">
        <f t="shared" si="56"/>
        <v>0.35280550267620026</v>
      </c>
      <c r="AC52" s="70">
        <f t="shared" si="56"/>
        <v>2.9644631627683497E-2</v>
      </c>
      <c r="AD52" s="70">
        <f t="shared" si="56"/>
        <v>0.30044837511798178</v>
      </c>
      <c r="AE52" s="70">
        <f t="shared" si="56"/>
        <v>0.20914778438303391</v>
      </c>
      <c r="AF52" s="70">
        <f t="shared" si="56"/>
        <v>0.2129196757850747</v>
      </c>
      <c r="AG52" s="51">
        <f>SUM(J52:AF52)</f>
        <v>31.477350067420467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514.52846305526043</v>
      </c>
      <c r="K53" s="70">
        <f t="shared" ref="K53:AF53" si="57">K21*K28</f>
        <v>98.295951824498431</v>
      </c>
      <c r="L53" s="70">
        <f t="shared" si="57"/>
        <v>251.94428666107075</v>
      </c>
      <c r="M53" s="70">
        <f t="shared" si="57"/>
        <v>12.561742793483916</v>
      </c>
      <c r="N53" s="70">
        <f t="shared" si="57"/>
        <v>399.32082262108224</v>
      </c>
      <c r="O53" s="70">
        <f t="shared" si="57"/>
        <v>216.48466055308745</v>
      </c>
      <c r="P53" s="70">
        <f t="shared" si="57"/>
        <v>383.69293645210257</v>
      </c>
      <c r="Q53" s="70">
        <f t="shared" si="57"/>
        <v>121.15720925175489</v>
      </c>
      <c r="R53" s="70">
        <f t="shared" si="57"/>
        <v>88.000991109874377</v>
      </c>
      <c r="S53" s="70">
        <f t="shared" si="57"/>
        <v>123.33881495087668</v>
      </c>
      <c r="T53" s="70">
        <f t="shared" si="57"/>
        <v>106.63706454214875</v>
      </c>
      <c r="U53" s="70">
        <f t="shared" si="57"/>
        <v>106.87057298314451</v>
      </c>
      <c r="V53" s="70">
        <f t="shared" si="57"/>
        <v>117.27155973721258</v>
      </c>
      <c r="W53" s="70">
        <f t="shared" si="57"/>
        <v>78.066073391396117</v>
      </c>
      <c r="X53" s="70">
        <f t="shared" si="57"/>
        <v>54.472373224075675</v>
      </c>
      <c r="Y53" s="70">
        <f t="shared" si="57"/>
        <v>32.575210456234288</v>
      </c>
      <c r="Z53" s="70">
        <f t="shared" si="57"/>
        <v>32.701536900296261</v>
      </c>
      <c r="AA53" s="70">
        <f t="shared" si="57"/>
        <v>83.02348896779236</v>
      </c>
      <c r="AB53" s="70">
        <f t="shared" si="57"/>
        <v>143.63459690914243</v>
      </c>
      <c r="AC53" s="70">
        <f t="shared" si="57"/>
        <v>18.339170645102801</v>
      </c>
      <c r="AD53" s="70">
        <f t="shared" si="57"/>
        <v>58.925149387165362</v>
      </c>
      <c r="AE53" s="70">
        <f t="shared" si="57"/>
        <v>54.065710355395353</v>
      </c>
      <c r="AF53" s="70">
        <f t="shared" si="57"/>
        <v>43.841471162256674</v>
      </c>
      <c r="AG53" s="67">
        <f>SUM(J53:AF53)</f>
        <v>3139.7498579344551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3292.8364516478628</v>
      </c>
      <c r="K54" s="79">
        <f t="shared" ref="K54:AF54" si="58">K50+K51-K53-K52</f>
        <v>180.5083832117862</v>
      </c>
      <c r="L54" s="79">
        <f t="shared" si="58"/>
        <v>1185.1644156412192</v>
      </c>
      <c r="M54" s="79">
        <f t="shared" si="58"/>
        <v>-5.6561507085769467</v>
      </c>
      <c r="N54" s="79">
        <f t="shared" si="58"/>
        <v>672.59255945599739</v>
      </c>
      <c r="O54" s="79">
        <f t="shared" si="58"/>
        <v>651.95491120083477</v>
      </c>
      <c r="P54" s="79">
        <f t="shared" si="58"/>
        <v>1465.7755347235684</v>
      </c>
      <c r="Q54" s="79">
        <f t="shared" si="58"/>
        <v>246.7419854968619</v>
      </c>
      <c r="R54" s="79">
        <f t="shared" si="58"/>
        <v>180.76623596635082</v>
      </c>
      <c r="S54" s="79">
        <f t="shared" si="58"/>
        <v>809.53005131926113</v>
      </c>
      <c r="T54" s="79">
        <f t="shared" si="58"/>
        <v>349.95058202529196</v>
      </c>
      <c r="U54" s="79">
        <f t="shared" si="58"/>
        <v>746.16252222826768</v>
      </c>
      <c r="V54" s="79">
        <f t="shared" si="58"/>
        <v>192.02501140956377</v>
      </c>
      <c r="W54" s="79">
        <f t="shared" si="58"/>
        <v>277.55968839180872</v>
      </c>
      <c r="X54" s="79">
        <f t="shared" si="58"/>
        <v>235.12709930659076</v>
      </c>
      <c r="Y54" s="79">
        <f t="shared" si="58"/>
        <v>30.883024196879433</v>
      </c>
      <c r="Z54" s="79">
        <f t="shared" si="58"/>
        <v>31.9979175536197</v>
      </c>
      <c r="AA54" s="79">
        <f t="shared" si="58"/>
        <v>377.41841126218856</v>
      </c>
      <c r="AB54" s="79">
        <f>AB50+AB51-AB53-AB52</f>
        <v>675.36054891916149</v>
      </c>
      <c r="AC54" s="79">
        <f t="shared" si="58"/>
        <v>120.31646862019977</v>
      </c>
      <c r="AD54" s="79">
        <f t="shared" si="58"/>
        <v>74.374397384134909</v>
      </c>
      <c r="AE54" s="79">
        <f t="shared" si="58"/>
        <v>521.77591481006959</v>
      </c>
      <c r="AF54" s="79">
        <f t="shared" si="58"/>
        <v>151.17404113181018</v>
      </c>
      <c r="AG54" s="68">
        <f>SUM(J54:AF54)</f>
        <v>12464.34000519475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3584.7806105093132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EA90F-FB32-3D43-A7F9-89A1310780FB}">
  <dimension ref="A1:BJ75"/>
  <sheetViews>
    <sheetView topLeftCell="AI1" zoomScale="90" zoomScaleNormal="90" workbookViewId="0">
      <selection activeCell="AZ27" sqref="AZ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9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47</v>
      </c>
      <c r="K2" s="262">
        <f>_xlfn.XLOOKUP($B$1,daily_demand!$E$1:$AH$1,daily_demand!$E$3:$AH$3)</f>
        <v>1</v>
      </c>
      <c r="L2" s="263">
        <f>_xlfn.XLOOKUP($B$1,daily_demand!$E$1:$AH$1,daily_demand!$E$4:$AH$4)</f>
        <v>17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22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3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2.2491207267757454</v>
      </c>
      <c r="AJ4" s="45">
        <f t="shared" ref="AJ4:AJ18" si="1">K4*K$28</f>
        <v>0.7320468980162953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1.2244575974670251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0.96226502005125991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0.32178312366163253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0.53802568923930194</v>
      </c>
      <c r="BF4" s="44">
        <f>SUM(AI4:BE4)</f>
        <v>6.0276990552112606</v>
      </c>
      <c r="BG4" s="54">
        <f>ROUNDUP(BF4*2, 0)</f>
        <v>13</v>
      </c>
      <c r="BH4" s="86">
        <f>CEILING($BG$1*BG4, 0.5)</f>
        <v>6.5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2.2491207267757454</v>
      </c>
      <c r="AJ5" s="45">
        <f t="shared" si="1"/>
        <v>0.97606253068839377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0.32178312366163253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0.6725321115491274</v>
      </c>
      <c r="BF5" s="44">
        <f t="shared" ref="BF5:BF19" si="23">SUM(AI5:BE5)</f>
        <v>4.2194984926748988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220</v>
      </c>
      <c r="C6" s="7">
        <f>B6*0.02</f>
        <v>4.4000000000000004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3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0.48803126534419689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1.2244575974670251</v>
      </c>
      <c r="AP6" s="45">
        <f t="shared" si="7"/>
        <v>0</v>
      </c>
      <c r="AQ6" s="45">
        <f t="shared" si="8"/>
        <v>0</v>
      </c>
      <c r="AR6" s="45">
        <f t="shared" si="9"/>
        <v>0.73282845118097306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0.32178312366163253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0.25555582084656009</v>
      </c>
      <c r="BC6" s="45">
        <f t="shared" si="20"/>
        <v>0</v>
      </c>
      <c r="BD6" s="45">
        <f t="shared" si="21"/>
        <v>0</v>
      </c>
      <c r="BE6" s="45">
        <f t="shared" si="22"/>
        <v>0.53802568923930194</v>
      </c>
      <c r="BF6" s="44">
        <f t="shared" si="23"/>
        <v>3.5606819477396896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175</v>
      </c>
      <c r="C7" s="7">
        <f>B7*0.02</f>
        <v>3.5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1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0.7320468980162953</v>
      </c>
      <c r="AK7" s="45">
        <f t="shared" si="2"/>
        <v>0</v>
      </c>
      <c r="AL7" s="45">
        <f t="shared" si="3"/>
        <v>0</v>
      </c>
      <c r="AM7" s="45">
        <f t="shared" si="4"/>
        <v>1.1725318244895324</v>
      </c>
      <c r="AN7" s="45">
        <f t="shared" si="5"/>
        <v>0.819377980574443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1.0125617400559308</v>
      </c>
      <c r="AU7" s="45">
        <f t="shared" si="12"/>
        <v>0.60141563753203753</v>
      </c>
      <c r="AV7" s="45">
        <f t="shared" si="13"/>
        <v>0</v>
      </c>
      <c r="AW7" s="45">
        <f t="shared" si="14"/>
        <v>0</v>
      </c>
      <c r="AX7" s="45">
        <f t="shared" si="15"/>
        <v>0.40222890457704069</v>
      </c>
      <c r="AY7" s="45">
        <f t="shared" si="16"/>
        <v>0.38996071468943094</v>
      </c>
      <c r="AZ7" s="45">
        <f t="shared" si="17"/>
        <v>0</v>
      </c>
      <c r="BA7" s="45">
        <f t="shared" si="18"/>
        <v>1.1078518242825415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6.2379755242172514</v>
      </c>
      <c r="BG7" s="54">
        <f t="shared" si="24"/>
        <v>13</v>
      </c>
      <c r="BH7" s="86">
        <f t="shared" si="25"/>
        <v>6.5</v>
      </c>
      <c r="BI7" s="6"/>
    </row>
    <row r="8" spans="1:61" ht="24" x14ac:dyDescent="0.2">
      <c r="A8" s="286" t="s">
        <v>46</v>
      </c>
      <c r="B8" s="295">
        <f>_xlfn.XLOOKUP($B$1,cost!$A$16:$A$45,cost!$F$16:$F$45)</f>
        <v>180</v>
      </c>
      <c r="C8" s="7">
        <f t="shared" ref="C8:C19" si="26">B8*0.02</f>
        <v>3.6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0.24401563267209844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0.61453348543083219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0.16089156183081627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0.26901284461965097</v>
      </c>
      <c r="BF8" s="44">
        <f t="shared" si="23"/>
        <v>1.2884535245533979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5.1211123785902686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5.1211123785902686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5.8626591224476625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5.8626591224476625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190</v>
      </c>
      <c r="C11" s="7">
        <f t="shared" si="26"/>
        <v>3.8000000000000003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2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1.1725318244895324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1.1725318244895324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4.6352074756233765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4.6352074756233765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1.2200781633604922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0.26376252806212619</v>
      </c>
      <c r="AQ13" s="45">
        <f t="shared" si="8"/>
        <v>0.22306992955957433</v>
      </c>
      <c r="AR13" s="45">
        <f t="shared" si="9"/>
        <v>0</v>
      </c>
      <c r="AS13" s="45">
        <f t="shared" si="10"/>
        <v>0.29168088420987637</v>
      </c>
      <c r="AT13" s="45">
        <f t="shared" si="11"/>
        <v>0</v>
      </c>
      <c r="AU13" s="45">
        <f t="shared" si="12"/>
        <v>0</v>
      </c>
      <c r="AV13" s="45">
        <f t="shared" si="13"/>
        <v>0.95506866768653953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2.9536601728786089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350</v>
      </c>
      <c r="C14" s="7">
        <f t="shared" si="26"/>
        <v>7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0.97606253068839377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0.72439806100536464</v>
      </c>
      <c r="BD14" s="45">
        <f t="shared" si="21"/>
        <v>0</v>
      </c>
      <c r="BE14" s="45">
        <f t="shared" si="22"/>
        <v>0</v>
      </c>
      <c r="BF14" s="44">
        <f t="shared" si="23"/>
        <v>1.7004605916937585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0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1.2200781633604922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0.65940632015531553</v>
      </c>
      <c r="AQ15" s="45">
        <f t="shared" si="8"/>
        <v>0.55767482389893586</v>
      </c>
      <c r="AR15" s="45">
        <f t="shared" si="9"/>
        <v>0</v>
      </c>
      <c r="AS15" s="45">
        <f t="shared" si="10"/>
        <v>0.72920221052469092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0.6983146036691158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3.8646761216085506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250</v>
      </c>
      <c r="C16" s="7">
        <f t="shared" si="26"/>
        <v>5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1.2200781633604922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0.77992142937886189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1.9999995927393541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1.2200781633604922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0.26376252806212619</v>
      </c>
      <c r="AQ17" s="45">
        <f t="shared" si="8"/>
        <v>0.22306992955957433</v>
      </c>
      <c r="AR17" s="45">
        <f t="shared" si="9"/>
        <v>0</v>
      </c>
      <c r="AS17" s="45">
        <f t="shared" si="10"/>
        <v>0.29168088420987637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1.9985915051920693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2.5462757376035898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2.5462757376035898</v>
      </c>
      <c r="BG18" s="54">
        <f t="shared" si="24"/>
        <v>6</v>
      </c>
      <c r="BH18" s="86">
        <f t="shared" si="25"/>
        <v>3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2.9421585492776079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4.4011494556499624</v>
      </c>
      <c r="BE19" s="45">
        <f t="shared" si="27"/>
        <v>0</v>
      </c>
      <c r="BF19" s="44">
        <f t="shared" si="23"/>
        <v>7.3433080049275699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24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60.532791072190832</v>
      </c>
      <c r="BG20" s="54">
        <f>SUM(BG4:BG19)</f>
        <v>129</v>
      </c>
      <c r="BH20" s="86">
        <f>SUM(BH4:BH19)</f>
        <v>64.5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72.95</v>
      </c>
      <c r="L21" s="4">
        <f t="shared" si="28"/>
        <v>10.5</v>
      </c>
      <c r="M21" s="4">
        <f t="shared" si="28"/>
        <v>38</v>
      </c>
      <c r="N21" s="4">
        <f t="shared" si="28"/>
        <v>16.600000000000001</v>
      </c>
      <c r="O21" s="4">
        <f t="shared" si="28"/>
        <v>14.899999999999999</v>
      </c>
      <c r="P21" s="4">
        <f t="shared" si="28"/>
        <v>10.35</v>
      </c>
      <c r="Q21" s="4">
        <f t="shared" si="28"/>
        <v>16.3</v>
      </c>
      <c r="R21" s="4">
        <f t="shared" si="28"/>
        <v>16.3</v>
      </c>
      <c r="S21" s="4">
        <f t="shared" si="28"/>
        <v>6.6</v>
      </c>
      <c r="T21" s="4">
        <f t="shared" si="28"/>
        <v>16.3</v>
      </c>
      <c r="U21" s="4">
        <f t="shared" si="28"/>
        <v>8.75</v>
      </c>
      <c r="V21" s="4">
        <f t="shared" si="28"/>
        <v>18.75</v>
      </c>
      <c r="W21" s="4">
        <f t="shared" si="28"/>
        <v>17.5</v>
      </c>
      <c r="X21" s="4">
        <f t="shared" si="28"/>
        <v>11.25</v>
      </c>
      <c r="Y21" s="4">
        <f t="shared" si="28"/>
        <v>30.150000000000002</v>
      </c>
      <c r="Z21" s="4">
        <f t="shared" si="28"/>
        <v>33.75</v>
      </c>
      <c r="AA21" s="4">
        <f t="shared" si="28"/>
        <v>9</v>
      </c>
      <c r="AB21" s="4">
        <f t="shared" si="28"/>
        <v>8.75</v>
      </c>
      <c r="AC21" s="4">
        <f t="shared" si="28"/>
        <v>6.6</v>
      </c>
      <c r="AD21" s="4">
        <f t="shared" si="28"/>
        <v>28</v>
      </c>
      <c r="AE21" s="4">
        <f t="shared" si="28"/>
        <v>11.25</v>
      </c>
      <c r="AF21" s="4">
        <f t="shared" si="28"/>
        <v>22.400000000000002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2580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1.4590000000000001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0.33200000000000007</v>
      </c>
      <c r="O22" s="4">
        <f t="shared" si="29"/>
        <v>0.29799999999999999</v>
      </c>
      <c r="P22" s="4">
        <f t="shared" si="29"/>
        <v>0.20700000000000002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0.13200000000000001</v>
      </c>
      <c r="T22" s="4">
        <f t="shared" si="29"/>
        <v>0.32600000000000001</v>
      </c>
      <c r="U22" s="4">
        <f t="shared" si="29"/>
        <v>0.17500000000000002</v>
      </c>
      <c r="V22" s="4">
        <f t="shared" si="29"/>
        <v>0.375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0.60299999999999998</v>
      </c>
      <c r="Z22" s="4">
        <f t="shared" si="29"/>
        <v>0.67500000000000004</v>
      </c>
      <c r="AA22" s="4">
        <f t="shared" si="29"/>
        <v>0.18000000000000002</v>
      </c>
      <c r="AB22" s="4">
        <f t="shared" si="29"/>
        <v>0.17500000000000002</v>
      </c>
      <c r="AC22" s="4">
        <f t="shared" si="29"/>
        <v>0.13200000000000001</v>
      </c>
      <c r="AD22" s="4">
        <f t="shared" si="29"/>
        <v>0.56000000000000005</v>
      </c>
      <c r="AE22" s="4">
        <f t="shared" si="29"/>
        <v>0.22500000000000001</v>
      </c>
      <c r="AF22" s="4">
        <f t="shared" si="29"/>
        <v>0.44800000000000001</v>
      </c>
      <c r="AG22" s="9"/>
      <c r="BF22" s="432" t="s">
        <v>131</v>
      </c>
      <c r="BG22" s="432"/>
      <c r="BH22" s="41">
        <f>SUMPRODUCT(B4:B19,BH4:BH19)</f>
        <v>7822.5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71.491</v>
      </c>
      <c r="L25" s="69">
        <f t="shared" si="31"/>
        <v>10.29</v>
      </c>
      <c r="M25" s="69">
        <f t="shared" si="31"/>
        <v>37.24</v>
      </c>
      <c r="N25" s="69">
        <f t="shared" si="31"/>
        <v>16.268000000000001</v>
      </c>
      <c r="O25" s="69">
        <f t="shared" si="31"/>
        <v>14.601999999999999</v>
      </c>
      <c r="P25" s="69">
        <f t="shared" si="31"/>
        <v>10.142999999999999</v>
      </c>
      <c r="Q25" s="69">
        <f t="shared" si="31"/>
        <v>15.974</v>
      </c>
      <c r="R25" s="69">
        <f t="shared" si="31"/>
        <v>15.974</v>
      </c>
      <c r="S25" s="69">
        <f t="shared" si="31"/>
        <v>6.468</v>
      </c>
      <c r="T25" s="69">
        <f t="shared" si="31"/>
        <v>15.974</v>
      </c>
      <c r="U25" s="69">
        <f t="shared" si="31"/>
        <v>8.5749999999999993</v>
      </c>
      <c r="V25" s="69">
        <f t="shared" si="31"/>
        <v>18.375</v>
      </c>
      <c r="W25" s="69">
        <f t="shared" si="31"/>
        <v>17.149999999999999</v>
      </c>
      <c r="X25" s="69">
        <f t="shared" si="31"/>
        <v>11.025</v>
      </c>
      <c r="Y25" s="69">
        <f t="shared" si="31"/>
        <v>29.547000000000001</v>
      </c>
      <c r="Z25" s="69">
        <f t="shared" si="31"/>
        <v>33.075000000000003</v>
      </c>
      <c r="AA25" s="69">
        <f t="shared" si="31"/>
        <v>8.82</v>
      </c>
      <c r="AB25" s="69">
        <f t="shared" si="31"/>
        <v>8.5749999999999993</v>
      </c>
      <c r="AC25" s="69">
        <f t="shared" si="31"/>
        <v>6.468</v>
      </c>
      <c r="AD25" s="69">
        <f t="shared" si="31"/>
        <v>27.44</v>
      </c>
      <c r="AE25" s="69">
        <f t="shared" si="31"/>
        <v>11.025</v>
      </c>
      <c r="AF25" s="69">
        <f t="shared" si="31"/>
        <v>21.952000000000002</v>
      </c>
      <c r="AG25" s="16"/>
      <c r="BF25" s="434" t="s">
        <v>42</v>
      </c>
      <c r="BG25" s="434"/>
      <c r="BH25" s="39">
        <f>AG50+AG51-AG52-BH22</f>
        <v>21914.449687882243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130.75</v>
      </c>
      <c r="L26" s="4">
        <f t="shared" si="32"/>
        <v>51</v>
      </c>
      <c r="M26" s="4">
        <f t="shared" si="32"/>
        <v>16</v>
      </c>
      <c r="N26" s="4">
        <f t="shared" si="32"/>
        <v>31.2</v>
      </c>
      <c r="O26" s="4">
        <f t="shared" si="32"/>
        <v>48.300000000000004</v>
      </c>
      <c r="P26" s="4">
        <f t="shared" si="32"/>
        <v>40.25</v>
      </c>
      <c r="Q26" s="4">
        <f t="shared" si="32"/>
        <v>34.6</v>
      </c>
      <c r="R26" s="4">
        <f t="shared" si="32"/>
        <v>34.6</v>
      </c>
      <c r="S26" s="4">
        <f t="shared" si="32"/>
        <v>43.699999999999996</v>
      </c>
      <c r="T26" s="4">
        <f t="shared" si="32"/>
        <v>54.6</v>
      </c>
      <c r="U26" s="4">
        <f t="shared" si="32"/>
        <v>61.75</v>
      </c>
      <c r="V26" s="4">
        <f t="shared" si="32"/>
        <v>32.549999999999997</v>
      </c>
      <c r="W26" s="4">
        <f t="shared" si="32"/>
        <v>63.2</v>
      </c>
      <c r="X26" s="4">
        <f t="shared" si="32"/>
        <v>51.25</v>
      </c>
      <c r="Y26" s="4">
        <f t="shared" si="32"/>
        <v>31.749999999999996</v>
      </c>
      <c r="Z26" s="4">
        <f t="shared" si="32"/>
        <v>27.75</v>
      </c>
      <c r="AA26" s="4">
        <f t="shared" si="32"/>
        <v>41.5</v>
      </c>
      <c r="AB26" s="4">
        <f t="shared" si="32"/>
        <v>41.75</v>
      </c>
      <c r="AC26" s="4">
        <f t="shared" si="32"/>
        <v>43.699999999999996</v>
      </c>
      <c r="AD26" s="4">
        <f t="shared" si="32"/>
        <v>32.799999999999997</v>
      </c>
      <c r="AE26" s="4">
        <f t="shared" si="32"/>
        <v>111.25</v>
      </c>
      <c r="AF26" s="4">
        <f t="shared" si="32"/>
        <v>79.099999999999994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0.64650590137509212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0.65728490772731096</v>
      </c>
      <c r="O27" s="70">
        <f t="shared" si="33"/>
        <v>0.76786111729356787</v>
      </c>
      <c r="P27" s="70">
        <f t="shared" si="33"/>
        <v>0.79872204472843444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0.87107319406793182</v>
      </c>
      <c r="T27" s="70">
        <f t="shared" si="33"/>
        <v>0.77365602063082728</v>
      </c>
      <c r="U27" s="70">
        <f t="shared" si="33"/>
        <v>0.87806612157838604</v>
      </c>
      <c r="V27" s="70">
        <f t="shared" si="33"/>
        <v>0.63917525773195871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0.5179698843336541</v>
      </c>
      <c r="Z27" s="70">
        <f t="shared" si="33"/>
        <v>0.4562268803945746</v>
      </c>
      <c r="AA27" s="70">
        <f t="shared" si="33"/>
        <v>0.82472178060413359</v>
      </c>
      <c r="AB27" s="70">
        <f t="shared" si="33"/>
        <v>0.82960755091902627</v>
      </c>
      <c r="AC27" s="70">
        <f t="shared" si="33"/>
        <v>0.87107319406793182</v>
      </c>
      <c r="AD27" s="70">
        <f t="shared" si="33"/>
        <v>0.54448871181938907</v>
      </c>
      <c r="AE27" s="70">
        <f t="shared" si="33"/>
        <v>0.90983438969535879</v>
      </c>
      <c r="AF27" s="70">
        <f t="shared" si="33"/>
        <v>0.78276530894984764</v>
      </c>
      <c r="AG27" s="9"/>
      <c r="BF27" s="430" t="s">
        <v>130</v>
      </c>
      <c r="BG27" s="430"/>
      <c r="BH27" s="40">
        <f>BH25-AG41</f>
        <v>9329.8479381849847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74.970690892524843</v>
      </c>
      <c r="K28" s="72">
        <v>24.401563267209845</v>
      </c>
      <c r="L28" s="72">
        <v>30.901383170822509</v>
      </c>
      <c r="M28" s="72">
        <v>6.3656893440089739</v>
      </c>
      <c r="N28" s="72">
        <v>29.31329561223831</v>
      </c>
      <c r="O28" s="72">
        <v>20.484449514361074</v>
      </c>
      <c r="P28" s="72">
        <v>40.815253248900838</v>
      </c>
      <c r="Q28" s="72">
        <v>13.18812640310631</v>
      </c>
      <c r="R28" s="72">
        <v>11.153496477978717</v>
      </c>
      <c r="S28" s="72">
        <v>24.427615039365769</v>
      </c>
      <c r="T28" s="72">
        <v>14.584044210493818</v>
      </c>
      <c r="U28" s="72">
        <v>20.251234801118617</v>
      </c>
      <c r="V28" s="72">
        <v>12.028312750640749</v>
      </c>
      <c r="W28" s="72">
        <v>13.643838109807707</v>
      </c>
      <c r="X28" s="72">
        <v>11.768634197110432</v>
      </c>
      <c r="Y28" s="72">
        <v>8.0445780915408136</v>
      </c>
      <c r="Z28" s="72">
        <v>7.7992142937886184</v>
      </c>
      <c r="AA28" s="72">
        <v>13.966292073382315</v>
      </c>
      <c r="AB28" s="72">
        <v>22.157036485650828</v>
      </c>
      <c r="AC28" s="72">
        <v>8.5185273615520032</v>
      </c>
      <c r="AD28" s="72">
        <v>9.0549757625670573</v>
      </c>
      <c r="AE28" s="72">
        <v>17.60459782259985</v>
      </c>
      <c r="AF28" s="72">
        <v>13.450642230982547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50</v>
      </c>
      <c r="O29" s="74">
        <f>F9/O9</f>
        <v>16</v>
      </c>
      <c r="P29" s="74">
        <f>(F6/P6)*(25/47)</f>
        <v>53.191489361702125</v>
      </c>
      <c r="Q29" s="74">
        <f>(F13/Q13)*(6/20)</f>
        <v>30</v>
      </c>
      <c r="R29" s="74">
        <f>(F13/R13)*(3/20)</f>
        <v>15</v>
      </c>
      <c r="S29" s="74">
        <f>(F6/S6)*(12/47)</f>
        <v>25.531914893617021</v>
      </c>
      <c r="T29" s="74">
        <f>(F13/T13)*(3/20)</f>
        <v>15</v>
      </c>
      <c r="U29" s="74">
        <f>(F7/U7)*(6/47)</f>
        <v>2.5531914893617018</v>
      </c>
      <c r="V29" s="74">
        <f>(F7/V7)*(3/47)</f>
        <v>1.2765957446808509</v>
      </c>
      <c r="W29" s="74">
        <f>(F13/W13)*(8/20)</f>
        <v>11.428571428571429</v>
      </c>
      <c r="X29" s="74">
        <f>(F19/X19)*(3/4)</f>
        <v>0</v>
      </c>
      <c r="Y29" s="74">
        <f>(F7/Y7)*(1/29)</f>
        <v>0.68965517241379315</v>
      </c>
      <c r="Z29" s="74">
        <f>(F16/Z16)*(4/5)</f>
        <v>0</v>
      </c>
      <c r="AA29" s="74">
        <f>(F15/AA15)*(4/16)</f>
        <v>0</v>
      </c>
      <c r="AB29" s="74">
        <f>(F7/AB7)*(11/47)</f>
        <v>4.6808510638297873</v>
      </c>
      <c r="AC29" s="74">
        <f>(F6/AC6)*(1/47)</f>
        <v>2.1276595744680851</v>
      </c>
      <c r="AD29" s="74">
        <f>(F14/AD14)</f>
        <v>0</v>
      </c>
      <c r="AE29" s="74">
        <f>(F19/AE19)*(1/4)</f>
        <v>0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0.76067468537311367</v>
      </c>
      <c r="K30" s="70">
        <f t="shared" si="34"/>
        <v>-1.1904761904761905</v>
      </c>
      <c r="L30" s="70">
        <f t="shared" si="34"/>
        <v>0.41379310344827586</v>
      </c>
      <c r="M30" s="70">
        <f t="shared" si="34"/>
        <v>-0.6211180124223602</v>
      </c>
      <c r="N30" s="70">
        <f t="shared" si="34"/>
        <v>2.48995983935743</v>
      </c>
      <c r="O30" s="70">
        <f t="shared" si="34"/>
        <v>1.25</v>
      </c>
      <c r="P30" s="70">
        <f t="shared" si="34"/>
        <v>1.9994544462629569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1.9335572974990667</v>
      </c>
      <c r="T30" s="70">
        <f t="shared" si="34"/>
        <v>3.2738095238095237</v>
      </c>
      <c r="U30" s="70">
        <f t="shared" si="34"/>
        <v>-5.6629722514359722E-2</v>
      </c>
      <c r="V30" s="70">
        <f t="shared" si="34"/>
        <v>-0.43297364949430034</v>
      </c>
      <c r="W30" s="70">
        <f t="shared" si="34"/>
        <v>3.0711959050721269</v>
      </c>
      <c r="X30" s="70">
        <f t="shared" si="34"/>
        <v>-1.5228426395939088</v>
      </c>
      <c r="Y30" s="70">
        <f t="shared" si="34"/>
        <v>-0.21855269548324427</v>
      </c>
      <c r="Z30" s="70">
        <f t="shared" si="34"/>
        <v>-0.64516129032258063</v>
      </c>
      <c r="AA30" s="70">
        <f t="shared" si="34"/>
        <v>-1.4534883720930232</v>
      </c>
      <c r="AB30" s="70">
        <f t="shared" si="34"/>
        <v>-0.55587502396013033</v>
      </c>
      <c r="AC30" s="70">
        <f t="shared" si="34"/>
        <v>0.72285870158210574</v>
      </c>
      <c r="AD30" s="70">
        <f t="shared" si="34"/>
        <v>-1.6528925619834711</v>
      </c>
      <c r="AE30" s="70">
        <f t="shared" si="34"/>
        <v>-0.48309178743961356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0.29871912699216807</v>
      </c>
      <c r="K31" s="70">
        <f t="shared" ref="K31:AF31" si="35">NORMDIST(K30,0,1,FALSE)</f>
        <v>0.19640914652400149</v>
      </c>
      <c r="L31" s="70">
        <f t="shared" si="35"/>
        <v>0.36620906257573171</v>
      </c>
      <c r="M31" s="70">
        <f t="shared" si="35"/>
        <v>0.3289556545568964</v>
      </c>
      <c r="N31" s="70">
        <f t="shared" si="35"/>
        <v>1.7972930142699621E-2</v>
      </c>
      <c r="O31" s="70">
        <f t="shared" si="35"/>
        <v>0.18264908538902191</v>
      </c>
      <c r="P31" s="70">
        <f t="shared" si="35"/>
        <v>5.4049900567111293E-2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6.1528152507597703E-2</v>
      </c>
      <c r="T31" s="70">
        <f t="shared" si="35"/>
        <v>1.8774272333183636E-3</v>
      </c>
      <c r="U31" s="70">
        <f t="shared" si="35"/>
        <v>0.39830310390577828</v>
      </c>
      <c r="V31" s="70">
        <f t="shared" si="35"/>
        <v>0.3632472221466469</v>
      </c>
      <c r="W31" s="70">
        <f t="shared" si="35"/>
        <v>3.5704605822708328E-3</v>
      </c>
      <c r="X31" s="70">
        <f t="shared" si="35"/>
        <v>0.1251223293178855</v>
      </c>
      <c r="Y31" s="70">
        <f t="shared" si="35"/>
        <v>0.38952735948571243</v>
      </c>
      <c r="Z31" s="70">
        <f t="shared" si="35"/>
        <v>0.32398596615315295</v>
      </c>
      <c r="AA31" s="70">
        <f t="shared" si="35"/>
        <v>0.13872624376685427</v>
      </c>
      <c r="AB31" s="70">
        <f t="shared" si="35"/>
        <v>0.34183160222596565</v>
      </c>
      <c r="AC31" s="70">
        <f t="shared" si="35"/>
        <v>0.30721701728615403</v>
      </c>
      <c r="AD31" s="70">
        <f t="shared" si="35"/>
        <v>0.10177757907817411</v>
      </c>
      <c r="AE31" s="70">
        <f t="shared" si="35"/>
        <v>0.35500359217664224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0.77657430069875444</v>
      </c>
      <c r="K32" s="70">
        <f t="shared" ref="K32:AF32" si="36">NORMDIST(K30,0,1,TRUE)</f>
        <v>0.11692964134637239</v>
      </c>
      <c r="L32" s="70">
        <f t="shared" si="36"/>
        <v>0.66048718243495286</v>
      </c>
      <c r="M32" s="70">
        <f t="shared" si="36"/>
        <v>0.26726098931262676</v>
      </c>
      <c r="N32" s="70">
        <f t="shared" si="36"/>
        <v>0.99361212346672201</v>
      </c>
      <c r="O32" s="70">
        <f t="shared" si="36"/>
        <v>0.89435022633314476</v>
      </c>
      <c r="P32" s="70">
        <f t="shared" si="36"/>
        <v>0.97722039700461838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0.97341620906437087</v>
      </c>
      <c r="T32" s="70">
        <f t="shared" si="36"/>
        <v>0.99946945944972954</v>
      </c>
      <c r="U32" s="70">
        <f t="shared" si="36"/>
        <v>0.47742007869360131</v>
      </c>
      <c r="V32" s="70">
        <f t="shared" si="36"/>
        <v>0.33251695660614344</v>
      </c>
      <c r="W32" s="70">
        <f t="shared" si="36"/>
        <v>0.99893398392725807</v>
      </c>
      <c r="X32" s="70">
        <f t="shared" si="36"/>
        <v>6.389903965475742E-2</v>
      </c>
      <c r="Y32" s="70">
        <f t="shared" si="36"/>
        <v>0.41349925270834087</v>
      </c>
      <c r="Z32" s="70">
        <f t="shared" si="36"/>
        <v>0.25941133433509533</v>
      </c>
      <c r="AA32" s="70">
        <f t="shared" si="36"/>
        <v>7.3044102927429577E-2</v>
      </c>
      <c r="AB32" s="70">
        <f t="shared" si="36"/>
        <v>0.28914814666215494</v>
      </c>
      <c r="AC32" s="70">
        <f t="shared" si="36"/>
        <v>0.76511665083721758</v>
      </c>
      <c r="AD32" s="70">
        <f t="shared" si="36"/>
        <v>4.9176365594524589E-2</v>
      </c>
      <c r="AE32" s="70">
        <f t="shared" si="36"/>
        <v>0.31451528251747035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0.12876485347192521</v>
      </c>
      <c r="K33" s="70">
        <f t="shared" ref="K33:AF33" si="37">K31-(K30*(1-K32))</f>
        <v>1.2476833830164151</v>
      </c>
      <c r="L33" s="70">
        <f t="shared" si="37"/>
        <v>0.22572100013502255</v>
      </c>
      <c r="M33" s="70">
        <f t="shared" si="37"/>
        <v>0.78407305249936421</v>
      </c>
      <c r="N33" s="70">
        <f t="shared" si="37"/>
        <v>2.0673741160636555E-3</v>
      </c>
      <c r="O33" s="70">
        <f t="shared" si="37"/>
        <v>5.0586868305452865E-2</v>
      </c>
      <c r="P33" s="70">
        <f t="shared" si="37"/>
        <v>8.5031220738905414E-3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1.0126869548822463E-2</v>
      </c>
      <c r="T33" s="70">
        <f t="shared" si="37"/>
        <v>1.4053852707577295E-4</v>
      </c>
      <c r="U33" s="70">
        <f t="shared" si="37"/>
        <v>0.42789665984093556</v>
      </c>
      <c r="V33" s="70">
        <f t="shared" si="37"/>
        <v>0.65224979142044748</v>
      </c>
      <c r="W33" s="70">
        <f t="shared" si="37"/>
        <v>2.9651638492475757E-4</v>
      </c>
      <c r="X33" s="70">
        <f t="shared" si="37"/>
        <v>1.5506567866964278</v>
      </c>
      <c r="Y33" s="70">
        <f t="shared" si="37"/>
        <v>0.51770867870924164</v>
      </c>
      <c r="Z33" s="70">
        <f t="shared" si="37"/>
        <v>0.80178510529180103</v>
      </c>
      <c r="AA33" s="70">
        <f t="shared" si="37"/>
        <v>1.4860458616048926</v>
      </c>
      <c r="AB33" s="70">
        <f t="shared" si="37"/>
        <v>0.73697639323224329</v>
      </c>
      <c r="AC33" s="70">
        <f t="shared" si="37"/>
        <v>0.13742954448708875</v>
      </c>
      <c r="AD33" s="70">
        <f t="shared" si="37"/>
        <v>1.6733868921450756</v>
      </c>
      <c r="AE33" s="70">
        <f t="shared" si="37"/>
        <v>0.68615562960781595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2.550831747278838</v>
      </c>
      <c r="K34" s="74">
        <f t="shared" si="38"/>
        <v>1.0480540417337887</v>
      </c>
      <c r="L34" s="74">
        <f t="shared" si="38"/>
        <v>1.6364772509789136</v>
      </c>
      <c r="M34" s="74">
        <f t="shared" si="38"/>
        <v>2.5247152290479531</v>
      </c>
      <c r="N34" s="74">
        <f t="shared" si="38"/>
        <v>2.5738807744992511E-2</v>
      </c>
      <c r="O34" s="74">
        <f t="shared" si="38"/>
        <v>0.24281696786617374</v>
      </c>
      <c r="P34" s="74">
        <f t="shared" si="38"/>
        <v>0.13264870435269244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8.6584734642432062E-2</v>
      </c>
      <c r="T34" s="74">
        <f t="shared" si="38"/>
        <v>4.7220945097459709E-4</v>
      </c>
      <c r="U34" s="74">
        <f t="shared" si="38"/>
        <v>3.3761046461449813</v>
      </c>
      <c r="V34" s="74">
        <f t="shared" si="38"/>
        <v>4.1026511880346144</v>
      </c>
      <c r="W34" s="74">
        <f t="shared" si="38"/>
        <v>9.1030530171900572E-4</v>
      </c>
      <c r="X34" s="74">
        <f t="shared" si="38"/>
        <v>3.0547938697919625</v>
      </c>
      <c r="Y34" s="74">
        <f t="shared" si="38"/>
        <v>0.73514632376712308</v>
      </c>
      <c r="Z34" s="74">
        <f t="shared" si="38"/>
        <v>1.2427669132022916</v>
      </c>
      <c r="AA34" s="74">
        <f t="shared" si="38"/>
        <v>5.1119977639208303</v>
      </c>
      <c r="AB34" s="74">
        <f t="shared" si="38"/>
        <v>5.7263065754145304</v>
      </c>
      <c r="AC34" s="74">
        <f t="shared" si="38"/>
        <v>0.21439008939985846</v>
      </c>
      <c r="AD34" s="74">
        <f t="shared" si="38"/>
        <v>2.0247981394955414</v>
      </c>
      <c r="AE34" s="74">
        <f t="shared" si="38"/>
        <v>1.4203421532881788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44.449168252721165</v>
      </c>
      <c r="K35" s="74">
        <f t="shared" si="39"/>
        <v>-4.8054041733788688E-2</v>
      </c>
      <c r="L35" s="74">
        <f t="shared" si="39"/>
        <v>15.363522749021087</v>
      </c>
      <c r="M35" s="74">
        <f t="shared" si="39"/>
        <v>-0.52471522904795309</v>
      </c>
      <c r="N35" s="74">
        <f t="shared" si="39"/>
        <v>18.974261192255007</v>
      </c>
      <c r="O35" s="74">
        <f t="shared" si="39"/>
        <v>9.7571830321338258</v>
      </c>
      <c r="P35" s="74">
        <f t="shared" si="39"/>
        <v>21.867351295647307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8.9134152653575676</v>
      </c>
      <c r="T35" s="74">
        <f t="shared" si="39"/>
        <v>3.9995277905490254</v>
      </c>
      <c r="U35" s="74">
        <f t="shared" si="39"/>
        <v>-0.37610464614498129</v>
      </c>
      <c r="V35" s="74">
        <f t="shared" si="39"/>
        <v>-0.10265118803461437</v>
      </c>
      <c r="W35" s="74">
        <f t="shared" si="39"/>
        <v>1.999089694698281</v>
      </c>
      <c r="X35" s="74">
        <f t="shared" si="39"/>
        <v>-5.4793869791962546E-2</v>
      </c>
      <c r="Y35" s="74">
        <f t="shared" si="39"/>
        <v>0.26485367623287692</v>
      </c>
      <c r="Z35" s="74">
        <f t="shared" si="39"/>
        <v>-0.2427669132022916</v>
      </c>
      <c r="AA35" s="74">
        <f t="shared" si="39"/>
        <v>-0.11199776392083027</v>
      </c>
      <c r="AB35" s="74">
        <f t="shared" si="39"/>
        <v>3.2736934245854696</v>
      </c>
      <c r="AC35" s="74">
        <f t="shared" si="39"/>
        <v>0.78560991060014151</v>
      </c>
      <c r="AD35" s="74">
        <f t="shared" si="39"/>
        <v>-2.4798139495541438E-2</v>
      </c>
      <c r="AE35" s="74">
        <f t="shared" si="39"/>
        <v>-0.42034215328817881</v>
      </c>
      <c r="AF35" s="74">
        <f t="shared" si="39"/>
        <v>0.69099903829292908</v>
      </c>
      <c r="AG35" s="187">
        <f>SUM(J35:AF35)</f>
        <v>135.42787651237356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17.619797264520216</v>
      </c>
      <c r="K36" s="74">
        <f t="shared" ref="K36:AF36" si="40">K29-K35</f>
        <v>4.8054041733788688E-2</v>
      </c>
      <c r="L36" s="74">
        <f t="shared" si="40"/>
        <v>4.6364772509789134</v>
      </c>
      <c r="M36" s="74">
        <f t="shared" si="40"/>
        <v>0.52471522904795309</v>
      </c>
      <c r="N36" s="74">
        <f t="shared" si="40"/>
        <v>31.025738807744993</v>
      </c>
      <c r="O36" s="74">
        <f t="shared" si="40"/>
        <v>6.2428169678661742</v>
      </c>
      <c r="P36" s="74">
        <f t="shared" si="40"/>
        <v>31.324138066054818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16.618499628259453</v>
      </c>
      <c r="T36" s="74">
        <f t="shared" si="40"/>
        <v>11.000472209450974</v>
      </c>
      <c r="U36" s="74">
        <f t="shared" si="40"/>
        <v>2.9292961355066831</v>
      </c>
      <c r="V36" s="74">
        <f t="shared" si="40"/>
        <v>1.3792469327154653</v>
      </c>
      <c r="W36" s="74">
        <f t="shared" si="40"/>
        <v>9.429481733873148</v>
      </c>
      <c r="X36" s="74">
        <f t="shared" si="40"/>
        <v>5.4793869791962546E-2</v>
      </c>
      <c r="Y36" s="74">
        <f t="shared" si="40"/>
        <v>0.42480149618091623</v>
      </c>
      <c r="Z36" s="74">
        <f t="shared" si="40"/>
        <v>0.2427669132022916</v>
      </c>
      <c r="AA36" s="74">
        <f t="shared" si="40"/>
        <v>0.11199776392083027</v>
      </c>
      <c r="AB36" s="74">
        <f t="shared" si="40"/>
        <v>1.4071576392443177</v>
      </c>
      <c r="AC36" s="74">
        <f t="shared" si="40"/>
        <v>1.3420496638679436</v>
      </c>
      <c r="AD36" s="74">
        <f t="shared" si="40"/>
        <v>2.4798139495541438E-2</v>
      </c>
      <c r="AE36" s="74">
        <f t="shared" si="40"/>
        <v>0.42034215328817881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2222.4584126360583</v>
      </c>
      <c r="K37" s="70">
        <f t="shared" ref="K37:AF37" si="41">K20*K35</f>
        <v>-9.6108083467577377</v>
      </c>
      <c r="L37" s="70">
        <f t="shared" si="41"/>
        <v>921.8113649412652</v>
      </c>
      <c r="M37" s="70">
        <f t="shared" si="41"/>
        <v>-26.235761452397654</v>
      </c>
      <c r="N37" s="70">
        <f t="shared" si="41"/>
        <v>853.8417536514753</v>
      </c>
      <c r="O37" s="70">
        <f t="shared" si="41"/>
        <v>585.4309819280295</v>
      </c>
      <c r="P37" s="70">
        <f t="shared" si="41"/>
        <v>1093.3675647823654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445.67076326787839</v>
      </c>
      <c r="T37" s="70">
        <f t="shared" si="41"/>
        <v>279.9669453384318</v>
      </c>
      <c r="U37" s="70">
        <f t="shared" si="41"/>
        <v>-26.327325230148691</v>
      </c>
      <c r="V37" s="70">
        <f t="shared" si="41"/>
        <v>-5.1325594017307186</v>
      </c>
      <c r="W37" s="70">
        <f t="shared" si="41"/>
        <v>159.92717557586249</v>
      </c>
      <c r="X37" s="70">
        <f t="shared" si="41"/>
        <v>-3.2876321875177528</v>
      </c>
      <c r="Y37" s="70">
        <f t="shared" si="41"/>
        <v>15.891220573972616</v>
      </c>
      <c r="Z37" s="70">
        <f t="shared" si="41"/>
        <v>-14.566014792137496</v>
      </c>
      <c r="AA37" s="70">
        <f t="shared" si="41"/>
        <v>-5.5998881960415137</v>
      </c>
      <c r="AB37" s="70">
        <f t="shared" si="41"/>
        <v>163.68467122927348</v>
      </c>
      <c r="AC37" s="70">
        <f t="shared" si="41"/>
        <v>39.280495530007073</v>
      </c>
      <c r="AD37" s="70">
        <f t="shared" si="41"/>
        <v>-1.4878883697324863</v>
      </c>
      <c r="AE37" s="70">
        <f t="shared" si="41"/>
        <v>-50.441058394581461</v>
      </c>
      <c r="AF37" s="70">
        <f t="shared" si="41"/>
        <v>69.099903829292913</v>
      </c>
      <c r="AG37" s="288">
        <f>SUM(J37:AF37)</f>
        <v>7057.5135736598204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878.61119059530063</v>
      </c>
      <c r="K38" s="70">
        <f t="shared" ref="K38:AF38" si="42">(K20-K22)*K36</f>
        <v>9.5406974998681395</v>
      </c>
      <c r="L38" s="70">
        <f t="shared" si="42"/>
        <v>277.21497483602923</v>
      </c>
      <c r="M38" s="70">
        <f t="shared" si="42"/>
        <v>25.836977878321211</v>
      </c>
      <c r="N38" s="70">
        <f t="shared" si="42"/>
        <v>1385.8577010643533</v>
      </c>
      <c r="O38" s="70">
        <f t="shared" si="42"/>
        <v>372.70865861554631</v>
      </c>
      <c r="P38" s="70">
        <f t="shared" si="42"/>
        <v>1559.7228067230676</v>
      </c>
      <c r="Q38" s="70">
        <f t="shared" si="42"/>
        <v>1341.422871748664</v>
      </c>
      <c r="R38" s="70">
        <f t="shared" si="42"/>
        <v>546.41638009837322</v>
      </c>
      <c r="S38" s="70">
        <f t="shared" si="42"/>
        <v>828.73133946204246</v>
      </c>
      <c r="T38" s="70">
        <f t="shared" si="42"/>
        <v>766.44690072128719</v>
      </c>
      <c r="U38" s="70">
        <f t="shared" si="42"/>
        <v>204.53810266175415</v>
      </c>
      <c r="V38" s="70">
        <f t="shared" si="42"/>
        <v>68.445129036004971</v>
      </c>
      <c r="W38" s="70">
        <f t="shared" si="42"/>
        <v>751.0582201029963</v>
      </c>
      <c r="X38" s="70">
        <f t="shared" si="42"/>
        <v>3.2753035668145611</v>
      </c>
      <c r="Y38" s="70">
        <f t="shared" si="42"/>
        <v>25.231934468657879</v>
      </c>
      <c r="Z38" s="70">
        <f t="shared" si="42"/>
        <v>14.40214712572595</v>
      </c>
      <c r="AA38" s="70">
        <f t="shared" si="42"/>
        <v>5.5797285985357643</v>
      </c>
      <c r="AB38" s="70">
        <f t="shared" si="42"/>
        <v>70.11162937534813</v>
      </c>
      <c r="AC38" s="70">
        <f t="shared" si="42"/>
        <v>66.925332637766616</v>
      </c>
      <c r="AD38" s="70">
        <f>(AD20-AD22)*AD36</f>
        <v>1.4740014116149831</v>
      </c>
      <c r="AE38" s="70">
        <f t="shared" si="42"/>
        <v>50.34648141009162</v>
      </c>
      <c r="AF38" s="70">
        <f t="shared" si="42"/>
        <v>68.522767188138204</v>
      </c>
      <c r="AG38" s="288">
        <f>SUM(J38:AF38)</f>
        <v>9322.4212768263005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1.5304990483673027</v>
      </c>
      <c r="K39" s="70">
        <f t="shared" ref="K39:AF39" si="43">K23*K34</f>
        <v>3.8777999544150181</v>
      </c>
      <c r="L39" s="70">
        <f t="shared" si="43"/>
        <v>2.4547158764683705</v>
      </c>
      <c r="M39" s="70">
        <f t="shared" si="43"/>
        <v>10.098860916191812</v>
      </c>
      <c r="N39" s="70">
        <f t="shared" si="43"/>
        <v>7.206866168597903E-2</v>
      </c>
      <c r="O39" s="70">
        <f t="shared" si="43"/>
        <v>0.77701429717175596</v>
      </c>
      <c r="P39" s="70">
        <f t="shared" si="43"/>
        <v>7.9589222611615454E-2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2.5975420392729619E-2</v>
      </c>
      <c r="T39" s="70">
        <f t="shared" si="43"/>
        <v>4.2498850587713733E-4</v>
      </c>
      <c r="U39" s="70">
        <f t="shared" si="43"/>
        <v>1.6880523230724906</v>
      </c>
      <c r="V39" s="70">
        <f t="shared" si="43"/>
        <v>5.3334465444449988</v>
      </c>
      <c r="W39" s="70">
        <f t="shared" si="43"/>
        <v>6.3721371120330401E-4</v>
      </c>
      <c r="X39" s="70">
        <f t="shared" si="43"/>
        <v>7.6369846744799066</v>
      </c>
      <c r="Y39" s="70">
        <f t="shared" si="43"/>
        <v>1.396778015157534</v>
      </c>
      <c r="Z39" s="70">
        <f t="shared" si="43"/>
        <v>1.8641503698034374</v>
      </c>
      <c r="AA39" s="70">
        <f t="shared" si="43"/>
        <v>2.5559988819604151</v>
      </c>
      <c r="AB39" s="70">
        <f t="shared" si="43"/>
        <v>2.8631532877072652</v>
      </c>
      <c r="AC39" s="70">
        <f t="shared" si="43"/>
        <v>6.4317026819957532E-2</v>
      </c>
      <c r="AD39" s="70">
        <f t="shared" si="43"/>
        <v>1.6198385115964333</v>
      </c>
      <c r="AE39" s="70">
        <f t="shared" si="43"/>
        <v>3.5508553832204468</v>
      </c>
      <c r="AF39" s="70">
        <f t="shared" si="43"/>
        <v>0.46350144256060638</v>
      </c>
      <c r="AG39" s="288">
        <f t="shared" ref="AG39" si="44">SUM(J39:AF39)</f>
        <v>47.958779438900002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418.9655172413793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830.00000000000011</v>
      </c>
      <c r="O40" s="70">
        <f t="shared" si="45"/>
        <v>238.39999999999998</v>
      </c>
      <c r="P40" s="70">
        <f t="shared" si="45"/>
        <v>550.531914893617</v>
      </c>
      <c r="Q40" s="70">
        <f t="shared" si="45"/>
        <v>489</v>
      </c>
      <c r="R40" s="70">
        <f t="shared" si="45"/>
        <v>244.5</v>
      </c>
      <c r="S40" s="70">
        <f t="shared" si="45"/>
        <v>168.51063829787233</v>
      </c>
      <c r="T40" s="70">
        <f t="shared" si="45"/>
        <v>244.5</v>
      </c>
      <c r="U40" s="70">
        <f t="shared" si="45"/>
        <v>22.340425531914892</v>
      </c>
      <c r="V40" s="70">
        <f t="shared" si="45"/>
        <v>23.936170212765955</v>
      </c>
      <c r="W40" s="70">
        <f t="shared" si="45"/>
        <v>200</v>
      </c>
      <c r="X40" s="70">
        <f t="shared" si="45"/>
        <v>0</v>
      </c>
      <c r="Y40" s="70">
        <f t="shared" si="45"/>
        <v>20.793103448275865</v>
      </c>
      <c r="Z40" s="70">
        <f t="shared" si="45"/>
        <v>0</v>
      </c>
      <c r="AA40" s="70">
        <f t="shared" si="45"/>
        <v>0</v>
      </c>
      <c r="AB40" s="70">
        <f t="shared" si="45"/>
        <v>40.957446808510639</v>
      </c>
      <c r="AC40" s="70">
        <f t="shared" si="45"/>
        <v>14.042553191489361</v>
      </c>
      <c r="AD40" s="70">
        <f t="shared" si="45"/>
        <v>0</v>
      </c>
      <c r="AE40" s="70">
        <f t="shared" si="45"/>
        <v>0</v>
      </c>
      <c r="AF40" s="70">
        <f t="shared" si="45"/>
        <v>30.896551724137936</v>
      </c>
      <c r="AG40" s="289">
        <f>SUM(J40:AF40)</f>
        <v>3747.3743213499638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2680.5735869416121</v>
      </c>
      <c r="K41" s="76">
        <f t="shared" ref="K41:AF41" si="46">K37+K38-K40-K39</f>
        <v>-3.9479108013046162</v>
      </c>
      <c r="L41" s="76">
        <f t="shared" si="46"/>
        <v>986.57162390082601</v>
      </c>
      <c r="M41" s="76">
        <f t="shared" si="46"/>
        <v>-10.497644490268256</v>
      </c>
      <c r="N41" s="76">
        <f t="shared" si="46"/>
        <v>1409.6273860541423</v>
      </c>
      <c r="O41" s="76">
        <f t="shared" si="46"/>
        <v>718.96262624640406</v>
      </c>
      <c r="P41" s="76">
        <f t="shared" si="46"/>
        <v>2102.4788673892044</v>
      </c>
      <c r="Q41" s="76">
        <f t="shared" si="46"/>
        <v>1002.1924499584519</v>
      </c>
      <c r="R41" s="76">
        <f t="shared" si="46"/>
        <v>501.91394125698349</v>
      </c>
      <c r="S41" s="76">
        <f t="shared" si="46"/>
        <v>1105.8654890116557</v>
      </c>
      <c r="T41" s="76">
        <f t="shared" si="46"/>
        <v>801.91342107121307</v>
      </c>
      <c r="U41" s="76">
        <f t="shared" si="46"/>
        <v>154.18229957661808</v>
      </c>
      <c r="V41" s="76">
        <f t="shared" si="46"/>
        <v>34.0429528770633</v>
      </c>
      <c r="W41" s="76">
        <f t="shared" si="46"/>
        <v>710.98475846514759</v>
      </c>
      <c r="X41" s="76">
        <f t="shared" si="46"/>
        <v>-7.6493132951830987</v>
      </c>
      <c r="Y41" s="76">
        <f t="shared" si="46"/>
        <v>18.933273579197095</v>
      </c>
      <c r="Z41" s="76">
        <f t="shared" si="46"/>
        <v>-2.0280180362149833</v>
      </c>
      <c r="AA41" s="76">
        <f t="shared" si="46"/>
        <v>-2.5761584794661645</v>
      </c>
      <c r="AB41" s="76">
        <f t="shared" si="46"/>
        <v>189.97570050840369</v>
      </c>
      <c r="AC41" s="76">
        <f t="shared" si="46"/>
        <v>92.098957949464364</v>
      </c>
      <c r="AD41" s="76">
        <f t="shared" si="46"/>
        <v>-1.6337254697139365</v>
      </c>
      <c r="AE41" s="76">
        <f t="shared" si="46"/>
        <v>-3.6454323677102876</v>
      </c>
      <c r="AF41" s="76">
        <f t="shared" si="46"/>
        <v>106.26261785073257</v>
      </c>
      <c r="AG41" s="290">
        <f>SUM(J41:AF41)</f>
        <v>12584.601749697258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1.4119480511118043</v>
      </c>
      <c r="K43" s="70">
        <f t="shared" si="47"/>
        <v>27.859003889535529</v>
      </c>
      <c r="L43" s="70">
        <f t="shared" si="47"/>
        <v>1.9174321614927599</v>
      </c>
      <c r="M43" s="70">
        <f t="shared" si="47"/>
        <v>1.3558041441021658</v>
      </c>
      <c r="N43" s="70">
        <f t="shared" si="47"/>
        <v>0.82837715760950281</v>
      </c>
      <c r="O43" s="70">
        <f t="shared" si="47"/>
        <v>2.1842603154918905</v>
      </c>
      <c r="P43" s="70">
        <f t="shared" si="47"/>
        <v>1.2061059774936436</v>
      </c>
      <c r="Q43" s="70">
        <f t="shared" si="47"/>
        <v>1.1050028636774738</v>
      </c>
      <c r="R43" s="70">
        <f t="shared" si="47"/>
        <v>2.4752582968784487</v>
      </c>
      <c r="S43" s="70">
        <f t="shared" si="47"/>
        <v>1.8043994198088618</v>
      </c>
      <c r="T43" s="70">
        <f t="shared" si="47"/>
        <v>3.150013157885065</v>
      </c>
      <c r="U43" s="70">
        <f t="shared" si="47"/>
        <v>2.1864682891151608</v>
      </c>
      <c r="V43" s="70">
        <f t="shared" si="47"/>
        <v>1.2763613276058425</v>
      </c>
      <c r="W43" s="70">
        <f t="shared" si="47"/>
        <v>3.7927811432598393</v>
      </c>
      <c r="X43" s="70">
        <f t="shared" si="47"/>
        <v>4.4510833487870212</v>
      </c>
      <c r="Y43" s="70">
        <f t="shared" si="47"/>
        <v>4.9609704870005729</v>
      </c>
      <c r="Z43" s="70">
        <f t="shared" si="47"/>
        <v>4.3865898669603984</v>
      </c>
      <c r="AA43" s="70">
        <f t="shared" si="47"/>
        <v>2.6064802538902079</v>
      </c>
      <c r="AB43" s="70">
        <f t="shared" si="47"/>
        <v>1.6933122890155505</v>
      </c>
      <c r="AC43" s="70">
        <f t="shared" si="47"/>
        <v>4.8195688215076942</v>
      </c>
      <c r="AD43" s="70">
        <f t="shared" si="47"/>
        <v>5.8305584814603781</v>
      </c>
      <c r="AE43" s="70">
        <f t="shared" si="47"/>
        <v>8.0215448418356772</v>
      </c>
      <c r="AF43" s="70">
        <f t="shared" si="47"/>
        <v>10.46272456385088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0.14723325475844054</v>
      </c>
      <c r="K44" s="70">
        <f t="shared" ref="K44:AF44" si="48">NORMDIST(K43,0,1,FALSE)</f>
        <v>1.1687015242828518E-169</v>
      </c>
      <c r="L44" s="70">
        <f t="shared" si="48"/>
        <v>6.3468498666367987E-2</v>
      </c>
      <c r="M44" s="70">
        <f t="shared" si="48"/>
        <v>0.15912885887857595</v>
      </c>
      <c r="N44" s="70">
        <f t="shared" si="48"/>
        <v>0.28307514378876453</v>
      </c>
      <c r="O44" s="70">
        <f t="shared" si="48"/>
        <v>3.6719949220270554E-2</v>
      </c>
      <c r="P44" s="70">
        <f t="shared" si="48"/>
        <v>0.19276482668069095</v>
      </c>
      <c r="Q44" s="70">
        <f t="shared" si="48"/>
        <v>0.2166538852677819</v>
      </c>
      <c r="R44" s="70">
        <f t="shared" si="48"/>
        <v>1.8641027435052807E-2</v>
      </c>
      <c r="S44" s="70">
        <f t="shared" si="48"/>
        <v>7.8326666447576715E-2</v>
      </c>
      <c r="T44" s="70">
        <f t="shared" si="48"/>
        <v>2.7941426024647867E-3</v>
      </c>
      <c r="U44" s="70">
        <f t="shared" si="48"/>
        <v>3.6543193924657498E-2</v>
      </c>
      <c r="V44" s="70">
        <f t="shared" si="48"/>
        <v>0.17666718051929131</v>
      </c>
      <c r="W44" s="70">
        <f t="shared" si="48"/>
        <v>3.0005855064379474E-4</v>
      </c>
      <c r="X44" s="70">
        <f t="shared" si="48"/>
        <v>1.9895638479712956E-5</v>
      </c>
      <c r="Y44" s="70">
        <f t="shared" si="48"/>
        <v>1.8057173529950017E-6</v>
      </c>
      <c r="Z44" s="70">
        <f t="shared" si="48"/>
        <v>2.6456098380001206E-5</v>
      </c>
      <c r="AA44" s="70">
        <f t="shared" si="48"/>
        <v>1.3355751136448263E-2</v>
      </c>
      <c r="AB44" s="70">
        <f t="shared" si="48"/>
        <v>9.5122305672956056E-2</v>
      </c>
      <c r="AC44" s="70">
        <f t="shared" si="48"/>
        <v>3.6054630609778194E-6</v>
      </c>
      <c r="AD44" s="70">
        <f t="shared" si="48"/>
        <v>1.6553891346749946E-8</v>
      </c>
      <c r="AE44" s="70">
        <f t="shared" si="48"/>
        <v>4.2513944581287579E-15</v>
      </c>
      <c r="AF44" s="70">
        <f t="shared" si="48"/>
        <v>6.7624560301621575E-25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0.92101737108541559</v>
      </c>
      <c r="K45" s="70">
        <f t="shared" ref="K45:AF45" si="49">NORMDIST(K43,0,1,TRUE)</f>
        <v>1</v>
      </c>
      <c r="L45" s="70">
        <f t="shared" si="49"/>
        <v>0.9724084741830511</v>
      </c>
      <c r="M45" s="70">
        <f t="shared" si="49"/>
        <v>0.91241925378675859</v>
      </c>
      <c r="N45" s="70">
        <f t="shared" si="49"/>
        <v>0.79627153067441458</v>
      </c>
      <c r="O45" s="70">
        <f t="shared" si="49"/>
        <v>0.98552843745939533</v>
      </c>
      <c r="P45" s="70">
        <f t="shared" si="49"/>
        <v>0.88611168482370839</v>
      </c>
      <c r="Q45" s="70">
        <f t="shared" si="49"/>
        <v>0.86542082586343638</v>
      </c>
      <c r="R45" s="70">
        <f t="shared" si="49"/>
        <v>0.99334300766670225</v>
      </c>
      <c r="S45" s="70">
        <f t="shared" si="49"/>
        <v>0.96441564302186189</v>
      </c>
      <c r="T45" s="70">
        <f t="shared" si="49"/>
        <v>0.99918368445294059</v>
      </c>
      <c r="U45" s="70">
        <f t="shared" si="49"/>
        <v>0.9856093188791365</v>
      </c>
      <c r="V45" s="70">
        <f t="shared" si="49"/>
        <v>0.89908608990254379</v>
      </c>
      <c r="W45" s="70">
        <f t="shared" si="49"/>
        <v>0.99992551527916429</v>
      </c>
      <c r="X45" s="70">
        <f t="shared" si="49"/>
        <v>0.99999572809149251</v>
      </c>
      <c r="Y45" s="70">
        <f t="shared" si="49"/>
        <v>0.99999964929075214</v>
      </c>
      <c r="Z45" s="70">
        <f t="shared" si="49"/>
        <v>0.99999424291974881</v>
      </c>
      <c r="AA45" s="70">
        <f t="shared" si="49"/>
        <v>0.9954260950855216</v>
      </c>
      <c r="AB45" s="70">
        <f t="shared" si="49"/>
        <v>0.95480197990236526</v>
      </c>
      <c r="AC45" s="70">
        <f t="shared" si="49"/>
        <v>0.99999928065590915</v>
      </c>
      <c r="AD45" s="70">
        <f t="shared" si="49"/>
        <v>0.99999999723789135</v>
      </c>
      <c r="AE45" s="70">
        <f t="shared" si="49"/>
        <v>0.99999999999999944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3.5713885790806241E-2</v>
      </c>
      <c r="K46" s="70">
        <f t="shared" ref="K46:AF46" si="50">K44-(K43*(1-K45))</f>
        <v>1.1687015242828518E-169</v>
      </c>
      <c r="L46" s="70">
        <f t="shared" si="50"/>
        <v>1.0563619680292367E-2</v>
      </c>
      <c r="M46" s="70">
        <f t="shared" si="50"/>
        <v>4.0386520219103175E-2</v>
      </c>
      <c r="N46" s="70">
        <f t="shared" si="50"/>
        <v>0.11431113344470129</v>
      </c>
      <c r="O46" s="70">
        <f t="shared" si="50"/>
        <v>5.1102894596687792E-3</v>
      </c>
      <c r="P46" s="70">
        <f t="shared" si="50"/>
        <v>5.5403448979885583E-2</v>
      </c>
      <c r="Q46" s="70">
        <f t="shared" si="50"/>
        <v>6.7943512455529681E-2</v>
      </c>
      <c r="R46" s="70">
        <f t="shared" si="50"/>
        <v>2.1632519298013277E-3</v>
      </c>
      <c r="S46" s="70">
        <f t="shared" si="50"/>
        <v>1.4118273361952885E-2</v>
      </c>
      <c r="T46" s="70">
        <f t="shared" si="50"/>
        <v>2.2273788824150138E-4</v>
      </c>
      <c r="U46" s="70">
        <f t="shared" si="50"/>
        <v>5.0784259951212329E-3</v>
      </c>
      <c r="V46" s="70">
        <f t="shared" si="50"/>
        <v>4.786456825340546E-2</v>
      </c>
      <c r="W46" s="70">
        <f t="shared" si="50"/>
        <v>1.7554305997139711E-5</v>
      </c>
      <c r="X46" s="70">
        <f t="shared" si="50"/>
        <v>8.81017654475501E-7</v>
      </c>
      <c r="Y46" s="70">
        <f t="shared" si="50"/>
        <v>6.5859124818789303E-8</v>
      </c>
      <c r="Z46" s="70">
        <f t="shared" si="50"/>
        <v>1.2021484868546171E-6</v>
      </c>
      <c r="AA46" s="70">
        <f t="shared" si="50"/>
        <v>1.4339582936889351E-3</v>
      </c>
      <c r="AB46" s="70">
        <f t="shared" si="50"/>
        <v>1.8587942802459317E-2</v>
      </c>
      <c r="AC46" s="70">
        <f t="shared" si="50"/>
        <v>1.3853470878481598E-7</v>
      </c>
      <c r="AD46" s="70">
        <f t="shared" si="50"/>
        <v>4.4925531381342314E-10</v>
      </c>
      <c r="AE46" s="70">
        <f t="shared" si="50"/>
        <v>-2.0145743010580636E-16</v>
      </c>
      <c r="AF46" s="70">
        <f t="shared" si="50"/>
        <v>6.7624560301621575E-25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0.70749207751587162</v>
      </c>
      <c r="K47" s="74">
        <f t="shared" si="51"/>
        <v>9.8170928039759543E-170</v>
      </c>
      <c r="L47" s="74">
        <f t="shared" si="51"/>
        <v>7.6586242682119665E-2</v>
      </c>
      <c r="M47" s="74">
        <f t="shared" si="51"/>
        <v>0.13004459510551222</v>
      </c>
      <c r="N47" s="74">
        <f t="shared" si="51"/>
        <v>1.423173611386531</v>
      </c>
      <c r="O47" s="74">
        <f t="shared" si="51"/>
        <v>2.452938940641014E-2</v>
      </c>
      <c r="P47" s="74">
        <f t="shared" si="51"/>
        <v>0.86429380408621503</v>
      </c>
      <c r="Q47" s="74">
        <f t="shared" si="51"/>
        <v>0.62643918483998373</v>
      </c>
      <c r="R47" s="74">
        <f t="shared" si="51"/>
        <v>6.2517980771258372E-3</v>
      </c>
      <c r="S47" s="74">
        <f t="shared" si="51"/>
        <v>0.12071123724469718</v>
      </c>
      <c r="T47" s="74">
        <f t="shared" si="51"/>
        <v>7.4839930449144461E-4</v>
      </c>
      <c r="U47" s="74">
        <f t="shared" si="51"/>
        <v>4.0068781101506523E-2</v>
      </c>
      <c r="V47" s="74">
        <f t="shared" si="51"/>
        <v>0.30106813431392032</v>
      </c>
      <c r="W47" s="74">
        <f t="shared" si="51"/>
        <v>5.3891719411218907E-5</v>
      </c>
      <c r="X47" s="74">
        <f t="shared" si="51"/>
        <v>1.735604779316737E-6</v>
      </c>
      <c r="Y47" s="74">
        <f t="shared" si="51"/>
        <v>9.3519957242680812E-8</v>
      </c>
      <c r="Z47" s="74">
        <f t="shared" si="51"/>
        <v>1.8633301546246564E-6</v>
      </c>
      <c r="AA47" s="74">
        <f t="shared" si="51"/>
        <v>4.9328165302899366E-3</v>
      </c>
      <c r="AB47" s="74">
        <f t="shared" si="51"/>
        <v>0.14442831557510888</v>
      </c>
      <c r="AC47" s="74">
        <f t="shared" si="51"/>
        <v>2.1611414570431295E-7</v>
      </c>
      <c r="AD47" s="74">
        <f t="shared" si="51"/>
        <v>5.4359892971424193E-10</v>
      </c>
      <c r="AE47" s="74">
        <f t="shared" si="51"/>
        <v>-4.1701688031901914E-16</v>
      </c>
      <c r="AF47" s="74">
        <f t="shared" si="51"/>
        <v>8.0473226758929673E-25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46.292507922484127</v>
      </c>
      <c r="K48" s="74">
        <f t="shared" si="52"/>
        <v>1</v>
      </c>
      <c r="L48" s="74">
        <f t="shared" si="52"/>
        <v>16.923413757317881</v>
      </c>
      <c r="M48" s="74">
        <f t="shared" si="52"/>
        <v>1.8699554048944877</v>
      </c>
      <c r="N48" s="74">
        <f t="shared" si="52"/>
        <v>17.576826388613469</v>
      </c>
      <c r="O48" s="74">
        <f t="shared" si="52"/>
        <v>9.9754706105935895</v>
      </c>
      <c r="P48" s="74">
        <f t="shared" si="52"/>
        <v>21.135706195913784</v>
      </c>
      <c r="Q48" s="74">
        <f t="shared" si="52"/>
        <v>2.3735608151600163</v>
      </c>
      <c r="R48" s="74">
        <f t="shared" si="52"/>
        <v>3.9937482019228741</v>
      </c>
      <c r="S48" s="74">
        <f t="shared" si="52"/>
        <v>8.8792887627553032</v>
      </c>
      <c r="T48" s="74">
        <f t="shared" si="52"/>
        <v>3.9992516006955086</v>
      </c>
      <c r="U48" s="74">
        <f t="shared" si="52"/>
        <v>2.9599312188984936</v>
      </c>
      <c r="V48" s="74">
        <f t="shared" si="52"/>
        <v>3.6989318656860797</v>
      </c>
      <c r="W48" s="74">
        <f t="shared" si="52"/>
        <v>1.9999461082805887</v>
      </c>
      <c r="X48" s="74">
        <f t="shared" si="52"/>
        <v>2.9999982643952205</v>
      </c>
      <c r="Y48" s="74">
        <f t="shared" si="52"/>
        <v>0.99999990648004278</v>
      </c>
      <c r="Z48" s="74">
        <f t="shared" si="52"/>
        <v>0.99999813666984538</v>
      </c>
      <c r="AA48" s="74">
        <f t="shared" si="52"/>
        <v>4.9950671834697102</v>
      </c>
      <c r="AB48" s="74">
        <f t="shared" si="52"/>
        <v>8.8555716844248913</v>
      </c>
      <c r="AC48" s="74">
        <f t="shared" si="52"/>
        <v>0.99999978388585431</v>
      </c>
      <c r="AD48" s="74">
        <f t="shared" si="52"/>
        <v>1.9999999994564011</v>
      </c>
      <c r="AE48" s="74">
        <f t="shared" si="52"/>
        <v>1.0000000000000004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28.678182970040716</v>
      </c>
      <c r="K49" s="74">
        <f t="shared" ref="K49:AF49" si="53">K28-K48</f>
        <v>23.401563267209845</v>
      </c>
      <c r="L49" s="74">
        <f t="shared" si="53"/>
        <v>13.977969413504628</v>
      </c>
      <c r="M49" s="74">
        <f t="shared" si="53"/>
        <v>4.4957339391144862</v>
      </c>
      <c r="N49" s="74">
        <f t="shared" si="53"/>
        <v>11.736469223624841</v>
      </c>
      <c r="O49" s="74">
        <f t="shared" si="53"/>
        <v>10.508978903767485</v>
      </c>
      <c r="P49" s="74">
        <f t="shared" si="53"/>
        <v>19.679547052987054</v>
      </c>
      <c r="Q49" s="74">
        <f t="shared" si="53"/>
        <v>10.814565587946294</v>
      </c>
      <c r="R49" s="74">
        <f t="shared" si="53"/>
        <v>7.1597482760558426</v>
      </c>
      <c r="S49" s="74">
        <f t="shared" si="53"/>
        <v>15.548326276610466</v>
      </c>
      <c r="T49" s="74">
        <f t="shared" si="53"/>
        <v>10.58479260979831</v>
      </c>
      <c r="U49" s="74">
        <f t="shared" si="53"/>
        <v>17.291303582220124</v>
      </c>
      <c r="V49" s="74">
        <f t="shared" si="53"/>
        <v>8.32938088495467</v>
      </c>
      <c r="W49" s="74">
        <f t="shared" si="53"/>
        <v>11.643892001527117</v>
      </c>
      <c r="X49" s="74">
        <f t="shared" si="53"/>
        <v>8.7686359327152115</v>
      </c>
      <c r="Y49" s="74">
        <f t="shared" si="53"/>
        <v>7.0445781850607707</v>
      </c>
      <c r="Z49" s="74">
        <f t="shared" si="53"/>
        <v>6.7992161571187726</v>
      </c>
      <c r="AA49" s="74">
        <f t="shared" si="53"/>
        <v>8.9712248899126052</v>
      </c>
      <c r="AB49" s="74">
        <f t="shared" si="53"/>
        <v>13.301464801225936</v>
      </c>
      <c r="AC49" s="74">
        <f t="shared" si="53"/>
        <v>7.5185275776661484</v>
      </c>
      <c r="AD49" s="74">
        <f t="shared" si="53"/>
        <v>7.0549757631106562</v>
      </c>
      <c r="AE49" s="74">
        <f t="shared" si="53"/>
        <v>16.60459782259985</v>
      </c>
      <c r="AF49" s="74">
        <f t="shared" si="53"/>
        <v>12.450642230982547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2314.6253961242064</v>
      </c>
      <c r="K50" s="70">
        <f t="shared" ref="K50:AF50" si="54">K48*K20</f>
        <v>200</v>
      </c>
      <c r="L50" s="70">
        <f t="shared" si="54"/>
        <v>1015.4048254390729</v>
      </c>
      <c r="M50" s="70">
        <f t="shared" si="54"/>
        <v>93.497770244724393</v>
      </c>
      <c r="N50" s="70">
        <f t="shared" si="54"/>
        <v>790.95718748760612</v>
      </c>
      <c r="O50" s="70">
        <f t="shared" si="54"/>
        <v>598.52823663561537</v>
      </c>
      <c r="P50" s="70">
        <f t="shared" si="54"/>
        <v>1056.7853097956893</v>
      </c>
      <c r="Q50" s="70">
        <f t="shared" si="54"/>
        <v>118.67804075800082</v>
      </c>
      <c r="R50" s="70">
        <f t="shared" si="54"/>
        <v>199.68741009614371</v>
      </c>
      <c r="S50" s="70">
        <f t="shared" si="54"/>
        <v>443.96443813776517</v>
      </c>
      <c r="T50" s="70">
        <f t="shared" si="54"/>
        <v>279.94761204868558</v>
      </c>
      <c r="U50" s="70">
        <f t="shared" si="54"/>
        <v>207.19518532289456</v>
      </c>
      <c r="V50" s="70">
        <f t="shared" si="54"/>
        <v>184.94659328430399</v>
      </c>
      <c r="W50" s="70">
        <f t="shared" si="54"/>
        <v>159.99568866244709</v>
      </c>
      <c r="X50" s="70">
        <f t="shared" si="54"/>
        <v>179.99989586371322</v>
      </c>
      <c r="Y50" s="70">
        <f t="shared" si="54"/>
        <v>59.99999438880257</v>
      </c>
      <c r="Z50" s="70">
        <f t="shared" si="54"/>
        <v>59.999888200190725</v>
      </c>
      <c r="AA50" s="70">
        <f t="shared" si="54"/>
        <v>249.75335917348551</v>
      </c>
      <c r="AB50" s="70">
        <f t="shared" si="54"/>
        <v>442.77858422124456</v>
      </c>
      <c r="AC50" s="70">
        <f t="shared" si="54"/>
        <v>49.999989194292716</v>
      </c>
      <c r="AD50" s="70">
        <f t="shared" si="54"/>
        <v>119.99999996738407</v>
      </c>
      <c r="AE50" s="70">
        <f t="shared" si="54"/>
        <v>120.00000000000006</v>
      </c>
      <c r="AF50" s="70">
        <f t="shared" si="54"/>
        <v>100</v>
      </c>
      <c r="AG50" s="186">
        <f>SUM(J50:AF50)</f>
        <v>9046.7454050462693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1430.0375938010804</v>
      </c>
      <c r="K51" s="70">
        <f t="shared" ref="K51:AF51" si="55">(K20-K22)*K49</f>
        <v>4646.1697726351094</v>
      </c>
      <c r="L51" s="70">
        <f t="shared" si="55"/>
        <v>835.74279123344172</v>
      </c>
      <c r="M51" s="70">
        <f t="shared" si="55"/>
        <v>221.36993916199731</v>
      </c>
      <c r="N51" s="70">
        <f t="shared" si="55"/>
        <v>524.24460728087433</v>
      </c>
      <c r="O51" s="70">
        <f t="shared" si="55"/>
        <v>627.40705851272639</v>
      </c>
      <c r="P51" s="70">
        <f t="shared" si="55"/>
        <v>979.90368640938436</v>
      </c>
      <c r="Q51" s="70">
        <f t="shared" si="55"/>
        <v>537.20273101564419</v>
      </c>
      <c r="R51" s="70">
        <f t="shared" si="55"/>
        <v>355.6533358647979</v>
      </c>
      <c r="S51" s="70">
        <f t="shared" si="55"/>
        <v>775.36393476201067</v>
      </c>
      <c r="T51" s="70">
        <f t="shared" si="55"/>
        <v>737.48484029508757</v>
      </c>
      <c r="U51" s="70">
        <f t="shared" si="55"/>
        <v>1207.3652726285202</v>
      </c>
      <c r="V51" s="70">
        <f t="shared" si="55"/>
        <v>413.3455264158755</v>
      </c>
      <c r="W51" s="70">
        <f t="shared" si="55"/>
        <v>927.43599792163491</v>
      </c>
      <c r="X51" s="70">
        <f t="shared" si="55"/>
        <v>524.14521287805178</v>
      </c>
      <c r="Y51" s="70">
        <f t="shared" si="55"/>
        <v>418.4268104580546</v>
      </c>
      <c r="Z51" s="70">
        <f t="shared" si="55"/>
        <v>403.36349852107122</v>
      </c>
      <c r="AA51" s="70">
        <f t="shared" si="55"/>
        <v>446.94642401544598</v>
      </c>
      <c r="AB51" s="70">
        <f t="shared" si="55"/>
        <v>662.74548372108234</v>
      </c>
      <c r="AC51" s="70">
        <f t="shared" si="55"/>
        <v>374.93393324305549</v>
      </c>
      <c r="AD51" s="70">
        <f t="shared" si="55"/>
        <v>419.34775935929741</v>
      </c>
      <c r="AE51" s="70">
        <f t="shared" si="55"/>
        <v>1988.815704201897</v>
      </c>
      <c r="AF51" s="70">
        <f t="shared" si="55"/>
        <v>1239.4863353787746</v>
      </c>
      <c r="AG51" s="51">
        <f>SUM(J51:AF51)</f>
        <v>20696.938249714916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0.42449524650952297</v>
      </c>
      <c r="K52" s="70">
        <f t="shared" ref="K52:AF52" si="56">K47*K23</f>
        <v>3.6323243374711036E-169</v>
      </c>
      <c r="L52" s="70">
        <f t="shared" si="56"/>
        <v>0.1148793640231795</v>
      </c>
      <c r="M52" s="70">
        <f t="shared" si="56"/>
        <v>0.52017838042204889</v>
      </c>
      <c r="N52" s="70">
        <f t="shared" si="56"/>
        <v>3.9848861118822865</v>
      </c>
      <c r="O52" s="70">
        <f t="shared" si="56"/>
        <v>7.8494046100512457E-2</v>
      </c>
      <c r="P52" s="70">
        <f t="shared" si="56"/>
        <v>0.51857628245172904</v>
      </c>
      <c r="Q52" s="70">
        <f t="shared" si="56"/>
        <v>0.56379526635598531</v>
      </c>
      <c r="R52" s="70">
        <f t="shared" si="56"/>
        <v>5.6266182694132529E-3</v>
      </c>
      <c r="S52" s="70">
        <f t="shared" si="56"/>
        <v>3.6213371173409149E-2</v>
      </c>
      <c r="T52" s="70">
        <f t="shared" si="56"/>
        <v>6.7355937404230007E-4</v>
      </c>
      <c r="U52" s="70">
        <f t="shared" si="56"/>
        <v>2.0034390550753262E-2</v>
      </c>
      <c r="V52" s="70">
        <f t="shared" si="56"/>
        <v>0.39138857460809645</v>
      </c>
      <c r="W52" s="70">
        <f t="shared" si="56"/>
        <v>3.7724203587853241E-5</v>
      </c>
      <c r="X52" s="70">
        <f t="shared" si="56"/>
        <v>4.3390119482918427E-6</v>
      </c>
      <c r="Y52" s="70">
        <f t="shared" si="56"/>
        <v>1.7768791876109356E-7</v>
      </c>
      <c r="Z52" s="70">
        <f t="shared" si="56"/>
        <v>2.7949952319369845E-6</v>
      </c>
      <c r="AA52" s="70">
        <f t="shared" si="56"/>
        <v>2.4664082651449683E-3</v>
      </c>
      <c r="AB52" s="70">
        <f t="shared" si="56"/>
        <v>7.2214157787554439E-2</v>
      </c>
      <c r="AC52" s="70">
        <f t="shared" si="56"/>
        <v>6.4834243711293884E-8</v>
      </c>
      <c r="AD52" s="70">
        <f t="shared" si="56"/>
        <v>4.3487914377139357E-10</v>
      </c>
      <c r="AE52" s="70">
        <f t="shared" si="56"/>
        <v>-1.0425422007975478E-15</v>
      </c>
      <c r="AF52" s="70">
        <f t="shared" si="56"/>
        <v>1.2070984013839451E-24</v>
      </c>
      <c r="AG52" s="51">
        <f>SUM(J52:AF52)</f>
        <v>6.7339668789414855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506.05216352454266</v>
      </c>
      <c r="K53" s="70">
        <f t="shared" ref="K53:AF53" si="57">K21*K28</f>
        <v>1780.0940403429584</v>
      </c>
      <c r="L53" s="70">
        <f t="shared" si="57"/>
        <v>324.46452329363632</v>
      </c>
      <c r="M53" s="70">
        <f t="shared" si="57"/>
        <v>241.89619507234102</v>
      </c>
      <c r="N53" s="70">
        <f t="shared" si="57"/>
        <v>486.60070716315596</v>
      </c>
      <c r="O53" s="70">
        <f t="shared" si="57"/>
        <v>305.21829776397999</v>
      </c>
      <c r="P53" s="70">
        <f t="shared" si="57"/>
        <v>422.43787112612364</v>
      </c>
      <c r="Q53" s="70">
        <f t="shared" si="57"/>
        <v>214.96646037063286</v>
      </c>
      <c r="R53" s="70">
        <f t="shared" si="57"/>
        <v>181.80199259105308</v>
      </c>
      <c r="S53" s="70">
        <f t="shared" si="57"/>
        <v>161.22225925981405</v>
      </c>
      <c r="T53" s="70">
        <f t="shared" si="57"/>
        <v>237.71992063104926</v>
      </c>
      <c r="U53" s="70">
        <f t="shared" si="57"/>
        <v>177.1983045097879</v>
      </c>
      <c r="V53" s="70">
        <f t="shared" si="57"/>
        <v>225.53086407451406</v>
      </c>
      <c r="W53" s="70">
        <f t="shared" si="57"/>
        <v>238.76716692163487</v>
      </c>
      <c r="X53" s="70">
        <f t="shared" si="57"/>
        <v>132.39713471749235</v>
      </c>
      <c r="Y53" s="70">
        <f t="shared" si="57"/>
        <v>242.54402945995554</v>
      </c>
      <c r="Z53" s="70">
        <f t="shared" si="57"/>
        <v>263.22348241536588</v>
      </c>
      <c r="AA53" s="70">
        <f t="shared" si="57"/>
        <v>125.69662866044084</v>
      </c>
      <c r="AB53" s="70">
        <f t="shared" si="57"/>
        <v>193.87406924944474</v>
      </c>
      <c r="AC53" s="70">
        <f t="shared" si="57"/>
        <v>56.222280586243215</v>
      </c>
      <c r="AD53" s="70">
        <f t="shared" si="57"/>
        <v>253.53932135187762</v>
      </c>
      <c r="AE53" s="70">
        <f t="shared" si="57"/>
        <v>198.05172550424831</v>
      </c>
      <c r="AF53" s="70">
        <f t="shared" si="57"/>
        <v>301.29438597400906</v>
      </c>
      <c r="AG53" s="67">
        <f>SUM(J53:AF53)</f>
        <v>7270.8138245643022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3238.1863311542343</v>
      </c>
      <c r="K54" s="79">
        <f t="shared" ref="K54:AF54" si="58">K50+K51-K53-K52</f>
        <v>3066.0757322921509</v>
      </c>
      <c r="L54" s="79">
        <f t="shared" si="58"/>
        <v>1526.5682140148551</v>
      </c>
      <c r="M54" s="79">
        <f t="shared" si="58"/>
        <v>72.451335953958633</v>
      </c>
      <c r="N54" s="79">
        <f t="shared" si="58"/>
        <v>824.61620149344219</v>
      </c>
      <c r="O54" s="79">
        <f t="shared" si="58"/>
        <v>920.63850333826122</v>
      </c>
      <c r="P54" s="79">
        <f t="shared" si="58"/>
        <v>1613.7325487964983</v>
      </c>
      <c r="Q54" s="79">
        <f t="shared" si="58"/>
        <v>440.35051613665621</v>
      </c>
      <c r="R54" s="79">
        <f t="shared" si="58"/>
        <v>373.53312675161914</v>
      </c>
      <c r="S54" s="79">
        <f t="shared" si="58"/>
        <v>1058.0699002687882</v>
      </c>
      <c r="T54" s="79">
        <f t="shared" si="58"/>
        <v>779.71185815334979</v>
      </c>
      <c r="U54" s="79">
        <f t="shared" si="58"/>
        <v>1237.342119051076</v>
      </c>
      <c r="V54" s="79">
        <f t="shared" si="58"/>
        <v>372.36986705105733</v>
      </c>
      <c r="W54" s="79">
        <f t="shared" si="58"/>
        <v>848.66448193824351</v>
      </c>
      <c r="X54" s="79">
        <f t="shared" si="58"/>
        <v>571.74796968526061</v>
      </c>
      <c r="Y54" s="79">
        <f t="shared" si="58"/>
        <v>235.88277520921372</v>
      </c>
      <c r="Z54" s="79">
        <f t="shared" si="58"/>
        <v>200.13990151090081</v>
      </c>
      <c r="AA54" s="79">
        <f t="shared" si="58"/>
        <v>571.0006881202255</v>
      </c>
      <c r="AB54" s="79">
        <f>AB50+AB51-AB53-AB52</f>
        <v>911.57778453509445</v>
      </c>
      <c r="AC54" s="79">
        <f t="shared" si="58"/>
        <v>368.71164178627077</v>
      </c>
      <c r="AD54" s="79">
        <f t="shared" si="58"/>
        <v>285.80843797436904</v>
      </c>
      <c r="AE54" s="79">
        <f t="shared" si="58"/>
        <v>1910.7639786976488</v>
      </c>
      <c r="AF54" s="79">
        <f t="shared" si="58"/>
        <v>1038.1919494047656</v>
      </c>
      <c r="AG54" s="68">
        <f>SUM(J54:AF54)</f>
        <v>22466.135863317944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9881.5341136206862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1405-776F-4D46-B85B-0D9168C82199}">
  <dimension ref="A1:BJ75"/>
  <sheetViews>
    <sheetView topLeftCell="AI1" zoomScale="90" zoomScaleNormal="90" workbookViewId="0">
      <selection activeCell="AZ27" sqref="AZ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8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46</v>
      </c>
      <c r="K2" s="262">
        <f>_xlfn.XLOOKUP($B$1,daily_demand!$E$1:$AH$1,daily_demand!$E$3:$AH$3)</f>
        <v>1</v>
      </c>
      <c r="L2" s="263">
        <f>_xlfn.XLOOKUP($B$1,daily_demand!$E$1:$AH$1,daily_demand!$E$4:$AH$4)</f>
        <v>21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18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3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6</v>
      </c>
      <c r="AB2" s="262">
        <f>_xlfn.XLOOKUP($B$1,daily_demand!$E$1:$AH$1,daily_demand!$E$20:$AH$20)</f>
        <v>9</v>
      </c>
      <c r="AC2" s="262">
        <f>_xlfn.XLOOKUP($B$1,daily_demand!$E$1:$AH$1,daily_demand!$E$21:$AH$21)</f>
        <v>2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2.0469042242203126</v>
      </c>
      <c r="AJ4" s="45">
        <f t="shared" ref="AJ4:AJ18" si="1">K4*K$28</f>
        <v>4.1548801769751023E-2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0.93226448106088244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0.42065639549170136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4.3397163091718413E-2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7.858466900016324E-2</v>
      </c>
      <c r="BF4" s="44">
        <f>SUM(AI4:BE4)</f>
        <v>3.5633557346345293</v>
      </c>
      <c r="BG4" s="54">
        <f>ROUNDUP(BF4*2, 0)</f>
        <v>8</v>
      </c>
      <c r="BH4" s="86">
        <f>CEILING($BG$1*BG4, 0.5)</f>
        <v>4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2.0469042242203126</v>
      </c>
      <c r="AJ5" s="45">
        <f t="shared" si="1"/>
        <v>5.5398402359668031E-2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4.3397163091718413E-2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9.8230836250204068E-2</v>
      </c>
      <c r="BF5" s="44">
        <f t="shared" ref="BF5:BF19" si="23">SUM(AI5:BE5)</f>
        <v>2.2439306259219034</v>
      </c>
      <c r="BG5" s="54">
        <f t="shared" ref="BG5:BG18" si="24">ROUNDUP(BF5*2, 0)</f>
        <v>5</v>
      </c>
      <c r="BH5" s="86">
        <f t="shared" ref="BH5:BH18" si="25">CEILING($BG$1*BG5, 0.5)</f>
        <v>2.5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220</v>
      </c>
      <c r="C6" s="7">
        <f>B6*0.02</f>
        <v>4.4000000000000004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1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2.7699201179834015E-2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0.93226448106088244</v>
      </c>
      <c r="AP6" s="45">
        <f t="shared" si="7"/>
        <v>0</v>
      </c>
      <c r="AQ6" s="45">
        <f t="shared" si="8"/>
        <v>0</v>
      </c>
      <c r="AR6" s="45">
        <f t="shared" si="9"/>
        <v>0.5607419484895213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4.3397163091718413E-2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0.11347083893774715</v>
      </c>
      <c r="BC6" s="45">
        <f t="shared" si="20"/>
        <v>0</v>
      </c>
      <c r="BD6" s="45">
        <f t="shared" si="21"/>
        <v>0</v>
      </c>
      <c r="BE6" s="45">
        <f t="shared" si="22"/>
        <v>7.858466900016324E-2</v>
      </c>
      <c r="BF6" s="44">
        <f t="shared" si="23"/>
        <v>1.7561583017598668</v>
      </c>
      <c r="BG6" s="54">
        <f t="shared" si="24"/>
        <v>4</v>
      </c>
      <c r="BH6" s="86">
        <f t="shared" si="25"/>
        <v>2</v>
      </c>
      <c r="BI6" s="6"/>
    </row>
    <row r="7" spans="1:61" ht="24" x14ac:dyDescent="0.2">
      <c r="A7" s="286" t="s">
        <v>47</v>
      </c>
      <c r="B7" s="295">
        <f>_xlfn.XLOOKUP($B$1,cost!$A$16:$A$45,cost!$E$16:$E$45)</f>
        <v>175</v>
      </c>
      <c r="C7" s="7">
        <f>B7*0.02</f>
        <v>3.5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3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4.1548801769751023E-2</v>
      </c>
      <c r="AK7" s="45">
        <f t="shared" si="2"/>
        <v>0</v>
      </c>
      <c r="AL7" s="45">
        <f t="shared" si="3"/>
        <v>0</v>
      </c>
      <c r="AM7" s="45">
        <f t="shared" si="4"/>
        <v>0.96235441823572898</v>
      </c>
      <c r="AN7" s="45">
        <f t="shared" si="5"/>
        <v>0.54134622993330317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0.61094797448540261</v>
      </c>
      <c r="AU7" s="45">
        <f t="shared" si="12"/>
        <v>0.26291024718231337</v>
      </c>
      <c r="AV7" s="45">
        <f t="shared" si="13"/>
        <v>0</v>
      </c>
      <c r="AW7" s="45">
        <f t="shared" si="14"/>
        <v>0</v>
      </c>
      <c r="AX7" s="45">
        <f t="shared" si="15"/>
        <v>5.424645386464802E-2</v>
      </c>
      <c r="AY7" s="45">
        <f t="shared" si="16"/>
        <v>4.2524944649262729E-2</v>
      </c>
      <c r="AZ7" s="45">
        <f t="shared" si="17"/>
        <v>0</v>
      </c>
      <c r="BA7" s="45">
        <f t="shared" si="18"/>
        <v>0.82095413843072673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3.3368332085511367</v>
      </c>
      <c r="BG7" s="54">
        <f t="shared" si="24"/>
        <v>7</v>
      </c>
      <c r="BH7" s="86">
        <f t="shared" si="25"/>
        <v>3.5</v>
      </c>
      <c r="BI7" s="6"/>
    </row>
    <row r="8" spans="1:61" ht="24" x14ac:dyDescent="0.2">
      <c r="A8" s="286" t="s">
        <v>46</v>
      </c>
      <c r="B8" s="295">
        <f>_xlfn.XLOOKUP($B$1,cost!$A$16:$A$45,cost!$F$16:$F$45)</f>
        <v>180</v>
      </c>
      <c r="C8" s="7">
        <f t="shared" ref="C8:C19" si="26">B8*0.02</f>
        <v>3.6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1.3849600589917008E-2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0.40600967244997738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2.1698581545859207E-2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3.929233450008162E-2</v>
      </c>
      <c r="BF8" s="44">
        <f t="shared" si="23"/>
        <v>0.48085018908583521</v>
      </c>
      <c r="BG8" s="54">
        <f t="shared" si="24"/>
        <v>1</v>
      </c>
      <c r="BH8" s="86">
        <f t="shared" si="25"/>
        <v>0.5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3.3834139370831449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3.3834139370831449</v>
      </c>
      <c r="BG9" s="54">
        <f t="shared" si="24"/>
        <v>7</v>
      </c>
      <c r="BH9" s="86">
        <f t="shared" si="25"/>
        <v>3.5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0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4.8117720911786455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4.8117720911786455</v>
      </c>
      <c r="BG10" s="54">
        <f t="shared" si="24"/>
        <v>10</v>
      </c>
      <c r="BH10" s="86">
        <f t="shared" si="25"/>
        <v>5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190</v>
      </c>
      <c r="C11" s="7">
        <f t="shared" si="26"/>
        <v>3.8000000000000003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0.96235441823572898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0.96235441823572898</v>
      </c>
      <c r="BG11" s="54">
        <f t="shared" si="24"/>
        <v>2</v>
      </c>
      <c r="BH11" s="86">
        <f t="shared" si="25"/>
        <v>1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4.1998718041213863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4.1998718041213863</v>
      </c>
      <c r="BG12" s="54">
        <f t="shared" si="24"/>
        <v>9</v>
      </c>
      <c r="BH12" s="86">
        <f t="shared" si="25"/>
        <v>4.5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6.9248002949585039E-2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0.1487331425466879</v>
      </c>
      <c r="AQ13" s="45">
        <f t="shared" si="8"/>
        <v>0.10805065514560898</v>
      </c>
      <c r="AR13" s="45">
        <f t="shared" si="9"/>
        <v>0</v>
      </c>
      <c r="AS13" s="45">
        <f t="shared" si="10"/>
        <v>0.13094651473272997</v>
      </c>
      <c r="AT13" s="45">
        <f t="shared" si="11"/>
        <v>0</v>
      </c>
      <c r="AU13" s="45">
        <f t="shared" si="12"/>
        <v>0</v>
      </c>
      <c r="AV13" s="45">
        <f t="shared" si="13"/>
        <v>0.31267857390802217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0.76965688928263409</v>
      </c>
      <c r="BG13" s="54">
        <f t="shared" si="24"/>
        <v>2</v>
      </c>
      <c r="BH13" s="86">
        <f t="shared" si="25"/>
        <v>1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350</v>
      </c>
      <c r="C14" s="7">
        <f t="shared" si="26"/>
        <v>7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5.5398402359668031E-2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0.172477866949446</v>
      </c>
      <c r="BD14" s="45">
        <f t="shared" si="21"/>
        <v>0</v>
      </c>
      <c r="BE14" s="45">
        <f t="shared" si="22"/>
        <v>0</v>
      </c>
      <c r="BF14" s="44">
        <f t="shared" si="23"/>
        <v>0.22787626930911403</v>
      </c>
      <c r="BG14" s="54">
        <f t="shared" si="24"/>
        <v>1</v>
      </c>
      <c r="BH14" s="86">
        <f t="shared" si="25"/>
        <v>0.5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6.9248002949585039E-2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0.37183285636671976</v>
      </c>
      <c r="AQ15" s="45">
        <f t="shared" si="8"/>
        <v>0.27012663786402247</v>
      </c>
      <c r="AR15" s="45">
        <f t="shared" si="9"/>
        <v>0</v>
      </c>
      <c r="AS15" s="45">
        <f t="shared" si="10"/>
        <v>0.327366286831825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0.46142621585488142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1.4999999998670337</v>
      </c>
      <c r="BG15" s="54">
        <f t="shared" si="24"/>
        <v>3</v>
      </c>
      <c r="BH15" s="86">
        <f t="shared" si="25"/>
        <v>1.5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250</v>
      </c>
      <c r="C16" s="7">
        <f t="shared" si="26"/>
        <v>5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6.9248002949585039E-2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8.5049889298525458E-2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0.1542978922481105</v>
      </c>
      <c r="BG16" s="54">
        <f t="shared" si="24"/>
        <v>1</v>
      </c>
      <c r="BH16" s="86">
        <f t="shared" si="25"/>
        <v>0.5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6.9248002949585039E-2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0.1487331425466879</v>
      </c>
      <c r="AQ17" s="45">
        <f t="shared" si="8"/>
        <v>0.10805065514560898</v>
      </c>
      <c r="AR17" s="45">
        <f t="shared" si="9"/>
        <v>0</v>
      </c>
      <c r="AS17" s="45">
        <f t="shared" si="10"/>
        <v>0.13094651473272997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0.45697831537461187</v>
      </c>
      <c r="BG17" s="54">
        <f t="shared" si="24"/>
        <v>1</v>
      </c>
      <c r="BH17" s="86">
        <f t="shared" si="25"/>
        <v>0.5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0.13378704775745076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0.13378704775745076</v>
      </c>
      <c r="BG18" s="54">
        <f t="shared" si="24"/>
        <v>1</v>
      </c>
      <c r="BH18" s="86">
        <f t="shared" si="25"/>
        <v>0.5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1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1.2116134319420917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0.95368351585126243</v>
      </c>
      <c r="BE19" s="45">
        <f t="shared" si="27"/>
        <v>0</v>
      </c>
      <c r="BF19" s="44">
        <f t="shared" si="23"/>
        <v>2.1652969477933541</v>
      </c>
      <c r="BG19" s="54">
        <f>ROUNDUP(BF19*2, 0)</f>
        <v>5</v>
      </c>
      <c r="BH19" s="86">
        <f>CEILING($BG$1*BG19, 0.5)</f>
        <v>2.5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18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30.146433672204484</v>
      </c>
      <c r="BG20" s="54">
        <f>SUM(BG4:BG19)</f>
        <v>67</v>
      </c>
      <c r="BH20" s="86">
        <f>SUM(BH4:BH19)</f>
        <v>33.5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72.95</v>
      </c>
      <c r="L21" s="4">
        <f t="shared" si="28"/>
        <v>10.5</v>
      </c>
      <c r="M21" s="4">
        <f t="shared" si="28"/>
        <v>38</v>
      </c>
      <c r="N21" s="4">
        <f t="shared" si="28"/>
        <v>16.600000000000001</v>
      </c>
      <c r="O21" s="4">
        <f t="shared" si="28"/>
        <v>14.899999999999999</v>
      </c>
      <c r="P21" s="4">
        <f t="shared" si="28"/>
        <v>10.35</v>
      </c>
      <c r="Q21" s="4">
        <f t="shared" si="28"/>
        <v>16.3</v>
      </c>
      <c r="R21" s="4">
        <f t="shared" si="28"/>
        <v>16.3</v>
      </c>
      <c r="S21" s="4">
        <f t="shared" si="28"/>
        <v>6.6</v>
      </c>
      <c r="T21" s="4">
        <f t="shared" si="28"/>
        <v>16.3</v>
      </c>
      <c r="U21" s="4">
        <f t="shared" si="28"/>
        <v>8.75</v>
      </c>
      <c r="V21" s="4">
        <f t="shared" si="28"/>
        <v>18.75</v>
      </c>
      <c r="W21" s="4">
        <f t="shared" si="28"/>
        <v>17.5</v>
      </c>
      <c r="X21" s="4">
        <f t="shared" si="28"/>
        <v>11.25</v>
      </c>
      <c r="Y21" s="4">
        <f t="shared" si="28"/>
        <v>30.150000000000002</v>
      </c>
      <c r="Z21" s="4">
        <f t="shared" si="28"/>
        <v>33.75</v>
      </c>
      <c r="AA21" s="4">
        <f t="shared" si="28"/>
        <v>9</v>
      </c>
      <c r="AB21" s="4">
        <f t="shared" si="28"/>
        <v>8.75</v>
      </c>
      <c r="AC21" s="4">
        <f t="shared" si="28"/>
        <v>6.6</v>
      </c>
      <c r="AD21" s="4">
        <f t="shared" si="28"/>
        <v>28</v>
      </c>
      <c r="AE21" s="4">
        <f t="shared" si="28"/>
        <v>11.25</v>
      </c>
      <c r="AF21" s="4">
        <f t="shared" si="28"/>
        <v>22.400000000000002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2010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1.4590000000000001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0.33200000000000007</v>
      </c>
      <c r="O22" s="4">
        <f t="shared" si="29"/>
        <v>0.29799999999999999</v>
      </c>
      <c r="P22" s="4">
        <f t="shared" si="29"/>
        <v>0.20700000000000002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0.13200000000000001</v>
      </c>
      <c r="T22" s="4">
        <f t="shared" si="29"/>
        <v>0.32600000000000001</v>
      </c>
      <c r="U22" s="4">
        <f t="shared" si="29"/>
        <v>0.17500000000000002</v>
      </c>
      <c r="V22" s="4">
        <f t="shared" si="29"/>
        <v>0.375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0.60299999999999998</v>
      </c>
      <c r="Z22" s="4">
        <f t="shared" si="29"/>
        <v>0.67500000000000004</v>
      </c>
      <c r="AA22" s="4">
        <f t="shared" si="29"/>
        <v>0.18000000000000002</v>
      </c>
      <c r="AB22" s="4">
        <f t="shared" si="29"/>
        <v>0.17500000000000002</v>
      </c>
      <c r="AC22" s="4">
        <f t="shared" si="29"/>
        <v>0.13200000000000001</v>
      </c>
      <c r="AD22" s="4">
        <f t="shared" si="29"/>
        <v>0.56000000000000005</v>
      </c>
      <c r="AE22" s="4">
        <f t="shared" si="29"/>
        <v>0.22500000000000001</v>
      </c>
      <c r="AF22" s="4">
        <f t="shared" si="29"/>
        <v>0.44800000000000001</v>
      </c>
      <c r="AG22" s="9"/>
      <c r="BF22" s="432" t="s">
        <v>131</v>
      </c>
      <c r="BG22" s="432"/>
      <c r="BH22" s="41">
        <f>SUMPRODUCT(B4:B19,BH4:BH19)</f>
        <v>3520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71.491</v>
      </c>
      <c r="L25" s="69">
        <f t="shared" si="31"/>
        <v>10.29</v>
      </c>
      <c r="M25" s="69">
        <f t="shared" si="31"/>
        <v>37.24</v>
      </c>
      <c r="N25" s="69">
        <f t="shared" si="31"/>
        <v>16.268000000000001</v>
      </c>
      <c r="O25" s="69">
        <f t="shared" si="31"/>
        <v>14.601999999999999</v>
      </c>
      <c r="P25" s="69">
        <f t="shared" si="31"/>
        <v>10.142999999999999</v>
      </c>
      <c r="Q25" s="69">
        <f t="shared" si="31"/>
        <v>15.974</v>
      </c>
      <c r="R25" s="69">
        <f t="shared" si="31"/>
        <v>15.974</v>
      </c>
      <c r="S25" s="69">
        <f t="shared" si="31"/>
        <v>6.468</v>
      </c>
      <c r="T25" s="69">
        <f t="shared" si="31"/>
        <v>15.974</v>
      </c>
      <c r="U25" s="69">
        <f t="shared" si="31"/>
        <v>8.5749999999999993</v>
      </c>
      <c r="V25" s="69">
        <f t="shared" si="31"/>
        <v>18.375</v>
      </c>
      <c r="W25" s="69">
        <f t="shared" si="31"/>
        <v>17.149999999999999</v>
      </c>
      <c r="X25" s="69">
        <f t="shared" si="31"/>
        <v>11.025</v>
      </c>
      <c r="Y25" s="69">
        <f t="shared" si="31"/>
        <v>29.547000000000001</v>
      </c>
      <c r="Z25" s="69">
        <f t="shared" si="31"/>
        <v>33.075000000000003</v>
      </c>
      <c r="AA25" s="69">
        <f t="shared" si="31"/>
        <v>8.82</v>
      </c>
      <c r="AB25" s="69">
        <f t="shared" si="31"/>
        <v>8.5749999999999993</v>
      </c>
      <c r="AC25" s="69">
        <f t="shared" si="31"/>
        <v>6.468</v>
      </c>
      <c r="AD25" s="69">
        <f t="shared" si="31"/>
        <v>27.44</v>
      </c>
      <c r="AE25" s="69">
        <f t="shared" si="31"/>
        <v>11.025</v>
      </c>
      <c r="AF25" s="69">
        <f t="shared" si="31"/>
        <v>21.952000000000002</v>
      </c>
      <c r="AG25" s="16"/>
      <c r="BF25" s="434" t="s">
        <v>42</v>
      </c>
      <c r="BG25" s="434"/>
      <c r="BH25" s="39">
        <f>AG50+AG51-AG52-BH22</f>
        <v>11427.244735558063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130.75</v>
      </c>
      <c r="L26" s="4">
        <f t="shared" si="32"/>
        <v>51</v>
      </c>
      <c r="M26" s="4">
        <f t="shared" si="32"/>
        <v>16</v>
      </c>
      <c r="N26" s="4">
        <f t="shared" si="32"/>
        <v>31.2</v>
      </c>
      <c r="O26" s="4">
        <f t="shared" si="32"/>
        <v>48.300000000000004</v>
      </c>
      <c r="P26" s="4">
        <f t="shared" si="32"/>
        <v>40.25</v>
      </c>
      <c r="Q26" s="4">
        <f t="shared" si="32"/>
        <v>34.6</v>
      </c>
      <c r="R26" s="4">
        <f t="shared" si="32"/>
        <v>34.6</v>
      </c>
      <c r="S26" s="4">
        <f t="shared" si="32"/>
        <v>43.699999999999996</v>
      </c>
      <c r="T26" s="4">
        <f t="shared" si="32"/>
        <v>54.6</v>
      </c>
      <c r="U26" s="4">
        <f t="shared" si="32"/>
        <v>61.75</v>
      </c>
      <c r="V26" s="4">
        <f t="shared" si="32"/>
        <v>32.549999999999997</v>
      </c>
      <c r="W26" s="4">
        <f t="shared" si="32"/>
        <v>63.2</v>
      </c>
      <c r="X26" s="4">
        <f t="shared" si="32"/>
        <v>51.25</v>
      </c>
      <c r="Y26" s="4">
        <f t="shared" si="32"/>
        <v>31.749999999999996</v>
      </c>
      <c r="Z26" s="4">
        <f t="shared" si="32"/>
        <v>27.75</v>
      </c>
      <c r="AA26" s="4">
        <f t="shared" si="32"/>
        <v>41.5</v>
      </c>
      <c r="AB26" s="4">
        <f t="shared" si="32"/>
        <v>41.75</v>
      </c>
      <c r="AC26" s="4">
        <f t="shared" si="32"/>
        <v>43.699999999999996</v>
      </c>
      <c r="AD26" s="4">
        <f t="shared" si="32"/>
        <v>32.799999999999997</v>
      </c>
      <c r="AE26" s="4">
        <f t="shared" si="32"/>
        <v>111.25</v>
      </c>
      <c r="AF26" s="4">
        <f t="shared" si="32"/>
        <v>79.099999999999994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0.64650590137509212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0.65728490772731096</v>
      </c>
      <c r="O27" s="70">
        <f t="shared" si="33"/>
        <v>0.76786111729356787</v>
      </c>
      <c r="P27" s="70">
        <f t="shared" si="33"/>
        <v>0.79872204472843444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0.87107319406793182</v>
      </c>
      <c r="T27" s="70">
        <f t="shared" si="33"/>
        <v>0.77365602063082728</v>
      </c>
      <c r="U27" s="70">
        <f t="shared" si="33"/>
        <v>0.87806612157838604</v>
      </c>
      <c r="V27" s="70">
        <f t="shared" si="33"/>
        <v>0.63917525773195871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0.5179698843336541</v>
      </c>
      <c r="Z27" s="70">
        <f t="shared" si="33"/>
        <v>0.4562268803945746</v>
      </c>
      <c r="AA27" s="70">
        <f t="shared" si="33"/>
        <v>0.82472178060413359</v>
      </c>
      <c r="AB27" s="70">
        <f t="shared" si="33"/>
        <v>0.82960755091902627</v>
      </c>
      <c r="AC27" s="70">
        <f t="shared" si="33"/>
        <v>0.87107319406793182</v>
      </c>
      <c r="AD27" s="70">
        <f t="shared" si="33"/>
        <v>0.54448871181938907</v>
      </c>
      <c r="AE27" s="70">
        <f t="shared" si="33"/>
        <v>0.90983438969535879</v>
      </c>
      <c r="AF27" s="70">
        <f t="shared" si="33"/>
        <v>0.78276530894984764</v>
      </c>
      <c r="AG27" s="9"/>
      <c r="BF27" s="430" t="s">
        <v>130</v>
      </c>
      <c r="BG27" s="430"/>
      <c r="BH27" s="40">
        <f>BH25-AG41</f>
        <v>3376.7089231797045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68.230140807343759</v>
      </c>
      <c r="K28" s="72">
        <v>1.3849600589917008</v>
      </c>
      <c r="L28" s="72">
        <v>27.999145360809241</v>
      </c>
      <c r="M28" s="72">
        <v>0.3344676193936269</v>
      </c>
      <c r="N28" s="72">
        <v>24.058860455893225</v>
      </c>
      <c r="O28" s="72">
        <v>13.533655748332579</v>
      </c>
      <c r="P28" s="72">
        <v>31.075482702029415</v>
      </c>
      <c r="Q28" s="72">
        <v>7.4366571273343949</v>
      </c>
      <c r="R28" s="72">
        <v>5.4025327572804489</v>
      </c>
      <c r="S28" s="72">
        <v>18.691398282984043</v>
      </c>
      <c r="T28" s="72">
        <v>6.5473257366364992</v>
      </c>
      <c r="U28" s="72">
        <v>12.218959489708052</v>
      </c>
      <c r="V28" s="72">
        <v>5.258204943646267</v>
      </c>
      <c r="W28" s="72">
        <v>4.4668367701146021</v>
      </c>
      <c r="X28" s="72">
        <v>4.8464537277683668</v>
      </c>
      <c r="Y28" s="72">
        <v>1.0849290772929603</v>
      </c>
      <c r="Z28" s="72">
        <v>0.8504988929852545</v>
      </c>
      <c r="AA28" s="72">
        <v>9.2285243170976283</v>
      </c>
      <c r="AB28" s="72">
        <v>16.419082768614533</v>
      </c>
      <c r="AC28" s="72">
        <v>3.7823612979249051</v>
      </c>
      <c r="AD28" s="72">
        <v>2.1559733368680751</v>
      </c>
      <c r="AE28" s="72">
        <v>3.8147340634050497</v>
      </c>
      <c r="AF28" s="72">
        <v>1.9646167250040811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17.730496453900709</v>
      </c>
      <c r="Q29" s="74">
        <f>(F13/Q13)*(6/20)</f>
        <v>15</v>
      </c>
      <c r="R29" s="74">
        <f>(F13/R13)*(3/20)</f>
        <v>7.5</v>
      </c>
      <c r="S29" s="74">
        <f>(F6/S6)*(12/47)</f>
        <v>8.5106382978723403</v>
      </c>
      <c r="T29" s="74">
        <f>(F13/T13)*(3/20)</f>
        <v>7.5</v>
      </c>
      <c r="U29" s="74">
        <f>(F7/U7)*(6/47)</f>
        <v>7.6595744680851059</v>
      </c>
      <c r="V29" s="74">
        <f>(F7/V7)*(3/47)</f>
        <v>3.8297872340425529</v>
      </c>
      <c r="W29" s="74">
        <f>(F13/W13)*(8/20)</f>
        <v>5.7142857142857144</v>
      </c>
      <c r="X29" s="74">
        <f>(F19/X19)*(3/4)</f>
        <v>3</v>
      </c>
      <c r="Y29" s="74">
        <f>(F7/Y7)*(1/29)</f>
        <v>2.0689655172413794</v>
      </c>
      <c r="Z29" s="74">
        <f>(F16/Z16)*(4/5)</f>
        <v>0</v>
      </c>
      <c r="AA29" s="74">
        <f>(F15/AA15)*(4/16)</f>
        <v>5</v>
      </c>
      <c r="AB29" s="74">
        <f>(F7/AB7)*(11/47)</f>
        <v>14.042553191489361</v>
      </c>
      <c r="AC29" s="74">
        <f>(F6/AC6)*(1/47)</f>
        <v>0.70921985815602839</v>
      </c>
      <c r="AD29" s="74">
        <f>(F14/AD14)</f>
        <v>0</v>
      </c>
      <c r="AE29" s="74">
        <f>(F19/AE19)*(1/4)</f>
        <v>1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-0.75545266236139885</v>
      </c>
      <c r="K30" s="70">
        <f t="shared" si="34"/>
        <v>-1.1904761904761905</v>
      </c>
      <c r="L30" s="70">
        <f t="shared" si="34"/>
        <v>-0.13793103448275862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1.25</v>
      </c>
      <c r="P30" s="70">
        <f t="shared" si="34"/>
        <v>-1.727586833969811E-2</v>
      </c>
      <c r="Q30" s="70">
        <f t="shared" si="34"/>
        <v>1.3015184381778742</v>
      </c>
      <c r="R30" s="70">
        <f t="shared" si="34"/>
        <v>1.2110726643598615</v>
      </c>
      <c r="S30" s="70">
        <f t="shared" si="34"/>
        <v>-5.7235286798556689E-2</v>
      </c>
      <c r="T30" s="70">
        <f t="shared" si="34"/>
        <v>1.0416666666666667</v>
      </c>
      <c r="U30" s="70">
        <f t="shared" si="34"/>
        <v>0.59056710622117947</v>
      </c>
      <c r="V30" s="70">
        <f t="shared" si="34"/>
        <v>0.13192165883029458</v>
      </c>
      <c r="W30" s="70">
        <f t="shared" si="34"/>
        <v>1.209865053513262</v>
      </c>
      <c r="X30" s="70">
        <f t="shared" si="34"/>
        <v>0</v>
      </c>
      <c r="Y30" s="70">
        <f t="shared" si="34"/>
        <v>0.75279261777561934</v>
      </c>
      <c r="Z30" s="70">
        <f t="shared" si="34"/>
        <v>-0.64516129032258063</v>
      </c>
      <c r="AA30" s="70">
        <f t="shared" si="34"/>
        <v>-0.29069767441860467</v>
      </c>
      <c r="AB30" s="70">
        <f t="shared" si="34"/>
        <v>0.64897724472192553</v>
      </c>
      <c r="AC30" s="70">
        <f t="shared" si="34"/>
        <v>-0.82742316784869963</v>
      </c>
      <c r="AD30" s="70">
        <f t="shared" si="34"/>
        <v>-1.6528925619834711</v>
      </c>
      <c r="AE30" s="70">
        <f t="shared" si="34"/>
        <v>0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0.29990398794317735</v>
      </c>
      <c r="K31" s="70">
        <f t="shared" ref="K31:AF31" si="35">NORMDIST(K30,0,1,FALSE)</f>
        <v>0.19640914652400149</v>
      </c>
      <c r="L31" s="70">
        <f t="shared" si="35"/>
        <v>0.39516534041185808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0.18264908538902191</v>
      </c>
      <c r="P31" s="70">
        <f t="shared" si="35"/>
        <v>0.39888275155902747</v>
      </c>
      <c r="Q31" s="70">
        <f t="shared" si="35"/>
        <v>0.17103045213676746</v>
      </c>
      <c r="R31" s="70">
        <f t="shared" si="35"/>
        <v>0.19161118613778638</v>
      </c>
      <c r="S31" s="70">
        <f t="shared" si="35"/>
        <v>0.39828937212860233</v>
      </c>
      <c r="T31" s="70">
        <f t="shared" si="35"/>
        <v>0.23189438328624271</v>
      </c>
      <c r="U31" s="70">
        <f t="shared" si="35"/>
        <v>0.3351010044835166</v>
      </c>
      <c r="V31" s="70">
        <f t="shared" si="35"/>
        <v>0.39548587953186165</v>
      </c>
      <c r="W31" s="70">
        <f t="shared" si="35"/>
        <v>0.1918914834573347</v>
      </c>
      <c r="X31" s="70">
        <f t="shared" si="35"/>
        <v>0.3989422804014327</v>
      </c>
      <c r="Y31" s="70">
        <f t="shared" si="35"/>
        <v>0.30050619911253779</v>
      </c>
      <c r="Z31" s="70">
        <f t="shared" si="35"/>
        <v>0.32398596615315295</v>
      </c>
      <c r="AA31" s="70">
        <f t="shared" si="35"/>
        <v>0.3824370929331728</v>
      </c>
      <c r="AB31" s="70">
        <f t="shared" si="35"/>
        <v>0.32318697111623867</v>
      </c>
      <c r="AC31" s="70">
        <f t="shared" si="35"/>
        <v>0.28329880719466266</v>
      </c>
      <c r="AD31" s="70">
        <f t="shared" si="35"/>
        <v>0.10177757907817411</v>
      </c>
      <c r="AE31" s="70">
        <f t="shared" si="35"/>
        <v>0.3989422804014327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0.22498871265277226</v>
      </c>
      <c r="K32" s="70">
        <f t="shared" ref="K32:AF32" si="36">NORMDIST(K30,0,1,TRUE)</f>
        <v>0.11692964134637239</v>
      </c>
      <c r="L32" s="70">
        <f t="shared" si="36"/>
        <v>0.44514746142618433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0.89435022633314476</v>
      </c>
      <c r="P32" s="70">
        <f t="shared" si="36"/>
        <v>0.49310826850302508</v>
      </c>
      <c r="Q32" s="70">
        <f t="shared" si="36"/>
        <v>0.90345947127020609</v>
      </c>
      <c r="R32" s="70">
        <f t="shared" si="36"/>
        <v>0.88706622156702475</v>
      </c>
      <c r="S32" s="70">
        <f t="shared" si="36"/>
        <v>0.47717888470998132</v>
      </c>
      <c r="T32" s="70">
        <f t="shared" si="36"/>
        <v>0.85121687581824801</v>
      </c>
      <c r="U32" s="70">
        <f t="shared" si="36"/>
        <v>0.72259474492746256</v>
      </c>
      <c r="V32" s="70">
        <f t="shared" si="36"/>
        <v>0.55247687145932511</v>
      </c>
      <c r="W32" s="70">
        <f t="shared" si="36"/>
        <v>0.88683466058836546</v>
      </c>
      <c r="X32" s="70">
        <f t="shared" si="36"/>
        <v>0.5</v>
      </c>
      <c r="Y32" s="70">
        <f t="shared" si="36"/>
        <v>0.77421272821047848</v>
      </c>
      <c r="Z32" s="70">
        <f t="shared" si="36"/>
        <v>0.25941133433509533</v>
      </c>
      <c r="AA32" s="70">
        <f t="shared" si="36"/>
        <v>0.38564127518763125</v>
      </c>
      <c r="AB32" s="70">
        <f t="shared" si="36"/>
        <v>0.7418234577444639</v>
      </c>
      <c r="AC32" s="70">
        <f t="shared" si="36"/>
        <v>0.20399862680704281</v>
      </c>
      <c r="AD32" s="70">
        <f t="shared" si="36"/>
        <v>4.9176365594524589E-2</v>
      </c>
      <c r="AE32" s="70">
        <f t="shared" si="36"/>
        <v>0.5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0.88538832832977565</v>
      </c>
      <c r="K33" s="70">
        <f t="shared" ref="K33:AF33" si="37">K31-(K30*(1-K32))</f>
        <v>1.2476833830164151</v>
      </c>
      <c r="L33" s="70">
        <f t="shared" si="37"/>
        <v>0.47169672504272919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5.0586868305452865E-2</v>
      </c>
      <c r="P33" s="70">
        <f t="shared" si="37"/>
        <v>0.40763974637485084</v>
      </c>
      <c r="Q33" s="70">
        <f t="shared" si="37"/>
        <v>4.5381173963499916E-2</v>
      </c>
      <c r="R33" s="70">
        <f t="shared" si="37"/>
        <v>5.4840174194736774E-2</v>
      </c>
      <c r="S33" s="70">
        <f t="shared" si="37"/>
        <v>0.42821318860656782</v>
      </c>
      <c r="T33" s="70">
        <f t="shared" si="37"/>
        <v>7.6911962263584377E-2</v>
      </c>
      <c r="U33" s="70">
        <f t="shared" si="37"/>
        <v>0.17127458574477999</v>
      </c>
      <c r="V33" s="70">
        <f t="shared" si="37"/>
        <v>0.33644788604985265</v>
      </c>
      <c r="W33" s="70">
        <f t="shared" si="37"/>
        <v>5.4976694034231027E-2</v>
      </c>
      <c r="X33" s="70">
        <f t="shared" si="37"/>
        <v>0.3989422804014327</v>
      </c>
      <c r="Y33" s="70">
        <f t="shared" si="37"/>
        <v>0.13053520772168864</v>
      </c>
      <c r="Z33" s="70">
        <f t="shared" si="37"/>
        <v>0.80178510529180103</v>
      </c>
      <c r="AA33" s="70">
        <f t="shared" si="37"/>
        <v>0.56102974549490792</v>
      </c>
      <c r="AB33" s="70">
        <f t="shared" si="37"/>
        <v>0.15563627007140707</v>
      </c>
      <c r="AC33" s="70">
        <f t="shared" si="37"/>
        <v>0.94192878501389421</v>
      </c>
      <c r="AD33" s="70">
        <f t="shared" si="37"/>
        <v>1.6733868921450756</v>
      </c>
      <c r="AE33" s="70">
        <f t="shared" si="37"/>
        <v>0.3989422804014327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17.539542784212856</v>
      </c>
      <c r="K34" s="74">
        <f t="shared" si="38"/>
        <v>1.0480540417337887</v>
      </c>
      <c r="L34" s="74">
        <f t="shared" si="38"/>
        <v>3.4198012565597868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0.24281696786617374</v>
      </c>
      <c r="P34" s="74">
        <f t="shared" si="38"/>
        <v>6.3591800434476733</v>
      </c>
      <c r="Q34" s="74">
        <f t="shared" si="38"/>
        <v>0.41841442394346923</v>
      </c>
      <c r="R34" s="74">
        <f t="shared" si="38"/>
        <v>0.15848810342278929</v>
      </c>
      <c r="S34" s="74">
        <f t="shared" si="38"/>
        <v>3.6612227625861551</v>
      </c>
      <c r="T34" s="74">
        <f t="shared" si="38"/>
        <v>0.25842419320564347</v>
      </c>
      <c r="U34" s="74">
        <f t="shared" si="38"/>
        <v>1.3513564815263142</v>
      </c>
      <c r="V34" s="74">
        <f t="shared" si="38"/>
        <v>2.1162572032535731</v>
      </c>
      <c r="W34" s="74">
        <f t="shared" si="38"/>
        <v>0.16877845068508923</v>
      </c>
      <c r="X34" s="74">
        <f t="shared" si="38"/>
        <v>0.78591629239082239</v>
      </c>
      <c r="Y34" s="74">
        <f t="shared" si="38"/>
        <v>0.18535999496479785</v>
      </c>
      <c r="Z34" s="74">
        <f t="shared" si="38"/>
        <v>1.2427669132022916</v>
      </c>
      <c r="AA34" s="74">
        <f t="shared" si="38"/>
        <v>1.9299423245024832</v>
      </c>
      <c r="AB34" s="74">
        <f t="shared" si="38"/>
        <v>1.2092938184548327</v>
      </c>
      <c r="AC34" s="74">
        <f t="shared" si="38"/>
        <v>1.4694089046216749</v>
      </c>
      <c r="AD34" s="74">
        <f t="shared" si="38"/>
        <v>2.0247981394955414</v>
      </c>
      <c r="AE34" s="74">
        <f t="shared" si="38"/>
        <v>0.82581052043096559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28.460457215787144</v>
      </c>
      <c r="K35" s="74">
        <f t="shared" si="39"/>
        <v>-4.8054041733788688E-2</v>
      </c>
      <c r="L35" s="74">
        <f t="shared" si="39"/>
        <v>17.580198743440214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9.7571830321338258</v>
      </c>
      <c r="P35" s="74">
        <f t="shared" si="39"/>
        <v>11.640819956552328</v>
      </c>
      <c r="Q35" s="74">
        <f t="shared" si="39"/>
        <v>2.5815855760565309</v>
      </c>
      <c r="R35" s="74">
        <f t="shared" si="39"/>
        <v>3.8415118965772108</v>
      </c>
      <c r="S35" s="74">
        <f t="shared" si="39"/>
        <v>5.3387772374138454</v>
      </c>
      <c r="T35" s="74">
        <f t="shared" si="39"/>
        <v>3.7415758067943568</v>
      </c>
      <c r="U35" s="74">
        <f t="shared" si="39"/>
        <v>1.6486435184736858</v>
      </c>
      <c r="V35" s="74">
        <f t="shared" si="39"/>
        <v>0.88374279674642686</v>
      </c>
      <c r="W35" s="74">
        <f t="shared" si="39"/>
        <v>1.8312215493149107</v>
      </c>
      <c r="X35" s="74">
        <f t="shared" si="39"/>
        <v>2.2140837076091775</v>
      </c>
      <c r="Y35" s="74">
        <f t="shared" si="39"/>
        <v>0.81464000503520217</v>
      </c>
      <c r="Z35" s="74">
        <f t="shared" si="39"/>
        <v>-0.2427669132022916</v>
      </c>
      <c r="AA35" s="74">
        <f t="shared" si="39"/>
        <v>4.0700576754975168</v>
      </c>
      <c r="AB35" s="74">
        <f t="shared" si="39"/>
        <v>7.7907061815451675</v>
      </c>
      <c r="AC35" s="74">
        <f t="shared" si="39"/>
        <v>0.53059109537832505</v>
      </c>
      <c r="AD35" s="74">
        <f t="shared" si="39"/>
        <v>-2.4798139495541438E-2</v>
      </c>
      <c r="AE35" s="74">
        <f t="shared" si="39"/>
        <v>0.17418947956903441</v>
      </c>
      <c r="AF35" s="74">
        <f t="shared" si="39"/>
        <v>0.35403274880761504</v>
      </c>
      <c r="AG35" s="187">
        <f>SUM(J35:AF35)</f>
        <v>118.88097787662232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2.5740255428335459</v>
      </c>
      <c r="K36" s="74">
        <f t="shared" ref="K36:AF36" si="40">K29-K35</f>
        <v>4.8054041733788688E-2</v>
      </c>
      <c r="L36" s="74">
        <f t="shared" si="40"/>
        <v>2.4198012565597864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6.2428169678661742</v>
      </c>
      <c r="P36" s="74">
        <f t="shared" si="40"/>
        <v>6.0896764973483819</v>
      </c>
      <c r="Q36" s="74">
        <f t="shared" si="40"/>
        <v>12.418414423943469</v>
      </c>
      <c r="R36" s="74">
        <f t="shared" si="40"/>
        <v>3.6584881034227892</v>
      </c>
      <c r="S36" s="74">
        <f t="shared" si="40"/>
        <v>3.1718610604584949</v>
      </c>
      <c r="T36" s="74">
        <f t="shared" si="40"/>
        <v>3.7584241932056432</v>
      </c>
      <c r="U36" s="74">
        <f t="shared" si="40"/>
        <v>6.0109309496114198</v>
      </c>
      <c r="V36" s="74">
        <f t="shared" si="40"/>
        <v>2.9460444372961261</v>
      </c>
      <c r="W36" s="74">
        <f t="shared" si="40"/>
        <v>3.8830641649708038</v>
      </c>
      <c r="X36" s="74">
        <f t="shared" si="40"/>
        <v>0.7859162923908225</v>
      </c>
      <c r="Y36" s="74">
        <f t="shared" si="40"/>
        <v>1.2543255122061772</v>
      </c>
      <c r="Z36" s="74">
        <f t="shared" si="40"/>
        <v>0.2427669132022916</v>
      </c>
      <c r="AA36" s="74">
        <f t="shared" si="40"/>
        <v>0.92994232450248315</v>
      </c>
      <c r="AB36" s="74">
        <f t="shared" si="40"/>
        <v>6.2518470099441936</v>
      </c>
      <c r="AC36" s="74">
        <f t="shared" si="40"/>
        <v>0.17862876277770334</v>
      </c>
      <c r="AD36" s="74">
        <f t="shared" si="40"/>
        <v>2.4798139495541438E-2</v>
      </c>
      <c r="AE36" s="74">
        <f t="shared" si="40"/>
        <v>0.82581052043096559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1423.0228607893573</v>
      </c>
      <c r="K37" s="70">
        <f t="shared" ref="K37:AF37" si="41">K20*K35</f>
        <v>-9.6108083467577377</v>
      </c>
      <c r="L37" s="70">
        <f t="shared" si="41"/>
        <v>1054.8119246064127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585.4309819280295</v>
      </c>
      <c r="P37" s="70">
        <f t="shared" si="41"/>
        <v>582.04099782761637</v>
      </c>
      <c r="Q37" s="70">
        <f t="shared" si="41"/>
        <v>129.07927880282654</v>
      </c>
      <c r="R37" s="70">
        <f t="shared" si="41"/>
        <v>192.07559482886055</v>
      </c>
      <c r="S37" s="70">
        <f t="shared" si="41"/>
        <v>266.93886187069228</v>
      </c>
      <c r="T37" s="70">
        <f t="shared" si="41"/>
        <v>261.91030647560495</v>
      </c>
      <c r="U37" s="70">
        <f t="shared" si="41"/>
        <v>115.40504629315801</v>
      </c>
      <c r="V37" s="70">
        <f t="shared" si="41"/>
        <v>44.18713983732134</v>
      </c>
      <c r="W37" s="70">
        <f t="shared" si="41"/>
        <v>146.49772394519286</v>
      </c>
      <c r="X37" s="70">
        <f t="shared" si="41"/>
        <v>132.84502245655065</v>
      </c>
      <c r="Y37" s="70">
        <f t="shared" si="41"/>
        <v>48.878400302112134</v>
      </c>
      <c r="Z37" s="70">
        <f t="shared" si="41"/>
        <v>-14.566014792137496</v>
      </c>
      <c r="AA37" s="70">
        <f t="shared" si="41"/>
        <v>203.50288377487584</v>
      </c>
      <c r="AB37" s="70">
        <f t="shared" si="41"/>
        <v>389.53530907725838</v>
      </c>
      <c r="AC37" s="70">
        <f t="shared" si="41"/>
        <v>26.529554768916253</v>
      </c>
      <c r="AD37" s="70">
        <f t="shared" si="41"/>
        <v>-1.4878883697324863</v>
      </c>
      <c r="AE37" s="70">
        <f t="shared" si="41"/>
        <v>20.902737548284129</v>
      </c>
      <c r="AF37" s="70">
        <f t="shared" si="41"/>
        <v>35.403274880761501</v>
      </c>
      <c r="AG37" s="288">
        <f>SUM(J37:AF37)</f>
        <v>6348.1256560344282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128.35378369339477</v>
      </c>
      <c r="K38" s="70">
        <f t="shared" ref="K38:AF38" si="42">(K20-K22)*K36</f>
        <v>9.5406974998681395</v>
      </c>
      <c r="L38" s="70">
        <f t="shared" si="42"/>
        <v>144.67991712970962</v>
      </c>
      <c r="M38" s="70">
        <f t="shared" si="42"/>
        <v>25.836977878321211</v>
      </c>
      <c r="N38" s="70">
        <f t="shared" si="42"/>
        <v>381.13891261886454</v>
      </c>
      <c r="O38" s="70">
        <f t="shared" si="42"/>
        <v>372.70865861554631</v>
      </c>
      <c r="P38" s="70">
        <f t="shared" si="42"/>
        <v>303.22326183246798</v>
      </c>
      <c r="Q38" s="70">
        <f t="shared" si="42"/>
        <v>616.87231809496791</v>
      </c>
      <c r="R38" s="70">
        <f t="shared" si="42"/>
        <v>181.73173804942363</v>
      </c>
      <c r="S38" s="70">
        <f t="shared" si="42"/>
        <v>158.17436736294422</v>
      </c>
      <c r="T38" s="70">
        <f t="shared" si="42"/>
        <v>261.86444723740999</v>
      </c>
      <c r="U38" s="70">
        <f t="shared" si="42"/>
        <v>419.71325355661742</v>
      </c>
      <c r="V38" s="70">
        <f t="shared" si="42"/>
        <v>146.19745520082026</v>
      </c>
      <c r="W38" s="70">
        <f t="shared" si="42"/>
        <v>309.28606073992455</v>
      </c>
      <c r="X38" s="70">
        <f t="shared" si="42"/>
        <v>46.978146377661417</v>
      </c>
      <c r="Y38" s="70">
        <f t="shared" si="42"/>
        <v>74.503172448510298</v>
      </c>
      <c r="Z38" s="70">
        <f t="shared" si="42"/>
        <v>14.40214712572595</v>
      </c>
      <c r="AA38" s="70">
        <f t="shared" si="42"/>
        <v>46.329726606713713</v>
      </c>
      <c r="AB38" s="70">
        <f t="shared" si="42"/>
        <v>311.49827727046949</v>
      </c>
      <c r="AC38" s="70">
        <f t="shared" si="42"/>
        <v>8.9078591421985109</v>
      </c>
      <c r="AD38" s="70">
        <f>(AD20-AD22)*AD36</f>
        <v>1.4740014116149831</v>
      </c>
      <c r="AE38" s="70">
        <f t="shared" si="42"/>
        <v>98.911455084618908</v>
      </c>
      <c r="AF38" s="70">
        <f t="shared" si="42"/>
        <v>33.411883514842245</v>
      </c>
      <c r="AG38" s="288">
        <f>SUM(J38:AF38)</f>
        <v>4095.7385184926356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10.523725670527712</v>
      </c>
      <c r="K39" s="70">
        <f t="shared" ref="K39:AF39" si="43">K23*K34</f>
        <v>3.8777999544150181</v>
      </c>
      <c r="L39" s="70">
        <f t="shared" si="43"/>
        <v>5.1297018848396805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0.77701429717175596</v>
      </c>
      <c r="P39" s="70">
        <f t="shared" si="43"/>
        <v>3.8155080260686036</v>
      </c>
      <c r="Q39" s="70">
        <f t="shared" si="43"/>
        <v>0.37657298154912228</v>
      </c>
      <c r="R39" s="70">
        <f t="shared" si="43"/>
        <v>0.14263929308051035</v>
      </c>
      <c r="S39" s="70">
        <f t="shared" si="43"/>
        <v>1.0983668287758466</v>
      </c>
      <c r="T39" s="70">
        <f t="shared" si="43"/>
        <v>0.23258177388507911</v>
      </c>
      <c r="U39" s="70">
        <f t="shared" si="43"/>
        <v>0.67567824076315708</v>
      </c>
      <c r="V39" s="70">
        <f t="shared" si="43"/>
        <v>2.7511343642296451</v>
      </c>
      <c r="W39" s="70">
        <f t="shared" si="43"/>
        <v>0.11814491547956248</v>
      </c>
      <c r="X39" s="70">
        <f t="shared" si="43"/>
        <v>1.964790730977056</v>
      </c>
      <c r="Y39" s="70">
        <f t="shared" si="43"/>
        <v>0.35218399043311593</v>
      </c>
      <c r="Z39" s="70">
        <f t="shared" si="43"/>
        <v>1.8641503698034374</v>
      </c>
      <c r="AA39" s="70">
        <f t="shared" si="43"/>
        <v>0.96497116225124158</v>
      </c>
      <c r="AB39" s="70">
        <f t="shared" si="43"/>
        <v>0.60464690922741637</v>
      </c>
      <c r="AC39" s="70">
        <f t="shared" si="43"/>
        <v>0.4408226713865025</v>
      </c>
      <c r="AD39" s="70">
        <f t="shared" si="43"/>
        <v>1.6198385115964333</v>
      </c>
      <c r="AE39" s="70">
        <f t="shared" si="43"/>
        <v>2.064526301077414</v>
      </c>
      <c r="AF39" s="70">
        <f t="shared" si="43"/>
        <v>0.9689508767885775</v>
      </c>
      <c r="AG39" s="288">
        <f t="shared" ref="AG39" si="44">SUM(J39:AF39)</f>
        <v>57.554187533884438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209.48275862068965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415.00000000000006</v>
      </c>
      <c r="O40" s="70">
        <f t="shared" si="45"/>
        <v>238.39999999999998</v>
      </c>
      <c r="P40" s="70">
        <f t="shared" si="45"/>
        <v>183.51063829787233</v>
      </c>
      <c r="Q40" s="70">
        <f t="shared" si="45"/>
        <v>244.5</v>
      </c>
      <c r="R40" s="70">
        <f t="shared" si="45"/>
        <v>122.25</v>
      </c>
      <c r="S40" s="70">
        <f t="shared" si="45"/>
        <v>56.170212765957444</v>
      </c>
      <c r="T40" s="70">
        <f t="shared" si="45"/>
        <v>122.25</v>
      </c>
      <c r="U40" s="70">
        <f t="shared" si="45"/>
        <v>67.021276595744681</v>
      </c>
      <c r="V40" s="70">
        <f t="shared" si="45"/>
        <v>71.808510638297861</v>
      </c>
      <c r="W40" s="70">
        <f t="shared" si="45"/>
        <v>100</v>
      </c>
      <c r="X40" s="70">
        <f t="shared" si="45"/>
        <v>33.75</v>
      </c>
      <c r="Y40" s="70">
        <f t="shared" si="45"/>
        <v>62.379310344827594</v>
      </c>
      <c r="Z40" s="70">
        <f t="shared" si="45"/>
        <v>0</v>
      </c>
      <c r="AA40" s="70">
        <f t="shared" si="45"/>
        <v>45</v>
      </c>
      <c r="AB40" s="70">
        <f t="shared" si="45"/>
        <v>122.87234042553192</v>
      </c>
      <c r="AC40" s="70">
        <f t="shared" si="45"/>
        <v>4.6808510638297873</v>
      </c>
      <c r="AD40" s="70">
        <f t="shared" si="45"/>
        <v>0</v>
      </c>
      <c r="AE40" s="70">
        <f t="shared" si="45"/>
        <v>11.25</v>
      </c>
      <c r="AF40" s="70">
        <f t="shared" si="45"/>
        <v>15.448275862068968</v>
      </c>
      <c r="AG40" s="289">
        <f>SUM(J40:AF40)</f>
        <v>2335.7741746148199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1331.3701601915345</v>
      </c>
      <c r="K41" s="76">
        <f t="shared" ref="K41:AF41" si="46">K37+K38-K40-K39</f>
        <v>-3.9479108013046162</v>
      </c>
      <c r="L41" s="76">
        <f t="shared" si="46"/>
        <v>984.36213985128256</v>
      </c>
      <c r="M41" s="76">
        <f t="shared" si="46"/>
        <v>-10.497644490268256</v>
      </c>
      <c r="N41" s="76">
        <f t="shared" si="46"/>
        <v>700.07556473712077</v>
      </c>
      <c r="O41" s="76">
        <f t="shared" si="46"/>
        <v>718.96262624640406</v>
      </c>
      <c r="P41" s="76">
        <f t="shared" si="46"/>
        <v>697.93811333614337</v>
      </c>
      <c r="Q41" s="76">
        <f t="shared" si="46"/>
        <v>501.07502391624524</v>
      </c>
      <c r="R41" s="76">
        <f t="shared" si="46"/>
        <v>251.41469358520365</v>
      </c>
      <c r="S41" s="76">
        <f t="shared" si="46"/>
        <v>367.84464963890321</v>
      </c>
      <c r="T41" s="76">
        <f t="shared" si="46"/>
        <v>401.29217193912979</v>
      </c>
      <c r="U41" s="76">
        <f t="shared" si="46"/>
        <v>467.42134501326763</v>
      </c>
      <c r="V41" s="76">
        <f t="shared" si="46"/>
        <v>115.82495003561408</v>
      </c>
      <c r="W41" s="76">
        <f t="shared" si="46"/>
        <v>355.66563976963789</v>
      </c>
      <c r="X41" s="76">
        <f t="shared" si="46"/>
        <v>144.10837810323503</v>
      </c>
      <c r="Y41" s="76">
        <f t="shared" si="46"/>
        <v>60.650078415361726</v>
      </c>
      <c r="Z41" s="76">
        <f t="shared" si="46"/>
        <v>-2.0280180362149833</v>
      </c>
      <c r="AA41" s="76">
        <f t="shared" si="46"/>
        <v>203.86763921933832</v>
      </c>
      <c r="AB41" s="76">
        <f t="shared" si="46"/>
        <v>577.55659901296849</v>
      </c>
      <c r="AC41" s="76">
        <f t="shared" si="46"/>
        <v>30.315740175898469</v>
      </c>
      <c r="AD41" s="76">
        <f t="shared" si="46"/>
        <v>-1.6337254697139365</v>
      </c>
      <c r="AE41" s="76">
        <f t="shared" si="46"/>
        <v>106.49966633182562</v>
      </c>
      <c r="AF41" s="76">
        <f t="shared" si="46"/>
        <v>52.397931656746202</v>
      </c>
      <c r="AG41" s="290">
        <f>SUM(J41:AF41)</f>
        <v>8050.5358123783581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1.1221676328795436</v>
      </c>
      <c r="K43" s="70">
        <f t="shared" si="47"/>
        <v>0.45828578451392959</v>
      </c>
      <c r="L43" s="70">
        <f t="shared" si="47"/>
        <v>0.96539936011161942</v>
      </c>
      <c r="M43" s="70">
        <f t="shared" si="47"/>
        <v>-0.5172460809336562</v>
      </c>
      <c r="N43" s="70">
        <f t="shared" si="47"/>
        <v>0.40633417316411446</v>
      </c>
      <c r="O43" s="70">
        <f t="shared" si="47"/>
        <v>0.73617828090262072</v>
      </c>
      <c r="P43" s="70">
        <f t="shared" si="47"/>
        <v>0.83817196807880867</v>
      </c>
      <c r="Q43" s="70">
        <f t="shared" si="47"/>
        <v>0.48119925459158291</v>
      </c>
      <c r="R43" s="70">
        <f t="shared" si="47"/>
        <v>0.48530545234617606</v>
      </c>
      <c r="S43" s="70">
        <f t="shared" si="47"/>
        <v>1.1334968752028118</v>
      </c>
      <c r="T43" s="70">
        <f t="shared" si="47"/>
        <v>0.75813265971324384</v>
      </c>
      <c r="U43" s="70">
        <f t="shared" si="47"/>
        <v>1.168435930254506</v>
      </c>
      <c r="V43" s="70">
        <f t="shared" si="47"/>
        <v>0.35901509437937473</v>
      </c>
      <c r="W43" s="70">
        <f t="shared" si="47"/>
        <v>0.80352989254547302</v>
      </c>
      <c r="X43" s="70">
        <f t="shared" si="47"/>
        <v>0.93728615622759737</v>
      </c>
      <c r="Y43" s="70">
        <f t="shared" si="47"/>
        <v>5.9809209361239644E-2</v>
      </c>
      <c r="Z43" s="70">
        <f t="shared" si="47"/>
        <v>-9.6452327106287414E-2</v>
      </c>
      <c r="AA43" s="70">
        <f t="shared" si="47"/>
        <v>0.9385245107841943</v>
      </c>
      <c r="AB43" s="70">
        <f t="shared" si="47"/>
        <v>0.95483690715759761</v>
      </c>
      <c r="AC43" s="70">
        <f t="shared" si="47"/>
        <v>1.1425392935416057</v>
      </c>
      <c r="AD43" s="70">
        <f t="shared" si="47"/>
        <v>0.12890358418849185</v>
      </c>
      <c r="AE43" s="70">
        <f t="shared" si="47"/>
        <v>1.359774909857512</v>
      </c>
      <c r="AF43" s="70">
        <f t="shared" si="47"/>
        <v>0.81060228991939598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0.21255199645569581</v>
      </c>
      <c r="K44" s="70">
        <f t="shared" ref="K44:AF44" si="48">NORMDIST(K43,0,1,FALSE)</f>
        <v>0.35917287395497116</v>
      </c>
      <c r="L44" s="70">
        <f t="shared" si="48"/>
        <v>0.25033969699506231</v>
      </c>
      <c r="M44" s="70">
        <f t="shared" si="48"/>
        <v>0.34899060136614973</v>
      </c>
      <c r="N44" s="70">
        <f t="shared" si="48"/>
        <v>0.36733087756842209</v>
      </c>
      <c r="O44" s="70">
        <f t="shared" si="48"/>
        <v>0.3042462830836542</v>
      </c>
      <c r="P44" s="70">
        <f t="shared" si="48"/>
        <v>0.28077415343427498</v>
      </c>
      <c r="Q44" s="70">
        <f t="shared" si="48"/>
        <v>0.35532767235346069</v>
      </c>
      <c r="R44" s="70">
        <f t="shared" si="48"/>
        <v>0.35462328419009209</v>
      </c>
      <c r="S44" s="70">
        <f t="shared" si="48"/>
        <v>0.20985339392112715</v>
      </c>
      <c r="T44" s="70">
        <f t="shared" si="48"/>
        <v>0.2992963384032199</v>
      </c>
      <c r="U44" s="70">
        <f t="shared" si="48"/>
        <v>0.2015818463393183</v>
      </c>
      <c r="V44" s="70">
        <f t="shared" si="48"/>
        <v>0.37404302345762258</v>
      </c>
      <c r="W44" s="70">
        <f t="shared" si="48"/>
        <v>0.28887284300033922</v>
      </c>
      <c r="X44" s="70">
        <f t="shared" si="48"/>
        <v>0.25712544443487617</v>
      </c>
      <c r="Y44" s="70">
        <f t="shared" si="48"/>
        <v>0.39822938162789545</v>
      </c>
      <c r="Z44" s="70">
        <f t="shared" si="48"/>
        <v>0.39709089934192426</v>
      </c>
      <c r="AA44" s="70">
        <f t="shared" si="48"/>
        <v>0.25682697704743079</v>
      </c>
      <c r="AB44" s="70">
        <f t="shared" si="48"/>
        <v>0.25289135917837158</v>
      </c>
      <c r="AC44" s="70">
        <f t="shared" si="48"/>
        <v>0.20770498408136515</v>
      </c>
      <c r="AD44" s="70">
        <f t="shared" si="48"/>
        <v>0.39564157144464951</v>
      </c>
      <c r="AE44" s="70">
        <f t="shared" si="48"/>
        <v>0.15827322995857177</v>
      </c>
      <c r="AF44" s="70">
        <f t="shared" si="48"/>
        <v>0.28722868478339941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0.8691044141030293</v>
      </c>
      <c r="K45" s="70">
        <f t="shared" ref="K45:AF45" si="49">NORMDIST(K43,0,1,TRUE)</f>
        <v>0.67662643213201235</v>
      </c>
      <c r="L45" s="70">
        <f t="shared" si="49"/>
        <v>0.83282758907017185</v>
      </c>
      <c r="M45" s="70">
        <f t="shared" si="49"/>
        <v>0.30249219401390964</v>
      </c>
      <c r="N45" s="70">
        <f t="shared" si="49"/>
        <v>0.65775146024701991</v>
      </c>
      <c r="O45" s="70">
        <f t="shared" si="49"/>
        <v>0.76918889596685935</v>
      </c>
      <c r="P45" s="70">
        <f t="shared" si="49"/>
        <v>0.79903293592216118</v>
      </c>
      <c r="Q45" s="70">
        <f t="shared" si="49"/>
        <v>0.68481255470299141</v>
      </c>
      <c r="R45" s="70">
        <f t="shared" si="49"/>
        <v>0.68627015578455675</v>
      </c>
      <c r="S45" s="70">
        <f t="shared" si="49"/>
        <v>0.87149717365499113</v>
      </c>
      <c r="T45" s="70">
        <f t="shared" si="49"/>
        <v>0.77581421519647842</v>
      </c>
      <c r="U45" s="70">
        <f t="shared" si="49"/>
        <v>0.87868451556171556</v>
      </c>
      <c r="V45" s="70">
        <f t="shared" si="49"/>
        <v>0.64020810132556361</v>
      </c>
      <c r="W45" s="70">
        <f t="shared" si="49"/>
        <v>0.7891657368691487</v>
      </c>
      <c r="X45" s="70">
        <f t="shared" si="49"/>
        <v>0.82569430895485629</v>
      </c>
      <c r="Y45" s="70">
        <f t="shared" si="49"/>
        <v>0.52384620464996856</v>
      </c>
      <c r="Z45" s="70">
        <f t="shared" si="49"/>
        <v>0.46158066739235648</v>
      </c>
      <c r="AA45" s="70">
        <f t="shared" si="49"/>
        <v>0.82601253662125829</v>
      </c>
      <c r="AB45" s="70">
        <f t="shared" si="49"/>
        <v>0.83016990996057616</v>
      </c>
      <c r="AC45" s="70">
        <f t="shared" si="49"/>
        <v>0.87338503862663408</v>
      </c>
      <c r="AD45" s="70">
        <f t="shared" si="49"/>
        <v>0.55128302971942156</v>
      </c>
      <c r="AE45" s="70">
        <f t="shared" si="49"/>
        <v>0.91304941776079618</v>
      </c>
      <c r="AF45" s="70">
        <f t="shared" si="49"/>
        <v>0.79120294929580171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6.5665206675311227E-2</v>
      </c>
      <c r="K46" s="70">
        <f t="shared" ref="K46:AF46" si="50">K44-(K43*(1-K45))</f>
        <v>0.21097536471352199</v>
      </c>
      <c r="L46" s="70">
        <f t="shared" si="50"/>
        <v>8.8951558455089508E-2</v>
      </c>
      <c r="M46" s="70">
        <f t="shared" si="50"/>
        <v>0.70977378043308803</v>
      </c>
      <c r="N46" s="70">
        <f t="shared" si="50"/>
        <v>0.22826360015126937</v>
      </c>
      <c r="O46" s="70">
        <f t="shared" si="50"/>
        <v>0.13432816130330077</v>
      </c>
      <c r="P46" s="70">
        <f t="shared" si="50"/>
        <v>0.11232919381713277</v>
      </c>
      <c r="Q46" s="70">
        <f t="shared" si="50"/>
        <v>0.20365970861991484</v>
      </c>
      <c r="R46" s="70">
        <f t="shared" si="50"/>
        <v>0.20236848022862106</v>
      </c>
      <c r="S46" s="70">
        <f t="shared" si="50"/>
        <v>6.4195841804330023E-2</v>
      </c>
      <c r="T46" s="70">
        <f t="shared" si="50"/>
        <v>0.12933377310022515</v>
      </c>
      <c r="U46" s="70">
        <f t="shared" si="50"/>
        <v>5.9832475425395382E-2</v>
      </c>
      <c r="V46" s="70">
        <f t="shared" si="50"/>
        <v>0.24487230099808538</v>
      </c>
      <c r="W46" s="70">
        <f t="shared" si="50"/>
        <v>0.11946121020190228</v>
      </c>
      <c r="X46" s="70">
        <f t="shared" si="50"/>
        <v>9.3751133266578274E-2</v>
      </c>
      <c r="Y46" s="70">
        <f t="shared" si="50"/>
        <v>0.36975099959365654</v>
      </c>
      <c r="Z46" s="70">
        <f t="shared" si="50"/>
        <v>0.44902269693094565</v>
      </c>
      <c r="AA46" s="70">
        <f t="shared" si="50"/>
        <v>9.3535478097314301E-2</v>
      </c>
      <c r="AB46" s="70">
        <f t="shared" si="50"/>
        <v>9.0731321262831788E-2</v>
      </c>
      <c r="AC46" s="70">
        <f t="shared" si="50"/>
        <v>6.3042415562041959E-2</v>
      </c>
      <c r="AD46" s="70">
        <f t="shared" si="50"/>
        <v>0.33780034568928197</v>
      </c>
      <c r="AE46" s="70">
        <f t="shared" si="50"/>
        <v>4.0040009832200199E-2</v>
      </c>
      <c r="AF46" s="70">
        <f t="shared" si="50"/>
        <v>0.11797731735416003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1.3008277442379153</v>
      </c>
      <c r="K47" s="74">
        <f t="shared" si="51"/>
        <v>0.17721930635935845</v>
      </c>
      <c r="L47" s="74">
        <f t="shared" si="51"/>
        <v>0.64489879879939893</v>
      </c>
      <c r="M47" s="74">
        <f t="shared" si="51"/>
        <v>2.2854715729945436</v>
      </c>
      <c r="N47" s="74">
        <f t="shared" si="51"/>
        <v>2.8418818218833035</v>
      </c>
      <c r="O47" s="74">
        <f t="shared" si="51"/>
        <v>0.64477517425584374</v>
      </c>
      <c r="P47" s="74">
        <f t="shared" si="51"/>
        <v>1.7523354235472712</v>
      </c>
      <c r="Q47" s="74">
        <f t="shared" si="51"/>
        <v>1.8777425134756149</v>
      </c>
      <c r="R47" s="74">
        <f t="shared" si="51"/>
        <v>0.58484490786071486</v>
      </c>
      <c r="S47" s="74">
        <f t="shared" si="51"/>
        <v>0.54887444742702174</v>
      </c>
      <c r="T47" s="74">
        <f t="shared" si="51"/>
        <v>0.43456147761675645</v>
      </c>
      <c r="U47" s="74">
        <f t="shared" si="51"/>
        <v>0.47207823110636954</v>
      </c>
      <c r="V47" s="74">
        <f t="shared" si="51"/>
        <v>1.540246773277957</v>
      </c>
      <c r="W47" s="74">
        <f t="shared" si="51"/>
        <v>0.36674591531984002</v>
      </c>
      <c r="X47" s="74">
        <f t="shared" si="51"/>
        <v>0.18468973253515919</v>
      </c>
      <c r="Y47" s="74">
        <f t="shared" si="51"/>
        <v>0.52504641942299224</v>
      </c>
      <c r="Z47" s="74">
        <f t="shared" si="51"/>
        <v>0.69598518024296574</v>
      </c>
      <c r="AA47" s="74">
        <f t="shared" si="51"/>
        <v>0.32176204465476121</v>
      </c>
      <c r="AB47" s="74">
        <f t="shared" si="51"/>
        <v>0.704982366212203</v>
      </c>
      <c r="AC47" s="74">
        <f t="shared" si="51"/>
        <v>9.8346168276785453E-2</v>
      </c>
      <c r="AD47" s="74">
        <f t="shared" si="51"/>
        <v>0.40873841828403118</v>
      </c>
      <c r="AE47" s="74">
        <f t="shared" si="51"/>
        <v>8.2882820352654402E-2</v>
      </c>
      <c r="AF47" s="74">
        <f t="shared" si="51"/>
        <v>0.14039300765145044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44.699172255762086</v>
      </c>
      <c r="K48" s="74">
        <f t="shared" si="52"/>
        <v>0.82278069364064155</v>
      </c>
      <c r="L48" s="74">
        <f t="shared" si="52"/>
        <v>20.355101201200601</v>
      </c>
      <c r="M48" s="74">
        <f t="shared" si="52"/>
        <v>-0.28547157299454362</v>
      </c>
      <c r="N48" s="74">
        <f t="shared" si="52"/>
        <v>16.158118178116695</v>
      </c>
      <c r="O48" s="74">
        <f t="shared" si="52"/>
        <v>9.3552248257441555</v>
      </c>
      <c r="P48" s="74">
        <f t="shared" si="52"/>
        <v>16.247664576452728</v>
      </c>
      <c r="Q48" s="74">
        <f t="shared" si="52"/>
        <v>1.1222574865243851</v>
      </c>
      <c r="R48" s="74">
        <f t="shared" si="52"/>
        <v>3.415155092139285</v>
      </c>
      <c r="S48" s="74">
        <f t="shared" si="52"/>
        <v>8.4511255525729787</v>
      </c>
      <c r="T48" s="74">
        <f t="shared" si="52"/>
        <v>3.5654385223832437</v>
      </c>
      <c r="U48" s="74">
        <f t="shared" si="52"/>
        <v>2.5279217688936306</v>
      </c>
      <c r="V48" s="74">
        <f t="shared" si="52"/>
        <v>1.459753226722043</v>
      </c>
      <c r="W48" s="74">
        <f t="shared" si="52"/>
        <v>1.63325408468016</v>
      </c>
      <c r="X48" s="74">
        <f t="shared" si="52"/>
        <v>2.8153102674648407</v>
      </c>
      <c r="Y48" s="74">
        <f t="shared" si="52"/>
        <v>0.47495358057700776</v>
      </c>
      <c r="Z48" s="74">
        <f t="shared" si="52"/>
        <v>0.30401481975703426</v>
      </c>
      <c r="AA48" s="74">
        <f t="shared" si="52"/>
        <v>5.6782379553452387</v>
      </c>
      <c r="AB48" s="74">
        <f t="shared" si="52"/>
        <v>8.295017633787797</v>
      </c>
      <c r="AC48" s="74">
        <f t="shared" si="52"/>
        <v>1.9016538317232146</v>
      </c>
      <c r="AD48" s="74">
        <f t="shared" si="52"/>
        <v>1.5912615817159688</v>
      </c>
      <c r="AE48" s="74">
        <f t="shared" si="52"/>
        <v>0.91711717964734563</v>
      </c>
      <c r="AF48" s="74">
        <f t="shared" si="52"/>
        <v>0.85960699234854954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23.530968551581672</v>
      </c>
      <c r="K49" s="74">
        <f t="shared" ref="K49:AF49" si="53">K28-K48</f>
        <v>0.56217936535105928</v>
      </c>
      <c r="L49" s="74">
        <f t="shared" si="53"/>
        <v>7.6440441596086401</v>
      </c>
      <c r="M49" s="74">
        <f t="shared" si="53"/>
        <v>0.61993919238817052</v>
      </c>
      <c r="N49" s="74">
        <f t="shared" si="53"/>
        <v>7.9007422777765299</v>
      </c>
      <c r="O49" s="74">
        <f t="shared" si="53"/>
        <v>4.178430922588424</v>
      </c>
      <c r="P49" s="74">
        <f t="shared" si="53"/>
        <v>14.827818125576687</v>
      </c>
      <c r="Q49" s="74">
        <f t="shared" si="53"/>
        <v>6.3143996408100094</v>
      </c>
      <c r="R49" s="74">
        <f t="shared" si="53"/>
        <v>1.9873776651411639</v>
      </c>
      <c r="S49" s="74">
        <f t="shared" si="53"/>
        <v>10.240272730411064</v>
      </c>
      <c r="T49" s="74">
        <f t="shared" si="53"/>
        <v>2.9818872142532555</v>
      </c>
      <c r="U49" s="74">
        <f t="shared" si="53"/>
        <v>9.6910377208144212</v>
      </c>
      <c r="V49" s="74">
        <f t="shared" si="53"/>
        <v>3.798451716924224</v>
      </c>
      <c r="W49" s="74">
        <f t="shared" si="53"/>
        <v>2.8335826854344424</v>
      </c>
      <c r="X49" s="74">
        <f t="shared" si="53"/>
        <v>2.0311434603035261</v>
      </c>
      <c r="Y49" s="74">
        <f t="shared" si="53"/>
        <v>0.60997549671595253</v>
      </c>
      <c r="Z49" s="74">
        <f t="shared" si="53"/>
        <v>0.54648407322822024</v>
      </c>
      <c r="AA49" s="74">
        <f t="shared" si="53"/>
        <v>3.5502863617523897</v>
      </c>
      <c r="AB49" s="74">
        <f t="shared" si="53"/>
        <v>8.1240651348267363</v>
      </c>
      <c r="AC49" s="74">
        <f t="shared" si="53"/>
        <v>1.8807074662016905</v>
      </c>
      <c r="AD49" s="74">
        <f t="shared" si="53"/>
        <v>0.56471175515210636</v>
      </c>
      <c r="AE49" s="74">
        <f t="shared" si="53"/>
        <v>2.8976168837577041</v>
      </c>
      <c r="AF49" s="74">
        <f t="shared" si="53"/>
        <v>1.1050097326555317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2234.9586127881043</v>
      </c>
      <c r="K50" s="70">
        <f t="shared" ref="K50:AF50" si="54">K48*K20</f>
        <v>164.5561387281283</v>
      </c>
      <c r="L50" s="70">
        <f t="shared" si="54"/>
        <v>1221.3060720720359</v>
      </c>
      <c r="M50" s="70">
        <f t="shared" si="54"/>
        <v>-14.273578649727181</v>
      </c>
      <c r="N50" s="70">
        <f t="shared" si="54"/>
        <v>727.1153180152512</v>
      </c>
      <c r="O50" s="70">
        <f t="shared" si="54"/>
        <v>561.31348954464931</v>
      </c>
      <c r="P50" s="70">
        <f t="shared" si="54"/>
        <v>812.3832288226364</v>
      </c>
      <c r="Q50" s="70">
        <f t="shared" si="54"/>
        <v>56.112874326219256</v>
      </c>
      <c r="R50" s="70">
        <f t="shared" si="54"/>
        <v>170.75775460696426</v>
      </c>
      <c r="S50" s="70">
        <f t="shared" si="54"/>
        <v>422.55627762864896</v>
      </c>
      <c r="T50" s="70">
        <f t="shared" si="54"/>
        <v>249.58069656682704</v>
      </c>
      <c r="U50" s="70">
        <f t="shared" si="54"/>
        <v>176.95452382255414</v>
      </c>
      <c r="V50" s="70">
        <f t="shared" si="54"/>
        <v>72.98766133610215</v>
      </c>
      <c r="W50" s="70">
        <f t="shared" si="54"/>
        <v>130.66032677441279</v>
      </c>
      <c r="X50" s="70">
        <f t="shared" si="54"/>
        <v>168.91861604789045</v>
      </c>
      <c r="Y50" s="70">
        <f t="shared" si="54"/>
        <v>28.497214834620465</v>
      </c>
      <c r="Z50" s="70">
        <f t="shared" si="54"/>
        <v>18.240889185422056</v>
      </c>
      <c r="AA50" s="70">
        <f t="shared" si="54"/>
        <v>283.91189776726196</v>
      </c>
      <c r="AB50" s="70">
        <f t="shared" si="54"/>
        <v>414.75088168938987</v>
      </c>
      <c r="AC50" s="70">
        <f t="shared" si="54"/>
        <v>95.082691586160735</v>
      </c>
      <c r="AD50" s="70">
        <f t="shared" si="54"/>
        <v>95.475694902958125</v>
      </c>
      <c r="AE50" s="70">
        <f t="shared" si="54"/>
        <v>110.05406155768148</v>
      </c>
      <c r="AF50" s="70">
        <f t="shared" si="54"/>
        <v>85.960699234854957</v>
      </c>
      <c r="AG50" s="186">
        <f>SUM(J50:AF50)</f>
        <v>8287.8620431890449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1173.3717468246202</v>
      </c>
      <c r="K51" s="70">
        <f t="shared" ref="K51:AF51" si="55">(K20-K22)*K49</f>
        <v>111.61565337616466</v>
      </c>
      <c r="L51" s="70">
        <f t="shared" si="55"/>
        <v>457.0374003030006</v>
      </c>
      <c r="M51" s="70">
        <f t="shared" si="55"/>
        <v>30.525805833193516</v>
      </c>
      <c r="N51" s="70">
        <f t="shared" si="55"/>
        <v>352.91035606372202</v>
      </c>
      <c r="O51" s="70">
        <f t="shared" si="55"/>
        <v>249.46068294037408</v>
      </c>
      <c r="P51" s="70">
        <f t="shared" si="55"/>
        <v>738.32154792684003</v>
      </c>
      <c r="Q51" s="70">
        <f t="shared" si="55"/>
        <v>313.66148775759638</v>
      </c>
      <c r="R51" s="70">
        <f t="shared" si="55"/>
        <v>98.720998138222171</v>
      </c>
      <c r="S51" s="70">
        <f t="shared" si="55"/>
        <v>510.66192052013895</v>
      </c>
      <c r="T51" s="70">
        <f t="shared" si="55"/>
        <v>207.76000976588134</v>
      </c>
      <c r="U51" s="70">
        <f t="shared" si="55"/>
        <v>676.67670885586699</v>
      </c>
      <c r="V51" s="70">
        <f t="shared" si="55"/>
        <v>188.49816645236461</v>
      </c>
      <c r="W51" s="70">
        <f t="shared" si="55"/>
        <v>225.69486089485335</v>
      </c>
      <c r="X51" s="70">
        <f t="shared" si="55"/>
        <v>121.41160033964327</v>
      </c>
      <c r="Y51" s="70">
        <f t="shared" si="55"/>
        <v>36.230714578437428</v>
      </c>
      <c r="Z51" s="70">
        <f t="shared" si="55"/>
        <v>32.420167644264168</v>
      </c>
      <c r="AA51" s="70">
        <f t="shared" si="55"/>
        <v>176.87526654250405</v>
      </c>
      <c r="AB51" s="70">
        <f t="shared" si="55"/>
        <v>404.78154534274216</v>
      </c>
      <c r="AC51" s="70">
        <f t="shared" si="55"/>
        <v>93.787119924545905</v>
      </c>
      <c r="AD51" s="70">
        <f t="shared" si="55"/>
        <v>33.566466726241202</v>
      </c>
      <c r="AE51" s="70">
        <f t="shared" si="55"/>
        <v>347.06206225207904</v>
      </c>
      <c r="AF51" s="70">
        <f t="shared" si="55"/>
        <v>110.0059289053235</v>
      </c>
      <c r="AG51" s="51">
        <f>SUM(J51:AF51)</f>
        <v>6691.0582179086186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0.78049664654274908</v>
      </c>
      <c r="K52" s="70">
        <f t="shared" ref="K52:AF52" si="56">K47*K23</f>
        <v>0.65571143352962635</v>
      </c>
      <c r="L52" s="70">
        <f t="shared" si="56"/>
        <v>0.96734819819909834</v>
      </c>
      <c r="M52" s="70">
        <f t="shared" si="56"/>
        <v>9.1418862919781745</v>
      </c>
      <c r="N52" s="70">
        <f t="shared" si="56"/>
        <v>7.9572691012732495</v>
      </c>
      <c r="O52" s="70">
        <f t="shared" si="56"/>
        <v>2.0632805576186999</v>
      </c>
      <c r="P52" s="70">
        <f t="shared" si="56"/>
        <v>1.0514012541283626</v>
      </c>
      <c r="Q52" s="70">
        <f t="shared" si="56"/>
        <v>1.6899682621280532</v>
      </c>
      <c r="R52" s="70">
        <f t="shared" si="56"/>
        <v>0.52636041707464332</v>
      </c>
      <c r="S52" s="70">
        <f t="shared" si="56"/>
        <v>0.16466233422810653</v>
      </c>
      <c r="T52" s="70">
        <f t="shared" si="56"/>
        <v>0.39110532985508079</v>
      </c>
      <c r="U52" s="70">
        <f t="shared" si="56"/>
        <v>0.23603911555318477</v>
      </c>
      <c r="V52" s="70">
        <f t="shared" si="56"/>
        <v>2.0023208052613444</v>
      </c>
      <c r="W52" s="70">
        <f t="shared" si="56"/>
        <v>0.25672214072388805</v>
      </c>
      <c r="X52" s="70">
        <f t="shared" si="56"/>
        <v>0.46172433133789798</v>
      </c>
      <c r="Y52" s="70">
        <f t="shared" si="56"/>
        <v>0.99758819690368528</v>
      </c>
      <c r="Z52" s="70">
        <f t="shared" si="56"/>
        <v>1.0439777703644486</v>
      </c>
      <c r="AA52" s="70">
        <f t="shared" si="56"/>
        <v>0.16088102232738061</v>
      </c>
      <c r="AB52" s="70">
        <f t="shared" si="56"/>
        <v>0.3524911831061015</v>
      </c>
      <c r="AC52" s="70">
        <f t="shared" si="56"/>
        <v>2.9503850483035634E-2</v>
      </c>
      <c r="AD52" s="70">
        <f t="shared" si="56"/>
        <v>0.32699073462722494</v>
      </c>
      <c r="AE52" s="70">
        <f t="shared" si="56"/>
        <v>0.20720705088163599</v>
      </c>
      <c r="AF52" s="70">
        <f t="shared" si="56"/>
        <v>0.21058951147717564</v>
      </c>
      <c r="AG52" s="51">
        <f>SUM(J52:AF52)</f>
        <v>31.675525539602841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460.55345044957039</v>
      </c>
      <c r="K53" s="70">
        <f t="shared" ref="K53:AF53" si="57">K21*K28</f>
        <v>101.03283630344458</v>
      </c>
      <c r="L53" s="70">
        <f t="shared" si="57"/>
        <v>293.99102628849704</v>
      </c>
      <c r="M53" s="70">
        <f t="shared" si="57"/>
        <v>12.709769536957822</v>
      </c>
      <c r="N53" s="70">
        <f t="shared" si="57"/>
        <v>399.37708356782758</v>
      </c>
      <c r="O53" s="70">
        <f t="shared" si="57"/>
        <v>201.6514706501554</v>
      </c>
      <c r="P53" s="70">
        <f t="shared" si="57"/>
        <v>321.63124596600443</v>
      </c>
      <c r="Q53" s="70">
        <f t="shared" si="57"/>
        <v>121.21751117555064</v>
      </c>
      <c r="R53" s="70">
        <f t="shared" si="57"/>
        <v>88.061283943671327</v>
      </c>
      <c r="S53" s="70">
        <f t="shared" si="57"/>
        <v>123.36322866769467</v>
      </c>
      <c r="T53" s="70">
        <f t="shared" si="57"/>
        <v>106.72140950717494</v>
      </c>
      <c r="U53" s="70">
        <f t="shared" si="57"/>
        <v>106.91589553494545</v>
      </c>
      <c r="V53" s="70">
        <f t="shared" si="57"/>
        <v>98.591342693367508</v>
      </c>
      <c r="W53" s="70">
        <f t="shared" si="57"/>
        <v>78.169643477005536</v>
      </c>
      <c r="X53" s="70">
        <f t="shared" si="57"/>
        <v>54.522604437394129</v>
      </c>
      <c r="Y53" s="70">
        <f t="shared" si="57"/>
        <v>32.710611680382755</v>
      </c>
      <c r="Z53" s="70">
        <f t="shared" si="57"/>
        <v>28.704337638252341</v>
      </c>
      <c r="AA53" s="70">
        <f t="shared" si="57"/>
        <v>83.05671885387865</v>
      </c>
      <c r="AB53" s="70">
        <f t="shared" si="57"/>
        <v>143.66697422537717</v>
      </c>
      <c r="AC53" s="70">
        <f t="shared" si="57"/>
        <v>24.963584566304373</v>
      </c>
      <c r="AD53" s="70">
        <f t="shared" si="57"/>
        <v>60.3672534323061</v>
      </c>
      <c r="AE53" s="70">
        <f t="shared" si="57"/>
        <v>42.915758213306809</v>
      </c>
      <c r="AF53" s="70">
        <f t="shared" si="57"/>
        <v>44.007414640091419</v>
      </c>
      <c r="AG53" s="67">
        <f>SUM(J53:AF53)</f>
        <v>3028.9024554491602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2946.9964125166111</v>
      </c>
      <c r="K54" s="79">
        <f t="shared" ref="K54:AF54" si="58">K50+K51-K53-K52</f>
        <v>174.48324436731878</v>
      </c>
      <c r="L54" s="79">
        <f t="shared" si="58"/>
        <v>1383.3850978883404</v>
      </c>
      <c r="M54" s="79">
        <f t="shared" si="58"/>
        <v>-5.5994286454696613</v>
      </c>
      <c r="N54" s="79">
        <f t="shared" si="58"/>
        <v>672.69132140987233</v>
      </c>
      <c r="O54" s="79">
        <f t="shared" si="58"/>
        <v>607.05942127724938</v>
      </c>
      <c r="P54" s="79">
        <f t="shared" si="58"/>
        <v>1228.0221295293436</v>
      </c>
      <c r="Q54" s="79">
        <f t="shared" si="58"/>
        <v>246.86688264613693</v>
      </c>
      <c r="R54" s="79">
        <f t="shared" si="58"/>
        <v>180.89110838444043</v>
      </c>
      <c r="S54" s="79">
        <f t="shared" si="58"/>
        <v>809.69030714686517</v>
      </c>
      <c r="T54" s="79">
        <f t="shared" si="58"/>
        <v>350.22819149567835</v>
      </c>
      <c r="U54" s="79">
        <f t="shared" si="58"/>
        <v>746.47929802792248</v>
      </c>
      <c r="V54" s="79">
        <f t="shared" si="58"/>
        <v>160.89216428983789</v>
      </c>
      <c r="W54" s="79">
        <f t="shared" si="58"/>
        <v>277.92882205153671</v>
      </c>
      <c r="X54" s="79">
        <f t="shared" si="58"/>
        <v>235.34588761880167</v>
      </c>
      <c r="Y54" s="79">
        <f t="shared" si="58"/>
        <v>31.019729535771454</v>
      </c>
      <c r="Z54" s="79">
        <f t="shared" si="58"/>
        <v>20.912741421069434</v>
      </c>
      <c r="AA54" s="79">
        <f t="shared" si="58"/>
        <v>377.56956443356</v>
      </c>
      <c r="AB54" s="79">
        <f>AB50+AB51-AB53-AB52</f>
        <v>675.51296162364883</v>
      </c>
      <c r="AC54" s="79">
        <f t="shared" si="58"/>
        <v>163.87672309391925</v>
      </c>
      <c r="AD54" s="79">
        <f t="shared" si="58"/>
        <v>68.347917462265983</v>
      </c>
      <c r="AE54" s="79">
        <f t="shared" si="58"/>
        <v>413.9931585455721</v>
      </c>
      <c r="AF54" s="79">
        <f t="shared" si="58"/>
        <v>151.74862398860986</v>
      </c>
      <c r="AG54" s="68">
        <f>SUM(J54:AF54)</f>
        <v>11918.342280108902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3867.8064677305438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DBAE9-012F-0248-8055-C53E6D710DBE}">
  <dimension ref="A1:BJ75"/>
  <sheetViews>
    <sheetView topLeftCell="AN4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15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47</v>
      </c>
      <c r="K2" s="262">
        <f>_xlfn.XLOOKUP($B$1,daily_demand!$E$1:$AH$1,daily_demand!$E$3:$AH$3)</f>
        <v>1</v>
      </c>
      <c r="L2" s="263">
        <f>_xlfn.XLOOKUP($B$1,daily_demand!$E$1:$AH$1,daily_demand!$E$4:$AH$4)</f>
        <v>17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21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3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2.2475920834550061</v>
      </c>
      <c r="AJ4" s="45">
        <f t="shared" ref="AJ4:AJ18" si="1">K4*K$28</f>
        <v>0.72519697790701265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1.1880510170639191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0.84541671998538126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0.31444808166539029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0.5329439038188839</v>
      </c>
      <c r="BF4" s="44">
        <f>SUM(AI4:BE4)</f>
        <v>5.8536487838955944</v>
      </c>
      <c r="BG4" s="54">
        <f>ROUNDUP(BF4*2, 0)</f>
        <v>12</v>
      </c>
      <c r="BH4" s="86">
        <f>CEILING($BG$1*BG4, 0.5)</f>
        <v>6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2.2475920834550061</v>
      </c>
      <c r="AJ5" s="45">
        <f t="shared" si="1"/>
        <v>0.96692930387601694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0.31444808166539029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0.66617987977360493</v>
      </c>
      <c r="BF5" s="44">
        <f t="shared" ref="BF5:BF19" si="23">SUM(AI5:BE5)</f>
        <v>4.195149348770018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225</v>
      </c>
      <c r="C6" s="7">
        <f>B6*0.02</f>
        <v>4.5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0.48346465193800847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1.1880510170639191</v>
      </c>
      <c r="AP6" s="45">
        <f t="shared" si="7"/>
        <v>0</v>
      </c>
      <c r="AQ6" s="45">
        <f t="shared" si="8"/>
        <v>0</v>
      </c>
      <c r="AR6" s="45">
        <f t="shared" si="9"/>
        <v>0.727737785348474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0.31444808166539029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0.25335455956797487</v>
      </c>
      <c r="BC6" s="45">
        <f t="shared" si="20"/>
        <v>0</v>
      </c>
      <c r="BD6" s="45">
        <f t="shared" si="21"/>
        <v>0</v>
      </c>
      <c r="BE6" s="45">
        <f t="shared" si="22"/>
        <v>0.5329439038188839</v>
      </c>
      <c r="BF6" s="44">
        <f t="shared" si="23"/>
        <v>3.4999999994026512</v>
      </c>
      <c r="BG6" s="54">
        <f t="shared" si="24"/>
        <v>7</v>
      </c>
      <c r="BH6" s="86">
        <f t="shared" si="25"/>
        <v>3.5</v>
      </c>
      <c r="BI6" s="6"/>
    </row>
    <row r="7" spans="1:61" ht="24" x14ac:dyDescent="0.2">
      <c r="A7" s="286" t="s">
        <v>47</v>
      </c>
      <c r="B7" s="295">
        <f>_xlfn.XLOOKUP($B$1,cost!$A$16:$A$45,cost!$E$16:$E$45)</f>
        <v>200</v>
      </c>
      <c r="C7" s="7">
        <f>B7*0.02</f>
        <v>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4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0.72519697790701265</v>
      </c>
      <c r="AK7" s="45">
        <f t="shared" si="2"/>
        <v>0</v>
      </c>
      <c r="AL7" s="45">
        <f t="shared" si="3"/>
        <v>0</v>
      </c>
      <c r="AM7" s="45">
        <f t="shared" si="4"/>
        <v>1.1317659647893681</v>
      </c>
      <c r="AN7" s="45">
        <f t="shared" si="5"/>
        <v>0.80387931321114436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0.97640366982963611</v>
      </c>
      <c r="AU7" s="45">
        <f t="shared" si="12"/>
        <v>0.52838544999086323</v>
      </c>
      <c r="AV7" s="45">
        <f t="shared" si="13"/>
        <v>0</v>
      </c>
      <c r="AW7" s="45">
        <f t="shared" si="14"/>
        <v>0</v>
      </c>
      <c r="AX7" s="45">
        <f t="shared" si="15"/>
        <v>0.39306010208173792</v>
      </c>
      <c r="AY7" s="45">
        <f t="shared" si="16"/>
        <v>0.39389874376213929</v>
      </c>
      <c r="AZ7" s="45">
        <f t="shared" si="17"/>
        <v>0</v>
      </c>
      <c r="BA7" s="45">
        <f t="shared" si="18"/>
        <v>1.0693228814343052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6.0219131030062059</v>
      </c>
      <c r="BG7" s="54">
        <f t="shared" si="24"/>
        <v>13</v>
      </c>
      <c r="BH7" s="86">
        <f t="shared" si="25"/>
        <v>6.5</v>
      </c>
      <c r="BI7" s="6"/>
    </row>
    <row r="8" spans="1:61" ht="24" x14ac:dyDescent="0.2">
      <c r="A8" s="286" t="s">
        <v>46</v>
      </c>
      <c r="B8" s="295">
        <f>_xlfn.XLOOKUP($B$1,cost!$A$16:$A$45,cost!$F$16:$F$45)</f>
        <v>190</v>
      </c>
      <c r="C8" s="7">
        <f t="shared" ref="C8:C19" si="26">B8*0.02</f>
        <v>3.8000000000000003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0.24173232596900424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0.60290948490835827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0.15722404083269514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0.26647195190944195</v>
      </c>
      <c r="BF8" s="44">
        <f t="shared" si="23"/>
        <v>1.2683378036194997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5.0242457075696523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5.0242457075696523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5.6588298239468404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5.6588298239468404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200</v>
      </c>
      <c r="C11" s="7">
        <f t="shared" si="26"/>
        <v>4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1.1317659647893681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1.1317659647893681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0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4.6253426487583083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4.6253426487583083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1.2086616298450212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0.26266295676515417</v>
      </c>
      <c r="AQ13" s="45">
        <f t="shared" si="8"/>
        <v>0.22187924563227221</v>
      </c>
      <c r="AR13" s="45">
        <f t="shared" si="9"/>
        <v>0</v>
      </c>
      <c r="AS13" s="45">
        <f t="shared" si="10"/>
        <v>0.29013683497299192</v>
      </c>
      <c r="AT13" s="45">
        <f t="shared" si="11"/>
        <v>0</v>
      </c>
      <c r="AU13" s="45">
        <f t="shared" si="12"/>
        <v>0</v>
      </c>
      <c r="AV13" s="45">
        <f t="shared" si="13"/>
        <v>0.94905499289694684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2.9323956601123862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1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0.96692930387601694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0.72469595916113105</v>
      </c>
      <c r="BD14" s="45">
        <f t="shared" si="21"/>
        <v>0</v>
      </c>
      <c r="BE14" s="45">
        <f t="shared" si="22"/>
        <v>0</v>
      </c>
      <c r="BF14" s="44">
        <f t="shared" si="23"/>
        <v>1.691625263037148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3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1.2086616298450212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0.65665739191288541</v>
      </c>
      <c r="AQ15" s="45">
        <f t="shared" si="8"/>
        <v>0.55469811408068048</v>
      </c>
      <c r="AR15" s="45">
        <f t="shared" si="9"/>
        <v>0</v>
      </c>
      <c r="AS15" s="45">
        <f t="shared" si="10"/>
        <v>0.72534208743247985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0.69566614447698916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3.8410253677480561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1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1.2086616298450212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0.78779748752427858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1.9964591173692998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1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1.2086616298450212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0.26266295676515417</v>
      </c>
      <c r="AQ17" s="45">
        <f t="shared" si="8"/>
        <v>0.22187924563227221</v>
      </c>
      <c r="AR17" s="45">
        <f t="shared" si="9"/>
        <v>0</v>
      </c>
      <c r="AS17" s="45">
        <f t="shared" si="10"/>
        <v>0.29013683497299192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1.9833406672154394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2.4993854755674789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2.4993854755674789</v>
      </c>
      <c r="BG18" s="54">
        <f t="shared" si="24"/>
        <v>5</v>
      </c>
      <c r="BH18" s="86">
        <f t="shared" si="25"/>
        <v>2.5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2.9239405281004625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4.3694520012234417</v>
      </c>
      <c r="BE19" s="45">
        <f t="shared" si="27"/>
        <v>0</v>
      </c>
      <c r="BF19" s="44">
        <f t="shared" si="23"/>
        <v>7.2933925293239046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26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59.516857264131829</v>
      </c>
      <c r="BG20" s="54">
        <f>SUM(BG4:BG19)</f>
        <v>126</v>
      </c>
      <c r="BH20" s="86">
        <f>SUM(BH4:BH19)</f>
        <v>63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71.099999999999994</v>
      </c>
      <c r="L21" s="4">
        <f t="shared" si="28"/>
        <v>10.5</v>
      </c>
      <c r="M21" s="4">
        <f t="shared" si="28"/>
        <v>38</v>
      </c>
      <c r="N21" s="4">
        <f t="shared" si="28"/>
        <v>18</v>
      </c>
      <c r="O21" s="4">
        <f t="shared" si="28"/>
        <v>16.2</v>
      </c>
      <c r="P21" s="4">
        <f t="shared" si="28"/>
        <v>10.5</v>
      </c>
      <c r="Q21" s="4">
        <f t="shared" si="28"/>
        <v>16.3</v>
      </c>
      <c r="R21" s="4">
        <f t="shared" si="28"/>
        <v>16.3</v>
      </c>
      <c r="S21" s="4">
        <f t="shared" si="28"/>
        <v>6.75</v>
      </c>
      <c r="T21" s="4">
        <f t="shared" si="28"/>
        <v>16.3</v>
      </c>
      <c r="U21" s="4">
        <f t="shared" si="28"/>
        <v>10</v>
      </c>
      <c r="V21" s="4">
        <f t="shared" si="28"/>
        <v>20</v>
      </c>
      <c r="W21" s="4">
        <f t="shared" si="28"/>
        <v>17.5</v>
      </c>
      <c r="X21" s="4">
        <f t="shared" si="28"/>
        <v>11.25</v>
      </c>
      <c r="Y21" s="4">
        <f t="shared" si="28"/>
        <v>31.8</v>
      </c>
      <c r="Z21" s="4">
        <f t="shared" si="28"/>
        <v>31</v>
      </c>
      <c r="AA21" s="4">
        <f t="shared" si="28"/>
        <v>9</v>
      </c>
      <c r="AB21" s="4">
        <f t="shared" si="28"/>
        <v>10</v>
      </c>
      <c r="AC21" s="4">
        <f t="shared" si="28"/>
        <v>6.75</v>
      </c>
      <c r="AD21" s="4">
        <f t="shared" si="28"/>
        <v>26.400000000000002</v>
      </c>
      <c r="AE21" s="4">
        <f t="shared" si="28"/>
        <v>11.25</v>
      </c>
      <c r="AF21" s="4">
        <f t="shared" si="28"/>
        <v>22.8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3575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1.4219999999999999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0.36</v>
      </c>
      <c r="O22" s="4">
        <f t="shared" si="29"/>
        <v>0.32400000000000001</v>
      </c>
      <c r="P22" s="4">
        <f t="shared" si="29"/>
        <v>0.21000000000000002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0.13500000000000001</v>
      </c>
      <c r="T22" s="4">
        <f t="shared" si="29"/>
        <v>0.32600000000000001</v>
      </c>
      <c r="U22" s="4">
        <f t="shared" si="29"/>
        <v>0.2</v>
      </c>
      <c r="V22" s="4">
        <f t="shared" si="29"/>
        <v>0.4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0.63600000000000012</v>
      </c>
      <c r="Z22" s="4">
        <f t="shared" si="29"/>
        <v>0.62000000000000011</v>
      </c>
      <c r="AA22" s="4">
        <f t="shared" si="29"/>
        <v>0.18000000000000002</v>
      </c>
      <c r="AB22" s="4">
        <f t="shared" si="29"/>
        <v>0.2</v>
      </c>
      <c r="AC22" s="4">
        <f t="shared" si="29"/>
        <v>0.13500000000000001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0.45600000000000002</v>
      </c>
      <c r="AG22" s="9"/>
      <c r="BF22" s="432" t="s">
        <v>131</v>
      </c>
      <c r="BG22" s="432"/>
      <c r="BH22" s="41">
        <f>SUMPRODUCT(B4:B19,BH4:BH19)</f>
        <v>7692.5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69.677999999999997</v>
      </c>
      <c r="L25" s="69">
        <f t="shared" si="31"/>
        <v>10.29</v>
      </c>
      <c r="M25" s="69">
        <f t="shared" si="31"/>
        <v>37.24</v>
      </c>
      <c r="N25" s="69">
        <f t="shared" si="31"/>
        <v>17.64</v>
      </c>
      <c r="O25" s="69">
        <f t="shared" si="31"/>
        <v>15.875999999999999</v>
      </c>
      <c r="P25" s="69">
        <f t="shared" si="31"/>
        <v>10.29</v>
      </c>
      <c r="Q25" s="69">
        <f t="shared" si="31"/>
        <v>15.974</v>
      </c>
      <c r="R25" s="69">
        <f t="shared" si="31"/>
        <v>15.974</v>
      </c>
      <c r="S25" s="69">
        <f t="shared" si="31"/>
        <v>6.6150000000000002</v>
      </c>
      <c r="T25" s="69">
        <f t="shared" si="31"/>
        <v>15.974</v>
      </c>
      <c r="U25" s="69">
        <f t="shared" si="31"/>
        <v>9.8000000000000007</v>
      </c>
      <c r="V25" s="69">
        <f t="shared" si="31"/>
        <v>19.600000000000001</v>
      </c>
      <c r="W25" s="69">
        <f t="shared" si="31"/>
        <v>17.149999999999999</v>
      </c>
      <c r="X25" s="69">
        <f t="shared" si="31"/>
        <v>11.025</v>
      </c>
      <c r="Y25" s="69">
        <f t="shared" si="31"/>
        <v>31.164000000000001</v>
      </c>
      <c r="Z25" s="69">
        <f t="shared" si="31"/>
        <v>30.38</v>
      </c>
      <c r="AA25" s="69">
        <f t="shared" si="31"/>
        <v>8.82</v>
      </c>
      <c r="AB25" s="69">
        <f t="shared" si="31"/>
        <v>9.8000000000000007</v>
      </c>
      <c r="AC25" s="69">
        <f t="shared" si="31"/>
        <v>6.6150000000000002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22.344000000000001</v>
      </c>
      <c r="AG25" s="16"/>
      <c r="BF25" s="434" t="s">
        <v>42</v>
      </c>
      <c r="BG25" s="434"/>
      <c r="BH25" s="39">
        <f>AG50+AG51-AG52-BH22</f>
        <v>21623.575540736645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132.6</v>
      </c>
      <c r="L26" s="4">
        <f t="shared" si="32"/>
        <v>51</v>
      </c>
      <c r="M26" s="4">
        <f t="shared" si="32"/>
        <v>16</v>
      </c>
      <c r="N26" s="4">
        <f t="shared" si="32"/>
        <v>29.8</v>
      </c>
      <c r="O26" s="4">
        <f t="shared" si="32"/>
        <v>47</v>
      </c>
      <c r="P26" s="4">
        <f t="shared" si="32"/>
        <v>40.1</v>
      </c>
      <c r="Q26" s="4">
        <f t="shared" si="32"/>
        <v>34.6</v>
      </c>
      <c r="R26" s="4">
        <f t="shared" si="32"/>
        <v>34.6</v>
      </c>
      <c r="S26" s="4">
        <f t="shared" si="32"/>
        <v>43.55</v>
      </c>
      <c r="T26" s="4">
        <f t="shared" si="32"/>
        <v>54.6</v>
      </c>
      <c r="U26" s="4">
        <f t="shared" si="32"/>
        <v>60.5</v>
      </c>
      <c r="V26" s="4">
        <f t="shared" si="32"/>
        <v>31.3</v>
      </c>
      <c r="W26" s="4">
        <f t="shared" si="32"/>
        <v>63.2</v>
      </c>
      <c r="X26" s="4">
        <f t="shared" si="32"/>
        <v>51.25</v>
      </c>
      <c r="Y26" s="4">
        <f t="shared" si="32"/>
        <v>30.099999999999998</v>
      </c>
      <c r="Z26" s="4">
        <f t="shared" si="32"/>
        <v>30.5</v>
      </c>
      <c r="AA26" s="4">
        <f t="shared" si="32"/>
        <v>41.5</v>
      </c>
      <c r="AB26" s="4">
        <f t="shared" si="32"/>
        <v>40.5</v>
      </c>
      <c r="AC26" s="4">
        <f t="shared" si="32"/>
        <v>43.55</v>
      </c>
      <c r="AD26" s="4">
        <f t="shared" si="32"/>
        <v>34.399999999999991</v>
      </c>
      <c r="AE26" s="4">
        <f t="shared" si="32"/>
        <v>111.25</v>
      </c>
      <c r="AF26" s="4">
        <f t="shared" si="32"/>
        <v>78.7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0.65553347373416782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0.62816188870151779</v>
      </c>
      <c r="O27" s="70">
        <f t="shared" si="33"/>
        <v>0.74750302182072659</v>
      </c>
      <c r="P27" s="70">
        <f t="shared" si="33"/>
        <v>0.79579281603492757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0.86813515399182695</v>
      </c>
      <c r="T27" s="70">
        <f t="shared" si="33"/>
        <v>0.77365602063082728</v>
      </c>
      <c r="U27" s="70">
        <f t="shared" si="33"/>
        <v>0.86059743954480805</v>
      </c>
      <c r="V27" s="70">
        <f t="shared" si="33"/>
        <v>0.61493123772102154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0.49131627056672761</v>
      </c>
      <c r="Z27" s="70">
        <f t="shared" si="33"/>
        <v>0.50098554533508544</v>
      </c>
      <c r="AA27" s="70">
        <f t="shared" si="33"/>
        <v>0.82472178060413359</v>
      </c>
      <c r="AB27" s="70">
        <f t="shared" si="33"/>
        <v>0.80516898608349907</v>
      </c>
      <c r="AC27" s="70">
        <f t="shared" si="33"/>
        <v>0.86813515399182695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0.77886861169391541</v>
      </c>
      <c r="AG27" s="9"/>
      <c r="BF27" s="430" t="s">
        <v>130</v>
      </c>
      <c r="BG27" s="430"/>
      <c r="BH27" s="40">
        <f>BH25-AG41</f>
        <v>10365.437774055552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74.91973611516687</v>
      </c>
      <c r="K28" s="72">
        <v>24.173232596900423</v>
      </c>
      <c r="L28" s="72">
        <v>30.835617658388724</v>
      </c>
      <c r="M28" s="72">
        <v>6.2484636889186964</v>
      </c>
      <c r="N28" s="72">
        <v>28.2941491197342</v>
      </c>
      <c r="O28" s="72">
        <v>20.096982830278609</v>
      </c>
      <c r="P28" s="72">
        <v>39.601700568797305</v>
      </c>
      <c r="Q28" s="72">
        <v>13.133147838257708</v>
      </c>
      <c r="R28" s="72">
        <v>11.09396228161361</v>
      </c>
      <c r="S28" s="72">
        <v>24.257926178282467</v>
      </c>
      <c r="T28" s="72">
        <v>14.506841748649595</v>
      </c>
      <c r="U28" s="72">
        <v>19.52807339659272</v>
      </c>
      <c r="V28" s="72">
        <v>10.567708999817265</v>
      </c>
      <c r="W28" s="72">
        <v>13.557928469956382</v>
      </c>
      <c r="X28" s="72">
        <v>11.69576211240185</v>
      </c>
      <c r="Y28" s="72">
        <v>7.8612020416347574</v>
      </c>
      <c r="Z28" s="72">
        <v>7.8779748752427849</v>
      </c>
      <c r="AA28" s="72">
        <v>13.913322889539781</v>
      </c>
      <c r="AB28" s="72">
        <v>21.386457628686102</v>
      </c>
      <c r="AC28" s="72">
        <v>8.4451519855991624</v>
      </c>
      <c r="AD28" s="72">
        <v>9.0586994895141384</v>
      </c>
      <c r="AE28" s="72">
        <v>17.477808004893767</v>
      </c>
      <c r="AF28" s="72">
        <v>13.323597595472098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4</v>
      </c>
      <c r="L29" s="74">
        <f>F12/L12</f>
        <v>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35.460992907801419</v>
      </c>
      <c r="Q29" s="74">
        <f>(F13/Q13)*(6/20)</f>
        <v>30</v>
      </c>
      <c r="R29" s="74">
        <f>(F13/R13)*(3/20)</f>
        <v>15</v>
      </c>
      <c r="S29" s="74">
        <f>(F6/S6)*(12/47)</f>
        <v>17.021276595744681</v>
      </c>
      <c r="T29" s="74">
        <f>(F13/T13)*(3/20)</f>
        <v>15</v>
      </c>
      <c r="U29" s="74">
        <f>(F7/U7)*(6/47)</f>
        <v>10.212765957446807</v>
      </c>
      <c r="V29" s="74">
        <f>(F7/V7)*(3/47)</f>
        <v>5.1063829787234036</v>
      </c>
      <c r="W29" s="74">
        <f>(F13/W13)*(8/20)</f>
        <v>11.428571428571429</v>
      </c>
      <c r="X29" s="74">
        <f>(F19/X19)*(3/4)</f>
        <v>0</v>
      </c>
      <c r="Y29" s="74">
        <f>(F7/Y7)*(1/29)</f>
        <v>2.7586206896551726</v>
      </c>
      <c r="Z29" s="74">
        <f>(F16/Z16)*(4/5)</f>
        <v>8</v>
      </c>
      <c r="AA29" s="74">
        <f>(F15/AA15)*(4/16)</f>
        <v>15</v>
      </c>
      <c r="AB29" s="74">
        <f>(F7/AB7)*(11/47)</f>
        <v>18.723404255319149</v>
      </c>
      <c r="AC29" s="74">
        <f>(F6/AC6)*(1/47)</f>
        <v>1.4184397163120568</v>
      </c>
      <c r="AD29" s="74">
        <f>(F14/AD14)</f>
        <v>12.5</v>
      </c>
      <c r="AE29" s="74">
        <f>(F19/AE19)*(1/4)</f>
        <v>0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-0.805932218141308</v>
      </c>
      <c r="K30" s="70">
        <f t="shared" si="34"/>
        <v>3.5714285714285716</v>
      </c>
      <c r="L30" s="70">
        <f t="shared" si="34"/>
        <v>-2.3448275862068964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1.25</v>
      </c>
      <c r="P30" s="70">
        <f t="shared" si="34"/>
        <v>0.9269867248590653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0.93816100535025493</v>
      </c>
      <c r="T30" s="70">
        <f t="shared" si="34"/>
        <v>3.2738095238095237</v>
      </c>
      <c r="U30" s="70">
        <f t="shared" si="34"/>
        <v>0.91416552058894895</v>
      </c>
      <c r="V30" s="70">
        <f t="shared" si="34"/>
        <v>0.3348780570307478</v>
      </c>
      <c r="W30" s="70">
        <f t="shared" si="34"/>
        <v>3.0711959050721269</v>
      </c>
      <c r="X30" s="70">
        <f t="shared" si="34"/>
        <v>-1.5228426395939088</v>
      </c>
      <c r="Y30" s="70">
        <f t="shared" si="34"/>
        <v>1.2384652744050513</v>
      </c>
      <c r="Z30" s="70">
        <f t="shared" si="34"/>
        <v>4.5161290322580641</v>
      </c>
      <c r="AA30" s="70">
        <f t="shared" si="34"/>
        <v>2.9069767441860463</v>
      </c>
      <c r="AB30" s="70">
        <f t="shared" si="34"/>
        <v>1.2514033790629537</v>
      </c>
      <c r="AC30" s="70">
        <f t="shared" si="34"/>
        <v>0.2682305873795236</v>
      </c>
      <c r="AD30" s="70">
        <f t="shared" si="34"/>
        <v>8.677685950413224</v>
      </c>
      <c r="AE30" s="70">
        <f t="shared" si="34"/>
        <v>-0.48309178743961356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0.28831492596970593</v>
      </c>
      <c r="K31" s="70">
        <f t="shared" ref="K31:AF31" si="35">NORMDIST(K30,0,1,FALSE)</f>
        <v>6.7791438513267678E-4</v>
      </c>
      <c r="L31" s="70">
        <f t="shared" si="35"/>
        <v>2.5526280805375341E-2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0.18264908538902191</v>
      </c>
      <c r="P31" s="70">
        <f t="shared" si="35"/>
        <v>0.25960585843725303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0.25691459379413667</v>
      </c>
      <c r="T31" s="70">
        <f t="shared" si="35"/>
        <v>1.8774272333183636E-3</v>
      </c>
      <c r="U31" s="70">
        <f t="shared" si="35"/>
        <v>0.262688112980761</v>
      </c>
      <c r="V31" s="70">
        <f t="shared" si="35"/>
        <v>0.37718851008883375</v>
      </c>
      <c r="W31" s="70">
        <f t="shared" si="35"/>
        <v>3.5704605822708328E-3</v>
      </c>
      <c r="X31" s="70">
        <f t="shared" si="35"/>
        <v>0.1251223293178855</v>
      </c>
      <c r="Y31" s="70">
        <f t="shared" si="35"/>
        <v>0.18528934454325996</v>
      </c>
      <c r="Z31" s="70">
        <f t="shared" si="35"/>
        <v>1.4862797917943318E-5</v>
      </c>
      <c r="AA31" s="70">
        <f t="shared" si="35"/>
        <v>5.833165673474432E-3</v>
      </c>
      <c r="AB31" s="70">
        <f t="shared" si="35"/>
        <v>0.18232877933413894</v>
      </c>
      <c r="AC31" s="70">
        <f t="shared" si="35"/>
        <v>0.38484587204181958</v>
      </c>
      <c r="AD31" s="70">
        <f t="shared" si="35"/>
        <v>1.7751613508698722E-17</v>
      </c>
      <c r="AE31" s="70">
        <f t="shared" si="35"/>
        <v>0.35500359217664224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0.21014096653784892</v>
      </c>
      <c r="K32" s="70">
        <f t="shared" ref="K32:AF32" si="36">NORMDIST(K30,0,1,TRUE)</f>
        <v>0.9998224803096265</v>
      </c>
      <c r="L32" s="70">
        <f t="shared" si="36"/>
        <v>9.5179399929062186E-3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0.89435022633314476</v>
      </c>
      <c r="P32" s="70">
        <f t="shared" si="36"/>
        <v>0.82303328657542929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0.82591916269481458</v>
      </c>
      <c r="T32" s="70">
        <f t="shared" si="36"/>
        <v>0.99946945944972954</v>
      </c>
      <c r="U32" s="70">
        <f t="shared" si="36"/>
        <v>0.81968506073047842</v>
      </c>
      <c r="V32" s="70">
        <f t="shared" si="36"/>
        <v>0.63114146234356439</v>
      </c>
      <c r="W32" s="70">
        <f t="shared" si="36"/>
        <v>0.99893398392725807</v>
      </c>
      <c r="X32" s="70">
        <f t="shared" si="36"/>
        <v>6.389903965475742E-2</v>
      </c>
      <c r="Y32" s="70">
        <f t="shared" si="36"/>
        <v>0.8922282048162371</v>
      </c>
      <c r="Z32" s="70">
        <f t="shared" si="36"/>
        <v>0.99999685098513735</v>
      </c>
      <c r="AA32" s="70">
        <f t="shared" si="36"/>
        <v>0.99817529836089469</v>
      </c>
      <c r="AB32" s="70">
        <f t="shared" si="36"/>
        <v>0.89460632745632507</v>
      </c>
      <c r="AC32" s="70">
        <f t="shared" si="36"/>
        <v>0.60573908397805565</v>
      </c>
      <c r="AD32" s="70">
        <f t="shared" si="36"/>
        <v>1</v>
      </c>
      <c r="AE32" s="70">
        <f t="shared" si="36"/>
        <v>0.31451528251747035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0.92488776882680712</v>
      </c>
      <c r="K33" s="70">
        <f t="shared" ref="K33:AF33" si="37">K31-(K30*(1-K32))</f>
        <v>4.3915490941621505E-5</v>
      </c>
      <c r="L33" s="70">
        <f t="shared" si="37"/>
        <v>2.3480359387530436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5.0586868305452865E-2</v>
      </c>
      <c r="P33" s="70">
        <f t="shared" si="37"/>
        <v>9.5560064350737439E-2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9.359874045568975E-2</v>
      </c>
      <c r="T33" s="70">
        <f t="shared" si="37"/>
        <v>1.4053852707577295E-4</v>
      </c>
      <c r="U33" s="70">
        <f t="shared" si="37"/>
        <v>9.7850412653474106E-2</v>
      </c>
      <c r="V33" s="70">
        <f t="shared" si="37"/>
        <v>0.2536658796792437</v>
      </c>
      <c r="W33" s="70">
        <f t="shared" si="37"/>
        <v>2.9651638492475757E-4</v>
      </c>
      <c r="X33" s="70">
        <f t="shared" si="37"/>
        <v>1.5506567866964278</v>
      </c>
      <c r="Y33" s="70">
        <f t="shared" si="37"/>
        <v>5.1817718647876071E-2</v>
      </c>
      <c r="Z33" s="70">
        <f t="shared" si="37"/>
        <v>6.4144047373224736E-7</v>
      </c>
      <c r="AA33" s="70">
        <f t="shared" si="37"/>
        <v>5.2880044351714083E-4</v>
      </c>
      <c r="AB33" s="70">
        <f t="shared" si="37"/>
        <v>5.0438781381129671E-2</v>
      </c>
      <c r="AC33" s="70">
        <f t="shared" si="37"/>
        <v>0.27909303495646443</v>
      </c>
      <c r="AD33" s="70">
        <f t="shared" si="37"/>
        <v>1.7751613508698722E-17</v>
      </c>
      <c r="AE33" s="70">
        <f t="shared" si="37"/>
        <v>0.68615562960781595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18.322026700459048</v>
      </c>
      <c r="K34" s="74">
        <f t="shared" si="38"/>
        <v>3.6889012390962061E-5</v>
      </c>
      <c r="L34" s="74">
        <f t="shared" si="38"/>
        <v>17.023260555959567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0.24281696786617374</v>
      </c>
      <c r="P34" s="74">
        <f t="shared" si="38"/>
        <v>1.490737003871504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0.80026923089614743</v>
      </c>
      <c r="T34" s="74">
        <f t="shared" si="38"/>
        <v>4.7220945097459709E-4</v>
      </c>
      <c r="U34" s="74">
        <f t="shared" si="38"/>
        <v>0.77203975583591067</v>
      </c>
      <c r="V34" s="74">
        <f t="shared" si="38"/>
        <v>1.5955583831824429</v>
      </c>
      <c r="W34" s="74">
        <f t="shared" si="38"/>
        <v>9.1030530171900572E-4</v>
      </c>
      <c r="X34" s="74">
        <f t="shared" si="38"/>
        <v>3.0547938697919625</v>
      </c>
      <c r="Y34" s="74">
        <f t="shared" si="38"/>
        <v>7.3581160479984017E-2</v>
      </c>
      <c r="Z34" s="74">
        <f t="shared" si="38"/>
        <v>9.9423273428498349E-7</v>
      </c>
      <c r="AA34" s="74">
        <f t="shared" si="38"/>
        <v>1.8190735256989644E-3</v>
      </c>
      <c r="AB34" s="74">
        <f t="shared" si="38"/>
        <v>0.39190933133137751</v>
      </c>
      <c r="AC34" s="74">
        <f t="shared" si="38"/>
        <v>0.43538513453208449</v>
      </c>
      <c r="AD34" s="74">
        <f t="shared" si="38"/>
        <v>2.1479452345525454E-17</v>
      </c>
      <c r="AE34" s="74">
        <f t="shared" si="38"/>
        <v>1.4203421532881788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28.677973299540952</v>
      </c>
      <c r="K35" s="74">
        <f t="shared" si="39"/>
        <v>0.99996311098760904</v>
      </c>
      <c r="L35" s="74">
        <f t="shared" si="39"/>
        <v>-2.3260555959566886E-2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9.7571830321338258</v>
      </c>
      <c r="P35" s="74">
        <f t="shared" si="39"/>
        <v>19.509262996128495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8.1997307691038532</v>
      </c>
      <c r="T35" s="74">
        <f t="shared" si="39"/>
        <v>3.9995277905490254</v>
      </c>
      <c r="U35" s="74">
        <f t="shared" si="39"/>
        <v>2.2279602441640893</v>
      </c>
      <c r="V35" s="74">
        <f t="shared" si="39"/>
        <v>1.4044416168175571</v>
      </c>
      <c r="W35" s="74">
        <f t="shared" si="39"/>
        <v>1.999089694698281</v>
      </c>
      <c r="X35" s="74">
        <f t="shared" si="39"/>
        <v>-5.4793869791962546E-2</v>
      </c>
      <c r="Y35" s="74">
        <f t="shared" si="39"/>
        <v>0.92641883952001602</v>
      </c>
      <c r="Z35" s="74">
        <f t="shared" si="39"/>
        <v>0.99999900576726575</v>
      </c>
      <c r="AA35" s="74">
        <f t="shared" si="39"/>
        <v>4.9981809264743013</v>
      </c>
      <c r="AB35" s="74">
        <f t="shared" si="39"/>
        <v>8.6080906686686234</v>
      </c>
      <c r="AC35" s="74">
        <f t="shared" si="39"/>
        <v>0.56461486546791551</v>
      </c>
      <c r="AD35" s="74">
        <f t="shared" si="39"/>
        <v>2</v>
      </c>
      <c r="AE35" s="74">
        <f t="shared" si="39"/>
        <v>-0.42034215328817881</v>
      </c>
      <c r="AF35" s="74">
        <f t="shared" si="39"/>
        <v>0.35403274880761504</v>
      </c>
      <c r="AG35" s="187">
        <f>SUM(J35:AF35)</f>
        <v>117.66607691305019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2.3565094590797386</v>
      </c>
      <c r="K36" s="74">
        <f t="shared" ref="K36:AF36" si="40">K29-K35</f>
        <v>3.000036889012391</v>
      </c>
      <c r="L36" s="74">
        <f t="shared" si="40"/>
        <v>2.3260555959566886E-2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6.2428169678661742</v>
      </c>
      <c r="P36" s="74">
        <f t="shared" si="40"/>
        <v>15.951729911672924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8.8215458266408273</v>
      </c>
      <c r="T36" s="74">
        <f t="shared" si="40"/>
        <v>11.000472209450974</v>
      </c>
      <c r="U36" s="74">
        <f t="shared" si="40"/>
        <v>7.9848057132827179</v>
      </c>
      <c r="V36" s="74">
        <f t="shared" si="40"/>
        <v>3.7019413619058463</v>
      </c>
      <c r="W36" s="74">
        <f t="shared" si="40"/>
        <v>9.429481733873148</v>
      </c>
      <c r="X36" s="74">
        <f t="shared" si="40"/>
        <v>5.4793869791962546E-2</v>
      </c>
      <c r="Y36" s="74">
        <f t="shared" si="40"/>
        <v>1.8322018501351565</v>
      </c>
      <c r="Z36" s="74">
        <f t="shared" si="40"/>
        <v>7.0000009942327344</v>
      </c>
      <c r="AA36" s="74">
        <f t="shared" si="40"/>
        <v>10.001819073525699</v>
      </c>
      <c r="AB36" s="74">
        <f t="shared" si="40"/>
        <v>10.115313586650526</v>
      </c>
      <c r="AC36" s="74">
        <f t="shared" si="40"/>
        <v>0.85382485084414128</v>
      </c>
      <c r="AD36" s="74">
        <f t="shared" si="40"/>
        <v>10.5</v>
      </c>
      <c r="AE36" s="74">
        <f t="shared" si="40"/>
        <v>0.42034215328817881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1433.8986649770477</v>
      </c>
      <c r="K37" s="70">
        <f t="shared" ref="K37:AF37" si="41">K20*K35</f>
        <v>199.9926221975218</v>
      </c>
      <c r="L37" s="70">
        <f t="shared" si="41"/>
        <v>-1.3956333575740132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585.4309819280295</v>
      </c>
      <c r="P37" s="70">
        <f t="shared" si="41"/>
        <v>975.46314980642478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409.98653845519266</v>
      </c>
      <c r="T37" s="70">
        <f t="shared" si="41"/>
        <v>279.9669453384318</v>
      </c>
      <c r="U37" s="70">
        <f t="shared" si="41"/>
        <v>155.95721709148626</v>
      </c>
      <c r="V37" s="70">
        <f t="shared" si="41"/>
        <v>70.222080840877851</v>
      </c>
      <c r="W37" s="70">
        <f t="shared" si="41"/>
        <v>159.92717557586249</v>
      </c>
      <c r="X37" s="70">
        <f t="shared" si="41"/>
        <v>-3.2876321875177528</v>
      </c>
      <c r="Y37" s="70">
        <f t="shared" si="41"/>
        <v>55.585130371200961</v>
      </c>
      <c r="Z37" s="70">
        <f t="shared" si="41"/>
        <v>59.999940346035942</v>
      </c>
      <c r="AA37" s="70">
        <f t="shared" si="41"/>
        <v>249.90904632371507</v>
      </c>
      <c r="AB37" s="70">
        <f t="shared" si="41"/>
        <v>430.4045334334312</v>
      </c>
      <c r="AC37" s="70">
        <f t="shared" si="41"/>
        <v>28.230743273395774</v>
      </c>
      <c r="AD37" s="70">
        <f t="shared" si="41"/>
        <v>120</v>
      </c>
      <c r="AE37" s="70">
        <f t="shared" si="41"/>
        <v>-50.441058394581461</v>
      </c>
      <c r="AF37" s="70">
        <f t="shared" si="41"/>
        <v>35.403274880761501</v>
      </c>
      <c r="AG37" s="288">
        <f>SUM(J37:AF37)</f>
        <v>6259.8174451759205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117.50734417701118</v>
      </c>
      <c r="K38" s="70">
        <f t="shared" ref="K38:AF38" si="42">(K20-K22)*K36</f>
        <v>595.74132534630257</v>
      </c>
      <c r="L38" s="70">
        <f t="shared" si="42"/>
        <v>1.390748640822504</v>
      </c>
      <c r="M38" s="70">
        <f t="shared" si="42"/>
        <v>25.836977878321211</v>
      </c>
      <c r="N38" s="70">
        <f t="shared" si="42"/>
        <v>380.89999685023088</v>
      </c>
      <c r="O38" s="70">
        <f t="shared" si="42"/>
        <v>372.54634537438181</v>
      </c>
      <c r="P38" s="70">
        <f t="shared" si="42"/>
        <v>794.23663230219483</v>
      </c>
      <c r="Q38" s="70">
        <f t="shared" si="42"/>
        <v>1341.422871748664</v>
      </c>
      <c r="R38" s="70">
        <f t="shared" si="42"/>
        <v>546.41638009837322</v>
      </c>
      <c r="S38" s="70">
        <f t="shared" si="42"/>
        <v>439.88638264544488</v>
      </c>
      <c r="T38" s="70">
        <f t="shared" si="42"/>
        <v>766.44690072128719</v>
      </c>
      <c r="U38" s="70">
        <f t="shared" si="42"/>
        <v>557.33943878713364</v>
      </c>
      <c r="V38" s="70">
        <f t="shared" si="42"/>
        <v>183.61629155052998</v>
      </c>
      <c r="W38" s="70">
        <f t="shared" si="42"/>
        <v>751.0582201029963</v>
      </c>
      <c r="X38" s="70">
        <f t="shared" si="42"/>
        <v>3.2753035668145611</v>
      </c>
      <c r="Y38" s="70">
        <f t="shared" si="42"/>
        <v>108.76683063142342</v>
      </c>
      <c r="Z38" s="70">
        <f t="shared" si="42"/>
        <v>415.66005903753978</v>
      </c>
      <c r="AA38" s="70">
        <f t="shared" si="42"/>
        <v>498.29062624305033</v>
      </c>
      <c r="AB38" s="70">
        <f t="shared" si="42"/>
        <v>503.74261661519614</v>
      </c>
      <c r="AC38" s="70">
        <f t="shared" si="42"/>
        <v>42.575976187343109</v>
      </c>
      <c r="AD38" s="70">
        <f>(AD20-AD22)*AD36</f>
        <v>624.45600000000002</v>
      </c>
      <c r="AE38" s="70">
        <f t="shared" si="42"/>
        <v>50.34648141009162</v>
      </c>
      <c r="AF38" s="70">
        <f t="shared" si="42"/>
        <v>33.409198535453392</v>
      </c>
      <c r="AG38" s="288">
        <f>SUM(J38:AF38)</f>
        <v>9154.8689484506085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10.993216020275428</v>
      </c>
      <c r="K39" s="70">
        <f t="shared" ref="K39:AF39" si="43">K23*K34</f>
        <v>1.3648934584655964E-4</v>
      </c>
      <c r="L39" s="70">
        <f t="shared" si="43"/>
        <v>25.53489083393935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0.77701429717175596</v>
      </c>
      <c r="P39" s="70">
        <f t="shared" si="43"/>
        <v>0.89444220232290239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0.24008076926884422</v>
      </c>
      <c r="T39" s="70">
        <f t="shared" si="43"/>
        <v>4.2498850587713733E-4</v>
      </c>
      <c r="U39" s="70">
        <f t="shared" si="43"/>
        <v>0.38601987791795533</v>
      </c>
      <c r="V39" s="70">
        <f t="shared" si="43"/>
        <v>2.0742258981371759</v>
      </c>
      <c r="W39" s="70">
        <f t="shared" si="43"/>
        <v>6.3721371120330401E-4</v>
      </c>
      <c r="X39" s="70">
        <f t="shared" si="43"/>
        <v>7.6369846744799066</v>
      </c>
      <c r="Y39" s="70">
        <f t="shared" si="43"/>
        <v>0.13980420491196965</v>
      </c>
      <c r="Z39" s="70">
        <f t="shared" si="43"/>
        <v>1.4913491014274752E-6</v>
      </c>
      <c r="AA39" s="70">
        <f t="shared" si="43"/>
        <v>9.0953676284948222E-4</v>
      </c>
      <c r="AB39" s="70">
        <f t="shared" si="43"/>
        <v>0.19595466566568875</v>
      </c>
      <c r="AC39" s="70">
        <f t="shared" si="43"/>
        <v>0.13061554035962533</v>
      </c>
      <c r="AD39" s="70">
        <f t="shared" si="43"/>
        <v>1.7183561876420365E-17</v>
      </c>
      <c r="AE39" s="70">
        <f t="shared" si="43"/>
        <v>3.5508553832204468</v>
      </c>
      <c r="AF39" s="70">
        <f t="shared" si="43"/>
        <v>0.9689508767885775</v>
      </c>
      <c r="AG39" s="288">
        <f t="shared" ref="AG39" si="44">SUM(J39:AF39)</f>
        <v>70.719720122246898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209.48275862068965</v>
      </c>
      <c r="K40" s="70">
        <f t="shared" ref="K40:AF40" si="45">K21*K29</f>
        <v>284.39999999999998</v>
      </c>
      <c r="L40" s="70">
        <f t="shared" si="45"/>
        <v>0</v>
      </c>
      <c r="M40" s="70">
        <f t="shared" si="45"/>
        <v>0</v>
      </c>
      <c r="N40" s="70">
        <f t="shared" si="45"/>
        <v>450</v>
      </c>
      <c r="O40" s="70">
        <f t="shared" si="45"/>
        <v>259.2</v>
      </c>
      <c r="P40" s="70">
        <f t="shared" si="45"/>
        <v>372.34042553191489</v>
      </c>
      <c r="Q40" s="70">
        <f t="shared" si="45"/>
        <v>489</v>
      </c>
      <c r="R40" s="70">
        <f t="shared" si="45"/>
        <v>244.5</v>
      </c>
      <c r="S40" s="70">
        <f t="shared" si="45"/>
        <v>114.8936170212766</v>
      </c>
      <c r="T40" s="70">
        <f t="shared" si="45"/>
        <v>244.5</v>
      </c>
      <c r="U40" s="70">
        <f t="shared" si="45"/>
        <v>102.12765957446807</v>
      </c>
      <c r="V40" s="70">
        <f t="shared" si="45"/>
        <v>102.12765957446807</v>
      </c>
      <c r="W40" s="70">
        <f t="shared" si="45"/>
        <v>200</v>
      </c>
      <c r="X40" s="70">
        <f t="shared" si="45"/>
        <v>0</v>
      </c>
      <c r="Y40" s="70">
        <f t="shared" si="45"/>
        <v>87.724137931034491</v>
      </c>
      <c r="Z40" s="70">
        <f t="shared" si="45"/>
        <v>248</v>
      </c>
      <c r="AA40" s="70">
        <f t="shared" si="45"/>
        <v>135</v>
      </c>
      <c r="AB40" s="70">
        <f t="shared" si="45"/>
        <v>187.2340425531915</v>
      </c>
      <c r="AC40" s="70">
        <f t="shared" si="45"/>
        <v>9.5744680851063837</v>
      </c>
      <c r="AD40" s="70">
        <f t="shared" si="45"/>
        <v>330</v>
      </c>
      <c r="AE40" s="70">
        <f t="shared" si="45"/>
        <v>0</v>
      </c>
      <c r="AF40" s="70">
        <f t="shared" si="45"/>
        <v>15.724137931034484</v>
      </c>
      <c r="AG40" s="289">
        <f>SUM(J40:AF40)</f>
        <v>4085.8289068231834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1330.9300345130939</v>
      </c>
      <c r="K41" s="76">
        <f t="shared" ref="K41:AF41" si="46">K37+K38-K40-K39</f>
        <v>511.33381105447853</v>
      </c>
      <c r="L41" s="76">
        <f t="shared" si="46"/>
        <v>-25.539775550690859</v>
      </c>
      <c r="M41" s="76">
        <f t="shared" si="46"/>
        <v>-10.497644490268256</v>
      </c>
      <c r="N41" s="76">
        <f t="shared" si="46"/>
        <v>664.83664896848734</v>
      </c>
      <c r="O41" s="76">
        <f t="shared" si="46"/>
        <v>698.0003130052396</v>
      </c>
      <c r="P41" s="76">
        <f t="shared" si="46"/>
        <v>1396.464914374382</v>
      </c>
      <c r="Q41" s="76">
        <f t="shared" si="46"/>
        <v>1002.1924499584519</v>
      </c>
      <c r="R41" s="76">
        <f t="shared" si="46"/>
        <v>501.91394125698349</v>
      </c>
      <c r="S41" s="76">
        <f t="shared" si="46"/>
        <v>734.73922331009214</v>
      </c>
      <c r="T41" s="76">
        <f t="shared" si="46"/>
        <v>801.91342107121307</v>
      </c>
      <c r="U41" s="76">
        <f t="shared" si="46"/>
        <v>610.78297642623386</v>
      </c>
      <c r="V41" s="76">
        <f t="shared" si="46"/>
        <v>149.63648691880258</v>
      </c>
      <c r="W41" s="76">
        <f t="shared" si="46"/>
        <v>710.98475846514759</v>
      </c>
      <c r="X41" s="76">
        <f t="shared" si="46"/>
        <v>-7.6493132951830987</v>
      </c>
      <c r="Y41" s="76">
        <f t="shared" si="46"/>
        <v>76.488018866677905</v>
      </c>
      <c r="Z41" s="76">
        <f t="shared" si="46"/>
        <v>227.65999789222661</v>
      </c>
      <c r="AA41" s="76">
        <f t="shared" si="46"/>
        <v>613.19876303000262</v>
      </c>
      <c r="AB41" s="76">
        <f t="shared" si="46"/>
        <v>746.71715282977004</v>
      </c>
      <c r="AC41" s="76">
        <f t="shared" si="46"/>
        <v>61.10163583527288</v>
      </c>
      <c r="AD41" s="76">
        <f t="shared" si="46"/>
        <v>414.45600000000002</v>
      </c>
      <c r="AE41" s="76">
        <f t="shared" si="46"/>
        <v>-3.6454323677102876</v>
      </c>
      <c r="AF41" s="76">
        <f t="shared" si="46"/>
        <v>52.119384608391826</v>
      </c>
      <c r="AG41" s="290">
        <f>SUM(J41:AF41)</f>
        <v>11258.137766681093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1.4093758765859097</v>
      </c>
      <c r="K43" s="70">
        <f t="shared" si="47"/>
        <v>27.587181662976693</v>
      </c>
      <c r="L43" s="70">
        <f t="shared" si="47"/>
        <v>1.9083610563294793</v>
      </c>
      <c r="M43" s="70">
        <f t="shared" si="47"/>
        <v>1.3193986611548745</v>
      </c>
      <c r="N43" s="70">
        <f t="shared" si="47"/>
        <v>0.74651800158507642</v>
      </c>
      <c r="O43" s="70">
        <f t="shared" si="47"/>
        <v>2.1035380896413769</v>
      </c>
      <c r="P43" s="70">
        <f t="shared" si="47"/>
        <v>1.1924167031280324</v>
      </c>
      <c r="Q43" s="70">
        <f t="shared" si="47"/>
        <v>1.0990398956895562</v>
      </c>
      <c r="R43" s="70">
        <f t="shared" si="47"/>
        <v>2.4546582289320451</v>
      </c>
      <c r="S43" s="70">
        <f t="shared" si="47"/>
        <v>1.784552769389762</v>
      </c>
      <c r="T43" s="70">
        <f t="shared" si="47"/>
        <v>3.1270362347171416</v>
      </c>
      <c r="U43" s="70">
        <f t="shared" si="47"/>
        <v>2.0948128512791788</v>
      </c>
      <c r="V43" s="70">
        <f t="shared" si="47"/>
        <v>1.2031333862984523</v>
      </c>
      <c r="W43" s="70">
        <f t="shared" si="47"/>
        <v>3.7647975472170625</v>
      </c>
      <c r="X43" s="70">
        <f t="shared" si="47"/>
        <v>4.4140924428435788</v>
      </c>
      <c r="Y43" s="70">
        <f t="shared" si="47"/>
        <v>4.8318324236864489</v>
      </c>
      <c r="Z43" s="70">
        <f t="shared" si="47"/>
        <v>4.4374031453179255</v>
      </c>
      <c r="AA43" s="70">
        <f t="shared" si="47"/>
        <v>2.5910822353313319</v>
      </c>
      <c r="AB43" s="70">
        <f t="shared" si="47"/>
        <v>1.5941386909505924</v>
      </c>
      <c r="AC43" s="70">
        <f t="shared" si="47"/>
        <v>4.7725333241020271</v>
      </c>
      <c r="AD43" s="70">
        <f t="shared" si="47"/>
        <v>5.8336359417472217</v>
      </c>
      <c r="AE43" s="70">
        <f t="shared" si="47"/>
        <v>7.9602937221709027</v>
      </c>
      <c r="AF43" s="70">
        <f t="shared" si="47"/>
        <v>10.35596436594294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0.14776845641901071</v>
      </c>
      <c r="K44" s="70">
        <f t="shared" ref="K44:AF44" si="48">NORMDIST(K43,0,1,FALSE)</f>
        <v>2.1899765823231995E-166</v>
      </c>
      <c r="L44" s="70">
        <f t="shared" si="48"/>
        <v>6.457942006063265E-2</v>
      </c>
      <c r="M44" s="70">
        <f t="shared" si="48"/>
        <v>0.16706957330027977</v>
      </c>
      <c r="N44" s="70">
        <f t="shared" si="48"/>
        <v>0.30192304965254174</v>
      </c>
      <c r="O44" s="70">
        <f t="shared" si="48"/>
        <v>4.3657736172850813E-2</v>
      </c>
      <c r="P44" s="70">
        <f t="shared" si="48"/>
        <v>0.19595556979771131</v>
      </c>
      <c r="Q44" s="70">
        <f t="shared" si="48"/>
        <v>0.21808227495058727</v>
      </c>
      <c r="R44" s="70">
        <f t="shared" si="48"/>
        <v>1.9612031605873027E-2</v>
      </c>
      <c r="S44" s="70">
        <f t="shared" si="48"/>
        <v>8.1166487982877983E-2</v>
      </c>
      <c r="T44" s="70">
        <f t="shared" si="48"/>
        <v>3.0030815330351654E-3</v>
      </c>
      <c r="U44" s="70">
        <f t="shared" si="48"/>
        <v>4.4464730631119352E-2</v>
      </c>
      <c r="V44" s="70">
        <f t="shared" si="48"/>
        <v>0.19345632437425053</v>
      </c>
      <c r="W44" s="70">
        <f t="shared" si="48"/>
        <v>3.3352630539569989E-4</v>
      </c>
      <c r="X44" s="70">
        <f t="shared" si="48"/>
        <v>2.3440515991955515E-5</v>
      </c>
      <c r="Y44" s="70">
        <f t="shared" si="48"/>
        <v>3.3982810813269026E-6</v>
      </c>
      <c r="Z44" s="70">
        <f t="shared" si="48"/>
        <v>2.114278447523766E-5</v>
      </c>
      <c r="AA44" s="70">
        <f t="shared" si="48"/>
        <v>1.3901033232572454E-2</v>
      </c>
      <c r="AB44" s="70">
        <f t="shared" si="48"/>
        <v>0.11196403042400424</v>
      </c>
      <c r="AC44" s="70">
        <f t="shared" si="48"/>
        <v>4.517843869118959E-6</v>
      </c>
      <c r="AD44" s="70">
        <f t="shared" si="48"/>
        <v>1.6259431709916301E-8</v>
      </c>
      <c r="AE44" s="70">
        <f t="shared" si="48"/>
        <v>6.935823485284207E-15</v>
      </c>
      <c r="AF44" s="70">
        <f t="shared" si="48"/>
        <v>2.0546483710154015E-24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0.92063797334920094</v>
      </c>
      <c r="K45" s="70">
        <f t="shared" ref="K45:AF45" si="49">NORMDIST(K43,0,1,TRUE)</f>
        <v>1</v>
      </c>
      <c r="L45" s="70">
        <f t="shared" si="49"/>
        <v>0.97182771670417922</v>
      </c>
      <c r="M45" s="70">
        <f t="shared" si="49"/>
        <v>0.90648206543269572</v>
      </c>
      <c r="N45" s="70">
        <f t="shared" si="49"/>
        <v>0.77232271933538443</v>
      </c>
      <c r="O45" s="70">
        <f t="shared" si="49"/>
        <v>0.98229062032919179</v>
      </c>
      <c r="P45" s="70">
        <f t="shared" si="49"/>
        <v>0.88345105295158755</v>
      </c>
      <c r="Q45" s="70">
        <f t="shared" si="49"/>
        <v>0.86412466778376629</v>
      </c>
      <c r="R45" s="70">
        <f t="shared" si="49"/>
        <v>0.99294907056729698</v>
      </c>
      <c r="S45" s="70">
        <f t="shared" si="49"/>
        <v>0.96283305590444168</v>
      </c>
      <c r="T45" s="70">
        <f t="shared" si="49"/>
        <v>0.99911710918510421</v>
      </c>
      <c r="U45" s="70">
        <f t="shared" si="49"/>
        <v>0.98190618387339834</v>
      </c>
      <c r="V45" s="70">
        <f t="shared" si="49"/>
        <v>0.88553764621787945</v>
      </c>
      <c r="W45" s="70">
        <f t="shared" si="49"/>
        <v>0.99991665796128515</v>
      </c>
      <c r="X45" s="70">
        <f t="shared" si="49"/>
        <v>0.99999492826943492</v>
      </c>
      <c r="Y45" s="70">
        <f t="shared" si="49"/>
        <v>0.9999993235894834</v>
      </c>
      <c r="Z45" s="70">
        <f t="shared" si="49"/>
        <v>0.99999544746656377</v>
      </c>
      <c r="AA45" s="70">
        <f t="shared" si="49"/>
        <v>0.99521626870212976</v>
      </c>
      <c r="AB45" s="70">
        <f t="shared" si="49"/>
        <v>0.9445475126617664</v>
      </c>
      <c r="AC45" s="70">
        <f t="shared" si="49"/>
        <v>0.9999990903850221</v>
      </c>
      <c r="AD45" s="70">
        <f t="shared" si="49"/>
        <v>0.99999999728838085</v>
      </c>
      <c r="AE45" s="70">
        <f t="shared" si="49"/>
        <v>0.99999999999999911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3.5917530540406459E-2</v>
      </c>
      <c r="K46" s="70">
        <f t="shared" ref="K46:AF46" si="50">K44-(K43*(1-K45))</f>
        <v>2.1899765823231995E-166</v>
      </c>
      <c r="L46" s="70">
        <f t="shared" si="50"/>
        <v>1.0816531751006768E-2</v>
      </c>
      <c r="M46" s="70">
        <f t="shared" si="50"/>
        <v>4.3682135638209343E-2</v>
      </c>
      <c r="N46" s="70">
        <f t="shared" si="50"/>
        <v>0.13195786108446836</v>
      </c>
      <c r="O46" s="70">
        <f t="shared" si="50"/>
        <v>6.4053814913850732E-3</v>
      </c>
      <c r="P46" s="70">
        <f t="shared" si="50"/>
        <v>5.6980658605199713E-2</v>
      </c>
      <c r="Q46" s="70">
        <f t="shared" si="50"/>
        <v>6.8749864004873984E-2</v>
      </c>
      <c r="R46" s="70">
        <f t="shared" si="50"/>
        <v>2.3044096522693951E-3</v>
      </c>
      <c r="S46" s="70">
        <f t="shared" si="50"/>
        <v>1.4840114967394916E-2</v>
      </c>
      <c r="T46" s="70">
        <f t="shared" si="50"/>
        <v>2.4224996355709473E-4</v>
      </c>
      <c r="U46" s="70">
        <f t="shared" si="50"/>
        <v>6.5615720804317462E-3</v>
      </c>
      <c r="V46" s="70">
        <f t="shared" si="50"/>
        <v>5.5742845064676361E-2</v>
      </c>
      <c r="W46" s="70">
        <f t="shared" si="50"/>
        <v>1.9760402461959715E-5</v>
      </c>
      <c r="X46" s="70">
        <f t="shared" si="50"/>
        <v>1.0534284325145816E-6</v>
      </c>
      <c r="Y46" s="70">
        <f t="shared" si="50"/>
        <v>1.2997881550644009E-7</v>
      </c>
      <c r="Z46" s="70">
        <f t="shared" si="50"/>
        <v>9.4135828614282975E-7</v>
      </c>
      <c r="AA46" s="70">
        <f t="shared" si="50"/>
        <v>1.5059920480623747E-3</v>
      </c>
      <c r="AB46" s="70">
        <f t="shared" si="50"/>
        <v>2.356507484867823E-2</v>
      </c>
      <c r="AC46" s="70">
        <f t="shared" si="50"/>
        <v>1.7667607501119954E-7</v>
      </c>
      <c r="AD46" s="70">
        <f t="shared" si="50"/>
        <v>4.4083276774048228E-10</v>
      </c>
      <c r="AE46" s="70">
        <f t="shared" si="50"/>
        <v>-1.3433761322237311E-16</v>
      </c>
      <c r="AF46" s="70">
        <f t="shared" si="50"/>
        <v>2.0546483710154015E-24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0.71152628000545193</v>
      </c>
      <c r="K47" s="74">
        <f t="shared" si="51"/>
        <v>1.8395803291514875E-166</v>
      </c>
      <c r="L47" s="74">
        <f t="shared" si="51"/>
        <v>7.8419855194799062E-2</v>
      </c>
      <c r="M47" s="74">
        <f t="shared" si="51"/>
        <v>0.14065647675503409</v>
      </c>
      <c r="N47" s="74">
        <f t="shared" si="51"/>
        <v>1.642875370501631</v>
      </c>
      <c r="O47" s="74">
        <f t="shared" si="51"/>
        <v>3.0745831158648349E-2</v>
      </c>
      <c r="P47" s="74">
        <f t="shared" si="51"/>
        <v>0.88889827424111556</v>
      </c>
      <c r="Q47" s="74">
        <f t="shared" si="51"/>
        <v>0.63387374612493819</v>
      </c>
      <c r="R47" s="74">
        <f t="shared" si="51"/>
        <v>6.6597438950585517E-3</v>
      </c>
      <c r="S47" s="74">
        <f t="shared" si="51"/>
        <v>0.12688298297122655</v>
      </c>
      <c r="T47" s="74">
        <f t="shared" si="51"/>
        <v>8.1395987755183822E-4</v>
      </c>
      <c r="U47" s="74">
        <f t="shared" si="51"/>
        <v>5.1770803714606475E-2</v>
      </c>
      <c r="V47" s="74">
        <f t="shared" si="51"/>
        <v>0.35062249545681429</v>
      </c>
      <c r="W47" s="74">
        <f t="shared" si="51"/>
        <v>6.0664435558216319E-5</v>
      </c>
      <c r="X47" s="74">
        <f t="shared" si="51"/>
        <v>2.0752540120537255E-6</v>
      </c>
      <c r="Y47" s="74">
        <f t="shared" si="51"/>
        <v>1.8456991801914491E-7</v>
      </c>
      <c r="Z47" s="74">
        <f t="shared" si="51"/>
        <v>1.4591053435213862E-6</v>
      </c>
      <c r="AA47" s="74">
        <f t="shared" si="51"/>
        <v>5.180612645334569E-3</v>
      </c>
      <c r="AB47" s="74">
        <f t="shared" si="51"/>
        <v>0.18310063157422984</v>
      </c>
      <c r="AC47" s="74">
        <f t="shared" si="51"/>
        <v>2.7561467701747131E-7</v>
      </c>
      <c r="AD47" s="74">
        <f t="shared" si="51"/>
        <v>5.3340764896598349E-10</v>
      </c>
      <c r="AE47" s="74">
        <f t="shared" si="51"/>
        <v>-2.7807885937031232E-16</v>
      </c>
      <c r="AF47" s="74">
        <f t="shared" si="51"/>
        <v>2.4450315615083277E-24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46.288473719994549</v>
      </c>
      <c r="K48" s="74">
        <f t="shared" si="52"/>
        <v>1</v>
      </c>
      <c r="L48" s="74">
        <f t="shared" si="52"/>
        <v>16.921580144805201</v>
      </c>
      <c r="M48" s="74">
        <f t="shared" si="52"/>
        <v>1.859343523244966</v>
      </c>
      <c r="N48" s="74">
        <f t="shared" si="52"/>
        <v>17.357124629498369</v>
      </c>
      <c r="O48" s="74">
        <f t="shared" si="52"/>
        <v>9.969254168841351</v>
      </c>
      <c r="P48" s="74">
        <f t="shared" si="52"/>
        <v>20.111101725758886</v>
      </c>
      <c r="Q48" s="74">
        <f t="shared" si="52"/>
        <v>2.3661262538750618</v>
      </c>
      <c r="R48" s="74">
        <f t="shared" si="52"/>
        <v>3.9933402561049416</v>
      </c>
      <c r="S48" s="74">
        <f t="shared" si="52"/>
        <v>8.8731170170287736</v>
      </c>
      <c r="T48" s="74">
        <f t="shared" si="52"/>
        <v>3.9991860401224484</v>
      </c>
      <c r="U48" s="74">
        <f t="shared" si="52"/>
        <v>2.9482291962853937</v>
      </c>
      <c r="V48" s="74">
        <f t="shared" si="52"/>
        <v>2.6493775045431858</v>
      </c>
      <c r="W48" s="74">
        <f t="shared" si="52"/>
        <v>1.9999393355644417</v>
      </c>
      <c r="X48" s="74">
        <f t="shared" si="52"/>
        <v>2.9999979247459878</v>
      </c>
      <c r="Y48" s="74">
        <f t="shared" si="52"/>
        <v>0.99999981543008198</v>
      </c>
      <c r="Z48" s="74">
        <f t="shared" si="52"/>
        <v>0.99999854089465645</v>
      </c>
      <c r="AA48" s="74">
        <f t="shared" si="52"/>
        <v>4.9948193873546654</v>
      </c>
      <c r="AB48" s="74">
        <f t="shared" si="52"/>
        <v>8.8168993684257693</v>
      </c>
      <c r="AC48" s="74">
        <f t="shared" si="52"/>
        <v>0.99999972438532303</v>
      </c>
      <c r="AD48" s="74">
        <f t="shared" si="52"/>
        <v>1.9999999994665925</v>
      </c>
      <c r="AE48" s="74">
        <f t="shared" si="52"/>
        <v>1.0000000000000002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28.631262395172321</v>
      </c>
      <c r="K49" s="74">
        <f t="shared" ref="K49:AF49" si="53">K28-K48</f>
        <v>23.173232596900423</v>
      </c>
      <c r="L49" s="74">
        <f t="shared" si="53"/>
        <v>13.914037513583523</v>
      </c>
      <c r="M49" s="74">
        <f t="shared" si="53"/>
        <v>4.3891201656737309</v>
      </c>
      <c r="N49" s="74">
        <f t="shared" si="53"/>
        <v>10.937024490235832</v>
      </c>
      <c r="O49" s="74">
        <f t="shared" si="53"/>
        <v>10.127728661437258</v>
      </c>
      <c r="P49" s="74">
        <f t="shared" si="53"/>
        <v>19.49059884303842</v>
      </c>
      <c r="Q49" s="74">
        <f t="shared" si="53"/>
        <v>10.767021584382647</v>
      </c>
      <c r="R49" s="74">
        <f t="shared" si="53"/>
        <v>7.1006220255086685</v>
      </c>
      <c r="S49" s="74">
        <f t="shared" si="53"/>
        <v>15.384809161253694</v>
      </c>
      <c r="T49" s="74">
        <f t="shared" si="53"/>
        <v>10.507655708527146</v>
      </c>
      <c r="U49" s="74">
        <f t="shared" si="53"/>
        <v>16.579844200307328</v>
      </c>
      <c r="V49" s="74">
        <f t="shared" si="53"/>
        <v>7.9183314952740798</v>
      </c>
      <c r="W49" s="74">
        <f t="shared" si="53"/>
        <v>11.55798913439194</v>
      </c>
      <c r="X49" s="74">
        <f t="shared" si="53"/>
        <v>8.6957641876558611</v>
      </c>
      <c r="Y49" s="74">
        <f t="shared" si="53"/>
        <v>6.861202226204675</v>
      </c>
      <c r="Z49" s="74">
        <f t="shared" si="53"/>
        <v>6.8779763343481282</v>
      </c>
      <c r="AA49" s="74">
        <f t="shared" si="53"/>
        <v>8.918503502185116</v>
      </c>
      <c r="AB49" s="74">
        <f t="shared" si="53"/>
        <v>12.569558260260333</v>
      </c>
      <c r="AC49" s="74">
        <f t="shared" si="53"/>
        <v>7.4451522612138392</v>
      </c>
      <c r="AD49" s="74">
        <f t="shared" si="53"/>
        <v>7.0586994900475464</v>
      </c>
      <c r="AE49" s="74">
        <f t="shared" si="53"/>
        <v>16.477808004893767</v>
      </c>
      <c r="AF49" s="74">
        <f t="shared" si="53"/>
        <v>12.323597595472098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2314.4236859997272</v>
      </c>
      <c r="K50" s="70">
        <f t="shared" ref="K50:AF50" si="54">K48*K20</f>
        <v>200</v>
      </c>
      <c r="L50" s="70">
        <f t="shared" si="54"/>
        <v>1015.2948086883121</v>
      </c>
      <c r="M50" s="70">
        <f t="shared" si="54"/>
        <v>92.967176162248293</v>
      </c>
      <c r="N50" s="70">
        <f t="shared" si="54"/>
        <v>781.07060832742661</v>
      </c>
      <c r="O50" s="70">
        <f t="shared" si="54"/>
        <v>598.15525013048102</v>
      </c>
      <c r="P50" s="70">
        <f t="shared" si="54"/>
        <v>1005.5550862879443</v>
      </c>
      <c r="Q50" s="70">
        <f t="shared" si="54"/>
        <v>118.30631269375309</v>
      </c>
      <c r="R50" s="70">
        <f t="shared" si="54"/>
        <v>199.66701280524708</v>
      </c>
      <c r="S50" s="70">
        <f t="shared" si="54"/>
        <v>443.65585085143869</v>
      </c>
      <c r="T50" s="70">
        <f t="shared" si="54"/>
        <v>279.94302280857141</v>
      </c>
      <c r="U50" s="70">
        <f t="shared" si="54"/>
        <v>206.37604373997755</v>
      </c>
      <c r="V50" s="70">
        <f t="shared" si="54"/>
        <v>132.46887522715929</v>
      </c>
      <c r="W50" s="70">
        <f t="shared" si="54"/>
        <v>159.99514684515535</v>
      </c>
      <c r="X50" s="70">
        <f t="shared" si="54"/>
        <v>179.99987548475926</v>
      </c>
      <c r="Y50" s="70">
        <f t="shared" si="54"/>
        <v>59.999988925804921</v>
      </c>
      <c r="Z50" s="70">
        <f t="shared" si="54"/>
        <v>59.999912453679386</v>
      </c>
      <c r="AA50" s="70">
        <f t="shared" si="54"/>
        <v>249.74096936773327</v>
      </c>
      <c r="AB50" s="70">
        <f t="shared" si="54"/>
        <v>440.84496842128846</v>
      </c>
      <c r="AC50" s="70">
        <f t="shared" si="54"/>
        <v>49.999986219266148</v>
      </c>
      <c r="AD50" s="70">
        <f t="shared" si="54"/>
        <v>119.99999996799555</v>
      </c>
      <c r="AE50" s="70">
        <f t="shared" si="54"/>
        <v>120.00000000000003</v>
      </c>
      <c r="AF50" s="70">
        <f t="shared" si="54"/>
        <v>100</v>
      </c>
      <c r="AG50" s="186">
        <f>SUM(J50:AF50)</f>
        <v>8928.4645814079704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1427.6978993352679</v>
      </c>
      <c r="K51" s="70">
        <f t="shared" ref="K51:AF51" si="55">(K20-K22)*K49</f>
        <v>4601.6941826272923</v>
      </c>
      <c r="L51" s="70">
        <f t="shared" si="55"/>
        <v>831.92030293715879</v>
      </c>
      <c r="M51" s="70">
        <f t="shared" si="55"/>
        <v>216.12027695777451</v>
      </c>
      <c r="N51" s="70">
        <f t="shared" si="55"/>
        <v>488.22877324412752</v>
      </c>
      <c r="O51" s="70">
        <f t="shared" si="55"/>
        <v>604.38233559992989</v>
      </c>
      <c r="P51" s="70">
        <f t="shared" si="55"/>
        <v>970.43691639488293</v>
      </c>
      <c r="Q51" s="70">
        <f t="shared" si="55"/>
        <v>534.84103018262363</v>
      </c>
      <c r="R51" s="70">
        <f t="shared" si="55"/>
        <v>352.7162984951176</v>
      </c>
      <c r="S51" s="70">
        <f t="shared" si="55"/>
        <v>767.16350882591541</v>
      </c>
      <c r="T51" s="70">
        <f t="shared" si="55"/>
        <v>732.11040383592047</v>
      </c>
      <c r="U51" s="70">
        <f t="shared" si="55"/>
        <v>1157.2731251814514</v>
      </c>
      <c r="V51" s="70">
        <f t="shared" si="55"/>
        <v>392.74924216559435</v>
      </c>
      <c r="W51" s="70">
        <f t="shared" si="55"/>
        <v>920.59383455431816</v>
      </c>
      <c r="X51" s="70">
        <f t="shared" si="55"/>
        <v>519.78930431712911</v>
      </c>
      <c r="Y51" s="70">
        <f t="shared" si="55"/>
        <v>407.30840895641433</v>
      </c>
      <c r="Z51" s="70">
        <f t="shared" si="55"/>
        <v>408.41423473359185</v>
      </c>
      <c r="AA51" s="70">
        <f t="shared" si="55"/>
        <v>444.31984447886248</v>
      </c>
      <c r="AB51" s="70">
        <f t="shared" si="55"/>
        <v>625.96400136096452</v>
      </c>
      <c r="AC51" s="70">
        <f t="shared" si="55"/>
        <v>371.2525175054281</v>
      </c>
      <c r="AD51" s="70">
        <f t="shared" si="55"/>
        <v>419.79497607210772</v>
      </c>
      <c r="AE51" s="70">
        <f t="shared" si="55"/>
        <v>1973.6294537861511</v>
      </c>
      <c r="AF51" s="70">
        <f t="shared" si="55"/>
        <v>1226.7401990436745</v>
      </c>
      <c r="AG51" s="51">
        <f>SUM(J51:AF51)</f>
        <v>20395.141070591701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0.42691576800327113</v>
      </c>
      <c r="K52" s="70">
        <f t="shared" ref="K52:AF52" si="56">K47*K23</f>
        <v>6.8064472178605037E-166</v>
      </c>
      <c r="L52" s="70">
        <f t="shared" si="56"/>
        <v>0.1176297827921986</v>
      </c>
      <c r="M52" s="70">
        <f t="shared" si="56"/>
        <v>0.56262590702013637</v>
      </c>
      <c r="N52" s="70">
        <f t="shared" si="56"/>
        <v>4.6000510374045662</v>
      </c>
      <c r="O52" s="70">
        <f t="shared" si="56"/>
        <v>9.8386659707674726E-2</v>
      </c>
      <c r="P52" s="70">
        <f t="shared" si="56"/>
        <v>0.53333896454466934</v>
      </c>
      <c r="Q52" s="70">
        <f t="shared" si="56"/>
        <v>0.5704863715124443</v>
      </c>
      <c r="R52" s="70">
        <f t="shared" si="56"/>
        <v>5.9937695055526955E-3</v>
      </c>
      <c r="S52" s="70">
        <f t="shared" si="56"/>
        <v>3.8064894891367961E-2</v>
      </c>
      <c r="T52" s="70">
        <f t="shared" si="56"/>
        <v>7.3256388979665431E-4</v>
      </c>
      <c r="U52" s="70">
        <f t="shared" si="56"/>
        <v>2.5885401857303238E-2</v>
      </c>
      <c r="V52" s="70">
        <f t="shared" si="56"/>
        <v>0.45580924409385859</v>
      </c>
      <c r="W52" s="70">
        <f t="shared" si="56"/>
        <v>4.2465104890751427E-5</v>
      </c>
      <c r="X52" s="70">
        <f t="shared" si="56"/>
        <v>5.1881350301343137E-6</v>
      </c>
      <c r="Y52" s="70">
        <f t="shared" si="56"/>
        <v>3.5068284423637535E-7</v>
      </c>
      <c r="Z52" s="70">
        <f t="shared" si="56"/>
        <v>2.1886580152820795E-6</v>
      </c>
      <c r="AA52" s="70">
        <f t="shared" si="56"/>
        <v>2.5903063226672845E-3</v>
      </c>
      <c r="AB52" s="70">
        <f t="shared" si="56"/>
        <v>9.1550315787114922E-2</v>
      </c>
      <c r="AC52" s="70">
        <f t="shared" si="56"/>
        <v>8.2684403105241389E-8</v>
      </c>
      <c r="AD52" s="70">
        <f t="shared" si="56"/>
        <v>4.2672611917278684E-10</v>
      </c>
      <c r="AE52" s="70">
        <f t="shared" si="56"/>
        <v>-6.9519714842578079E-16</v>
      </c>
      <c r="AF52" s="70">
        <f t="shared" si="56"/>
        <v>3.6675473422624913E-24</v>
      </c>
      <c r="AG52" s="51">
        <f>SUM(J52:AF52)</f>
        <v>7.5301112630245317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505.70821877737637</v>
      </c>
      <c r="K53" s="70">
        <f t="shared" ref="K53:AF53" si="57">K21*K28</f>
        <v>1718.7168376396198</v>
      </c>
      <c r="L53" s="70">
        <f t="shared" si="57"/>
        <v>323.77398541308162</v>
      </c>
      <c r="M53" s="70">
        <f t="shared" si="57"/>
        <v>237.44162017891045</v>
      </c>
      <c r="N53" s="70">
        <f t="shared" si="57"/>
        <v>509.29468415521558</v>
      </c>
      <c r="O53" s="70">
        <f t="shared" si="57"/>
        <v>325.57112185051346</v>
      </c>
      <c r="P53" s="70">
        <f t="shared" si="57"/>
        <v>415.81785597237172</v>
      </c>
      <c r="Q53" s="70">
        <f t="shared" si="57"/>
        <v>214.07030976360065</v>
      </c>
      <c r="R53" s="70">
        <f t="shared" si="57"/>
        <v>180.83158519030187</v>
      </c>
      <c r="S53" s="70">
        <f t="shared" si="57"/>
        <v>163.74100170340665</v>
      </c>
      <c r="T53" s="70">
        <f t="shared" si="57"/>
        <v>236.46152050298841</v>
      </c>
      <c r="U53" s="70">
        <f t="shared" si="57"/>
        <v>195.2807339659272</v>
      </c>
      <c r="V53" s="70">
        <f t="shared" si="57"/>
        <v>211.35417999634529</v>
      </c>
      <c r="W53" s="70">
        <f t="shared" si="57"/>
        <v>237.26374822423668</v>
      </c>
      <c r="X53" s="70">
        <f t="shared" si="57"/>
        <v>131.5773237645208</v>
      </c>
      <c r="Y53" s="70">
        <f t="shared" si="57"/>
        <v>249.9862249239853</v>
      </c>
      <c r="Z53" s="70">
        <f t="shared" si="57"/>
        <v>244.21722113252633</v>
      </c>
      <c r="AA53" s="70">
        <f t="shared" si="57"/>
        <v>125.21990600585804</v>
      </c>
      <c r="AB53" s="70">
        <f t="shared" si="57"/>
        <v>213.86457628686102</v>
      </c>
      <c r="AC53" s="70">
        <f t="shared" si="57"/>
        <v>57.004775902794343</v>
      </c>
      <c r="AD53" s="70">
        <f t="shared" si="57"/>
        <v>239.14966652317327</v>
      </c>
      <c r="AE53" s="70">
        <f t="shared" si="57"/>
        <v>196.62534005505486</v>
      </c>
      <c r="AF53" s="70">
        <f t="shared" si="57"/>
        <v>303.77802517676383</v>
      </c>
      <c r="AG53" s="67">
        <f>SUM(J53:AF53)</f>
        <v>7236.7504631054326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3235.9864507896154</v>
      </c>
      <c r="K54" s="79">
        <f t="shared" ref="K54:AF54" si="58">K50+K51-K53-K52</f>
        <v>3082.9773449876725</v>
      </c>
      <c r="L54" s="79">
        <f t="shared" si="58"/>
        <v>1523.3234964295971</v>
      </c>
      <c r="M54" s="79">
        <f t="shared" si="58"/>
        <v>71.083207034092226</v>
      </c>
      <c r="N54" s="79">
        <f t="shared" si="58"/>
        <v>755.40464637893388</v>
      </c>
      <c r="O54" s="79">
        <f t="shared" si="58"/>
        <v>876.86807722018978</v>
      </c>
      <c r="P54" s="79">
        <f t="shared" si="58"/>
        <v>1559.6408077459107</v>
      </c>
      <c r="Q54" s="79">
        <f t="shared" si="58"/>
        <v>438.50654674126355</v>
      </c>
      <c r="R54" s="79">
        <f t="shared" si="58"/>
        <v>371.54573234055721</v>
      </c>
      <c r="S54" s="79">
        <f t="shared" si="58"/>
        <v>1047.0402930790558</v>
      </c>
      <c r="T54" s="79">
        <f t="shared" si="58"/>
        <v>775.59117357761374</v>
      </c>
      <c r="U54" s="79">
        <f t="shared" si="58"/>
        <v>1168.3425495536446</v>
      </c>
      <c r="V54" s="79">
        <f t="shared" si="58"/>
        <v>313.40812815231442</v>
      </c>
      <c r="W54" s="79">
        <f t="shared" si="58"/>
        <v>843.32519071013201</v>
      </c>
      <c r="X54" s="79">
        <f t="shared" si="58"/>
        <v>568.21185084923263</v>
      </c>
      <c r="Y54" s="79">
        <f t="shared" si="58"/>
        <v>217.3221726075511</v>
      </c>
      <c r="Z54" s="79">
        <f t="shared" si="58"/>
        <v>224.19692386608688</v>
      </c>
      <c r="AA54" s="79">
        <f t="shared" si="58"/>
        <v>568.83831753441495</v>
      </c>
      <c r="AB54" s="79">
        <f>AB50+AB51-AB53-AB52</f>
        <v>852.85284317960475</v>
      </c>
      <c r="AC54" s="79">
        <f t="shared" si="58"/>
        <v>364.24772773921552</v>
      </c>
      <c r="AD54" s="79">
        <f t="shared" si="58"/>
        <v>300.64530951650329</v>
      </c>
      <c r="AE54" s="79">
        <f t="shared" si="58"/>
        <v>1897.0041137310964</v>
      </c>
      <c r="AF54" s="79">
        <f t="shared" si="58"/>
        <v>1022.9621738669107</v>
      </c>
      <c r="AG54" s="68">
        <f>SUM(J54:AF54)</f>
        <v>22079.325077631202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10821.187310950108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084C-5B71-1344-AC63-5267CAF8D0D1}">
  <dimension ref="A1:BJ75"/>
  <sheetViews>
    <sheetView topLeftCell="AQ22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14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46</v>
      </c>
      <c r="K2" s="262">
        <f>_xlfn.XLOOKUP($B$1,daily_demand!$E$1:$AH$1,daily_demand!$E$3:$AH$3)</f>
        <v>1</v>
      </c>
      <c r="L2" s="263">
        <f>_xlfn.XLOOKUP($B$1,daily_demand!$E$1:$AH$1,daily_demand!$E$4:$AH$4)</f>
        <v>21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18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3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2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3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2.217926204124983</v>
      </c>
      <c r="AJ4" s="45">
        <f t="shared" ref="AJ4:AJ18" si="1">K4*K$28</f>
        <v>0.72652609982762184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1.0983849462242303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0.84630544126519247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0.31497823724990448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0.53383244412390762</v>
      </c>
      <c r="BF4" s="44">
        <f>SUM(AI4:BE4)</f>
        <v>5.7379533728158396</v>
      </c>
      <c r="BG4" s="54">
        <f>ROUNDUP(BF4*2, 0)</f>
        <v>12</v>
      </c>
      <c r="BH4" s="86">
        <f>CEILING($BG$1*BG4, 0.5)</f>
        <v>6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2.217926204124983</v>
      </c>
      <c r="AJ5" s="45">
        <f t="shared" si="1"/>
        <v>0.96870146643682919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0.31497823724990448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0.66729055515488456</v>
      </c>
      <c r="BF5" s="44">
        <f t="shared" ref="BF5:BF19" si="23">SUM(AI5:BE5)</f>
        <v>4.1688964629666012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225</v>
      </c>
      <c r="C6" s="7">
        <f>B6*0.02</f>
        <v>4.5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0.4843507332184146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1.0983849462242303</v>
      </c>
      <c r="AP6" s="45">
        <f t="shared" si="7"/>
        <v>0</v>
      </c>
      <c r="AQ6" s="45">
        <f t="shared" si="8"/>
        <v>0</v>
      </c>
      <c r="AR6" s="45">
        <f t="shared" si="9"/>
        <v>0.72807173266144498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0.31497823724990448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0.28368858141426545</v>
      </c>
      <c r="BC6" s="45">
        <f t="shared" si="20"/>
        <v>0</v>
      </c>
      <c r="BD6" s="45">
        <f t="shared" si="21"/>
        <v>0</v>
      </c>
      <c r="BE6" s="45">
        <f t="shared" si="22"/>
        <v>0.53383244412390762</v>
      </c>
      <c r="BF6" s="44">
        <f t="shared" si="23"/>
        <v>3.4433066748921677</v>
      </c>
      <c r="BG6" s="54">
        <f t="shared" si="24"/>
        <v>7</v>
      </c>
      <c r="BH6" s="86">
        <f t="shared" si="25"/>
        <v>3.5</v>
      </c>
      <c r="BI6" s="6"/>
    </row>
    <row r="7" spans="1:61" ht="24" x14ac:dyDescent="0.2">
      <c r="A7" s="286" t="s">
        <v>47</v>
      </c>
      <c r="B7" s="295">
        <f>_xlfn.XLOOKUP($B$1,cost!$A$16:$A$45,cost!$E$16:$E$45)</f>
        <v>200</v>
      </c>
      <c r="C7" s="7">
        <f>B7*0.02</f>
        <v>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4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0.72652609982762184</v>
      </c>
      <c r="AK7" s="45">
        <f t="shared" si="2"/>
        <v>0</v>
      </c>
      <c r="AL7" s="45">
        <f t="shared" si="3"/>
        <v>0</v>
      </c>
      <c r="AM7" s="45">
        <f t="shared" si="4"/>
        <v>1.1321707541357167</v>
      </c>
      <c r="AN7" s="45">
        <f t="shared" si="5"/>
        <v>0.80441240344321274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0.97718239158080444</v>
      </c>
      <c r="AU7" s="45">
        <f t="shared" si="12"/>
        <v>0.52894090079074529</v>
      </c>
      <c r="AV7" s="45">
        <f t="shared" si="13"/>
        <v>0</v>
      </c>
      <c r="AW7" s="45">
        <f t="shared" si="14"/>
        <v>0</v>
      </c>
      <c r="AX7" s="45">
        <f t="shared" si="15"/>
        <v>0.39372279656238063</v>
      </c>
      <c r="AY7" s="45">
        <f t="shared" si="16"/>
        <v>0.39456109307802056</v>
      </c>
      <c r="AZ7" s="45">
        <f t="shared" si="17"/>
        <v>0</v>
      </c>
      <c r="BA7" s="45">
        <f t="shared" si="18"/>
        <v>1.0698788083871855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6.0273952478056882</v>
      </c>
      <c r="BG7" s="54">
        <f t="shared" si="24"/>
        <v>13</v>
      </c>
      <c r="BH7" s="86">
        <f t="shared" si="25"/>
        <v>6.5</v>
      </c>
      <c r="BI7" s="6"/>
    </row>
    <row r="8" spans="1:61" ht="24" x14ac:dyDescent="0.2">
      <c r="A8" s="286" t="s">
        <v>46</v>
      </c>
      <c r="B8" s="295">
        <f>_xlfn.XLOOKUP($B$1,cost!$A$16:$A$45,cost!$F$16:$F$45)</f>
        <v>190</v>
      </c>
      <c r="C8" s="7">
        <f t="shared" ref="C8:C19" si="26">B8*0.02</f>
        <v>3.8000000000000003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0.2421753666092073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0.60330930258240956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0.15748911862495224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0.26691622206195381</v>
      </c>
      <c r="BF8" s="44">
        <f t="shared" si="23"/>
        <v>1.2698900098785231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0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5.0275775215200795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5.0275775215200795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5.6608537706785835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5.6608537706785835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200</v>
      </c>
      <c r="C11" s="7">
        <f t="shared" si="26"/>
        <v>4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1.1321707541357167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1.1321707541357167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5.2273450507078758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5.2273450507078758</v>
      </c>
      <c r="BG12" s="54">
        <f t="shared" si="24"/>
        <v>11</v>
      </c>
      <c r="BH12" s="86">
        <f t="shared" si="25"/>
        <v>5.5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1.2108768330460364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0.26288533850165396</v>
      </c>
      <c r="AQ13" s="45">
        <f t="shared" si="8"/>
        <v>0.2221009193337839</v>
      </c>
      <c r="AR13" s="45">
        <f t="shared" si="9"/>
        <v>0</v>
      </c>
      <c r="AS13" s="45">
        <f t="shared" si="10"/>
        <v>0.29044770911547174</v>
      </c>
      <c r="AT13" s="45">
        <f t="shared" si="11"/>
        <v>0</v>
      </c>
      <c r="AU13" s="45">
        <f t="shared" si="12"/>
        <v>0</v>
      </c>
      <c r="AV13" s="45">
        <f t="shared" si="13"/>
        <v>0.95029882311087799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2.9366096231078243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0.96870146643682919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0.7257573597017184</v>
      </c>
      <c r="BD14" s="45">
        <f t="shared" si="21"/>
        <v>0</v>
      </c>
      <c r="BE14" s="45">
        <f t="shared" si="22"/>
        <v>0</v>
      </c>
      <c r="BF14" s="44">
        <f t="shared" si="23"/>
        <v>1.6944588261385476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2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1.2108768330460364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0.65721334625413497</v>
      </c>
      <c r="AQ15" s="45">
        <f t="shared" si="8"/>
        <v>0.55525229833445977</v>
      </c>
      <c r="AR15" s="45">
        <f t="shared" si="9"/>
        <v>0</v>
      </c>
      <c r="AS15" s="45">
        <f t="shared" si="10"/>
        <v>0.72611927278867938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0.69622189485843822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3.8456836452817491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1.2108768330460364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0.78912218615604113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1.9999990192020776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1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1.2108768330460364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0.26288533850165396</v>
      </c>
      <c r="AQ17" s="45">
        <f t="shared" si="8"/>
        <v>0.2221009193337839</v>
      </c>
      <c r="AR17" s="45">
        <f t="shared" si="9"/>
        <v>0</v>
      </c>
      <c r="AS17" s="45">
        <f t="shared" si="10"/>
        <v>0.29044770911547174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1.9863107999969463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2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2.5038199588533394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2.5038199588533394</v>
      </c>
      <c r="BG18" s="54">
        <f t="shared" si="24"/>
        <v>6</v>
      </c>
      <c r="BH18" s="86">
        <f t="shared" si="25"/>
        <v>3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2.9272743254772409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4.3761321012656627</v>
      </c>
      <c r="BE19" s="45">
        <f t="shared" si="27"/>
        <v>0</v>
      </c>
      <c r="BF19" s="44">
        <f t="shared" si="23"/>
        <v>7.3034064267429031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26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59.965677164724461</v>
      </c>
      <c r="BG20" s="54">
        <f>SUM(BG4:BG19)</f>
        <v>128</v>
      </c>
      <c r="BH20" s="86">
        <f>SUM(BH4:BH19)</f>
        <v>64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71.099999999999994</v>
      </c>
      <c r="L21" s="4">
        <f t="shared" si="28"/>
        <v>10.5</v>
      </c>
      <c r="M21" s="4">
        <f t="shared" si="28"/>
        <v>38</v>
      </c>
      <c r="N21" s="4">
        <f t="shared" si="28"/>
        <v>18</v>
      </c>
      <c r="O21" s="4">
        <f t="shared" si="28"/>
        <v>16.2</v>
      </c>
      <c r="P21" s="4">
        <f t="shared" si="28"/>
        <v>10.5</v>
      </c>
      <c r="Q21" s="4">
        <f t="shared" si="28"/>
        <v>16.3</v>
      </c>
      <c r="R21" s="4">
        <f t="shared" si="28"/>
        <v>16.3</v>
      </c>
      <c r="S21" s="4">
        <f t="shared" si="28"/>
        <v>6.75</v>
      </c>
      <c r="T21" s="4">
        <f t="shared" si="28"/>
        <v>16.3</v>
      </c>
      <c r="U21" s="4">
        <f t="shared" si="28"/>
        <v>10</v>
      </c>
      <c r="V21" s="4">
        <f t="shared" si="28"/>
        <v>20</v>
      </c>
      <c r="W21" s="4">
        <f t="shared" si="28"/>
        <v>17.5</v>
      </c>
      <c r="X21" s="4">
        <f t="shared" si="28"/>
        <v>11.25</v>
      </c>
      <c r="Y21" s="4">
        <f t="shared" si="28"/>
        <v>31.8</v>
      </c>
      <c r="Z21" s="4">
        <f t="shared" si="28"/>
        <v>31</v>
      </c>
      <c r="AA21" s="4">
        <f t="shared" si="28"/>
        <v>9</v>
      </c>
      <c r="AB21" s="4">
        <f t="shared" si="28"/>
        <v>10</v>
      </c>
      <c r="AC21" s="4">
        <f t="shared" si="28"/>
        <v>6.75</v>
      </c>
      <c r="AD21" s="4">
        <f t="shared" si="28"/>
        <v>26.400000000000002</v>
      </c>
      <c r="AE21" s="4">
        <f t="shared" si="28"/>
        <v>11.25</v>
      </c>
      <c r="AF21" s="4">
        <f t="shared" si="28"/>
        <v>22.8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3440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1.4219999999999999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0.36</v>
      </c>
      <c r="O22" s="4">
        <f t="shared" si="29"/>
        <v>0.32400000000000001</v>
      </c>
      <c r="P22" s="4">
        <f t="shared" si="29"/>
        <v>0.21000000000000002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0.13500000000000001</v>
      </c>
      <c r="T22" s="4">
        <f t="shared" si="29"/>
        <v>0.32600000000000001</v>
      </c>
      <c r="U22" s="4">
        <f t="shared" si="29"/>
        <v>0.2</v>
      </c>
      <c r="V22" s="4">
        <f t="shared" si="29"/>
        <v>0.4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0.63600000000000012</v>
      </c>
      <c r="Z22" s="4">
        <f t="shared" si="29"/>
        <v>0.62000000000000011</v>
      </c>
      <c r="AA22" s="4">
        <f t="shared" si="29"/>
        <v>0.18000000000000002</v>
      </c>
      <c r="AB22" s="4">
        <f t="shared" si="29"/>
        <v>0.2</v>
      </c>
      <c r="AC22" s="4">
        <f t="shared" si="29"/>
        <v>0.13500000000000001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0.45600000000000002</v>
      </c>
      <c r="AG22" s="9"/>
      <c r="BF22" s="432" t="s">
        <v>131</v>
      </c>
      <c r="BG22" s="432"/>
      <c r="BH22" s="41">
        <f>SUMPRODUCT(B4:B19,BH4:BH19)</f>
        <v>7775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69.677999999999997</v>
      </c>
      <c r="L25" s="69">
        <f t="shared" si="31"/>
        <v>10.29</v>
      </c>
      <c r="M25" s="69">
        <f t="shared" si="31"/>
        <v>37.24</v>
      </c>
      <c r="N25" s="69">
        <f t="shared" si="31"/>
        <v>17.64</v>
      </c>
      <c r="O25" s="69">
        <f t="shared" si="31"/>
        <v>15.875999999999999</v>
      </c>
      <c r="P25" s="69">
        <f t="shared" si="31"/>
        <v>10.29</v>
      </c>
      <c r="Q25" s="69">
        <f t="shared" si="31"/>
        <v>15.974</v>
      </c>
      <c r="R25" s="69">
        <f t="shared" si="31"/>
        <v>15.974</v>
      </c>
      <c r="S25" s="69">
        <f t="shared" si="31"/>
        <v>6.6150000000000002</v>
      </c>
      <c r="T25" s="69">
        <f t="shared" si="31"/>
        <v>15.974</v>
      </c>
      <c r="U25" s="69">
        <f t="shared" si="31"/>
        <v>9.8000000000000007</v>
      </c>
      <c r="V25" s="69">
        <f t="shared" si="31"/>
        <v>19.600000000000001</v>
      </c>
      <c r="W25" s="69">
        <f t="shared" si="31"/>
        <v>17.149999999999999</v>
      </c>
      <c r="X25" s="69">
        <f t="shared" si="31"/>
        <v>11.025</v>
      </c>
      <c r="Y25" s="69">
        <f t="shared" si="31"/>
        <v>31.164000000000001</v>
      </c>
      <c r="Z25" s="69">
        <f t="shared" si="31"/>
        <v>30.38</v>
      </c>
      <c r="AA25" s="69">
        <f t="shared" si="31"/>
        <v>8.82</v>
      </c>
      <c r="AB25" s="69">
        <f t="shared" si="31"/>
        <v>9.8000000000000007</v>
      </c>
      <c r="AC25" s="69">
        <f t="shared" si="31"/>
        <v>6.6150000000000002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22.344000000000001</v>
      </c>
      <c r="AG25" s="16"/>
      <c r="BF25" s="434" t="s">
        <v>42</v>
      </c>
      <c r="BG25" s="434"/>
      <c r="BH25" s="39">
        <f>AG50+AG51-AG52-BH22</f>
        <v>21659.62261500406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132.6</v>
      </c>
      <c r="L26" s="4">
        <f t="shared" si="32"/>
        <v>51</v>
      </c>
      <c r="M26" s="4">
        <f t="shared" si="32"/>
        <v>16</v>
      </c>
      <c r="N26" s="4">
        <f t="shared" si="32"/>
        <v>29.8</v>
      </c>
      <c r="O26" s="4">
        <f t="shared" si="32"/>
        <v>47</v>
      </c>
      <c r="P26" s="4">
        <f t="shared" si="32"/>
        <v>40.1</v>
      </c>
      <c r="Q26" s="4">
        <f t="shared" si="32"/>
        <v>34.6</v>
      </c>
      <c r="R26" s="4">
        <f t="shared" si="32"/>
        <v>34.6</v>
      </c>
      <c r="S26" s="4">
        <f t="shared" si="32"/>
        <v>43.55</v>
      </c>
      <c r="T26" s="4">
        <f t="shared" si="32"/>
        <v>54.6</v>
      </c>
      <c r="U26" s="4">
        <f t="shared" si="32"/>
        <v>60.5</v>
      </c>
      <c r="V26" s="4">
        <f t="shared" si="32"/>
        <v>31.3</v>
      </c>
      <c r="W26" s="4">
        <f t="shared" si="32"/>
        <v>63.2</v>
      </c>
      <c r="X26" s="4">
        <f t="shared" si="32"/>
        <v>51.25</v>
      </c>
      <c r="Y26" s="4">
        <f t="shared" si="32"/>
        <v>30.099999999999998</v>
      </c>
      <c r="Z26" s="4">
        <f t="shared" si="32"/>
        <v>30.5</v>
      </c>
      <c r="AA26" s="4">
        <f t="shared" si="32"/>
        <v>41.5</v>
      </c>
      <c r="AB26" s="4">
        <f t="shared" si="32"/>
        <v>40.5</v>
      </c>
      <c r="AC26" s="4">
        <f t="shared" si="32"/>
        <v>43.55</v>
      </c>
      <c r="AD26" s="4">
        <f t="shared" si="32"/>
        <v>34.399999999999991</v>
      </c>
      <c r="AE26" s="4">
        <f t="shared" si="32"/>
        <v>111.25</v>
      </c>
      <c r="AF26" s="4">
        <f t="shared" si="32"/>
        <v>78.7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0.65553347373416782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0.62816188870151779</v>
      </c>
      <c r="O27" s="70">
        <f t="shared" si="33"/>
        <v>0.74750302182072659</v>
      </c>
      <c r="P27" s="70">
        <f t="shared" si="33"/>
        <v>0.79579281603492757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0.86813515399182695</v>
      </c>
      <c r="T27" s="70">
        <f t="shared" si="33"/>
        <v>0.77365602063082728</v>
      </c>
      <c r="U27" s="70">
        <f t="shared" si="33"/>
        <v>0.86059743954480805</v>
      </c>
      <c r="V27" s="70">
        <f t="shared" si="33"/>
        <v>0.61493123772102154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0.49131627056672761</v>
      </c>
      <c r="Z27" s="70">
        <f t="shared" si="33"/>
        <v>0.50098554533508544</v>
      </c>
      <c r="AA27" s="70">
        <f t="shared" si="33"/>
        <v>0.82472178060413359</v>
      </c>
      <c r="AB27" s="70">
        <f t="shared" si="33"/>
        <v>0.80516898608349907</v>
      </c>
      <c r="AC27" s="70">
        <f t="shared" si="33"/>
        <v>0.86813515399182695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0.77886861169391541</v>
      </c>
      <c r="AG27" s="9"/>
      <c r="BF27" s="430" t="s">
        <v>130</v>
      </c>
      <c r="BG27" s="430"/>
      <c r="BH27" s="40">
        <f>BH25-AG41</f>
        <v>10017.245731505389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73.930873470832765</v>
      </c>
      <c r="K28" s="72">
        <v>24.217536660920729</v>
      </c>
      <c r="L28" s="72">
        <v>34.848967004719171</v>
      </c>
      <c r="M28" s="72">
        <v>6.2595498971333479</v>
      </c>
      <c r="N28" s="72">
        <v>28.304268853392916</v>
      </c>
      <c r="O28" s="72">
        <v>20.110310086080318</v>
      </c>
      <c r="P28" s="72">
        <v>36.612831540807676</v>
      </c>
      <c r="Q28" s="72">
        <v>13.144266925082698</v>
      </c>
      <c r="R28" s="72">
        <v>11.105045966689195</v>
      </c>
      <c r="S28" s="72">
        <v>24.2690577553815</v>
      </c>
      <c r="T28" s="72">
        <v>14.522385455773586</v>
      </c>
      <c r="U28" s="72">
        <v>19.543647831616088</v>
      </c>
      <c r="V28" s="72">
        <v>10.578818015814905</v>
      </c>
      <c r="W28" s="72">
        <v>13.575697473012541</v>
      </c>
      <c r="X28" s="72">
        <v>11.709097301908963</v>
      </c>
      <c r="Y28" s="72">
        <v>7.8744559312476117</v>
      </c>
      <c r="Z28" s="72">
        <v>7.8912218615604104</v>
      </c>
      <c r="AA28" s="72">
        <v>13.924437897168763</v>
      </c>
      <c r="AB28" s="72">
        <v>21.397576167743708</v>
      </c>
      <c r="AC28" s="72">
        <v>9.4562860471421821</v>
      </c>
      <c r="AD28" s="72">
        <v>9.0719669962714793</v>
      </c>
      <c r="AE28" s="72">
        <v>17.504528405062651</v>
      </c>
      <c r="AF28" s="72">
        <v>13.34581110309769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20</v>
      </c>
      <c r="M29" s="74">
        <f>F18/M18</f>
        <v>5</v>
      </c>
      <c r="N29" s="74">
        <f>F11/N11</f>
        <v>25</v>
      </c>
      <c r="O29" s="74">
        <f>F9/O9</f>
        <v>0</v>
      </c>
      <c r="P29" s="74">
        <f>(F6/P6)*(25/47)</f>
        <v>35.460992907801419</v>
      </c>
      <c r="Q29" s="74">
        <f>(F13/Q13)*(6/20)</f>
        <v>30</v>
      </c>
      <c r="R29" s="74">
        <f>(F13/R13)*(3/20)</f>
        <v>15</v>
      </c>
      <c r="S29" s="74">
        <f>(F6/S6)*(12/47)</f>
        <v>17.021276595744681</v>
      </c>
      <c r="T29" s="74">
        <f>(F13/T13)*(3/20)</f>
        <v>15</v>
      </c>
      <c r="U29" s="74">
        <f>(F7/U7)*(6/47)</f>
        <v>10.212765957446807</v>
      </c>
      <c r="V29" s="74">
        <f>(F7/V7)*(3/47)</f>
        <v>5.1063829787234036</v>
      </c>
      <c r="W29" s="74">
        <f>(F13/W13)*(8/20)</f>
        <v>11.428571428571429</v>
      </c>
      <c r="X29" s="74">
        <f>(F19/X19)*(3/4)</f>
        <v>0</v>
      </c>
      <c r="Y29" s="74">
        <f>(F7/Y7)*(1/29)</f>
        <v>2.7586206896551726</v>
      </c>
      <c r="Z29" s="74">
        <f>(F16/Z16)*(4/5)</f>
        <v>0</v>
      </c>
      <c r="AA29" s="74">
        <f>(F15/AA15)*(4/16)</f>
        <v>10</v>
      </c>
      <c r="AB29" s="74">
        <f>(F7/AB7)*(11/47)</f>
        <v>18.723404255319149</v>
      </c>
      <c r="AC29" s="74">
        <f>(F6/AC6)*(1/47)</f>
        <v>1.4184397163120568</v>
      </c>
      <c r="AD29" s="74">
        <f>(F14/AD14)</f>
        <v>0</v>
      </c>
      <c r="AE29" s="74">
        <f>(F19/AE19)*(1/4)</f>
        <v>0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0.81115424115302281</v>
      </c>
      <c r="K30" s="70">
        <f t="shared" si="34"/>
        <v>-1.1904761904761905</v>
      </c>
      <c r="L30" s="70">
        <f t="shared" si="34"/>
        <v>-0.13793103448275862</v>
      </c>
      <c r="M30" s="70">
        <f t="shared" si="34"/>
        <v>0.93167701863354035</v>
      </c>
      <c r="N30" s="70">
        <f t="shared" si="34"/>
        <v>0.48192771084337355</v>
      </c>
      <c r="O30" s="70">
        <f t="shared" si="34"/>
        <v>-2.0833333333333335</v>
      </c>
      <c r="P30" s="70">
        <f t="shared" si="34"/>
        <v>1.1192944171667576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0.93816100535025493</v>
      </c>
      <c r="T30" s="70">
        <f t="shared" si="34"/>
        <v>3.2738095238095237</v>
      </c>
      <c r="U30" s="70">
        <f t="shared" si="34"/>
        <v>0.91416552058894895</v>
      </c>
      <c r="V30" s="70">
        <f t="shared" si="34"/>
        <v>0.3348780570307478</v>
      </c>
      <c r="W30" s="70">
        <f t="shared" si="34"/>
        <v>3.0711959050721269</v>
      </c>
      <c r="X30" s="70">
        <f t="shared" si="34"/>
        <v>-1.5228426395939088</v>
      </c>
      <c r="Y30" s="70">
        <f t="shared" si="34"/>
        <v>1.2384652744050513</v>
      </c>
      <c r="Z30" s="70">
        <f t="shared" si="34"/>
        <v>-0.64516129032258063</v>
      </c>
      <c r="AA30" s="70">
        <f t="shared" si="34"/>
        <v>1.4534883720930232</v>
      </c>
      <c r="AB30" s="70">
        <f t="shared" si="34"/>
        <v>1.2514033790629537</v>
      </c>
      <c r="AC30" s="70">
        <f t="shared" si="34"/>
        <v>-0.37279505364611742</v>
      </c>
      <c r="AD30" s="70">
        <f t="shared" si="34"/>
        <v>-1.6528925619834711</v>
      </c>
      <c r="AE30" s="70">
        <f t="shared" si="34"/>
        <v>-0.48309178743961356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0.2871001599664737</v>
      </c>
      <c r="K31" s="70">
        <f t="shared" ref="K31:AF31" si="35">NORMDIST(K30,0,1,FALSE)</f>
        <v>0.19640914652400149</v>
      </c>
      <c r="L31" s="70">
        <f t="shared" si="35"/>
        <v>0.39516534041185808</v>
      </c>
      <c r="M31" s="70">
        <f t="shared" si="35"/>
        <v>0.25847674077806199</v>
      </c>
      <c r="N31" s="70">
        <f t="shared" si="35"/>
        <v>0.35520304600227354</v>
      </c>
      <c r="O31" s="70">
        <f t="shared" si="35"/>
        <v>4.5543952872905573E-2</v>
      </c>
      <c r="P31" s="70">
        <f t="shared" si="35"/>
        <v>0.21323753872830289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0.25691459379413667</v>
      </c>
      <c r="T31" s="70">
        <f t="shared" si="35"/>
        <v>1.8774272333183636E-3</v>
      </c>
      <c r="U31" s="70">
        <f t="shared" si="35"/>
        <v>0.262688112980761</v>
      </c>
      <c r="V31" s="70">
        <f t="shared" si="35"/>
        <v>0.37718851008883375</v>
      </c>
      <c r="W31" s="70">
        <f t="shared" si="35"/>
        <v>3.5704605822708328E-3</v>
      </c>
      <c r="X31" s="70">
        <f t="shared" si="35"/>
        <v>0.1251223293178855</v>
      </c>
      <c r="Y31" s="70">
        <f t="shared" si="35"/>
        <v>0.18528934454325996</v>
      </c>
      <c r="Z31" s="70">
        <f t="shared" si="35"/>
        <v>0.32398596615315295</v>
      </c>
      <c r="AA31" s="70">
        <f t="shared" si="35"/>
        <v>0.13872624376685427</v>
      </c>
      <c r="AB31" s="70">
        <f t="shared" si="35"/>
        <v>0.18232877933413894</v>
      </c>
      <c r="AC31" s="70">
        <f t="shared" si="35"/>
        <v>0.37216178653442294</v>
      </c>
      <c r="AD31" s="70">
        <f t="shared" si="35"/>
        <v>0.10177757907817411</v>
      </c>
      <c r="AE31" s="70">
        <f t="shared" si="35"/>
        <v>0.35500359217664224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0.79136145005436331</v>
      </c>
      <c r="K32" s="70">
        <f t="shared" ref="K32:AF32" si="36">NORMDIST(K30,0,1,TRUE)</f>
        <v>0.11692964134637239</v>
      </c>
      <c r="L32" s="70">
        <f t="shared" si="36"/>
        <v>0.44514746142618433</v>
      </c>
      <c r="M32" s="70">
        <f t="shared" si="36"/>
        <v>0.82424826667399453</v>
      </c>
      <c r="N32" s="70">
        <f t="shared" si="36"/>
        <v>0.68507134998371932</v>
      </c>
      <c r="O32" s="70">
        <f t="shared" si="36"/>
        <v>1.8610425189886329E-2</v>
      </c>
      <c r="P32" s="70">
        <f t="shared" si="36"/>
        <v>0.86849272161935764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0.82591916269481458</v>
      </c>
      <c r="T32" s="70">
        <f t="shared" si="36"/>
        <v>0.99946945944972954</v>
      </c>
      <c r="U32" s="70">
        <f t="shared" si="36"/>
        <v>0.81968506073047842</v>
      </c>
      <c r="V32" s="70">
        <f t="shared" si="36"/>
        <v>0.63114146234356439</v>
      </c>
      <c r="W32" s="70">
        <f t="shared" si="36"/>
        <v>0.99893398392725807</v>
      </c>
      <c r="X32" s="70">
        <f t="shared" si="36"/>
        <v>6.389903965475742E-2</v>
      </c>
      <c r="Y32" s="70">
        <f t="shared" si="36"/>
        <v>0.8922282048162371</v>
      </c>
      <c r="Z32" s="70">
        <f t="shared" si="36"/>
        <v>0.25941133433509533</v>
      </c>
      <c r="AA32" s="70">
        <f t="shared" si="36"/>
        <v>0.92695589707257042</v>
      </c>
      <c r="AB32" s="70">
        <f t="shared" si="36"/>
        <v>0.89460632745632507</v>
      </c>
      <c r="AC32" s="70">
        <f t="shared" si="36"/>
        <v>0.35465049226698131</v>
      </c>
      <c r="AD32" s="70">
        <f t="shared" si="36"/>
        <v>4.9176365594524589E-2</v>
      </c>
      <c r="AE32" s="70">
        <f t="shared" si="36"/>
        <v>0.31451528251747035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0.11786211531005372</v>
      </c>
      <c r="K33" s="70">
        <f t="shared" ref="K33:AF33" si="37">K31-(K30*(1-K32))</f>
        <v>1.2476833830164151</v>
      </c>
      <c r="L33" s="70">
        <f t="shared" si="37"/>
        <v>0.47169672504272919</v>
      </c>
      <c r="M33" s="70">
        <f t="shared" si="37"/>
        <v>9.4732889853212182E-2</v>
      </c>
      <c r="N33" s="70">
        <f t="shared" si="37"/>
        <v>0.20343020262093345</v>
      </c>
      <c r="O33" s="70">
        <f t="shared" si="37"/>
        <v>2.0901055670606423</v>
      </c>
      <c r="P33" s="70">
        <f t="shared" si="37"/>
        <v>6.604217622005526E-2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9.359874045568975E-2</v>
      </c>
      <c r="T33" s="70">
        <f t="shared" si="37"/>
        <v>1.4053852707577295E-4</v>
      </c>
      <c r="U33" s="70">
        <f t="shared" si="37"/>
        <v>9.7850412653474106E-2</v>
      </c>
      <c r="V33" s="70">
        <f t="shared" si="37"/>
        <v>0.2536658796792437</v>
      </c>
      <c r="W33" s="70">
        <f t="shared" si="37"/>
        <v>2.9651638492475757E-4</v>
      </c>
      <c r="X33" s="70">
        <f t="shared" si="37"/>
        <v>1.5506567866964278</v>
      </c>
      <c r="Y33" s="70">
        <f t="shared" si="37"/>
        <v>5.1817718647876071E-2</v>
      </c>
      <c r="Z33" s="70">
        <f t="shared" si="37"/>
        <v>0.80178510529180103</v>
      </c>
      <c r="AA33" s="70">
        <f t="shared" si="37"/>
        <v>3.2557489511869431E-2</v>
      </c>
      <c r="AB33" s="70">
        <f t="shared" si="37"/>
        <v>5.0438781381129671E-2</v>
      </c>
      <c r="AC33" s="70">
        <f t="shared" si="37"/>
        <v>0.61274489089024908</v>
      </c>
      <c r="AD33" s="70">
        <f t="shared" si="37"/>
        <v>1.6733868921450756</v>
      </c>
      <c r="AE33" s="70">
        <f t="shared" si="37"/>
        <v>0.68615562960781595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2.3348485042921641</v>
      </c>
      <c r="K34" s="74">
        <f t="shared" si="38"/>
        <v>1.0480540417337887</v>
      </c>
      <c r="L34" s="74">
        <f t="shared" si="38"/>
        <v>3.4198012565597868</v>
      </c>
      <c r="M34" s="74">
        <f t="shared" si="38"/>
        <v>0.30503990532734326</v>
      </c>
      <c r="N34" s="74">
        <f t="shared" si="38"/>
        <v>2.5327060226306215</v>
      </c>
      <c r="O34" s="74">
        <f t="shared" si="38"/>
        <v>10.032506721891084</v>
      </c>
      <c r="P34" s="74">
        <f t="shared" si="38"/>
        <v>1.0302579490328621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0.80026923089614743</v>
      </c>
      <c r="T34" s="74">
        <f t="shared" si="38"/>
        <v>4.7220945097459709E-4</v>
      </c>
      <c r="U34" s="74">
        <f t="shared" si="38"/>
        <v>0.77203975583591067</v>
      </c>
      <c r="V34" s="74">
        <f t="shared" si="38"/>
        <v>1.5955583831824429</v>
      </c>
      <c r="W34" s="74">
        <f t="shared" si="38"/>
        <v>9.1030530171900572E-4</v>
      </c>
      <c r="X34" s="74">
        <f t="shared" si="38"/>
        <v>3.0547938697919625</v>
      </c>
      <c r="Y34" s="74">
        <f t="shared" si="38"/>
        <v>7.3581160479984017E-2</v>
      </c>
      <c r="Z34" s="74">
        <f t="shared" si="38"/>
        <v>1.2427669132022916</v>
      </c>
      <c r="AA34" s="74">
        <f t="shared" si="38"/>
        <v>0.11199776392083084</v>
      </c>
      <c r="AB34" s="74">
        <f t="shared" si="38"/>
        <v>0.39190933133137751</v>
      </c>
      <c r="AC34" s="74">
        <f t="shared" si="38"/>
        <v>0.95588202978878856</v>
      </c>
      <c r="AD34" s="74">
        <f t="shared" si="38"/>
        <v>2.0247981394955414</v>
      </c>
      <c r="AE34" s="74">
        <f t="shared" si="38"/>
        <v>1.4203421532881788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43.665151495707839</v>
      </c>
      <c r="K35" s="74">
        <f t="shared" si="39"/>
        <v>-4.8054041733788688E-2</v>
      </c>
      <c r="L35" s="74">
        <f t="shared" si="39"/>
        <v>17.580198743440214</v>
      </c>
      <c r="M35" s="74">
        <f t="shared" si="39"/>
        <v>1.6949600946726568</v>
      </c>
      <c r="N35" s="74">
        <f t="shared" si="39"/>
        <v>16.46729397736938</v>
      </c>
      <c r="O35" s="74">
        <f t="shared" si="39"/>
        <v>-3.2506721891083501E-2</v>
      </c>
      <c r="P35" s="74">
        <f t="shared" si="39"/>
        <v>16.969742050967138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8.1997307691038532</v>
      </c>
      <c r="T35" s="74">
        <f t="shared" si="39"/>
        <v>3.9995277905490254</v>
      </c>
      <c r="U35" s="74">
        <f t="shared" si="39"/>
        <v>2.2279602441640893</v>
      </c>
      <c r="V35" s="74">
        <f t="shared" si="39"/>
        <v>1.4044416168175571</v>
      </c>
      <c r="W35" s="74">
        <f t="shared" si="39"/>
        <v>1.999089694698281</v>
      </c>
      <c r="X35" s="74">
        <f t="shared" si="39"/>
        <v>-5.4793869791962546E-2</v>
      </c>
      <c r="Y35" s="74">
        <f t="shared" si="39"/>
        <v>0.92641883952001602</v>
      </c>
      <c r="Z35" s="74">
        <f t="shared" si="39"/>
        <v>-0.2427669132022916</v>
      </c>
      <c r="AA35" s="74">
        <f t="shared" si="39"/>
        <v>4.8880022360791688</v>
      </c>
      <c r="AB35" s="74">
        <f t="shared" si="39"/>
        <v>8.6080906686686234</v>
      </c>
      <c r="AC35" s="74">
        <f t="shared" si="39"/>
        <v>1.0441179702112113</v>
      </c>
      <c r="AD35" s="74">
        <f t="shared" si="39"/>
        <v>-2.4798139495541438E-2</v>
      </c>
      <c r="AE35" s="74">
        <f t="shared" si="39"/>
        <v>-0.42034215328817881</v>
      </c>
      <c r="AF35" s="74">
        <f t="shared" si="39"/>
        <v>0.69099903829292908</v>
      </c>
      <c r="AG35" s="187">
        <f>SUM(J35:AF35)</f>
        <v>136.53788852579817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18.403814021533542</v>
      </c>
      <c r="K36" s="74">
        <f t="shared" ref="K36:AF36" si="40">K29-K35</f>
        <v>4.8054041733788688E-2</v>
      </c>
      <c r="L36" s="74">
        <f t="shared" si="40"/>
        <v>2.4198012565597864</v>
      </c>
      <c r="M36" s="74">
        <f t="shared" si="40"/>
        <v>3.3050399053273432</v>
      </c>
      <c r="N36" s="74">
        <f t="shared" si="40"/>
        <v>8.5327060226306202</v>
      </c>
      <c r="O36" s="74">
        <f t="shared" si="40"/>
        <v>3.2506721891083501E-2</v>
      </c>
      <c r="P36" s="74">
        <f t="shared" si="40"/>
        <v>18.491250856834281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8.8215458266408273</v>
      </c>
      <c r="T36" s="74">
        <f t="shared" si="40"/>
        <v>11.000472209450974</v>
      </c>
      <c r="U36" s="74">
        <f t="shared" si="40"/>
        <v>7.9848057132827179</v>
      </c>
      <c r="V36" s="74">
        <f t="shared" si="40"/>
        <v>3.7019413619058463</v>
      </c>
      <c r="W36" s="74">
        <f t="shared" si="40"/>
        <v>9.429481733873148</v>
      </c>
      <c r="X36" s="74">
        <f t="shared" si="40"/>
        <v>5.4793869791962546E-2</v>
      </c>
      <c r="Y36" s="74">
        <f t="shared" si="40"/>
        <v>1.8322018501351565</v>
      </c>
      <c r="Z36" s="74">
        <f t="shared" si="40"/>
        <v>0.2427669132022916</v>
      </c>
      <c r="AA36" s="74">
        <f t="shared" si="40"/>
        <v>5.1119977639208312</v>
      </c>
      <c r="AB36" s="74">
        <f t="shared" si="40"/>
        <v>10.115313586650526</v>
      </c>
      <c r="AC36" s="74">
        <f t="shared" si="40"/>
        <v>0.37432174610084545</v>
      </c>
      <c r="AD36" s="74">
        <f t="shared" si="40"/>
        <v>2.4798139495541438E-2</v>
      </c>
      <c r="AE36" s="74">
        <f t="shared" si="40"/>
        <v>0.42034215328817881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2183.2575747853921</v>
      </c>
      <c r="K37" s="70">
        <f t="shared" ref="K37:AF37" si="41">K20*K35</f>
        <v>-9.6108083467577377</v>
      </c>
      <c r="L37" s="70">
        <f t="shared" si="41"/>
        <v>1054.8119246064127</v>
      </c>
      <c r="M37" s="70">
        <f t="shared" si="41"/>
        <v>84.74800473363284</v>
      </c>
      <c r="N37" s="70">
        <f t="shared" si="41"/>
        <v>741.02822898162208</v>
      </c>
      <c r="O37" s="70">
        <f t="shared" si="41"/>
        <v>-1.9504033134650101</v>
      </c>
      <c r="P37" s="70">
        <f t="shared" si="41"/>
        <v>848.48710254835692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409.98653845519266</v>
      </c>
      <c r="T37" s="70">
        <f t="shared" si="41"/>
        <v>279.9669453384318</v>
      </c>
      <c r="U37" s="70">
        <f t="shared" si="41"/>
        <v>155.95721709148626</v>
      </c>
      <c r="V37" s="70">
        <f t="shared" si="41"/>
        <v>70.222080840877851</v>
      </c>
      <c r="W37" s="70">
        <f t="shared" si="41"/>
        <v>159.92717557586249</v>
      </c>
      <c r="X37" s="70">
        <f t="shared" si="41"/>
        <v>-3.2876321875177528</v>
      </c>
      <c r="Y37" s="70">
        <f t="shared" si="41"/>
        <v>55.585130371200961</v>
      </c>
      <c r="Z37" s="70">
        <f t="shared" si="41"/>
        <v>-14.566014792137496</v>
      </c>
      <c r="AA37" s="70">
        <f t="shared" si="41"/>
        <v>244.40011180395845</v>
      </c>
      <c r="AB37" s="70">
        <f t="shared" si="41"/>
        <v>430.4045334334312</v>
      </c>
      <c r="AC37" s="70">
        <f t="shared" si="41"/>
        <v>52.205898510560566</v>
      </c>
      <c r="AD37" s="70">
        <f t="shared" si="41"/>
        <v>-1.4878883697324863</v>
      </c>
      <c r="AE37" s="70">
        <f t="shared" si="41"/>
        <v>-50.441058394581461</v>
      </c>
      <c r="AF37" s="70">
        <f t="shared" si="41"/>
        <v>69.099903829292913</v>
      </c>
      <c r="AG37" s="288">
        <f>SUM(J37:AF37)</f>
        <v>7108.5158222484724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917.70618618377011</v>
      </c>
      <c r="K38" s="70">
        <f t="shared" ref="K38:AF38" si="42">(K20-K22)*K36</f>
        <v>9.5424754994122907</v>
      </c>
      <c r="L38" s="70">
        <f t="shared" si="42"/>
        <v>144.67991712970962</v>
      </c>
      <c r="M38" s="70">
        <f t="shared" si="42"/>
        <v>162.74016493831837</v>
      </c>
      <c r="N38" s="70">
        <f t="shared" si="42"/>
        <v>380.89999685023088</v>
      </c>
      <c r="O38" s="70">
        <f t="shared" si="42"/>
        <v>1.9398711355722991</v>
      </c>
      <c r="P38" s="70">
        <f t="shared" si="42"/>
        <v>920.67938016177879</v>
      </c>
      <c r="Q38" s="70">
        <f t="shared" si="42"/>
        <v>1341.422871748664</v>
      </c>
      <c r="R38" s="70">
        <f t="shared" si="42"/>
        <v>546.41638009837322</v>
      </c>
      <c r="S38" s="70">
        <f t="shared" si="42"/>
        <v>439.88638264544488</v>
      </c>
      <c r="T38" s="70">
        <f t="shared" si="42"/>
        <v>766.44690072128719</v>
      </c>
      <c r="U38" s="70">
        <f t="shared" si="42"/>
        <v>557.33943878713364</v>
      </c>
      <c r="V38" s="70">
        <f t="shared" si="42"/>
        <v>183.61629155052998</v>
      </c>
      <c r="W38" s="70">
        <f t="shared" si="42"/>
        <v>751.0582201029963</v>
      </c>
      <c r="X38" s="70">
        <f t="shared" si="42"/>
        <v>3.2753035668145611</v>
      </c>
      <c r="Y38" s="70">
        <f t="shared" si="42"/>
        <v>108.76683063142342</v>
      </c>
      <c r="Z38" s="70">
        <f t="shared" si="42"/>
        <v>14.415499305952077</v>
      </c>
      <c r="AA38" s="70">
        <f t="shared" si="42"/>
        <v>254.6797285985358</v>
      </c>
      <c r="AB38" s="70">
        <f t="shared" si="42"/>
        <v>503.74261661519614</v>
      </c>
      <c r="AC38" s="70">
        <f t="shared" si="42"/>
        <v>18.665553869318661</v>
      </c>
      <c r="AD38" s="70">
        <f>(AD20-AD22)*AD36</f>
        <v>1.4747949520788404</v>
      </c>
      <c r="AE38" s="70">
        <f t="shared" si="42"/>
        <v>50.34648141009162</v>
      </c>
      <c r="AF38" s="70">
        <f t="shared" si="42"/>
        <v>68.517260697685913</v>
      </c>
      <c r="AG38" s="288">
        <f>SUM(J38:AF38)</f>
        <v>8148.2585472003202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1.4009091025752984</v>
      </c>
      <c r="K39" s="70">
        <f t="shared" ref="K39:AF39" si="43">K23*K34</f>
        <v>3.8777999544150181</v>
      </c>
      <c r="L39" s="70">
        <f t="shared" si="43"/>
        <v>5.1297018848396805</v>
      </c>
      <c r="M39" s="70">
        <f t="shared" si="43"/>
        <v>1.2201596213093731</v>
      </c>
      <c r="N39" s="70">
        <f t="shared" si="43"/>
        <v>7.0915768633657397</v>
      </c>
      <c r="O39" s="70">
        <f t="shared" si="43"/>
        <v>32.104021510051467</v>
      </c>
      <c r="P39" s="70">
        <f t="shared" si="43"/>
        <v>0.61815476941971725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0.24008076926884422</v>
      </c>
      <c r="T39" s="70">
        <f t="shared" si="43"/>
        <v>4.2498850587713733E-4</v>
      </c>
      <c r="U39" s="70">
        <f t="shared" si="43"/>
        <v>0.38601987791795533</v>
      </c>
      <c r="V39" s="70">
        <f t="shared" si="43"/>
        <v>2.0742258981371759</v>
      </c>
      <c r="W39" s="70">
        <f t="shared" si="43"/>
        <v>6.3721371120330401E-4</v>
      </c>
      <c r="X39" s="70">
        <f t="shared" si="43"/>
        <v>7.6369846744799066</v>
      </c>
      <c r="Y39" s="70">
        <f t="shared" si="43"/>
        <v>0.13980420491196965</v>
      </c>
      <c r="Z39" s="70">
        <f t="shared" si="43"/>
        <v>1.8641503698034374</v>
      </c>
      <c r="AA39" s="70">
        <f t="shared" si="43"/>
        <v>5.5998881960415421E-2</v>
      </c>
      <c r="AB39" s="70">
        <f t="shared" si="43"/>
        <v>0.19595466566568875</v>
      </c>
      <c r="AC39" s="70">
        <f t="shared" si="43"/>
        <v>0.28676460893663658</v>
      </c>
      <c r="AD39" s="70">
        <f t="shared" si="43"/>
        <v>1.6198385115964333</v>
      </c>
      <c r="AE39" s="70">
        <f t="shared" si="43"/>
        <v>3.5508553832204468</v>
      </c>
      <c r="AF39" s="70">
        <f t="shared" si="43"/>
        <v>0.46350144256060638</v>
      </c>
      <c r="AG39" s="288">
        <f t="shared" ref="AG39" si="44">SUM(J39:AF39)</f>
        <v>69.961682575207732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418.9655172413793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190</v>
      </c>
      <c r="N40" s="70">
        <f t="shared" si="45"/>
        <v>450</v>
      </c>
      <c r="O40" s="70">
        <f t="shared" si="45"/>
        <v>0</v>
      </c>
      <c r="P40" s="70">
        <f t="shared" si="45"/>
        <v>372.34042553191489</v>
      </c>
      <c r="Q40" s="70">
        <f t="shared" si="45"/>
        <v>489</v>
      </c>
      <c r="R40" s="70">
        <f t="shared" si="45"/>
        <v>244.5</v>
      </c>
      <c r="S40" s="70">
        <f t="shared" si="45"/>
        <v>114.8936170212766</v>
      </c>
      <c r="T40" s="70">
        <f t="shared" si="45"/>
        <v>244.5</v>
      </c>
      <c r="U40" s="70">
        <f t="shared" si="45"/>
        <v>102.12765957446807</v>
      </c>
      <c r="V40" s="70">
        <f t="shared" si="45"/>
        <v>102.12765957446807</v>
      </c>
      <c r="W40" s="70">
        <f t="shared" si="45"/>
        <v>200</v>
      </c>
      <c r="X40" s="70">
        <f t="shared" si="45"/>
        <v>0</v>
      </c>
      <c r="Y40" s="70">
        <f t="shared" si="45"/>
        <v>87.724137931034491</v>
      </c>
      <c r="Z40" s="70">
        <f t="shared" si="45"/>
        <v>0</v>
      </c>
      <c r="AA40" s="70">
        <f t="shared" si="45"/>
        <v>90</v>
      </c>
      <c r="AB40" s="70">
        <f t="shared" si="45"/>
        <v>187.2340425531915</v>
      </c>
      <c r="AC40" s="70">
        <f t="shared" si="45"/>
        <v>9.5744680851063837</v>
      </c>
      <c r="AD40" s="70">
        <f t="shared" si="45"/>
        <v>0</v>
      </c>
      <c r="AE40" s="70">
        <f t="shared" si="45"/>
        <v>0</v>
      </c>
      <c r="AF40" s="70">
        <f t="shared" si="45"/>
        <v>31.448275862068968</v>
      </c>
      <c r="AG40" s="289">
        <f>SUM(J40:AF40)</f>
        <v>3544.4358033749077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2680.5973346252076</v>
      </c>
      <c r="K41" s="76">
        <f t="shared" ref="K41:AF41" si="46">K37+K38-K40-K39</f>
        <v>-3.9461328017604651</v>
      </c>
      <c r="L41" s="76">
        <f t="shared" si="46"/>
        <v>984.36213985128256</v>
      </c>
      <c r="M41" s="76">
        <f t="shared" si="46"/>
        <v>56.268010050641827</v>
      </c>
      <c r="N41" s="76">
        <f t="shared" si="46"/>
        <v>664.83664896848734</v>
      </c>
      <c r="O41" s="76">
        <f t="shared" si="46"/>
        <v>-32.114553687944181</v>
      </c>
      <c r="P41" s="76">
        <f t="shared" si="46"/>
        <v>1396.2079024088011</v>
      </c>
      <c r="Q41" s="76">
        <f t="shared" si="46"/>
        <v>1002.1924499584519</v>
      </c>
      <c r="R41" s="76">
        <f t="shared" si="46"/>
        <v>501.91394125698349</v>
      </c>
      <c r="S41" s="76">
        <f t="shared" si="46"/>
        <v>734.73922331009214</v>
      </c>
      <c r="T41" s="76">
        <f t="shared" si="46"/>
        <v>801.91342107121307</v>
      </c>
      <c r="U41" s="76">
        <f t="shared" si="46"/>
        <v>610.78297642623386</v>
      </c>
      <c r="V41" s="76">
        <f t="shared" si="46"/>
        <v>149.63648691880258</v>
      </c>
      <c r="W41" s="76">
        <f t="shared" si="46"/>
        <v>710.98475846514759</v>
      </c>
      <c r="X41" s="76">
        <f t="shared" si="46"/>
        <v>-7.6493132951830987</v>
      </c>
      <c r="Y41" s="76">
        <f t="shared" si="46"/>
        <v>76.488018866677905</v>
      </c>
      <c r="Z41" s="76">
        <f t="shared" si="46"/>
        <v>-2.0146658559888566</v>
      </c>
      <c r="AA41" s="76">
        <f t="shared" si="46"/>
        <v>409.02384152053384</v>
      </c>
      <c r="AB41" s="76">
        <f t="shared" si="46"/>
        <v>746.71715282977004</v>
      </c>
      <c r="AC41" s="76">
        <f t="shared" si="46"/>
        <v>61.010219685836212</v>
      </c>
      <c r="AD41" s="76">
        <f t="shared" si="46"/>
        <v>-1.6329319292500792</v>
      </c>
      <c r="AE41" s="76">
        <f t="shared" si="46"/>
        <v>-3.6454323677102876</v>
      </c>
      <c r="AF41" s="76">
        <f t="shared" si="46"/>
        <v>105.70538722234924</v>
      </c>
      <c r="AG41" s="290">
        <f>SUM(J41:AF41)</f>
        <v>11642.376883498671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1.409938085352487</v>
      </c>
      <c r="K43" s="70">
        <f t="shared" si="47"/>
        <v>27.6399245963342</v>
      </c>
      <c r="L43" s="70">
        <f t="shared" si="47"/>
        <v>1.9102023454785064</v>
      </c>
      <c r="M43" s="70">
        <f t="shared" si="47"/>
        <v>1.322841582960667</v>
      </c>
      <c r="N43" s="70">
        <f t="shared" si="47"/>
        <v>0.74733083159782465</v>
      </c>
      <c r="O43" s="70">
        <f t="shared" si="47"/>
        <v>2.1063146012667331</v>
      </c>
      <c r="P43" s="70">
        <f t="shared" si="47"/>
        <v>1.1931302269748509</v>
      </c>
      <c r="Q43" s="70">
        <f t="shared" si="47"/>
        <v>1.1002458703994249</v>
      </c>
      <c r="R43" s="70">
        <f t="shared" si="47"/>
        <v>2.4584934140793062</v>
      </c>
      <c r="S43" s="70">
        <f t="shared" si="47"/>
        <v>1.7858547082317542</v>
      </c>
      <c r="T43" s="70">
        <f t="shared" si="47"/>
        <v>3.1316623380278532</v>
      </c>
      <c r="U43" s="70">
        <f t="shared" si="47"/>
        <v>2.0967867974164878</v>
      </c>
      <c r="V43" s="70">
        <f t="shared" si="47"/>
        <v>1.2048995255667576</v>
      </c>
      <c r="W43" s="70">
        <f t="shared" si="47"/>
        <v>3.7705854960952903</v>
      </c>
      <c r="X43" s="70">
        <f t="shared" si="47"/>
        <v>4.4208615745730784</v>
      </c>
      <c r="Y43" s="70">
        <f t="shared" si="47"/>
        <v>4.8411661487659243</v>
      </c>
      <c r="Z43" s="70">
        <f t="shared" si="47"/>
        <v>4.4459495881034901</v>
      </c>
      <c r="AA43" s="70">
        <f t="shared" si="47"/>
        <v>2.594313342200222</v>
      </c>
      <c r="AB43" s="70">
        <f t="shared" si="47"/>
        <v>1.5955696483582635</v>
      </c>
      <c r="AC43" s="70">
        <f t="shared" si="47"/>
        <v>4.7796705430398605</v>
      </c>
      <c r="AD43" s="70">
        <f t="shared" si="47"/>
        <v>5.8446008233648588</v>
      </c>
      <c r="AE43" s="70">
        <f t="shared" si="47"/>
        <v>7.9732021280495902</v>
      </c>
      <c r="AF43" s="70">
        <f t="shared" si="47"/>
        <v>10.37463117907369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0.14765139313213349</v>
      </c>
      <c r="K44" s="70">
        <f t="shared" ref="K44:AF44" si="48">NORMDIST(K43,0,1,FALSE)</f>
        <v>5.1041613156855866E-167</v>
      </c>
      <c r="L44" s="70">
        <f t="shared" si="48"/>
        <v>6.4352787148917304E-2</v>
      </c>
      <c r="M44" s="70">
        <f t="shared" si="48"/>
        <v>0.16631138075966051</v>
      </c>
      <c r="N44" s="70">
        <f t="shared" si="48"/>
        <v>0.30173980098358272</v>
      </c>
      <c r="O44" s="70">
        <f t="shared" si="48"/>
        <v>4.3403329121049529E-2</v>
      </c>
      <c r="P44" s="70">
        <f t="shared" si="48"/>
        <v>0.1957888683855778</v>
      </c>
      <c r="Q44" s="70">
        <f t="shared" si="48"/>
        <v>0.21779325867446597</v>
      </c>
      <c r="R44" s="70">
        <f t="shared" si="48"/>
        <v>1.9428126044577207E-2</v>
      </c>
      <c r="S44" s="70">
        <f t="shared" si="48"/>
        <v>8.0978057776028872E-2</v>
      </c>
      <c r="T44" s="70">
        <f t="shared" si="48"/>
        <v>2.9599200151628384E-3</v>
      </c>
      <c r="U44" s="70">
        <f t="shared" si="48"/>
        <v>4.4281160196673885E-2</v>
      </c>
      <c r="V44" s="70">
        <f t="shared" si="48"/>
        <v>0.19304538417403069</v>
      </c>
      <c r="W44" s="70">
        <f t="shared" si="48"/>
        <v>3.2633176015432524E-4</v>
      </c>
      <c r="X44" s="70">
        <f t="shared" si="48"/>
        <v>2.2749962430550523E-5</v>
      </c>
      <c r="Y44" s="70">
        <f t="shared" si="48"/>
        <v>3.2482850650491417E-6</v>
      </c>
      <c r="Z44" s="70">
        <f t="shared" si="48"/>
        <v>2.0355235566233502E-5</v>
      </c>
      <c r="AA44" s="70">
        <f t="shared" si="48"/>
        <v>1.3785066754612212E-2</v>
      </c>
      <c r="AB44" s="70">
        <f t="shared" si="48"/>
        <v>0.1117088010021875</v>
      </c>
      <c r="AC44" s="70">
        <f t="shared" si="48"/>
        <v>4.366434511228392E-6</v>
      </c>
      <c r="AD44" s="70">
        <f t="shared" si="48"/>
        <v>1.5251043264541964E-8</v>
      </c>
      <c r="AE44" s="70">
        <f t="shared" si="48"/>
        <v>6.258007065862138E-15</v>
      </c>
      <c r="AF44" s="70">
        <f t="shared" si="48"/>
        <v>1.6931956283051739E-24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0.92072101716166099</v>
      </c>
      <c r="K45" s="70">
        <f t="shared" ref="K45:AF45" si="49">NORMDIST(K43,0,1,TRUE)</f>
        <v>1</v>
      </c>
      <c r="L45" s="70">
        <f t="shared" si="49"/>
        <v>0.97194641735251119</v>
      </c>
      <c r="M45" s="70">
        <f t="shared" si="49"/>
        <v>0.90705596728833326</v>
      </c>
      <c r="N45" s="70">
        <f t="shared" si="49"/>
        <v>0.7725680569826453</v>
      </c>
      <c r="O45" s="70">
        <f t="shared" si="49"/>
        <v>0.98241148309276849</v>
      </c>
      <c r="P45" s="70">
        <f t="shared" si="49"/>
        <v>0.88359081244833226</v>
      </c>
      <c r="Q45" s="70">
        <f t="shared" si="49"/>
        <v>0.86438749521220304</v>
      </c>
      <c r="R45" s="70">
        <f t="shared" si="49"/>
        <v>0.99302393322168869</v>
      </c>
      <c r="S45" s="70">
        <f t="shared" si="49"/>
        <v>0.96293860701290568</v>
      </c>
      <c r="T45" s="70">
        <f t="shared" si="49"/>
        <v>0.99913090169942487</v>
      </c>
      <c r="U45" s="70">
        <f t="shared" si="49"/>
        <v>0.98199377358111717</v>
      </c>
      <c r="V45" s="70">
        <f t="shared" si="49"/>
        <v>0.88587895410035367</v>
      </c>
      <c r="W45" s="70">
        <f t="shared" si="49"/>
        <v>0.99991856750331765</v>
      </c>
      <c r="X45" s="70">
        <f t="shared" si="49"/>
        <v>0.99999508459310038</v>
      </c>
      <c r="Y45" s="70">
        <f t="shared" si="49"/>
        <v>0.99999935460305267</v>
      </c>
      <c r="Z45" s="70">
        <f t="shared" si="49"/>
        <v>0.99999562477657866</v>
      </c>
      <c r="AA45" s="70">
        <f t="shared" si="49"/>
        <v>0.99526099685338365</v>
      </c>
      <c r="AB45" s="70">
        <f t="shared" si="49"/>
        <v>0.94470754576712768</v>
      </c>
      <c r="AC45" s="70">
        <f t="shared" si="49"/>
        <v>0.99999912208660691</v>
      </c>
      <c r="AD45" s="70">
        <f t="shared" si="49"/>
        <v>0.99999999746107793</v>
      </c>
      <c r="AE45" s="70">
        <f t="shared" si="49"/>
        <v>0.99999999999999922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3.5872935860353117E-2</v>
      </c>
      <c r="K46" s="70">
        <f t="shared" ref="K46:AF46" si="50">K44-(K43*(1-K45))</f>
        <v>5.1041613156855866E-167</v>
      </c>
      <c r="L46" s="70">
        <f t="shared" si="50"/>
        <v>1.0764767776609056E-2</v>
      </c>
      <c r="M46" s="70">
        <f t="shared" si="50"/>
        <v>4.3361149400611268E-2</v>
      </c>
      <c r="N46" s="70">
        <f t="shared" si="50"/>
        <v>0.13177289787651397</v>
      </c>
      <c r="O46" s="70">
        <f t="shared" si="50"/>
        <v>6.3563791447209944E-3</v>
      </c>
      <c r="P46" s="70">
        <f t="shared" si="50"/>
        <v>5.6897548020098471E-2</v>
      </c>
      <c r="Q46" s="70">
        <f t="shared" si="50"/>
        <v>6.858616030717013E-2</v>
      </c>
      <c r="R46" s="70">
        <f t="shared" si="50"/>
        <v>2.2775118139214158E-3</v>
      </c>
      <c r="S46" s="70">
        <f t="shared" si="50"/>
        <v>1.4791794616399165E-2</v>
      </c>
      <c r="T46" s="70">
        <f t="shared" si="50"/>
        <v>2.3819759920768379E-4</v>
      </c>
      <c r="U46" s="70">
        <f t="shared" si="50"/>
        <v>6.5259423702683991E-3</v>
      </c>
      <c r="V46" s="70">
        <f t="shared" si="50"/>
        <v>5.5540990112364658E-2</v>
      </c>
      <c r="W46" s="70">
        <f t="shared" si="50"/>
        <v>1.928356925301228E-5</v>
      </c>
      <c r="X46" s="70">
        <f t="shared" si="50"/>
        <v>1.0196289446320199E-6</v>
      </c>
      <c r="Y46" s="70">
        <f t="shared" si="50"/>
        <v>1.2381121111983324E-7</v>
      </c>
      <c r="Z46" s="70">
        <f t="shared" si="50"/>
        <v>9.032127982755569E-7</v>
      </c>
      <c r="AA46" s="70">
        <f t="shared" si="50"/>
        <v>1.4906076626165811E-3</v>
      </c>
      <c r="AB46" s="70">
        <f t="shared" si="50"/>
        <v>2.3485839244978018E-2</v>
      </c>
      <c r="AC46" s="70">
        <f t="shared" si="50"/>
        <v>1.7029772691863719E-7</v>
      </c>
      <c r="AD46" s="70">
        <f t="shared" si="50"/>
        <v>4.1205722867391552E-10</v>
      </c>
      <c r="AE46" s="70">
        <f t="shared" si="50"/>
        <v>6.1584258076472856E-17</v>
      </c>
      <c r="AF46" s="70">
        <f t="shared" si="50"/>
        <v>1.6931956283051739E-24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0.71064285939359517</v>
      </c>
      <c r="K47" s="74">
        <f t="shared" si="51"/>
        <v>4.2874955051758925E-167</v>
      </c>
      <c r="L47" s="74">
        <f t="shared" si="51"/>
        <v>7.8044566380415653E-2</v>
      </c>
      <c r="M47" s="74">
        <f t="shared" si="51"/>
        <v>0.1396229010699683</v>
      </c>
      <c r="N47" s="74">
        <f t="shared" si="51"/>
        <v>1.6405725785625989</v>
      </c>
      <c r="O47" s="74">
        <f t="shared" si="51"/>
        <v>3.0510619894660772E-2</v>
      </c>
      <c r="P47" s="74">
        <f t="shared" si="51"/>
        <v>0.88760174911353618</v>
      </c>
      <c r="Q47" s="74">
        <f t="shared" si="51"/>
        <v>0.63236439803210864</v>
      </c>
      <c r="R47" s="74">
        <f t="shared" si="51"/>
        <v>6.5820091422328919E-3</v>
      </c>
      <c r="S47" s="74">
        <f t="shared" si="51"/>
        <v>0.12646984397021288</v>
      </c>
      <c r="T47" s="74">
        <f t="shared" si="51"/>
        <v>8.0034393333781753E-4</v>
      </c>
      <c r="U47" s="74">
        <f t="shared" si="51"/>
        <v>5.1489685301417669E-2</v>
      </c>
      <c r="V47" s="74">
        <f t="shared" si="51"/>
        <v>0.34935282780677368</v>
      </c>
      <c r="W47" s="74">
        <f t="shared" si="51"/>
        <v>5.9200557606747697E-5</v>
      </c>
      <c r="X47" s="74">
        <f t="shared" si="51"/>
        <v>2.0086690209250792E-6</v>
      </c>
      <c r="Y47" s="74">
        <f t="shared" si="51"/>
        <v>1.7581191979016319E-7</v>
      </c>
      <c r="Z47" s="74">
        <f t="shared" si="51"/>
        <v>1.3999798373271133E-6</v>
      </c>
      <c r="AA47" s="74">
        <f t="shared" si="51"/>
        <v>5.1276903594010392E-3</v>
      </c>
      <c r="AB47" s="74">
        <f t="shared" si="51"/>
        <v>0.18248497093347921</v>
      </c>
      <c r="AC47" s="74">
        <f t="shared" si="51"/>
        <v>2.6566445399307404E-7</v>
      </c>
      <c r="AD47" s="74">
        <f t="shared" si="51"/>
        <v>4.9858924669543775E-10</v>
      </c>
      <c r="AE47" s="74">
        <f t="shared" si="51"/>
        <v>1.2747941421829881E-16</v>
      </c>
      <c r="AF47" s="74">
        <f t="shared" si="51"/>
        <v>2.0149027976831567E-24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45.289357140606405</v>
      </c>
      <c r="K48" s="74">
        <f t="shared" si="52"/>
        <v>1</v>
      </c>
      <c r="L48" s="74">
        <f t="shared" si="52"/>
        <v>20.921955433619583</v>
      </c>
      <c r="M48" s="74">
        <f t="shared" si="52"/>
        <v>1.8603770989300317</v>
      </c>
      <c r="N48" s="74">
        <f t="shared" si="52"/>
        <v>17.359427421437402</v>
      </c>
      <c r="O48" s="74">
        <f t="shared" si="52"/>
        <v>9.9694893801053386</v>
      </c>
      <c r="P48" s="74">
        <f t="shared" si="52"/>
        <v>17.112398250886464</v>
      </c>
      <c r="Q48" s="74">
        <f t="shared" si="52"/>
        <v>2.3676356019678915</v>
      </c>
      <c r="R48" s="74">
        <f t="shared" si="52"/>
        <v>3.9934179908577669</v>
      </c>
      <c r="S48" s="74">
        <f t="shared" si="52"/>
        <v>8.873530156029787</v>
      </c>
      <c r="T48" s="74">
        <f t="shared" si="52"/>
        <v>3.9991996560666623</v>
      </c>
      <c r="U48" s="74">
        <f t="shared" si="52"/>
        <v>2.9485103146985825</v>
      </c>
      <c r="V48" s="74">
        <f t="shared" si="52"/>
        <v>2.6506471721932261</v>
      </c>
      <c r="W48" s="74">
        <f t="shared" si="52"/>
        <v>1.9999407994423932</v>
      </c>
      <c r="X48" s="74">
        <f t="shared" si="52"/>
        <v>2.9999979913309791</v>
      </c>
      <c r="Y48" s="74">
        <f t="shared" si="52"/>
        <v>0.9999998241880802</v>
      </c>
      <c r="Z48" s="74">
        <f t="shared" si="52"/>
        <v>0.99999860002016272</v>
      </c>
      <c r="AA48" s="74">
        <f t="shared" si="52"/>
        <v>4.9948723096405994</v>
      </c>
      <c r="AB48" s="74">
        <f t="shared" si="52"/>
        <v>8.8175150290665201</v>
      </c>
      <c r="AC48" s="74">
        <f t="shared" si="52"/>
        <v>1.999999734335546</v>
      </c>
      <c r="AD48" s="74">
        <f t="shared" si="52"/>
        <v>1.9999999995014108</v>
      </c>
      <c r="AE48" s="74">
        <f t="shared" si="52"/>
        <v>0.99999999999999989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28.641516330226359</v>
      </c>
      <c r="K49" s="74">
        <f t="shared" ref="K49:AF49" si="53">K28-K48</f>
        <v>23.217536660920729</v>
      </c>
      <c r="L49" s="74">
        <f t="shared" si="53"/>
        <v>13.927011571099587</v>
      </c>
      <c r="M49" s="74">
        <f t="shared" si="53"/>
        <v>4.399172798203316</v>
      </c>
      <c r="N49" s="74">
        <f t="shared" si="53"/>
        <v>10.944841431955513</v>
      </c>
      <c r="O49" s="74">
        <f t="shared" si="53"/>
        <v>10.14082070597498</v>
      </c>
      <c r="P49" s="74">
        <f t="shared" si="53"/>
        <v>19.500433289921212</v>
      </c>
      <c r="Q49" s="74">
        <f t="shared" si="53"/>
        <v>10.776631323114806</v>
      </c>
      <c r="R49" s="74">
        <f t="shared" si="53"/>
        <v>7.1116279758314285</v>
      </c>
      <c r="S49" s="74">
        <f t="shared" si="53"/>
        <v>15.395527599351713</v>
      </c>
      <c r="T49" s="74">
        <f t="shared" si="53"/>
        <v>10.523185799706923</v>
      </c>
      <c r="U49" s="74">
        <f t="shared" si="53"/>
        <v>16.595137516917504</v>
      </c>
      <c r="V49" s="74">
        <f t="shared" si="53"/>
        <v>7.9281708436216789</v>
      </c>
      <c r="W49" s="74">
        <f t="shared" si="53"/>
        <v>11.575756673570147</v>
      </c>
      <c r="X49" s="74">
        <f t="shared" si="53"/>
        <v>8.7090993105779848</v>
      </c>
      <c r="Y49" s="74">
        <f t="shared" si="53"/>
        <v>6.8744561070595314</v>
      </c>
      <c r="Z49" s="74">
        <f t="shared" si="53"/>
        <v>6.8912232615402473</v>
      </c>
      <c r="AA49" s="74">
        <f t="shared" si="53"/>
        <v>8.9295655875281632</v>
      </c>
      <c r="AB49" s="74">
        <f t="shared" si="53"/>
        <v>12.580061138677188</v>
      </c>
      <c r="AC49" s="74">
        <f t="shared" si="53"/>
        <v>7.4562863128066361</v>
      </c>
      <c r="AD49" s="74">
        <f t="shared" si="53"/>
        <v>7.0719669967700689</v>
      </c>
      <c r="AE49" s="74">
        <f t="shared" si="53"/>
        <v>16.504528405062651</v>
      </c>
      <c r="AF49" s="74">
        <f t="shared" si="53"/>
        <v>12.34581110309769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2264.4678570303204</v>
      </c>
      <c r="K50" s="70">
        <f t="shared" ref="K50:AF50" si="54">K48*K20</f>
        <v>200</v>
      </c>
      <c r="L50" s="70">
        <f t="shared" si="54"/>
        <v>1255.317326017175</v>
      </c>
      <c r="M50" s="70">
        <f t="shared" si="54"/>
        <v>93.018854946501577</v>
      </c>
      <c r="N50" s="70">
        <f t="shared" si="54"/>
        <v>781.17423396468314</v>
      </c>
      <c r="O50" s="70">
        <f t="shared" si="54"/>
        <v>598.16936280632035</v>
      </c>
      <c r="P50" s="70">
        <f t="shared" si="54"/>
        <v>855.61991254432326</v>
      </c>
      <c r="Q50" s="70">
        <f t="shared" si="54"/>
        <v>118.38178009839457</v>
      </c>
      <c r="R50" s="70">
        <f t="shared" si="54"/>
        <v>199.67089954288835</v>
      </c>
      <c r="S50" s="70">
        <f t="shared" si="54"/>
        <v>443.67650780148938</v>
      </c>
      <c r="T50" s="70">
        <f t="shared" si="54"/>
        <v>279.94397592466635</v>
      </c>
      <c r="U50" s="70">
        <f t="shared" si="54"/>
        <v>206.39572202890076</v>
      </c>
      <c r="V50" s="70">
        <f t="shared" si="54"/>
        <v>132.53235860966132</v>
      </c>
      <c r="W50" s="70">
        <f t="shared" si="54"/>
        <v>159.99526395539147</v>
      </c>
      <c r="X50" s="70">
        <f t="shared" si="54"/>
        <v>179.99987947985875</v>
      </c>
      <c r="Y50" s="70">
        <f t="shared" si="54"/>
        <v>59.999989451284812</v>
      </c>
      <c r="Z50" s="70">
        <f t="shared" si="54"/>
        <v>59.999916001209762</v>
      </c>
      <c r="AA50" s="70">
        <f t="shared" si="54"/>
        <v>249.74361548202998</v>
      </c>
      <c r="AB50" s="70">
        <f t="shared" si="54"/>
        <v>440.87575145332602</v>
      </c>
      <c r="AC50" s="70">
        <f t="shared" si="54"/>
        <v>99.9999867167773</v>
      </c>
      <c r="AD50" s="70">
        <f t="shared" si="54"/>
        <v>119.99999997008464</v>
      </c>
      <c r="AE50" s="70">
        <f t="shared" si="54"/>
        <v>119.99999999999999</v>
      </c>
      <c r="AF50" s="70">
        <f t="shared" si="54"/>
        <v>100</v>
      </c>
      <c r="AG50" s="186">
        <f>SUM(J50:AF50)</f>
        <v>9018.9831938252846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1428.2092118067374</v>
      </c>
      <c r="K51" s="70">
        <f t="shared" ref="K51:AF51" si="55">(K20-K22)*K49</f>
        <v>4610.4919950523163</v>
      </c>
      <c r="L51" s="70">
        <f t="shared" si="55"/>
        <v>832.69602183604434</v>
      </c>
      <c r="M51" s="70">
        <f t="shared" si="55"/>
        <v>216.61526858353128</v>
      </c>
      <c r="N51" s="70">
        <f t="shared" si="55"/>
        <v>488.57772152249413</v>
      </c>
      <c r="O51" s="70">
        <f t="shared" si="55"/>
        <v>605.16361644976291</v>
      </c>
      <c r="P51" s="70">
        <f t="shared" si="55"/>
        <v>970.92657350517709</v>
      </c>
      <c r="Q51" s="70">
        <f t="shared" si="55"/>
        <v>535.31838434440488</v>
      </c>
      <c r="R51" s="70">
        <f t="shared" si="55"/>
        <v>353.26300807145037</v>
      </c>
      <c r="S51" s="70">
        <f t="shared" si="55"/>
        <v>767.69798374167317</v>
      </c>
      <c r="T51" s="70">
        <f t="shared" si="55"/>
        <v>733.19244740878025</v>
      </c>
      <c r="U51" s="70">
        <f t="shared" si="55"/>
        <v>1158.3405986808418</v>
      </c>
      <c r="V51" s="70">
        <f t="shared" si="55"/>
        <v>393.23727384363531</v>
      </c>
      <c r="W51" s="70">
        <f t="shared" si="55"/>
        <v>922.00901904986233</v>
      </c>
      <c r="X51" s="70">
        <f t="shared" si="55"/>
        <v>520.586411289799</v>
      </c>
      <c r="Y51" s="70">
        <f t="shared" si="55"/>
        <v>408.09521233948198</v>
      </c>
      <c r="Z51" s="70">
        <f t="shared" si="55"/>
        <v>409.20083727025991</v>
      </c>
      <c r="AA51" s="70">
        <f t="shared" si="55"/>
        <v>444.8709575706531</v>
      </c>
      <c r="AB51" s="70">
        <f t="shared" si="55"/>
        <v>626.48704470612392</v>
      </c>
      <c r="AC51" s="70">
        <f t="shared" si="55"/>
        <v>371.80771698810292</v>
      </c>
      <c r="AD51" s="70">
        <f t="shared" si="55"/>
        <v>420.58402123190956</v>
      </c>
      <c r="AE51" s="70">
        <f t="shared" si="55"/>
        <v>1976.8298897163791</v>
      </c>
      <c r="AF51" s="70">
        <f t="shared" si="55"/>
        <v>1228.9514204467564</v>
      </c>
      <c r="AG51" s="51">
        <f>SUM(J51:AF51)</f>
        <v>20423.152635456179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0.42638571563615707</v>
      </c>
      <c r="K52" s="70">
        <f t="shared" ref="K52:AF52" si="56">K47*K23</f>
        <v>1.5863733369150804E-166</v>
      </c>
      <c r="L52" s="70">
        <f t="shared" si="56"/>
        <v>0.11706684957062348</v>
      </c>
      <c r="M52" s="70">
        <f t="shared" si="56"/>
        <v>0.55849160427987321</v>
      </c>
      <c r="N52" s="70">
        <f t="shared" si="56"/>
        <v>4.5936032199752761</v>
      </c>
      <c r="O52" s="70">
        <f t="shared" si="56"/>
        <v>9.7633983662914481E-2</v>
      </c>
      <c r="P52" s="70">
        <f t="shared" si="56"/>
        <v>0.53256104946812166</v>
      </c>
      <c r="Q52" s="70">
        <f t="shared" si="56"/>
        <v>0.56912795822889772</v>
      </c>
      <c r="R52" s="70">
        <f t="shared" si="56"/>
        <v>5.9238082280096025E-3</v>
      </c>
      <c r="S52" s="70">
        <f t="shared" si="56"/>
        <v>3.7940953191063866E-2</v>
      </c>
      <c r="T52" s="70">
        <f t="shared" si="56"/>
        <v>7.2030954000403566E-4</v>
      </c>
      <c r="U52" s="70">
        <f t="shared" si="56"/>
        <v>2.5744842650708834E-2</v>
      </c>
      <c r="V52" s="70">
        <f t="shared" si="56"/>
        <v>0.45415867614880578</v>
      </c>
      <c r="W52" s="70">
        <f t="shared" si="56"/>
        <v>4.1440390324723392E-5</v>
      </c>
      <c r="X52" s="70">
        <f t="shared" si="56"/>
        <v>5.0216725523126984E-6</v>
      </c>
      <c r="Y52" s="70">
        <f t="shared" si="56"/>
        <v>3.3404264760131008E-7</v>
      </c>
      <c r="Z52" s="70">
        <f t="shared" si="56"/>
        <v>2.0999697559906701E-6</v>
      </c>
      <c r="AA52" s="70">
        <f t="shared" si="56"/>
        <v>2.5638451797005196E-3</v>
      </c>
      <c r="AB52" s="70">
        <f t="shared" si="56"/>
        <v>9.1242485466739603E-2</v>
      </c>
      <c r="AC52" s="70">
        <f t="shared" si="56"/>
        <v>7.9699336197922211E-8</v>
      </c>
      <c r="AD52" s="70">
        <f t="shared" si="56"/>
        <v>3.9887139735635022E-10</v>
      </c>
      <c r="AE52" s="70">
        <f t="shared" si="56"/>
        <v>3.1869853554574699E-16</v>
      </c>
      <c r="AF52" s="70">
        <f t="shared" si="56"/>
        <v>3.0223541965247349E-24</v>
      </c>
      <c r="AG52" s="51">
        <f>SUM(J52:AF52)</f>
        <v>7.5132142774003849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499.03339592812114</v>
      </c>
      <c r="K53" s="70">
        <f t="shared" ref="K53:AF53" si="57">K21*K28</f>
        <v>1721.8668565914636</v>
      </c>
      <c r="L53" s="70">
        <f t="shared" si="57"/>
        <v>365.91415354955132</v>
      </c>
      <c r="M53" s="70">
        <f t="shared" si="57"/>
        <v>237.86289609106723</v>
      </c>
      <c r="N53" s="70">
        <f t="shared" si="57"/>
        <v>509.47683936107251</v>
      </c>
      <c r="O53" s="70">
        <f t="shared" si="57"/>
        <v>325.78702339450115</v>
      </c>
      <c r="P53" s="70">
        <f t="shared" si="57"/>
        <v>384.4347311784806</v>
      </c>
      <c r="Q53" s="70">
        <f t="shared" si="57"/>
        <v>214.25155087884801</v>
      </c>
      <c r="R53" s="70">
        <f t="shared" si="57"/>
        <v>181.01224925703389</v>
      </c>
      <c r="S53" s="70">
        <f t="shared" si="57"/>
        <v>163.81613984882512</v>
      </c>
      <c r="T53" s="70">
        <f t="shared" si="57"/>
        <v>236.71488292910945</v>
      </c>
      <c r="U53" s="70">
        <f t="shared" si="57"/>
        <v>195.43647831616087</v>
      </c>
      <c r="V53" s="70">
        <f t="shared" si="57"/>
        <v>211.57636031629809</v>
      </c>
      <c r="W53" s="70">
        <f t="shared" si="57"/>
        <v>237.57470577771946</v>
      </c>
      <c r="X53" s="70">
        <f t="shared" si="57"/>
        <v>131.72734464647584</v>
      </c>
      <c r="Y53" s="70">
        <f t="shared" si="57"/>
        <v>250.40769861367406</v>
      </c>
      <c r="Z53" s="70">
        <f t="shared" si="57"/>
        <v>244.62787770837272</v>
      </c>
      <c r="AA53" s="70">
        <f t="shared" si="57"/>
        <v>125.31994107451887</v>
      </c>
      <c r="AB53" s="70">
        <f t="shared" si="57"/>
        <v>213.97576167743708</v>
      </c>
      <c r="AC53" s="70">
        <f t="shared" si="57"/>
        <v>63.829930818209732</v>
      </c>
      <c r="AD53" s="70">
        <f t="shared" si="57"/>
        <v>239.49992870156709</v>
      </c>
      <c r="AE53" s="70">
        <f t="shared" si="57"/>
        <v>196.92594455695482</v>
      </c>
      <c r="AF53" s="70">
        <f t="shared" si="57"/>
        <v>304.28449315062733</v>
      </c>
      <c r="AG53" s="67">
        <f>SUM(J53:AF53)</f>
        <v>7255.3571843660902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3193.2172871933008</v>
      </c>
      <c r="K54" s="79">
        <f t="shared" ref="K54:AF54" si="58">K50+K51-K53-K52</f>
        <v>3088.6251384608527</v>
      </c>
      <c r="L54" s="79">
        <f t="shared" si="58"/>
        <v>1721.9821274540973</v>
      </c>
      <c r="M54" s="79">
        <f t="shared" si="58"/>
        <v>71.212735834685759</v>
      </c>
      <c r="N54" s="79">
        <f t="shared" si="58"/>
        <v>755.68151290612957</v>
      </c>
      <c r="O54" s="79">
        <f t="shared" si="58"/>
        <v>877.44832187791917</v>
      </c>
      <c r="P54" s="79">
        <f t="shared" si="58"/>
        <v>1441.5791938215516</v>
      </c>
      <c r="Q54" s="79">
        <f t="shared" si="58"/>
        <v>438.87948560572255</v>
      </c>
      <c r="R54" s="79">
        <f t="shared" si="58"/>
        <v>371.91573454907683</v>
      </c>
      <c r="S54" s="79">
        <f t="shared" si="58"/>
        <v>1047.5204107411464</v>
      </c>
      <c r="T54" s="79">
        <f t="shared" si="58"/>
        <v>776.42082009479714</v>
      </c>
      <c r="U54" s="79">
        <f t="shared" si="58"/>
        <v>1169.2740975509309</v>
      </c>
      <c r="V54" s="79">
        <f t="shared" si="58"/>
        <v>313.73911346084975</v>
      </c>
      <c r="W54" s="79">
        <f t="shared" si="58"/>
        <v>844.42953578714412</v>
      </c>
      <c r="X54" s="79">
        <f t="shared" si="58"/>
        <v>568.85894110150946</v>
      </c>
      <c r="Y54" s="79">
        <f t="shared" si="58"/>
        <v>217.68750284305008</v>
      </c>
      <c r="Z54" s="79">
        <f t="shared" si="58"/>
        <v>224.57287346312722</v>
      </c>
      <c r="AA54" s="79">
        <f t="shared" si="58"/>
        <v>569.29206813298458</v>
      </c>
      <c r="AB54" s="79">
        <f>AB50+AB51-AB53-AB52</f>
        <v>853.2957919965462</v>
      </c>
      <c r="AC54" s="79">
        <f t="shared" si="58"/>
        <v>407.97777280697113</v>
      </c>
      <c r="AD54" s="79">
        <f t="shared" si="58"/>
        <v>301.08409250002825</v>
      </c>
      <c r="AE54" s="79">
        <f t="shared" si="58"/>
        <v>1899.9039451594242</v>
      </c>
      <c r="AF54" s="79">
        <f t="shared" si="58"/>
        <v>1024.666927296129</v>
      </c>
      <c r="AG54" s="68">
        <f>SUM(J54:AF54)</f>
        <v>22179.265430637974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10536.888547139302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9CBAF-C310-6C48-BEF7-F6E0D301431A}">
  <dimension ref="A1:BJ75"/>
  <sheetViews>
    <sheetView topLeftCell="AL5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11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49</v>
      </c>
      <c r="K2" s="262">
        <f>_xlfn.XLOOKUP($B$1,daily_demand!$E$1:$AH$1,daily_demand!$E$3:$AH$3)</f>
        <v>1</v>
      </c>
      <c r="L2" s="263">
        <f>_xlfn.XLOOKUP($B$1,daily_demand!$E$1:$AH$1,daily_demand!$E$4:$AH$4)</f>
        <v>18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18</v>
      </c>
      <c r="Q2" s="262">
        <f>_xlfn.XLOOKUP($B$1,daily_demand!$E$1:$AH$1,daily_demand!$E$9:$AH$9)</f>
        <v>2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3</v>
      </c>
      <c r="AE2" s="262">
        <f>_xlfn.XLOOKUP($B$1,daily_demand!$E$1:$AH$1,daily_demand!$E$23:$AH$23)</f>
        <v>2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3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2.3071381221432024</v>
      </c>
      <c r="AJ4" s="45">
        <f t="shared" ref="AJ4:AJ18" si="1">K4*K$28</f>
        <v>0.72373283029534496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1.1024550933699653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0.95626590270786549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0.31742273437316465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0.53238136294918892</v>
      </c>
      <c r="BF4" s="44">
        <f>SUM(AI4:BE4)</f>
        <v>5.9393960458387323</v>
      </c>
      <c r="BG4" s="54">
        <f>ROUNDUP(BF4*2, 0)</f>
        <v>12</v>
      </c>
      <c r="BH4" s="86">
        <f>CEILING($BG$1*BG4, 0.5)</f>
        <v>6</v>
      </c>
    </row>
    <row r="5" spans="1:61" ht="24" x14ac:dyDescent="0.2">
      <c r="A5" s="286" t="s">
        <v>19</v>
      </c>
      <c r="B5" s="295">
        <f>_xlfn.XLOOKUP($B$1,cost!$A$16:$A$45,cost!$C$16:$C$45)</f>
        <v>100</v>
      </c>
      <c r="C5" s="7">
        <f>B5*0.02</f>
        <v>2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0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2.3071381221432024</v>
      </c>
      <c r="AJ5" s="45">
        <f t="shared" si="1"/>
        <v>0.96497710706045992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0.31742273437316465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0.66547670368648626</v>
      </c>
      <c r="BF5" s="44">
        <f t="shared" ref="BF5:BF19" si="23">SUM(AI5:BE5)</f>
        <v>4.2550146672633131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220</v>
      </c>
      <c r="C6" s="7">
        <f>B6*0.02</f>
        <v>4.4000000000000004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3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0.48248855353022996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1.1024550933699653</v>
      </c>
      <c r="AP6" s="45">
        <f t="shared" si="7"/>
        <v>0</v>
      </c>
      <c r="AQ6" s="45">
        <f t="shared" si="8"/>
        <v>0</v>
      </c>
      <c r="AR6" s="45">
        <f t="shared" si="9"/>
        <v>0.73084485301671287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0.31742273437316465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0.25355728798057725</v>
      </c>
      <c r="BC6" s="45">
        <f t="shared" si="20"/>
        <v>0</v>
      </c>
      <c r="BD6" s="45">
        <f t="shared" si="21"/>
        <v>0</v>
      </c>
      <c r="BE6" s="45">
        <f t="shared" si="22"/>
        <v>0.53238136294918892</v>
      </c>
      <c r="BF6" s="44">
        <f t="shared" si="23"/>
        <v>3.4191498852198392</v>
      </c>
      <c r="BG6" s="54">
        <f t="shared" si="24"/>
        <v>7</v>
      </c>
      <c r="BH6" s="86">
        <f t="shared" si="25"/>
        <v>3.5</v>
      </c>
      <c r="BI6" s="6"/>
    </row>
    <row r="7" spans="1:61" ht="24" x14ac:dyDescent="0.2">
      <c r="A7" s="286" t="s">
        <v>47</v>
      </c>
      <c r="B7" s="295">
        <f>_xlfn.XLOOKUP($B$1,cost!$A$16:$A$45,cost!$E$16:$E$45)</f>
        <v>175</v>
      </c>
      <c r="C7" s="7">
        <f>B7*0.02</f>
        <v>3.5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4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0.72373283029534496</v>
      </c>
      <c r="AK7" s="45">
        <f t="shared" si="2"/>
        <v>0</v>
      </c>
      <c r="AL7" s="45">
        <f t="shared" si="3"/>
        <v>0</v>
      </c>
      <c r="AM7" s="45">
        <f t="shared" si="4"/>
        <v>1.1697821571540548</v>
      </c>
      <c r="AN7" s="45">
        <f t="shared" si="5"/>
        <v>0.85551000408815936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1.0079114853106721</v>
      </c>
      <c r="AU7" s="45">
        <f t="shared" si="12"/>
        <v>0.59766618919241599</v>
      </c>
      <c r="AV7" s="45">
        <f t="shared" si="13"/>
        <v>0</v>
      </c>
      <c r="AW7" s="45">
        <f t="shared" si="14"/>
        <v>0</v>
      </c>
      <c r="AX7" s="45">
        <f t="shared" si="15"/>
        <v>0.39677841796645585</v>
      </c>
      <c r="AY7" s="45">
        <f t="shared" si="16"/>
        <v>0.39688930163548292</v>
      </c>
      <c r="AZ7" s="45">
        <f t="shared" si="17"/>
        <v>0</v>
      </c>
      <c r="BA7" s="45">
        <f t="shared" si="18"/>
        <v>1.1044966713786026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6.2527670570211882</v>
      </c>
      <c r="BG7" s="54">
        <f t="shared" si="24"/>
        <v>13</v>
      </c>
      <c r="BH7" s="86">
        <f t="shared" si="25"/>
        <v>6.5</v>
      </c>
      <c r="BI7" s="6"/>
    </row>
    <row r="8" spans="1:61" ht="24" x14ac:dyDescent="0.2">
      <c r="A8" s="286" t="s">
        <v>46</v>
      </c>
      <c r="B8" s="295">
        <f>_xlfn.XLOOKUP($B$1,cost!$A$16:$A$45,cost!$F$16:$F$45)</f>
        <v>180</v>
      </c>
      <c r="C8" s="7">
        <f t="shared" ref="C8:C19" si="26">B8*0.02</f>
        <v>3.6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0.24124427676511498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0.64163250306611952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0.15871136718658233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0.26619068147459446</v>
      </c>
      <c r="BF8" s="44">
        <f t="shared" si="23"/>
        <v>1.3077788284924112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0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5.3469375255509961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5.3469375255509961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5.8489107857702738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5.8489107857702738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190</v>
      </c>
      <c r="C11" s="7">
        <f t="shared" si="26"/>
        <v>3.8000000000000003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1.1697821571540548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1.1697821571540548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4.7726279213105745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4.7726279213105745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1.2062213838255751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0.24236064709839486</v>
      </c>
      <c r="AQ13" s="45">
        <f t="shared" si="8"/>
        <v>0.22158124444421717</v>
      </c>
      <c r="AR13" s="45">
        <f t="shared" si="9"/>
        <v>0</v>
      </c>
      <c r="AS13" s="45">
        <f t="shared" si="10"/>
        <v>0.28971768796968683</v>
      </c>
      <c r="AT13" s="45">
        <f t="shared" si="11"/>
        <v>0</v>
      </c>
      <c r="AU13" s="45">
        <f t="shared" si="12"/>
        <v>0</v>
      </c>
      <c r="AV13" s="45">
        <f t="shared" si="13"/>
        <v>0.94737553846178901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2.9072565017996626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0.96497710706045992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0.80328526501323239</v>
      </c>
      <c r="BD14" s="45">
        <f t="shared" si="21"/>
        <v>0</v>
      </c>
      <c r="BE14" s="45">
        <f t="shared" si="22"/>
        <v>0</v>
      </c>
      <c r="BF14" s="44">
        <f t="shared" si="23"/>
        <v>1.7682623720736923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1.2062213838255751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0.60590161774598716</v>
      </c>
      <c r="AQ15" s="45">
        <f t="shared" si="8"/>
        <v>0.55395311111054291</v>
      </c>
      <c r="AR15" s="45">
        <f t="shared" si="9"/>
        <v>0</v>
      </c>
      <c r="AS15" s="45">
        <f t="shared" si="10"/>
        <v>0.72429421992421705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0.69491362397605339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3.7852839565823757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1.2062213838255751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0.79377860327096583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1.9999999870965408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1.2062213838255751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0.24236064709839486</v>
      </c>
      <c r="AQ17" s="45">
        <f t="shared" si="8"/>
        <v>0.22158124444421717</v>
      </c>
      <c r="AR17" s="45">
        <f t="shared" si="9"/>
        <v>0</v>
      </c>
      <c r="AS17" s="45">
        <f t="shared" si="10"/>
        <v>0.28971768796968683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1.9598809633378738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95</v>
      </c>
      <c r="C18" s="7">
        <f t="shared" si="26"/>
        <v>1.9000000000000001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2.4934074582377872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2.4934074582377872</v>
      </c>
      <c r="BG18" s="54">
        <f t="shared" si="24"/>
        <v>5</v>
      </c>
      <c r="BH18" s="86">
        <f t="shared" si="25"/>
        <v>2.5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2.9194932799969724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4.6104197447428534</v>
      </c>
      <c r="BE19" s="45">
        <f t="shared" si="27"/>
        <v>0</v>
      </c>
      <c r="BF19" s="44">
        <f t="shared" si="23"/>
        <v>7.5299130247398258</v>
      </c>
      <c r="BG19" s="54">
        <f>ROUNDUP(BF19*2, 0)</f>
        <v>16</v>
      </c>
      <c r="BH19" s="86">
        <f>CEILING($BG$1*BG19, 0.5)</f>
        <v>8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20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60.756369137489145</v>
      </c>
      <c r="BG20" s="54">
        <f>SUM(BG4:BG19)</f>
        <v>127</v>
      </c>
      <c r="BH20" s="86">
        <f>SUM(BH4:BH19)</f>
        <v>63.5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6.75</v>
      </c>
      <c r="K21" s="4">
        <f t="shared" si="28"/>
        <v>70.150000000000006</v>
      </c>
      <c r="L21" s="4">
        <f t="shared" si="28"/>
        <v>10.5</v>
      </c>
      <c r="M21" s="4">
        <f t="shared" si="28"/>
        <v>38</v>
      </c>
      <c r="N21" s="4">
        <f t="shared" si="28"/>
        <v>16.600000000000001</v>
      </c>
      <c r="O21" s="4">
        <f t="shared" si="28"/>
        <v>14.899999999999999</v>
      </c>
      <c r="P21" s="4">
        <f t="shared" si="28"/>
        <v>10.35</v>
      </c>
      <c r="Q21" s="4">
        <f t="shared" si="28"/>
        <v>16.3</v>
      </c>
      <c r="R21" s="4">
        <f t="shared" si="28"/>
        <v>16.3</v>
      </c>
      <c r="S21" s="4">
        <f t="shared" si="28"/>
        <v>6.6</v>
      </c>
      <c r="T21" s="4">
        <f t="shared" si="28"/>
        <v>16.3</v>
      </c>
      <c r="U21" s="4">
        <f t="shared" si="28"/>
        <v>8.75</v>
      </c>
      <c r="V21" s="4">
        <f t="shared" si="28"/>
        <v>18.75</v>
      </c>
      <c r="W21" s="4">
        <f t="shared" si="28"/>
        <v>17.5</v>
      </c>
      <c r="X21" s="4">
        <f t="shared" si="28"/>
        <v>11.25</v>
      </c>
      <c r="Y21" s="4">
        <f t="shared" si="28"/>
        <v>30.150000000000002</v>
      </c>
      <c r="Z21" s="4">
        <f t="shared" si="28"/>
        <v>29.75</v>
      </c>
      <c r="AA21" s="4">
        <f t="shared" si="28"/>
        <v>9</v>
      </c>
      <c r="AB21" s="4">
        <f t="shared" si="28"/>
        <v>8.75</v>
      </c>
      <c r="AC21" s="4">
        <f t="shared" si="28"/>
        <v>6.6</v>
      </c>
      <c r="AD21" s="4">
        <f t="shared" si="28"/>
        <v>26.400000000000002</v>
      </c>
      <c r="AE21" s="4">
        <f t="shared" si="28"/>
        <v>11.25</v>
      </c>
      <c r="AF21" s="4">
        <f t="shared" si="28"/>
        <v>22.400000000000002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2605</v>
      </c>
      <c r="H22" s="17" t="s">
        <v>186</v>
      </c>
      <c r="I22" s="4" t="s">
        <v>32</v>
      </c>
      <c r="J22" s="4">
        <f t="shared" ref="J22:AF22" si="29">SUMPRODUCT($C$4:$C$19,J4:J19)</f>
        <v>0.13500000000000001</v>
      </c>
      <c r="K22" s="4">
        <f t="shared" si="29"/>
        <v>1.403</v>
      </c>
      <c r="L22" s="4">
        <f t="shared" si="29"/>
        <v>0.21000000000000002</v>
      </c>
      <c r="M22" s="4">
        <f t="shared" si="29"/>
        <v>0.76000000000000012</v>
      </c>
      <c r="N22" s="4">
        <f t="shared" si="29"/>
        <v>0.33200000000000007</v>
      </c>
      <c r="O22" s="4">
        <f t="shared" si="29"/>
        <v>0.29799999999999999</v>
      </c>
      <c r="P22" s="4">
        <f t="shared" si="29"/>
        <v>0.20700000000000002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0.13200000000000001</v>
      </c>
      <c r="T22" s="4">
        <f t="shared" si="29"/>
        <v>0.32600000000000001</v>
      </c>
      <c r="U22" s="4">
        <f t="shared" si="29"/>
        <v>0.17500000000000002</v>
      </c>
      <c r="V22" s="4">
        <f t="shared" si="29"/>
        <v>0.375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0.60299999999999998</v>
      </c>
      <c r="Z22" s="4">
        <f t="shared" si="29"/>
        <v>0.59500000000000008</v>
      </c>
      <c r="AA22" s="4">
        <f t="shared" si="29"/>
        <v>0.18000000000000002</v>
      </c>
      <c r="AB22" s="4">
        <f t="shared" si="29"/>
        <v>0.17500000000000002</v>
      </c>
      <c r="AC22" s="4">
        <f t="shared" si="29"/>
        <v>0.13200000000000001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0.44800000000000001</v>
      </c>
      <c r="AG22" s="9"/>
      <c r="BF22" s="432" t="s">
        <v>131</v>
      </c>
      <c r="BG22" s="432"/>
      <c r="BH22" s="41">
        <f>SUMPRODUCT(B4:B19,BH4:BH19)</f>
        <v>7505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6.6150000000000002</v>
      </c>
      <c r="K25" s="69">
        <f t="shared" ref="K25:AF25" si="31">K21-K22</f>
        <v>68.747</v>
      </c>
      <c r="L25" s="69">
        <f t="shared" si="31"/>
        <v>10.29</v>
      </c>
      <c r="M25" s="69">
        <f t="shared" si="31"/>
        <v>37.24</v>
      </c>
      <c r="N25" s="69">
        <f t="shared" si="31"/>
        <v>16.268000000000001</v>
      </c>
      <c r="O25" s="69">
        <f t="shared" si="31"/>
        <v>14.601999999999999</v>
      </c>
      <c r="P25" s="69">
        <f t="shared" si="31"/>
        <v>10.142999999999999</v>
      </c>
      <c r="Q25" s="69">
        <f t="shared" si="31"/>
        <v>15.974</v>
      </c>
      <c r="R25" s="69">
        <f t="shared" si="31"/>
        <v>15.974</v>
      </c>
      <c r="S25" s="69">
        <f t="shared" si="31"/>
        <v>6.468</v>
      </c>
      <c r="T25" s="69">
        <f t="shared" si="31"/>
        <v>15.974</v>
      </c>
      <c r="U25" s="69">
        <f t="shared" si="31"/>
        <v>8.5749999999999993</v>
      </c>
      <c r="V25" s="69">
        <f t="shared" si="31"/>
        <v>18.375</v>
      </c>
      <c r="W25" s="69">
        <f t="shared" si="31"/>
        <v>17.149999999999999</v>
      </c>
      <c r="X25" s="69">
        <f t="shared" si="31"/>
        <v>11.025</v>
      </c>
      <c r="Y25" s="69">
        <f t="shared" si="31"/>
        <v>29.547000000000001</v>
      </c>
      <c r="Z25" s="69">
        <f t="shared" si="31"/>
        <v>29.155000000000001</v>
      </c>
      <c r="AA25" s="69">
        <f t="shared" si="31"/>
        <v>8.82</v>
      </c>
      <c r="AB25" s="69">
        <f t="shared" si="31"/>
        <v>8.5749999999999993</v>
      </c>
      <c r="AC25" s="69">
        <f t="shared" si="31"/>
        <v>6.468</v>
      </c>
      <c r="AD25" s="69">
        <f t="shared" si="31"/>
        <v>25.872000000000003</v>
      </c>
      <c r="AE25" s="69">
        <f t="shared" si="31"/>
        <v>11.025</v>
      </c>
      <c r="AF25" s="69">
        <f t="shared" si="31"/>
        <v>21.952000000000002</v>
      </c>
      <c r="AG25" s="16"/>
      <c r="BF25" s="434" t="s">
        <v>42</v>
      </c>
      <c r="BG25" s="434"/>
      <c r="BH25" s="39">
        <f>AG50+AG51-AG52-BH22</f>
        <v>22217.466989913868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43.85</v>
      </c>
      <c r="K26" s="4">
        <f t="shared" ref="K26:AF26" si="32">K20-K21+K23</f>
        <v>133.54999999999998</v>
      </c>
      <c r="L26" s="4">
        <f t="shared" si="32"/>
        <v>51</v>
      </c>
      <c r="M26" s="4">
        <f t="shared" si="32"/>
        <v>16</v>
      </c>
      <c r="N26" s="4">
        <f t="shared" si="32"/>
        <v>31.2</v>
      </c>
      <c r="O26" s="4">
        <f t="shared" si="32"/>
        <v>48.300000000000004</v>
      </c>
      <c r="P26" s="4">
        <f t="shared" si="32"/>
        <v>40.25</v>
      </c>
      <c r="Q26" s="4">
        <f t="shared" si="32"/>
        <v>34.6</v>
      </c>
      <c r="R26" s="4">
        <f t="shared" si="32"/>
        <v>34.6</v>
      </c>
      <c r="S26" s="4">
        <f t="shared" si="32"/>
        <v>43.699999999999996</v>
      </c>
      <c r="T26" s="4">
        <f t="shared" si="32"/>
        <v>54.6</v>
      </c>
      <c r="U26" s="4">
        <f t="shared" si="32"/>
        <v>61.75</v>
      </c>
      <c r="V26" s="4">
        <f t="shared" si="32"/>
        <v>32.549999999999997</v>
      </c>
      <c r="W26" s="4">
        <f t="shared" si="32"/>
        <v>63.2</v>
      </c>
      <c r="X26" s="4">
        <f t="shared" si="32"/>
        <v>51.25</v>
      </c>
      <c r="Y26" s="4">
        <f t="shared" si="32"/>
        <v>31.749999999999996</v>
      </c>
      <c r="Z26" s="4">
        <f t="shared" si="32"/>
        <v>31.75</v>
      </c>
      <c r="AA26" s="4">
        <f t="shared" si="32"/>
        <v>41.5</v>
      </c>
      <c r="AB26" s="4">
        <f t="shared" si="32"/>
        <v>41.75</v>
      </c>
      <c r="AC26" s="4">
        <f t="shared" si="32"/>
        <v>43.699999999999996</v>
      </c>
      <c r="AD26" s="4">
        <f t="shared" si="32"/>
        <v>34.399999999999991</v>
      </c>
      <c r="AE26" s="4">
        <f t="shared" si="32"/>
        <v>111.25</v>
      </c>
      <c r="AF26" s="4">
        <f t="shared" si="32"/>
        <v>79.099999999999994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0.86891905280887738</v>
      </c>
      <c r="K27" s="70">
        <f t="shared" ref="K27:AF27" si="33">K26/(K26+K25)</f>
        <v>0.66016797085473344</v>
      </c>
      <c r="L27" s="70">
        <f t="shared" si="33"/>
        <v>0.8321096426823299</v>
      </c>
      <c r="M27" s="70">
        <f t="shared" si="33"/>
        <v>0.30052592036063108</v>
      </c>
      <c r="N27" s="70">
        <f t="shared" si="33"/>
        <v>0.65728490772731096</v>
      </c>
      <c r="O27" s="70">
        <f t="shared" si="33"/>
        <v>0.76786111729356787</v>
      </c>
      <c r="P27" s="70">
        <f t="shared" si="33"/>
        <v>0.79872204472843444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0.87107319406793182</v>
      </c>
      <c r="T27" s="70">
        <f t="shared" si="33"/>
        <v>0.77365602063082728</v>
      </c>
      <c r="U27" s="70">
        <f t="shared" si="33"/>
        <v>0.87806612157838604</v>
      </c>
      <c r="V27" s="70">
        <f t="shared" si="33"/>
        <v>0.63917525773195871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0.5179698843336541</v>
      </c>
      <c r="Z27" s="70">
        <f t="shared" si="33"/>
        <v>0.52130366964945407</v>
      </c>
      <c r="AA27" s="70">
        <f t="shared" si="33"/>
        <v>0.82472178060413359</v>
      </c>
      <c r="AB27" s="70">
        <f t="shared" si="33"/>
        <v>0.82960755091902627</v>
      </c>
      <c r="AC27" s="70">
        <f t="shared" si="33"/>
        <v>0.87107319406793182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0.78276530894984764</v>
      </c>
      <c r="AG27" s="9"/>
      <c r="BF27" s="430" t="s">
        <v>130</v>
      </c>
      <c r="BG27" s="430"/>
      <c r="BH27" s="40">
        <f>BH25-AG41</f>
        <v>13985.686594882984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76.904604071440076</v>
      </c>
      <c r="K28" s="72">
        <v>24.124427676511498</v>
      </c>
      <c r="L28" s="72">
        <v>31.817519475403831</v>
      </c>
      <c r="M28" s="72">
        <v>6.2335186455944678</v>
      </c>
      <c r="N28" s="72">
        <v>29.244553928851367</v>
      </c>
      <c r="O28" s="72">
        <v>21.387750102203984</v>
      </c>
      <c r="P28" s="72">
        <v>36.74850311233218</v>
      </c>
      <c r="Q28" s="72">
        <v>12.118032354919743</v>
      </c>
      <c r="R28" s="72">
        <v>11.079062222210858</v>
      </c>
      <c r="S28" s="72">
        <v>24.361495100557097</v>
      </c>
      <c r="T28" s="72">
        <v>14.485884398484341</v>
      </c>
      <c r="U28" s="72">
        <v>20.15822970621344</v>
      </c>
      <c r="V28" s="72">
        <v>11.953323783848319</v>
      </c>
      <c r="W28" s="72">
        <v>13.533936263739841</v>
      </c>
      <c r="X28" s="72">
        <v>11.67797311998789</v>
      </c>
      <c r="Y28" s="72">
        <v>7.9355683593291166</v>
      </c>
      <c r="Z28" s="72">
        <v>7.9377860327096581</v>
      </c>
      <c r="AA28" s="72">
        <v>13.898272479521067</v>
      </c>
      <c r="AB28" s="72">
        <v>22.089933427572053</v>
      </c>
      <c r="AC28" s="72">
        <v>8.4519095993525752</v>
      </c>
      <c r="AD28" s="72">
        <v>10.041065812665405</v>
      </c>
      <c r="AE28" s="72">
        <v>18.441678978971414</v>
      </c>
      <c r="AF28" s="72">
        <v>13.309534073729724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0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0</v>
      </c>
      <c r="P29" s="74">
        <f>(F6/P6)*(25/47)</f>
        <v>53.191489361702125</v>
      </c>
      <c r="Q29" s="74">
        <f>(F13/Q13)*(6/20)</f>
        <v>15</v>
      </c>
      <c r="R29" s="74">
        <f>(F13/R13)*(3/20)</f>
        <v>7.5</v>
      </c>
      <c r="S29" s="74">
        <f>(F6/S6)*(12/47)</f>
        <v>25.531914893617021</v>
      </c>
      <c r="T29" s="74">
        <f>(F13/T13)*(3/20)</f>
        <v>7.5</v>
      </c>
      <c r="U29" s="74">
        <f>(F7/U7)*(6/47)</f>
        <v>10.212765957446807</v>
      </c>
      <c r="V29" s="74">
        <f>(F7/V7)*(3/47)</f>
        <v>5.1063829787234036</v>
      </c>
      <c r="W29" s="74">
        <f>(F13/W13)*(8/20)</f>
        <v>5.7142857142857144</v>
      </c>
      <c r="X29" s="74">
        <f>(F19/X19)*(3/4)</f>
        <v>0</v>
      </c>
      <c r="Y29" s="74">
        <f>(F7/Y7)*(1/29)</f>
        <v>2.7586206896551726</v>
      </c>
      <c r="Z29" s="74">
        <f>(F16/Z16)*(4/5)</f>
        <v>0</v>
      </c>
      <c r="AA29" s="74">
        <f>(F15/AA15)*(4/16)</f>
        <v>5</v>
      </c>
      <c r="AB29" s="74">
        <f>(F7/AB7)*(11/47)</f>
        <v>18.723404255319149</v>
      </c>
      <c r="AC29" s="74">
        <f>(F6/AC6)*(1/47)</f>
        <v>2.1276595744680851</v>
      </c>
      <c r="AD29" s="74">
        <f>(F14/AD14)</f>
        <v>0</v>
      </c>
      <c r="AE29" s="74">
        <f>(F19/AE19)*(1/4)</f>
        <v>0</v>
      </c>
      <c r="AF29" s="74">
        <f>(F5/AF5)*(1/29)</f>
        <v>0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-2.473498233215548</v>
      </c>
      <c r="K30" s="70">
        <f t="shared" si="34"/>
        <v>-1.1904761904761905</v>
      </c>
      <c r="L30" s="70">
        <f t="shared" si="34"/>
        <v>0.27586206896551724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-2.291666666666667</v>
      </c>
      <c r="P30" s="70">
        <f t="shared" si="34"/>
        <v>2.2558647026732133</v>
      </c>
      <c r="Q30" s="70">
        <f t="shared" si="34"/>
        <v>1.4099783080260302</v>
      </c>
      <c r="R30" s="70">
        <f t="shared" si="34"/>
        <v>1.2110726643598615</v>
      </c>
      <c r="S30" s="70">
        <f t="shared" si="34"/>
        <v>1.9335572974990667</v>
      </c>
      <c r="T30" s="70">
        <f t="shared" si="34"/>
        <v>1.0416666666666667</v>
      </c>
      <c r="U30" s="70">
        <f t="shared" si="34"/>
        <v>0.91416552058894895</v>
      </c>
      <c r="V30" s="70">
        <f t="shared" si="34"/>
        <v>0.1758955451070594</v>
      </c>
      <c r="W30" s="70">
        <f t="shared" si="34"/>
        <v>1.209865053513262</v>
      </c>
      <c r="X30" s="70">
        <f t="shared" si="34"/>
        <v>-1.5228426395939088</v>
      </c>
      <c r="Y30" s="70">
        <f t="shared" si="34"/>
        <v>1.2384652744050513</v>
      </c>
      <c r="Z30" s="70">
        <f t="shared" si="34"/>
        <v>-0.64516129032258063</v>
      </c>
      <c r="AA30" s="70">
        <f t="shared" si="34"/>
        <v>0</v>
      </c>
      <c r="AB30" s="70">
        <f t="shared" si="34"/>
        <v>1.2514033790629537</v>
      </c>
      <c r="AC30" s="70">
        <f t="shared" si="34"/>
        <v>0.72285870158210574</v>
      </c>
      <c r="AD30" s="70">
        <f t="shared" si="34"/>
        <v>-2.4793388429752068</v>
      </c>
      <c r="AE30" s="70">
        <f t="shared" si="34"/>
        <v>-0.96618357487922713</v>
      </c>
      <c r="AF30" s="70">
        <f t="shared" si="34"/>
        <v>-0.84033613445378152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1.8722387324137606E-2</v>
      </c>
      <c r="K31" s="70">
        <f t="shared" ref="K31:AF31" si="35">NORMDIST(K30,0,1,FALSE)</f>
        <v>0.19640914652400149</v>
      </c>
      <c r="L31" s="70">
        <f t="shared" si="35"/>
        <v>0.38404771597918042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2.8874206565747358E-2</v>
      </c>
      <c r="P31" s="70">
        <f t="shared" si="35"/>
        <v>3.1323041202862882E-2</v>
      </c>
      <c r="Q31" s="70">
        <f t="shared" si="35"/>
        <v>0.14764301972120483</v>
      </c>
      <c r="R31" s="70">
        <f t="shared" si="35"/>
        <v>0.19161118613778638</v>
      </c>
      <c r="S31" s="70">
        <f t="shared" si="35"/>
        <v>6.1528152507597703E-2</v>
      </c>
      <c r="T31" s="70">
        <f t="shared" si="35"/>
        <v>0.23189438328624271</v>
      </c>
      <c r="U31" s="70">
        <f t="shared" si="35"/>
        <v>0.262688112980761</v>
      </c>
      <c r="V31" s="70">
        <f t="shared" si="35"/>
        <v>0.39281828444180655</v>
      </c>
      <c r="W31" s="70">
        <f t="shared" si="35"/>
        <v>0.1918914834573347</v>
      </c>
      <c r="X31" s="70">
        <f t="shared" si="35"/>
        <v>0.1251223293178855</v>
      </c>
      <c r="Y31" s="70">
        <f t="shared" si="35"/>
        <v>0.18528934454325996</v>
      </c>
      <c r="Z31" s="70">
        <f t="shared" si="35"/>
        <v>0.32398596615315295</v>
      </c>
      <c r="AA31" s="70">
        <f t="shared" si="35"/>
        <v>0.3989422804014327</v>
      </c>
      <c r="AB31" s="70">
        <f t="shared" si="35"/>
        <v>0.18232877933413894</v>
      </c>
      <c r="AC31" s="70">
        <f t="shared" si="35"/>
        <v>0.30721701728615403</v>
      </c>
      <c r="AD31" s="70">
        <f t="shared" si="35"/>
        <v>1.8453539531909157E-2</v>
      </c>
      <c r="AE31" s="70">
        <f t="shared" si="35"/>
        <v>0.2501501645137153</v>
      </c>
      <c r="AF31" s="70">
        <f t="shared" si="35"/>
        <v>0.28026465028094494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6.6898732841359013E-3</v>
      </c>
      <c r="K32" s="70">
        <f t="shared" ref="K32:AF32" si="36">NORMDIST(K30,0,1,TRUE)</f>
        <v>0.11692964134637239</v>
      </c>
      <c r="L32" s="70">
        <f t="shared" si="36"/>
        <v>0.60867299579262324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1.0962442649170874E-2</v>
      </c>
      <c r="P32" s="70">
        <f t="shared" si="36"/>
        <v>0.98796044715697584</v>
      </c>
      <c r="Q32" s="70">
        <f t="shared" si="36"/>
        <v>0.9207269559270439</v>
      </c>
      <c r="R32" s="70">
        <f t="shared" si="36"/>
        <v>0.88706622156702475</v>
      </c>
      <c r="S32" s="70">
        <f t="shared" si="36"/>
        <v>0.97341620906437087</v>
      </c>
      <c r="T32" s="70">
        <f t="shared" si="36"/>
        <v>0.85121687581824801</v>
      </c>
      <c r="U32" s="70">
        <f t="shared" si="36"/>
        <v>0.81968506073047842</v>
      </c>
      <c r="V32" s="70">
        <f t="shared" si="36"/>
        <v>0.56981199736182153</v>
      </c>
      <c r="W32" s="70">
        <f t="shared" si="36"/>
        <v>0.88683466058836546</v>
      </c>
      <c r="X32" s="70">
        <f t="shared" si="36"/>
        <v>6.389903965475742E-2</v>
      </c>
      <c r="Y32" s="70">
        <f t="shared" si="36"/>
        <v>0.8922282048162371</v>
      </c>
      <c r="Z32" s="70">
        <f t="shared" si="36"/>
        <v>0.25941133433509533</v>
      </c>
      <c r="AA32" s="70">
        <f t="shared" si="36"/>
        <v>0.5</v>
      </c>
      <c r="AB32" s="70">
        <f t="shared" si="36"/>
        <v>0.89460632745632507</v>
      </c>
      <c r="AC32" s="70">
        <f t="shared" si="36"/>
        <v>0.76511665083721758</v>
      </c>
      <c r="AD32" s="70">
        <f t="shared" si="36"/>
        <v>6.5813098275342924E-3</v>
      </c>
      <c r="AE32" s="70">
        <f t="shared" si="36"/>
        <v>0.16697616515893529</v>
      </c>
      <c r="AF32" s="70">
        <f t="shared" si="36"/>
        <v>0.2003599733507567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2.4756732307909393</v>
      </c>
      <c r="K33" s="70">
        <f t="shared" ref="K33:AF33" si="37">K31-(K30*(1-K32))</f>
        <v>1.2476833830164151</v>
      </c>
      <c r="L33" s="70">
        <f t="shared" si="37"/>
        <v>0.27609543895645577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2.2954186088280641</v>
      </c>
      <c r="P33" s="70">
        <f t="shared" si="37"/>
        <v>4.1634389083157475E-3</v>
      </c>
      <c r="Q33" s="70">
        <f t="shared" si="37"/>
        <v>3.5869747167145263E-2</v>
      </c>
      <c r="R33" s="70">
        <f t="shared" si="37"/>
        <v>5.4840174194736774E-2</v>
      </c>
      <c r="S33" s="70">
        <f t="shared" si="37"/>
        <v>1.0126869548822463E-2</v>
      </c>
      <c r="T33" s="70">
        <f t="shared" si="37"/>
        <v>7.6911962263584377E-2</v>
      </c>
      <c r="U33" s="70">
        <f t="shared" si="37"/>
        <v>9.7850412653474106E-2</v>
      </c>
      <c r="V33" s="70">
        <f t="shared" si="37"/>
        <v>0.31715013121924707</v>
      </c>
      <c r="W33" s="70">
        <f t="shared" si="37"/>
        <v>5.4976694034231027E-2</v>
      </c>
      <c r="X33" s="70">
        <f t="shared" si="37"/>
        <v>1.5506567866964278</v>
      </c>
      <c r="Y33" s="70">
        <f t="shared" si="37"/>
        <v>5.1817718647876071E-2</v>
      </c>
      <c r="Z33" s="70">
        <f t="shared" si="37"/>
        <v>0.80178510529180103</v>
      </c>
      <c r="AA33" s="70">
        <f t="shared" si="37"/>
        <v>0.3989422804014327</v>
      </c>
      <c r="AB33" s="70">
        <f t="shared" si="37"/>
        <v>5.0438781381129671E-2</v>
      </c>
      <c r="AC33" s="70">
        <f t="shared" si="37"/>
        <v>0.13742954448708875</v>
      </c>
      <c r="AD33" s="70">
        <f t="shared" si="37"/>
        <v>2.4814750854140555</v>
      </c>
      <c r="AE33" s="70">
        <f t="shared" si="37"/>
        <v>1.0550041112200579</v>
      </c>
      <c r="AF33" s="70">
        <f t="shared" si="37"/>
        <v>0.95223105922988882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49.043086701968505</v>
      </c>
      <c r="K34" s="74">
        <f t="shared" si="38"/>
        <v>1.0480540417337887</v>
      </c>
      <c r="L34" s="74">
        <f t="shared" si="38"/>
        <v>2.0016919324343045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11.018009322374708</v>
      </c>
      <c r="P34" s="74">
        <f t="shared" si="38"/>
        <v>6.4949646969725661E-2</v>
      </c>
      <c r="Q34" s="74">
        <f t="shared" si="38"/>
        <v>0.33071906888107933</v>
      </c>
      <c r="R34" s="74">
        <f t="shared" si="38"/>
        <v>0.15848810342278929</v>
      </c>
      <c r="S34" s="74">
        <f t="shared" si="38"/>
        <v>8.6584734642432062E-2</v>
      </c>
      <c r="T34" s="74">
        <f t="shared" si="38"/>
        <v>0.25842419320564347</v>
      </c>
      <c r="U34" s="74">
        <f t="shared" si="38"/>
        <v>0.77203975583591067</v>
      </c>
      <c r="V34" s="74">
        <f t="shared" si="38"/>
        <v>1.9948743253690642</v>
      </c>
      <c r="W34" s="74">
        <f t="shared" si="38"/>
        <v>0.16877845068508923</v>
      </c>
      <c r="X34" s="74">
        <f t="shared" si="38"/>
        <v>3.0547938697919625</v>
      </c>
      <c r="Y34" s="74">
        <f t="shared" si="38"/>
        <v>7.3581160479984017E-2</v>
      </c>
      <c r="Z34" s="74">
        <f t="shared" si="38"/>
        <v>1.2427669132022916</v>
      </c>
      <c r="AA34" s="74">
        <f t="shared" si="38"/>
        <v>1.3723614445809285</v>
      </c>
      <c r="AB34" s="74">
        <f t="shared" si="38"/>
        <v>0.39190933133137751</v>
      </c>
      <c r="AC34" s="74">
        <f t="shared" si="38"/>
        <v>0.21439008939985846</v>
      </c>
      <c r="AD34" s="74">
        <f t="shared" si="38"/>
        <v>3.0025848533510069</v>
      </c>
      <c r="AE34" s="74">
        <f t="shared" si="38"/>
        <v>2.1838585102255195</v>
      </c>
      <c r="AF34" s="74">
        <f t="shared" si="38"/>
        <v>1.1331549604835676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-4.3086701968505281E-2</v>
      </c>
      <c r="K35" s="74">
        <f t="shared" si="39"/>
        <v>-4.8054041733788688E-2</v>
      </c>
      <c r="L35" s="74">
        <f t="shared" si="39"/>
        <v>15.998308067565695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-1.8009322374707537E-2</v>
      </c>
      <c r="P35" s="74">
        <f t="shared" si="39"/>
        <v>17.935050353030274</v>
      </c>
      <c r="Q35" s="74">
        <f t="shared" si="39"/>
        <v>1.6692809311189207</v>
      </c>
      <c r="R35" s="74">
        <f t="shared" si="39"/>
        <v>3.8415118965772108</v>
      </c>
      <c r="S35" s="74">
        <f t="shared" si="39"/>
        <v>8.9134152653575676</v>
      </c>
      <c r="T35" s="74">
        <f t="shared" si="39"/>
        <v>3.7415758067943568</v>
      </c>
      <c r="U35" s="74">
        <f t="shared" si="39"/>
        <v>2.2279602441640893</v>
      </c>
      <c r="V35" s="74">
        <f t="shared" si="39"/>
        <v>2.0051256746309356</v>
      </c>
      <c r="W35" s="74">
        <f t="shared" si="39"/>
        <v>1.8312215493149107</v>
      </c>
      <c r="X35" s="74">
        <f t="shared" si="39"/>
        <v>-5.4793869791962546E-2</v>
      </c>
      <c r="Y35" s="74">
        <f t="shared" si="39"/>
        <v>0.92641883952001602</v>
      </c>
      <c r="Z35" s="74">
        <f t="shared" si="39"/>
        <v>-0.2427669132022916</v>
      </c>
      <c r="AA35" s="74">
        <f t="shared" si="39"/>
        <v>3.6276385554190718</v>
      </c>
      <c r="AB35" s="74">
        <f t="shared" si="39"/>
        <v>8.6080906686686234</v>
      </c>
      <c r="AC35" s="74">
        <f t="shared" si="39"/>
        <v>0.78560991060014151</v>
      </c>
      <c r="AD35" s="74">
        <f t="shared" si="39"/>
        <v>-2.5848533510068883E-3</v>
      </c>
      <c r="AE35" s="74">
        <f t="shared" si="39"/>
        <v>-0.18385851022551947</v>
      </c>
      <c r="AF35" s="74">
        <f t="shared" si="39"/>
        <v>-0.13315496048356756</v>
      </c>
      <c r="AG35" s="187">
        <f>SUM(J35:AF35)</f>
        <v>87.327477337951876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4.3086701968505281E-2</v>
      </c>
      <c r="K36" s="74">
        <f t="shared" ref="K36:AF36" si="40">K29-K35</f>
        <v>4.8054041733788688E-2</v>
      </c>
      <c r="L36" s="74">
        <f t="shared" si="40"/>
        <v>4.001691932434305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1.8009322374707537E-2</v>
      </c>
      <c r="P36" s="74">
        <f t="shared" si="40"/>
        <v>35.256439008671848</v>
      </c>
      <c r="Q36" s="74">
        <f t="shared" si="40"/>
        <v>13.330719068881079</v>
      </c>
      <c r="R36" s="74">
        <f t="shared" si="40"/>
        <v>3.6584881034227892</v>
      </c>
      <c r="S36" s="74">
        <f t="shared" si="40"/>
        <v>16.618499628259453</v>
      </c>
      <c r="T36" s="74">
        <f t="shared" si="40"/>
        <v>3.7584241932056432</v>
      </c>
      <c r="U36" s="74">
        <f t="shared" si="40"/>
        <v>7.9848057132827179</v>
      </c>
      <c r="V36" s="74">
        <f t="shared" si="40"/>
        <v>3.101257304092468</v>
      </c>
      <c r="W36" s="74">
        <f t="shared" si="40"/>
        <v>3.8830641649708038</v>
      </c>
      <c r="X36" s="74">
        <f t="shared" si="40"/>
        <v>5.4793869791962546E-2</v>
      </c>
      <c r="Y36" s="74">
        <f t="shared" si="40"/>
        <v>1.8322018501351565</v>
      </c>
      <c r="Z36" s="74">
        <f t="shared" si="40"/>
        <v>0.2427669132022916</v>
      </c>
      <c r="AA36" s="74">
        <f t="shared" si="40"/>
        <v>1.3723614445809282</v>
      </c>
      <c r="AB36" s="74">
        <f t="shared" si="40"/>
        <v>10.115313586650526</v>
      </c>
      <c r="AC36" s="74">
        <f t="shared" si="40"/>
        <v>1.3420496638679436</v>
      </c>
      <c r="AD36" s="74">
        <f t="shared" si="40"/>
        <v>2.5848533510068883E-3</v>
      </c>
      <c r="AE36" s="74">
        <f t="shared" si="40"/>
        <v>0.18385851022551947</v>
      </c>
      <c r="AF36" s="74">
        <f t="shared" si="40"/>
        <v>0.13315496048356756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-2.1543350984252641</v>
      </c>
      <c r="K37" s="70">
        <f t="shared" ref="K37:AF37" si="41">K20*K35</f>
        <v>-9.6108083467577377</v>
      </c>
      <c r="L37" s="70">
        <f t="shared" si="41"/>
        <v>959.89848405394173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-1.0805593424824522</v>
      </c>
      <c r="P37" s="70">
        <f t="shared" si="41"/>
        <v>896.7525176515137</v>
      </c>
      <c r="Q37" s="70">
        <f t="shared" si="41"/>
        <v>83.464046555946041</v>
      </c>
      <c r="R37" s="70">
        <f t="shared" si="41"/>
        <v>192.07559482886055</v>
      </c>
      <c r="S37" s="70">
        <f t="shared" si="41"/>
        <v>445.67076326787839</v>
      </c>
      <c r="T37" s="70">
        <f t="shared" si="41"/>
        <v>261.91030647560495</v>
      </c>
      <c r="U37" s="70">
        <f t="shared" si="41"/>
        <v>155.95721709148626</v>
      </c>
      <c r="V37" s="70">
        <f t="shared" si="41"/>
        <v>100.25628373154677</v>
      </c>
      <c r="W37" s="70">
        <f t="shared" si="41"/>
        <v>146.49772394519286</v>
      </c>
      <c r="X37" s="70">
        <f t="shared" si="41"/>
        <v>-3.2876321875177528</v>
      </c>
      <c r="Y37" s="70">
        <f t="shared" si="41"/>
        <v>55.585130371200961</v>
      </c>
      <c r="Z37" s="70">
        <f t="shared" si="41"/>
        <v>-14.566014792137496</v>
      </c>
      <c r="AA37" s="70">
        <f t="shared" si="41"/>
        <v>181.38192777095358</v>
      </c>
      <c r="AB37" s="70">
        <f t="shared" si="41"/>
        <v>430.4045334334312</v>
      </c>
      <c r="AC37" s="70">
        <f t="shared" si="41"/>
        <v>39.280495530007073</v>
      </c>
      <c r="AD37" s="70">
        <f t="shared" si="41"/>
        <v>-0.1550912010604133</v>
      </c>
      <c r="AE37" s="70">
        <f t="shared" si="41"/>
        <v>-22.063021227062336</v>
      </c>
      <c r="AF37" s="70">
        <f t="shared" si="41"/>
        <v>-13.315496048356756</v>
      </c>
      <c r="AG37" s="288">
        <f>SUM(J37:AF37)</f>
        <v>4597.694533992988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2.1485183936595158</v>
      </c>
      <c r="K38" s="70">
        <f t="shared" ref="K38:AF38" si="42">(K20-K22)*K36</f>
        <v>9.5433885262052325</v>
      </c>
      <c r="L38" s="70">
        <f t="shared" si="42"/>
        <v>239.26116064024708</v>
      </c>
      <c r="M38" s="70">
        <f t="shared" si="42"/>
        <v>25.836977878321211</v>
      </c>
      <c r="N38" s="70">
        <f t="shared" si="42"/>
        <v>381.13891261886454</v>
      </c>
      <c r="O38" s="70">
        <f t="shared" si="42"/>
        <v>1.0751925644147893</v>
      </c>
      <c r="P38" s="70">
        <f t="shared" si="42"/>
        <v>1755.5238675587973</v>
      </c>
      <c r="Q38" s="70">
        <f t="shared" si="42"/>
        <v>662.19013902759866</v>
      </c>
      <c r="R38" s="70">
        <f t="shared" si="42"/>
        <v>181.73173804942363</v>
      </c>
      <c r="S38" s="70">
        <f t="shared" si="42"/>
        <v>828.73133946204246</v>
      </c>
      <c r="T38" s="70">
        <f t="shared" si="42"/>
        <v>261.86444723740999</v>
      </c>
      <c r="U38" s="70">
        <f t="shared" si="42"/>
        <v>557.53905892996579</v>
      </c>
      <c r="V38" s="70">
        <f t="shared" si="42"/>
        <v>153.89989371558872</v>
      </c>
      <c r="W38" s="70">
        <f t="shared" si="42"/>
        <v>309.28606073992455</v>
      </c>
      <c r="X38" s="70">
        <f t="shared" si="42"/>
        <v>3.2753035668145611</v>
      </c>
      <c r="Y38" s="70">
        <f t="shared" si="42"/>
        <v>108.82729329247789</v>
      </c>
      <c r="Z38" s="70">
        <f t="shared" si="42"/>
        <v>14.421568478782133</v>
      </c>
      <c r="AA38" s="70">
        <f t="shared" si="42"/>
        <v>68.37104716902185</v>
      </c>
      <c r="AB38" s="70">
        <f t="shared" si="42"/>
        <v>503.99549945486251</v>
      </c>
      <c r="AC38" s="70">
        <f t="shared" si="42"/>
        <v>66.925332637766616</v>
      </c>
      <c r="AD38" s="70">
        <f>(AD20-AD22)*AD36</f>
        <v>0.15372639849108166</v>
      </c>
      <c r="AE38" s="70">
        <f t="shared" si="42"/>
        <v>22.021653062261596</v>
      </c>
      <c r="AF38" s="70">
        <f t="shared" si="42"/>
        <v>13.255842626060119</v>
      </c>
      <c r="AG38" s="288">
        <f>SUM(J38:AF38)</f>
        <v>6171.0179620290028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29.4258520211811</v>
      </c>
      <c r="K39" s="70">
        <f t="shared" ref="K39:AF39" si="43">K23*K34</f>
        <v>3.8777999544150181</v>
      </c>
      <c r="L39" s="70">
        <f t="shared" si="43"/>
        <v>3.0025378986514566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35.257629831599068</v>
      </c>
      <c r="P39" s="70">
        <f t="shared" si="43"/>
        <v>3.8969788181835392E-2</v>
      </c>
      <c r="Q39" s="70">
        <f t="shared" si="43"/>
        <v>0.29764716199297137</v>
      </c>
      <c r="R39" s="70">
        <f t="shared" si="43"/>
        <v>0.14263929308051035</v>
      </c>
      <c r="S39" s="70">
        <f t="shared" si="43"/>
        <v>2.5975420392729619E-2</v>
      </c>
      <c r="T39" s="70">
        <f t="shared" si="43"/>
        <v>0.23258177388507911</v>
      </c>
      <c r="U39" s="70">
        <f t="shared" si="43"/>
        <v>0.38601987791795533</v>
      </c>
      <c r="V39" s="70">
        <f t="shared" si="43"/>
        <v>2.5933366229797836</v>
      </c>
      <c r="W39" s="70">
        <f t="shared" si="43"/>
        <v>0.11814491547956248</v>
      </c>
      <c r="X39" s="70">
        <f t="shared" si="43"/>
        <v>7.6369846744799066</v>
      </c>
      <c r="Y39" s="70">
        <f t="shared" si="43"/>
        <v>0.13980420491196965</v>
      </c>
      <c r="Z39" s="70">
        <f t="shared" si="43"/>
        <v>1.8641503698034374</v>
      </c>
      <c r="AA39" s="70">
        <f t="shared" si="43"/>
        <v>0.68618072229046423</v>
      </c>
      <c r="AB39" s="70">
        <f t="shared" si="43"/>
        <v>0.19595466566568875</v>
      </c>
      <c r="AC39" s="70">
        <f t="shared" si="43"/>
        <v>6.4317026819957532E-2</v>
      </c>
      <c r="AD39" s="70">
        <f t="shared" si="43"/>
        <v>2.4020678826808055</v>
      </c>
      <c r="AE39" s="70">
        <f t="shared" si="43"/>
        <v>5.4596462755637987</v>
      </c>
      <c r="AF39" s="70">
        <f t="shared" si="43"/>
        <v>1.6997324407253513</v>
      </c>
      <c r="AG39" s="288">
        <f t="shared" ref="AG39" si="44">SUM(J39:AF39)</f>
        <v>112.738410602256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0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415.00000000000006</v>
      </c>
      <c r="O40" s="70">
        <f t="shared" si="45"/>
        <v>0</v>
      </c>
      <c r="P40" s="70">
        <f t="shared" si="45"/>
        <v>550.531914893617</v>
      </c>
      <c r="Q40" s="70">
        <f t="shared" si="45"/>
        <v>244.5</v>
      </c>
      <c r="R40" s="70">
        <f t="shared" si="45"/>
        <v>122.25</v>
      </c>
      <c r="S40" s="70">
        <f t="shared" si="45"/>
        <v>168.51063829787233</v>
      </c>
      <c r="T40" s="70">
        <f t="shared" si="45"/>
        <v>122.25</v>
      </c>
      <c r="U40" s="70">
        <f t="shared" si="45"/>
        <v>89.361702127659569</v>
      </c>
      <c r="V40" s="70">
        <f t="shared" si="45"/>
        <v>95.744680851063819</v>
      </c>
      <c r="W40" s="70">
        <f t="shared" si="45"/>
        <v>100</v>
      </c>
      <c r="X40" s="70">
        <f t="shared" si="45"/>
        <v>0</v>
      </c>
      <c r="Y40" s="70">
        <f t="shared" si="45"/>
        <v>83.172413793103459</v>
      </c>
      <c r="Z40" s="70">
        <f t="shared" si="45"/>
        <v>0</v>
      </c>
      <c r="AA40" s="70">
        <f t="shared" si="45"/>
        <v>45</v>
      </c>
      <c r="AB40" s="70">
        <f t="shared" si="45"/>
        <v>163.82978723404256</v>
      </c>
      <c r="AC40" s="70">
        <f t="shared" si="45"/>
        <v>14.042553191489361</v>
      </c>
      <c r="AD40" s="70">
        <f t="shared" si="45"/>
        <v>0</v>
      </c>
      <c r="AE40" s="70">
        <f t="shared" si="45"/>
        <v>0</v>
      </c>
      <c r="AF40" s="70">
        <f t="shared" si="45"/>
        <v>0</v>
      </c>
      <c r="AG40" s="289">
        <f>SUM(J40:AF40)</f>
        <v>2424.1936903888477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-29.431668725946849</v>
      </c>
      <c r="K41" s="76">
        <f t="shared" ref="K41:AF41" si="46">K37+K38-K40-K39</f>
        <v>-3.9452197749675233</v>
      </c>
      <c r="L41" s="76">
        <f t="shared" si="46"/>
        <v>986.15710679553729</v>
      </c>
      <c r="M41" s="76">
        <f t="shared" si="46"/>
        <v>-10.497644490268256</v>
      </c>
      <c r="N41" s="76">
        <f t="shared" si="46"/>
        <v>700.07556473712077</v>
      </c>
      <c r="O41" s="76">
        <f t="shared" si="46"/>
        <v>-35.262996609666729</v>
      </c>
      <c r="P41" s="76">
        <f t="shared" si="46"/>
        <v>2101.7055005285119</v>
      </c>
      <c r="Q41" s="76">
        <f t="shared" si="46"/>
        <v>500.85653842155176</v>
      </c>
      <c r="R41" s="76">
        <f t="shared" si="46"/>
        <v>251.41469358520365</v>
      </c>
      <c r="S41" s="76">
        <f t="shared" si="46"/>
        <v>1105.8654890116557</v>
      </c>
      <c r="T41" s="76">
        <f t="shared" si="46"/>
        <v>401.29217193912979</v>
      </c>
      <c r="U41" s="76">
        <f t="shared" si="46"/>
        <v>623.74855401587456</v>
      </c>
      <c r="V41" s="76">
        <f t="shared" si="46"/>
        <v>155.81815997309189</v>
      </c>
      <c r="W41" s="76">
        <f t="shared" si="46"/>
        <v>355.66563976963789</v>
      </c>
      <c r="X41" s="76">
        <f t="shared" si="46"/>
        <v>-7.6493132951830987</v>
      </c>
      <c r="Y41" s="76">
        <f t="shared" si="46"/>
        <v>81.100205665663424</v>
      </c>
      <c r="Z41" s="76">
        <f t="shared" si="46"/>
        <v>-2.0085966831588005</v>
      </c>
      <c r="AA41" s="76">
        <f t="shared" si="46"/>
        <v>204.06679421768499</v>
      </c>
      <c r="AB41" s="76">
        <f t="shared" si="46"/>
        <v>770.37429098858547</v>
      </c>
      <c r="AC41" s="76">
        <f t="shared" si="46"/>
        <v>92.098957949464364</v>
      </c>
      <c r="AD41" s="76">
        <f t="shared" si="46"/>
        <v>-2.4034326852501371</v>
      </c>
      <c r="AE41" s="76">
        <f t="shared" si="46"/>
        <v>-5.5010144403645391</v>
      </c>
      <c r="AF41" s="76">
        <f t="shared" si="46"/>
        <v>-1.759385863021989</v>
      </c>
      <c r="AG41" s="290">
        <f>SUM(J41:AF41)</f>
        <v>8231.7803950308844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1.408612017740539</v>
      </c>
      <c r="K43" s="70">
        <f t="shared" si="47"/>
        <v>27.529080567275596</v>
      </c>
      <c r="L43" s="70">
        <f t="shared" si="47"/>
        <v>1.9058647552281145</v>
      </c>
      <c r="M43" s="70">
        <f t="shared" si="47"/>
        <v>1.3147573433523192</v>
      </c>
      <c r="N43" s="70">
        <f t="shared" si="47"/>
        <v>0.82285573725713801</v>
      </c>
      <c r="O43" s="70">
        <f t="shared" si="47"/>
        <v>2.1641146046258304</v>
      </c>
      <c r="P43" s="70">
        <f t="shared" si="47"/>
        <v>1.2018271225853963</v>
      </c>
      <c r="Q43" s="70">
        <f t="shared" si="47"/>
        <v>1.0974004723340285</v>
      </c>
      <c r="R43" s="70">
        <f t="shared" si="47"/>
        <v>2.449502499034899</v>
      </c>
      <c r="S43" s="70">
        <f t="shared" si="47"/>
        <v>1.7966660936324088</v>
      </c>
      <c r="T43" s="70">
        <f t="shared" si="47"/>
        <v>3.1207989281203399</v>
      </c>
      <c r="U43" s="70">
        <f t="shared" si="47"/>
        <v>2.1746805711297137</v>
      </c>
      <c r="V43" s="70">
        <f t="shared" si="47"/>
        <v>1.2644393932986198</v>
      </c>
      <c r="W43" s="70">
        <f t="shared" si="47"/>
        <v>3.7569824963321961</v>
      </c>
      <c r="X43" s="70">
        <f t="shared" si="47"/>
        <v>4.4050624974557815</v>
      </c>
      <c r="Y43" s="70">
        <f t="shared" si="47"/>
        <v>4.8842030699500825</v>
      </c>
      <c r="Z43" s="70">
        <f t="shared" si="47"/>
        <v>4.4759909888449405</v>
      </c>
      <c r="AA43" s="70">
        <f t="shared" si="47"/>
        <v>2.5867071161398449</v>
      </c>
      <c r="AB43" s="70">
        <f t="shared" si="47"/>
        <v>1.68467611680464</v>
      </c>
      <c r="AC43" s="70">
        <f t="shared" si="47"/>
        <v>4.7768651277901117</v>
      </c>
      <c r="AD43" s="70">
        <f t="shared" si="47"/>
        <v>5.8190626550953759</v>
      </c>
      <c r="AE43" s="70">
        <f t="shared" si="47"/>
        <v>7.9428400864596211</v>
      </c>
      <c r="AF43" s="70">
        <f t="shared" si="47"/>
        <v>10.344146280445147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0.14792758115891691</v>
      </c>
      <c r="K44" s="70">
        <f t="shared" ref="K44:AF44" si="48">NORMDIST(K43,0,1,FALSE)</f>
        <v>1.0859588951628314E-165</v>
      </c>
      <c r="L44" s="70">
        <f t="shared" si="48"/>
        <v>6.4887598110866807E-2</v>
      </c>
      <c r="M44" s="70">
        <f t="shared" si="48"/>
        <v>0.16809399379570761</v>
      </c>
      <c r="N44" s="70">
        <f t="shared" si="48"/>
        <v>0.28436850890296395</v>
      </c>
      <c r="O44" s="70">
        <f t="shared" si="48"/>
        <v>3.836404660976981E-2</v>
      </c>
      <c r="P44" s="70">
        <f t="shared" si="48"/>
        <v>0.19376043589882344</v>
      </c>
      <c r="Q44" s="70">
        <f t="shared" si="48"/>
        <v>0.21847527438825165</v>
      </c>
      <c r="R44" s="70">
        <f t="shared" si="48"/>
        <v>1.9861545977887893E-2</v>
      </c>
      <c r="S44" s="70">
        <f t="shared" si="48"/>
        <v>7.9424923721673618E-2</v>
      </c>
      <c r="T44" s="70">
        <f t="shared" si="48"/>
        <v>3.0621698650689314E-3</v>
      </c>
      <c r="U44" s="70">
        <f t="shared" si="48"/>
        <v>3.7494676112074271E-2</v>
      </c>
      <c r="V44" s="70">
        <f t="shared" si="48"/>
        <v>0.17936328174244268</v>
      </c>
      <c r="W44" s="70">
        <f t="shared" si="48"/>
        <v>3.4347464178198246E-4</v>
      </c>
      <c r="X44" s="70">
        <f t="shared" si="48"/>
        <v>2.4392707666773013E-5</v>
      </c>
      <c r="Y44" s="70">
        <f t="shared" si="48"/>
        <v>2.6349183913912385E-6</v>
      </c>
      <c r="Z44" s="70">
        <f t="shared" si="48"/>
        <v>1.7802241185129089E-5</v>
      </c>
      <c r="AA44" s="70">
        <f t="shared" si="48"/>
        <v>1.4059381472738207E-2</v>
      </c>
      <c r="AB44" s="70">
        <f t="shared" si="48"/>
        <v>9.6519970634243557E-2</v>
      </c>
      <c r="AC44" s="70">
        <f t="shared" si="48"/>
        <v>4.4253607484527861E-6</v>
      </c>
      <c r="AD44" s="70">
        <f t="shared" si="48"/>
        <v>1.7700311030657374E-8</v>
      </c>
      <c r="AE44" s="70">
        <f t="shared" si="48"/>
        <v>7.968398584378657E-15</v>
      </c>
      <c r="AF44" s="70">
        <f t="shared" si="48"/>
        <v>2.3219853244331769E-24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0.92052503833768884</v>
      </c>
      <c r="K45" s="70">
        <f t="shared" ref="K45:AF45" si="49">NORMDIST(K43,0,1,TRUE)</f>
        <v>1</v>
      </c>
      <c r="L45" s="70">
        <f t="shared" si="49"/>
        <v>0.97166612259544294</v>
      </c>
      <c r="M45" s="70">
        <f t="shared" si="49"/>
        <v>0.90570426614315713</v>
      </c>
      <c r="N45" s="70">
        <f t="shared" si="49"/>
        <v>0.79470498194100803</v>
      </c>
      <c r="O45" s="70">
        <f t="shared" si="49"/>
        <v>0.98477222254060293</v>
      </c>
      <c r="P45" s="70">
        <f t="shared" si="49"/>
        <v>0.88528474263240076</v>
      </c>
      <c r="Q45" s="70">
        <f t="shared" si="49"/>
        <v>0.86376681647907516</v>
      </c>
      <c r="R45" s="70">
        <f t="shared" si="49"/>
        <v>0.99284731414512362</v>
      </c>
      <c r="S45" s="70">
        <f t="shared" si="49"/>
        <v>0.96380567758614577</v>
      </c>
      <c r="T45" s="70">
        <f t="shared" si="49"/>
        <v>0.99909819430593183</v>
      </c>
      <c r="U45" s="70">
        <f t="shared" si="49"/>
        <v>0.98517296908450336</v>
      </c>
      <c r="V45" s="70">
        <f t="shared" si="49"/>
        <v>0.89696381944291137</v>
      </c>
      <c r="W45" s="70">
        <f t="shared" si="49"/>
        <v>0.99991401273981861</v>
      </c>
      <c r="X45" s="70">
        <f t="shared" si="49"/>
        <v>0.99999471233079873</v>
      </c>
      <c r="Y45" s="70">
        <f t="shared" si="49"/>
        <v>0.99999948075996692</v>
      </c>
      <c r="Z45" s="70">
        <f t="shared" si="49"/>
        <v>0.99999619711536836</v>
      </c>
      <c r="AA45" s="70">
        <f t="shared" si="49"/>
        <v>0.99515510418499553</v>
      </c>
      <c r="AB45" s="70">
        <f t="shared" si="49"/>
        <v>0.95397446158064869</v>
      </c>
      <c r="AC45" s="70">
        <f t="shared" si="49"/>
        <v>0.99999910975446527</v>
      </c>
      <c r="AD45" s="70">
        <f t="shared" si="49"/>
        <v>0.99999999704107245</v>
      </c>
      <c r="AE45" s="70">
        <f t="shared" si="49"/>
        <v>0.999999999999999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3.5978195051916809E-2</v>
      </c>
      <c r="K46" s="70">
        <f t="shared" ref="K46:AF46" si="50">K44-(K43*(1-K45))</f>
        <v>1.0859588951628314E-165</v>
      </c>
      <c r="L46" s="70">
        <f t="shared" si="50"/>
        <v>1.088705978656726E-2</v>
      </c>
      <c r="M46" s="70">
        <f t="shared" si="50"/>
        <v>4.4117985260627546E-2</v>
      </c>
      <c r="N46" s="70">
        <f t="shared" si="50"/>
        <v>0.11544032546281463</v>
      </c>
      <c r="O46" s="70">
        <f t="shared" si="50"/>
        <v>5.4093910138965778E-3</v>
      </c>
      <c r="P46" s="70">
        <f t="shared" si="50"/>
        <v>5.5892528220078452E-2</v>
      </c>
      <c r="Q46" s="70">
        <f t="shared" si="50"/>
        <v>6.8972914444820344E-2</v>
      </c>
      <c r="R46" s="70">
        <f t="shared" si="50"/>
        <v>2.3410241015566179E-3</v>
      </c>
      <c r="S46" s="70">
        <f t="shared" si="50"/>
        <v>1.4395811858702201E-2</v>
      </c>
      <c r="T46" s="70">
        <f t="shared" si="50"/>
        <v>2.4781562164816846E-4</v>
      </c>
      <c r="U46" s="70">
        <f t="shared" si="50"/>
        <v>5.250620052604113E-3</v>
      </c>
      <c r="V46" s="70">
        <f t="shared" si="50"/>
        <v>4.9080276111030496E-2</v>
      </c>
      <c r="W46" s="70">
        <f t="shared" si="50"/>
        <v>2.0422010372952743E-5</v>
      </c>
      <c r="X46" s="70">
        <f t="shared" si="50"/>
        <v>1.100194369304634E-6</v>
      </c>
      <c r="Y46" s="70">
        <f t="shared" si="50"/>
        <v>9.8844627775423941E-8</v>
      </c>
      <c r="Z46" s="70">
        <f t="shared" si="50"/>
        <v>7.8056384227850667E-7</v>
      </c>
      <c r="AA46" s="70">
        <f t="shared" si="50"/>
        <v>1.5270549911099943E-3</v>
      </c>
      <c r="AB46" s="70">
        <f t="shared" si="50"/>
        <v>1.8981845296088026E-2</v>
      </c>
      <c r="AC46" s="70">
        <f t="shared" si="50"/>
        <v>1.7277789840714623E-7</v>
      </c>
      <c r="AD46" s="70">
        <f t="shared" si="50"/>
        <v>4.8212624030299344E-10</v>
      </c>
      <c r="AE46" s="70">
        <f t="shared" si="50"/>
        <v>3.1907033965830866E-17</v>
      </c>
      <c r="AF46" s="70">
        <f t="shared" si="50"/>
        <v>2.3219853244331769E-24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0.71272804397847189</v>
      </c>
      <c r="K47" s="74">
        <f t="shared" si="51"/>
        <v>9.1220547193677836E-166</v>
      </c>
      <c r="L47" s="74">
        <f t="shared" si="51"/>
        <v>7.893118345261263E-2</v>
      </c>
      <c r="M47" s="74">
        <f t="shared" si="51"/>
        <v>0.14205991253922071</v>
      </c>
      <c r="N47" s="74">
        <f t="shared" si="51"/>
        <v>1.4372320520120421</v>
      </c>
      <c r="O47" s="74">
        <f t="shared" si="51"/>
        <v>2.5965076866703574E-2</v>
      </c>
      <c r="P47" s="74">
        <f t="shared" si="51"/>
        <v>0.87192344023322388</v>
      </c>
      <c r="Q47" s="74">
        <f t="shared" si="51"/>
        <v>0.63593027118124357</v>
      </c>
      <c r="R47" s="74">
        <f t="shared" si="51"/>
        <v>6.7655596534986259E-3</v>
      </c>
      <c r="S47" s="74">
        <f t="shared" si="51"/>
        <v>0.12308419139190382</v>
      </c>
      <c r="T47" s="74">
        <f t="shared" si="51"/>
        <v>8.3266048873784602E-4</v>
      </c>
      <c r="U47" s="74">
        <f t="shared" si="51"/>
        <v>4.1427392215046453E-2</v>
      </c>
      <c r="V47" s="74">
        <f t="shared" si="51"/>
        <v>0.30871493673838185</v>
      </c>
      <c r="W47" s="74">
        <f t="shared" si="51"/>
        <v>6.2695571844964917E-5</v>
      </c>
      <c r="X47" s="74">
        <f t="shared" si="51"/>
        <v>2.1673829075301288E-6</v>
      </c>
      <c r="Y47" s="74">
        <f t="shared" si="51"/>
        <v>1.4035937144110198E-7</v>
      </c>
      <c r="Z47" s="74">
        <f t="shared" si="51"/>
        <v>1.2098739555316855E-6</v>
      </c>
      <c r="AA47" s="74">
        <f t="shared" si="51"/>
        <v>5.2530691694183803E-3</v>
      </c>
      <c r="AB47" s="74">
        <f t="shared" si="51"/>
        <v>0.14748893795060394</v>
      </c>
      <c r="AC47" s="74">
        <f t="shared" si="51"/>
        <v>2.6953352151514815E-7</v>
      </c>
      <c r="AD47" s="74">
        <f t="shared" si="51"/>
        <v>5.8337275076662207E-10</v>
      </c>
      <c r="AE47" s="74">
        <f t="shared" si="51"/>
        <v>6.604756030926989E-17</v>
      </c>
      <c r="AF47" s="74">
        <f t="shared" si="51"/>
        <v>2.7631625360754804E-24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48.287271956021527</v>
      </c>
      <c r="K48" s="74">
        <f t="shared" si="52"/>
        <v>1</v>
      </c>
      <c r="L48" s="74">
        <f t="shared" si="52"/>
        <v>17.921068816547386</v>
      </c>
      <c r="M48" s="74">
        <f t="shared" si="52"/>
        <v>1.8579400874607792</v>
      </c>
      <c r="N48" s="74">
        <f t="shared" si="52"/>
        <v>17.562767947987957</v>
      </c>
      <c r="O48" s="74">
        <f t="shared" si="52"/>
        <v>10.974034923133296</v>
      </c>
      <c r="P48" s="74">
        <f t="shared" si="52"/>
        <v>17.128076559766775</v>
      </c>
      <c r="Q48" s="74">
        <f t="shared" si="52"/>
        <v>1.3640697288187564</v>
      </c>
      <c r="R48" s="74">
        <f t="shared" si="52"/>
        <v>3.9932344403465012</v>
      </c>
      <c r="S48" s="74">
        <f t="shared" si="52"/>
        <v>8.8769158086080964</v>
      </c>
      <c r="T48" s="74">
        <f t="shared" si="52"/>
        <v>3.9991673395112621</v>
      </c>
      <c r="U48" s="74">
        <f t="shared" si="52"/>
        <v>2.9585726077849537</v>
      </c>
      <c r="V48" s="74">
        <f t="shared" si="52"/>
        <v>3.6912850632616183</v>
      </c>
      <c r="W48" s="74">
        <f t="shared" si="52"/>
        <v>1.999937304428155</v>
      </c>
      <c r="X48" s="74">
        <f t="shared" si="52"/>
        <v>2.9999978326170926</v>
      </c>
      <c r="Y48" s="74">
        <f t="shared" si="52"/>
        <v>0.99999985964062854</v>
      </c>
      <c r="Z48" s="74">
        <f t="shared" si="52"/>
        <v>0.99999879012604442</v>
      </c>
      <c r="AA48" s="74">
        <f t="shared" si="52"/>
        <v>4.9947469308305816</v>
      </c>
      <c r="AB48" s="74">
        <f t="shared" si="52"/>
        <v>8.8525110620493965</v>
      </c>
      <c r="AC48" s="74">
        <f t="shared" si="52"/>
        <v>0.9999997304664785</v>
      </c>
      <c r="AD48" s="74">
        <f t="shared" si="52"/>
        <v>2.9999999994166271</v>
      </c>
      <c r="AE48" s="74">
        <f t="shared" si="52"/>
        <v>2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28.617332115418549</v>
      </c>
      <c r="K49" s="74">
        <f t="shared" ref="K49:AF49" si="53">K28-K48</f>
        <v>23.124427676511498</v>
      </c>
      <c r="L49" s="74">
        <f t="shared" si="53"/>
        <v>13.896450658856445</v>
      </c>
      <c r="M49" s="74">
        <f t="shared" si="53"/>
        <v>4.3755785581336886</v>
      </c>
      <c r="N49" s="74">
        <f t="shared" si="53"/>
        <v>11.68178598086341</v>
      </c>
      <c r="O49" s="74">
        <f t="shared" si="53"/>
        <v>10.413715179070689</v>
      </c>
      <c r="P49" s="74">
        <f t="shared" si="53"/>
        <v>19.620426552565405</v>
      </c>
      <c r="Q49" s="74">
        <f t="shared" si="53"/>
        <v>10.753962626100986</v>
      </c>
      <c r="R49" s="74">
        <f t="shared" si="53"/>
        <v>7.0858277818643565</v>
      </c>
      <c r="S49" s="74">
        <f t="shared" si="53"/>
        <v>15.484579291949</v>
      </c>
      <c r="T49" s="74">
        <f t="shared" si="53"/>
        <v>10.486717058973079</v>
      </c>
      <c r="U49" s="74">
        <f t="shared" si="53"/>
        <v>17.199657098428485</v>
      </c>
      <c r="V49" s="74">
        <f t="shared" si="53"/>
        <v>8.2620387205867001</v>
      </c>
      <c r="W49" s="74">
        <f t="shared" si="53"/>
        <v>11.533998959311687</v>
      </c>
      <c r="X49" s="74">
        <f t="shared" si="53"/>
        <v>8.6779752873707974</v>
      </c>
      <c r="Y49" s="74">
        <f t="shared" si="53"/>
        <v>6.9355684996884879</v>
      </c>
      <c r="Z49" s="74">
        <f t="shared" si="53"/>
        <v>6.9377872425836138</v>
      </c>
      <c r="AA49" s="74">
        <f t="shared" si="53"/>
        <v>8.9035255486904852</v>
      </c>
      <c r="AB49" s="74">
        <f t="shared" si="53"/>
        <v>13.237422365522656</v>
      </c>
      <c r="AC49" s="74">
        <f t="shared" si="53"/>
        <v>7.451909868886097</v>
      </c>
      <c r="AD49" s="74">
        <f t="shared" si="53"/>
        <v>7.0410658132487782</v>
      </c>
      <c r="AE49" s="74">
        <f t="shared" si="53"/>
        <v>16.441678978971414</v>
      </c>
      <c r="AF49" s="74">
        <f t="shared" si="53"/>
        <v>12.309534073729724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2414.3635978010761</v>
      </c>
      <c r="K50" s="70">
        <f t="shared" ref="K50:AF50" si="54">K48*K20</f>
        <v>200</v>
      </c>
      <c r="L50" s="70">
        <f t="shared" si="54"/>
        <v>1075.2641289928431</v>
      </c>
      <c r="M50" s="70">
        <f t="shared" si="54"/>
        <v>92.897004373038953</v>
      </c>
      <c r="N50" s="70">
        <f t="shared" si="54"/>
        <v>790.32455765945804</v>
      </c>
      <c r="O50" s="70">
        <f t="shared" si="54"/>
        <v>658.44209538799771</v>
      </c>
      <c r="P50" s="70">
        <f t="shared" si="54"/>
        <v>856.40382798833878</v>
      </c>
      <c r="Q50" s="70">
        <f t="shared" si="54"/>
        <v>68.203486440937823</v>
      </c>
      <c r="R50" s="70">
        <f t="shared" si="54"/>
        <v>199.66172201732505</v>
      </c>
      <c r="S50" s="70">
        <f t="shared" si="54"/>
        <v>443.8457904304048</v>
      </c>
      <c r="T50" s="70">
        <f t="shared" si="54"/>
        <v>279.94171376578834</v>
      </c>
      <c r="U50" s="70">
        <f t="shared" si="54"/>
        <v>207.10008254494676</v>
      </c>
      <c r="V50" s="70">
        <f t="shared" si="54"/>
        <v>184.56425316308091</v>
      </c>
      <c r="W50" s="70">
        <f t="shared" si="54"/>
        <v>159.99498435425241</v>
      </c>
      <c r="X50" s="70">
        <f t="shared" si="54"/>
        <v>179.99986995702557</v>
      </c>
      <c r="Y50" s="70">
        <f t="shared" si="54"/>
        <v>59.999991578437715</v>
      </c>
      <c r="Z50" s="70">
        <f t="shared" si="54"/>
        <v>59.999927407562666</v>
      </c>
      <c r="AA50" s="70">
        <f t="shared" si="54"/>
        <v>249.73734654152909</v>
      </c>
      <c r="AB50" s="70">
        <f t="shared" si="54"/>
        <v>442.62555310246984</v>
      </c>
      <c r="AC50" s="70">
        <f t="shared" si="54"/>
        <v>49.999986523323926</v>
      </c>
      <c r="AD50" s="70">
        <f t="shared" si="54"/>
        <v>179.99999996499761</v>
      </c>
      <c r="AE50" s="70">
        <f t="shared" si="54"/>
        <v>240</v>
      </c>
      <c r="AF50" s="70">
        <f t="shared" si="54"/>
        <v>100</v>
      </c>
      <c r="AG50" s="186">
        <f>SUM(J50:AF50)</f>
        <v>9193.3699199948351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1427.003265935346</v>
      </c>
      <c r="K51" s="70">
        <f t="shared" ref="K51:AF51" si="55">(K20-K22)*K49</f>
        <v>4592.4419632721538</v>
      </c>
      <c r="L51" s="70">
        <f t="shared" si="55"/>
        <v>830.86878489302683</v>
      </c>
      <c r="M51" s="70">
        <f t="shared" si="55"/>
        <v>215.45348820250283</v>
      </c>
      <c r="N51" s="70">
        <f t="shared" si="55"/>
        <v>521.80201619320678</v>
      </c>
      <c r="O51" s="70">
        <f t="shared" si="55"/>
        <v>621.71962362087822</v>
      </c>
      <c r="P51" s="70">
        <f t="shared" si="55"/>
        <v>976.95989933188923</v>
      </c>
      <c r="Q51" s="70">
        <f t="shared" si="55"/>
        <v>534.19233948894032</v>
      </c>
      <c r="R51" s="70">
        <f t="shared" si="55"/>
        <v>351.98140923633002</v>
      </c>
      <c r="S51" s="70">
        <f t="shared" si="55"/>
        <v>772.18500013091273</v>
      </c>
      <c r="T51" s="70">
        <f t="shared" si="55"/>
        <v>730.65152436689038</v>
      </c>
      <c r="U51" s="70">
        <f t="shared" si="55"/>
        <v>1200.966056897769</v>
      </c>
      <c r="V51" s="70">
        <f t="shared" si="55"/>
        <v>410.00367150911501</v>
      </c>
      <c r="W51" s="70">
        <f t="shared" si="55"/>
        <v>918.68301710917592</v>
      </c>
      <c r="X51" s="70">
        <f t="shared" si="55"/>
        <v>518.72597280258935</v>
      </c>
      <c r="Y51" s="70">
        <f t="shared" si="55"/>
        <v>411.9519621759971</v>
      </c>
      <c r="Z51" s="70">
        <f t="shared" si="55"/>
        <v>412.13925114567957</v>
      </c>
      <c r="AA51" s="70">
        <f t="shared" si="55"/>
        <v>443.57364283575998</v>
      </c>
      <c r="AB51" s="70">
        <f t="shared" si="55"/>
        <v>659.55456936216638</v>
      </c>
      <c r="AC51" s="70">
        <f t="shared" si="55"/>
        <v>371.61184134161192</v>
      </c>
      <c r="AD51" s="70">
        <f t="shared" si="55"/>
        <v>418.74626604553134</v>
      </c>
      <c r="AE51" s="70">
        <f t="shared" si="55"/>
        <v>1969.3020997063011</v>
      </c>
      <c r="AF51" s="70">
        <f t="shared" si="55"/>
        <v>1225.4387361079416</v>
      </c>
      <c r="AG51" s="51">
        <f>SUM(J51:AF51)</f>
        <v>20535.956401711715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0.42763682638708311</v>
      </c>
      <c r="K52" s="70">
        <f t="shared" ref="K52:AF52" si="56">K47*K23</f>
        <v>3.3751602461660801E-165</v>
      </c>
      <c r="L52" s="70">
        <f t="shared" si="56"/>
        <v>0.11839677517891894</v>
      </c>
      <c r="M52" s="70">
        <f t="shared" si="56"/>
        <v>0.56823965015688283</v>
      </c>
      <c r="N52" s="70">
        <f t="shared" si="56"/>
        <v>4.0242497456337176</v>
      </c>
      <c r="O52" s="70">
        <f t="shared" si="56"/>
        <v>8.3088245973451436E-2</v>
      </c>
      <c r="P52" s="70">
        <f t="shared" si="56"/>
        <v>0.52315406413993426</v>
      </c>
      <c r="Q52" s="70">
        <f t="shared" si="56"/>
        <v>0.57233724406311914</v>
      </c>
      <c r="R52" s="70">
        <f t="shared" si="56"/>
        <v>6.0890036881487627E-3</v>
      </c>
      <c r="S52" s="70">
        <f t="shared" si="56"/>
        <v>3.6925257417571147E-2</v>
      </c>
      <c r="T52" s="70">
        <f t="shared" si="56"/>
        <v>7.4939443986406131E-4</v>
      </c>
      <c r="U52" s="70">
        <f t="shared" si="56"/>
        <v>2.0713696107523227E-2</v>
      </c>
      <c r="V52" s="70">
        <f t="shared" si="56"/>
        <v>0.40132941775989645</v>
      </c>
      <c r="W52" s="70">
        <f t="shared" si="56"/>
        <v>4.3886900291475443E-5</v>
      </c>
      <c r="X52" s="70">
        <f t="shared" si="56"/>
        <v>5.4184572688253221E-6</v>
      </c>
      <c r="Y52" s="70">
        <f t="shared" si="56"/>
        <v>2.6668280573809378E-7</v>
      </c>
      <c r="Z52" s="70">
        <f t="shared" si="56"/>
        <v>1.8148109332975281E-6</v>
      </c>
      <c r="AA52" s="70">
        <f t="shared" si="56"/>
        <v>2.6265345847091902E-3</v>
      </c>
      <c r="AB52" s="70">
        <f t="shared" si="56"/>
        <v>7.3744468975301972E-2</v>
      </c>
      <c r="AC52" s="70">
        <f t="shared" si="56"/>
        <v>8.0860056454544444E-8</v>
      </c>
      <c r="AD52" s="70">
        <f t="shared" si="56"/>
        <v>4.6669820061329766E-10</v>
      </c>
      <c r="AE52" s="70">
        <f t="shared" si="56"/>
        <v>1.6511890077317471E-16</v>
      </c>
      <c r="AF52" s="70">
        <f t="shared" si="56"/>
        <v>4.1447438041132207E-24</v>
      </c>
      <c r="AG52" s="51">
        <f>SUM(J52:AF52)</f>
        <v>6.8593317926841753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519.10607748222048</v>
      </c>
      <c r="K53" s="70">
        <f t="shared" ref="K53:AF53" si="57">K21*K28</f>
        <v>1692.3286015072817</v>
      </c>
      <c r="L53" s="70">
        <f t="shared" si="57"/>
        <v>334.0839544917402</v>
      </c>
      <c r="M53" s="70">
        <f t="shared" si="57"/>
        <v>236.87370853258977</v>
      </c>
      <c r="N53" s="70">
        <f t="shared" si="57"/>
        <v>485.45959521893275</v>
      </c>
      <c r="O53" s="70">
        <f t="shared" si="57"/>
        <v>318.67747652283936</v>
      </c>
      <c r="P53" s="70">
        <f t="shared" si="57"/>
        <v>380.34700721263806</v>
      </c>
      <c r="Q53" s="70">
        <f t="shared" si="57"/>
        <v>197.52392738519183</v>
      </c>
      <c r="R53" s="70">
        <f t="shared" si="57"/>
        <v>180.588714222037</v>
      </c>
      <c r="S53" s="70">
        <f t="shared" si="57"/>
        <v>160.78586766367684</v>
      </c>
      <c r="T53" s="70">
        <f t="shared" si="57"/>
        <v>236.11991569529476</v>
      </c>
      <c r="U53" s="70">
        <f t="shared" si="57"/>
        <v>176.3845099293676</v>
      </c>
      <c r="V53" s="70">
        <f t="shared" si="57"/>
        <v>224.12482094715597</v>
      </c>
      <c r="W53" s="70">
        <f t="shared" si="57"/>
        <v>236.84388461544722</v>
      </c>
      <c r="X53" s="70">
        <f t="shared" si="57"/>
        <v>131.37719759986376</v>
      </c>
      <c r="Y53" s="70">
        <f t="shared" si="57"/>
        <v>239.25738603377289</v>
      </c>
      <c r="Z53" s="70">
        <f t="shared" si="57"/>
        <v>236.14913447311233</v>
      </c>
      <c r="AA53" s="70">
        <f t="shared" si="57"/>
        <v>125.0844523156896</v>
      </c>
      <c r="AB53" s="70">
        <f t="shared" si="57"/>
        <v>193.28691749125545</v>
      </c>
      <c r="AC53" s="70">
        <f t="shared" si="57"/>
        <v>55.782603355726991</v>
      </c>
      <c r="AD53" s="70">
        <f t="shared" si="57"/>
        <v>265.08413745436673</v>
      </c>
      <c r="AE53" s="70">
        <f t="shared" si="57"/>
        <v>207.4688885134284</v>
      </c>
      <c r="AF53" s="70">
        <f t="shared" si="57"/>
        <v>298.13356325154587</v>
      </c>
      <c r="AG53" s="67">
        <f>SUM(J53:AF53)</f>
        <v>7130.8723419151738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3321.8331494278145</v>
      </c>
      <c r="K54" s="79">
        <f t="shared" ref="K54:AF54" si="58">K50+K51-K53-K52</f>
        <v>3100.113361764872</v>
      </c>
      <c r="L54" s="79">
        <f t="shared" si="58"/>
        <v>1571.9305626189507</v>
      </c>
      <c r="M54" s="79">
        <f t="shared" si="58"/>
        <v>70.90854439279515</v>
      </c>
      <c r="N54" s="79">
        <f t="shared" si="58"/>
        <v>822.64272888809853</v>
      </c>
      <c r="O54" s="79">
        <f t="shared" si="58"/>
        <v>961.40115424006308</v>
      </c>
      <c r="P54" s="79">
        <f t="shared" si="58"/>
        <v>1452.4935660434498</v>
      </c>
      <c r="Q54" s="79">
        <f t="shared" si="58"/>
        <v>404.29956130062317</v>
      </c>
      <c r="R54" s="79">
        <f t="shared" si="58"/>
        <v>371.04832802792993</v>
      </c>
      <c r="S54" s="79">
        <f t="shared" si="58"/>
        <v>1055.2079976402233</v>
      </c>
      <c r="T54" s="79">
        <f t="shared" si="58"/>
        <v>774.47257304294419</v>
      </c>
      <c r="U54" s="79">
        <f t="shared" si="58"/>
        <v>1231.6609158172405</v>
      </c>
      <c r="V54" s="79">
        <f t="shared" si="58"/>
        <v>370.04177430728004</v>
      </c>
      <c r="W54" s="79">
        <f t="shared" si="58"/>
        <v>841.83407296108078</v>
      </c>
      <c r="X54" s="79">
        <f t="shared" si="58"/>
        <v>567.34863974129394</v>
      </c>
      <c r="Y54" s="79">
        <f t="shared" si="58"/>
        <v>232.69456745397915</v>
      </c>
      <c r="Z54" s="79">
        <f t="shared" si="58"/>
        <v>235.99004226531898</v>
      </c>
      <c r="AA54" s="79">
        <f t="shared" si="58"/>
        <v>568.22391052701471</v>
      </c>
      <c r="AB54" s="79">
        <f>AB50+AB51-AB53-AB52</f>
        <v>908.81946050440547</v>
      </c>
      <c r="AC54" s="79">
        <f t="shared" si="58"/>
        <v>365.82922442834882</v>
      </c>
      <c r="AD54" s="79">
        <f t="shared" si="58"/>
        <v>333.66212855569557</v>
      </c>
      <c r="AE54" s="79">
        <f t="shared" si="58"/>
        <v>2001.833211192873</v>
      </c>
      <c r="AF54" s="79">
        <f t="shared" si="58"/>
        <v>1027.3051728563958</v>
      </c>
      <c r="AG54" s="68">
        <f>SUM(J54:AF54)</f>
        <v>22591.594647998685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14359.814252967801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40D58-A012-E146-8863-26AD98AB815D}">
  <dimension ref="A1:BJ75"/>
  <sheetViews>
    <sheetView topLeftCell="AP17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7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46</v>
      </c>
      <c r="K2" s="262">
        <f>_xlfn.XLOOKUP($B$1,daily_demand!$E$1:$AH$1,daily_demand!$E$3:$AH$3)</f>
        <v>1</v>
      </c>
      <c r="L2" s="263">
        <f>_xlfn.XLOOKUP($B$1,daily_demand!$E$1:$AH$1,daily_demand!$E$4:$AH$4)</f>
        <v>21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19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2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2.2235308630726842</v>
      </c>
      <c r="AJ4" s="45">
        <f t="shared" ref="AJ4:AJ18" si="1">K4*K$28</f>
        <v>0.71771894186407204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1.1871477697775057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1.0248306813274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0.32896515798885106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0.53364601779332055</v>
      </c>
      <c r="BF4" s="44">
        <f>SUM(AI4:BE4)</f>
        <v>6.0158394318238324</v>
      </c>
      <c r="BG4" s="54">
        <f>ROUNDUP(BF4*2, 0)</f>
        <v>13</v>
      </c>
      <c r="BH4" s="86">
        <f>CEILING($BG$1*BG4, 0.5)</f>
        <v>6.5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2.2235308630726842</v>
      </c>
      <c r="AJ5" s="45">
        <f t="shared" si="1"/>
        <v>0.9569585891520962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0.32896515798885106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0.66705752224165071</v>
      </c>
      <c r="BF5" s="44">
        <f t="shared" ref="BF5:BF19" si="23">SUM(AI5:BE5)</f>
        <v>4.1765121324552821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165</v>
      </c>
      <c r="C6" s="7">
        <f>B6*0.02</f>
        <v>3.3000000000000003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0.4784792945760481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1.1871477697775057</v>
      </c>
      <c r="AP6" s="45">
        <f t="shared" si="7"/>
        <v>0</v>
      </c>
      <c r="AQ6" s="45">
        <f t="shared" si="8"/>
        <v>0</v>
      </c>
      <c r="AR6" s="45">
        <f t="shared" si="9"/>
        <v>0.7725549969331067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0.32896515798885106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0.28972867204434705</v>
      </c>
      <c r="BC6" s="45">
        <f t="shared" si="20"/>
        <v>0</v>
      </c>
      <c r="BD6" s="45">
        <f t="shared" si="21"/>
        <v>0</v>
      </c>
      <c r="BE6" s="45">
        <f t="shared" si="22"/>
        <v>0.53364601779332055</v>
      </c>
      <c r="BF6" s="44">
        <f t="shared" si="23"/>
        <v>3.5905219091131793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8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0.71771894186407204</v>
      </c>
      <c r="AK7" s="45">
        <f t="shared" si="2"/>
        <v>0</v>
      </c>
      <c r="AL7" s="45">
        <f t="shared" si="3"/>
        <v>0</v>
      </c>
      <c r="AM7" s="45">
        <f t="shared" si="4"/>
        <v>1.2858958866574468</v>
      </c>
      <c r="AN7" s="45">
        <f t="shared" si="5"/>
        <v>0.85514959864167706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1.0891147266699277</v>
      </c>
      <c r="AU7" s="45">
        <f t="shared" si="12"/>
        <v>0.64051917582962503</v>
      </c>
      <c r="AV7" s="45">
        <f t="shared" si="13"/>
        <v>0</v>
      </c>
      <c r="AW7" s="45">
        <f t="shared" si="14"/>
        <v>0</v>
      </c>
      <c r="AX7" s="45">
        <f t="shared" si="15"/>
        <v>0.41120644748606383</v>
      </c>
      <c r="AY7" s="45">
        <f t="shared" si="16"/>
        <v>0.40190028909473147</v>
      </c>
      <c r="AZ7" s="45">
        <f t="shared" si="17"/>
        <v>0</v>
      </c>
      <c r="BA7" s="45">
        <f t="shared" si="18"/>
        <v>1.1943921663524069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6.5958972325959513</v>
      </c>
      <c r="BG7" s="54">
        <f t="shared" si="24"/>
        <v>14</v>
      </c>
      <c r="BH7" s="86">
        <f t="shared" si="25"/>
        <v>7</v>
      </c>
      <c r="BI7" s="6"/>
    </row>
    <row r="8" spans="1:61" ht="24" x14ac:dyDescent="0.2">
      <c r="A8" s="286" t="s">
        <v>46</v>
      </c>
      <c r="B8" s="295">
        <f>_xlfn.XLOOKUP($B$1,cost!$A$16:$A$45,cost!$F$16:$F$45)</f>
        <v>120</v>
      </c>
      <c r="C8" s="7">
        <f t="shared" ref="C8:C19" si="26">B8*0.02</f>
        <v>2.4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0.23923964728802405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0.64136219898125779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0.16448257899442553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0.26682300889666027</v>
      </c>
      <c r="BF8" s="44">
        <f t="shared" si="23"/>
        <v>1.3119074341603678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5.3446849915104817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5.3446849915104817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6.4294794332872343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6.4294794332872343</v>
      </c>
      <c r="BG10" s="54">
        <f t="shared" si="24"/>
        <v>13</v>
      </c>
      <c r="BH10" s="86">
        <f t="shared" si="25"/>
        <v>6.5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145</v>
      </c>
      <c r="C11" s="7">
        <f t="shared" si="26"/>
        <v>2.9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1.2858958866574468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1.2858958866574468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5.211732038147459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5.211732038147459</v>
      </c>
      <c r="BG12" s="54">
        <f t="shared" si="24"/>
        <v>11</v>
      </c>
      <c r="BH12" s="86">
        <f t="shared" si="25"/>
        <v>5.5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1.1961982364401202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0.26115172871372944</v>
      </c>
      <c r="AQ13" s="45">
        <f t="shared" si="8"/>
        <v>0.2203844232830936</v>
      </c>
      <c r="AR13" s="45">
        <f t="shared" si="9"/>
        <v>0</v>
      </c>
      <c r="AS13" s="45">
        <f t="shared" si="10"/>
        <v>0.28802574652787494</v>
      </c>
      <c r="AT13" s="45">
        <f t="shared" si="11"/>
        <v>0</v>
      </c>
      <c r="AU13" s="45">
        <f t="shared" si="12"/>
        <v>0</v>
      </c>
      <c r="AV13" s="45">
        <f t="shared" si="13"/>
        <v>0.94058895297318068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2.9063490879379992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0.9569585891520962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0.71757708559224742</v>
      </c>
      <c r="BD14" s="45">
        <f t="shared" si="21"/>
        <v>0</v>
      </c>
      <c r="BE14" s="45">
        <f t="shared" si="22"/>
        <v>0</v>
      </c>
      <c r="BF14" s="44">
        <f t="shared" si="23"/>
        <v>1.6745356747443436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1.1961982364401202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0.65287932178432362</v>
      </c>
      <c r="AQ15" s="45">
        <f t="shared" si="8"/>
        <v>0.550961058207734</v>
      </c>
      <c r="AR15" s="45">
        <f t="shared" si="9"/>
        <v>0</v>
      </c>
      <c r="AS15" s="45">
        <f t="shared" si="10"/>
        <v>0.72006436631968729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0.6918784417589432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3.8119814245108081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1.1961982364401202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0.80380057818946293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1.9999988146295831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1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1.1961982364401202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0.26115172871372944</v>
      </c>
      <c r="AQ17" s="45">
        <f t="shared" si="8"/>
        <v>0.2203844232830936</v>
      </c>
      <c r="AR17" s="45">
        <f t="shared" si="9"/>
        <v>0</v>
      </c>
      <c r="AS17" s="45">
        <f t="shared" si="10"/>
        <v>0.28802574652787494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1.9657601349648184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3.1860766615187774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3.1860766615187774</v>
      </c>
      <c r="BG18" s="54">
        <f t="shared" si="24"/>
        <v>7</v>
      </c>
      <c r="BH18" s="86">
        <f t="shared" si="25"/>
        <v>3.5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2.9015060993467157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4.3239123522398231</v>
      </c>
      <c r="BE19" s="45">
        <f t="shared" si="27"/>
        <v>0</v>
      </c>
      <c r="BF19" s="44">
        <f t="shared" si="23"/>
        <v>7.2254184515865383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29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62.73259073964411</v>
      </c>
      <c r="BG20" s="54">
        <f>SUM(BG4:BG19)</f>
        <v>133</v>
      </c>
      <c r="BH20" s="86">
        <f>SUM(BH4:BH19)</f>
        <v>66.5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66.599999999999994</v>
      </c>
      <c r="L21" s="4">
        <f t="shared" si="28"/>
        <v>10.5</v>
      </c>
      <c r="M21" s="4">
        <f t="shared" si="28"/>
        <v>26</v>
      </c>
      <c r="N21" s="4">
        <f t="shared" si="28"/>
        <v>12.6</v>
      </c>
      <c r="O21" s="4">
        <f t="shared" si="28"/>
        <v>10.899999999999999</v>
      </c>
      <c r="P21" s="4">
        <f t="shared" si="28"/>
        <v>8.6999999999999993</v>
      </c>
      <c r="Q21" s="4">
        <f t="shared" si="28"/>
        <v>16.3</v>
      </c>
      <c r="R21" s="4">
        <f t="shared" si="28"/>
        <v>16.3</v>
      </c>
      <c r="S21" s="4">
        <f t="shared" si="28"/>
        <v>4.95</v>
      </c>
      <c r="T21" s="4">
        <f t="shared" si="28"/>
        <v>16.3</v>
      </c>
      <c r="U21" s="4">
        <f t="shared" si="28"/>
        <v>6</v>
      </c>
      <c r="V21" s="4">
        <f t="shared" si="28"/>
        <v>16</v>
      </c>
      <c r="W21" s="4">
        <f t="shared" si="28"/>
        <v>17.5</v>
      </c>
      <c r="X21" s="4">
        <f t="shared" si="28"/>
        <v>11.25</v>
      </c>
      <c r="Y21" s="4">
        <f t="shared" si="28"/>
        <v>23.8</v>
      </c>
      <c r="Z21" s="4">
        <f t="shared" si="28"/>
        <v>27</v>
      </c>
      <c r="AA21" s="4">
        <f t="shared" si="28"/>
        <v>9</v>
      </c>
      <c r="AB21" s="4">
        <f t="shared" si="28"/>
        <v>6</v>
      </c>
      <c r="AC21" s="4">
        <f t="shared" si="28"/>
        <v>4.95</v>
      </c>
      <c r="AD21" s="4">
        <f t="shared" si="28"/>
        <v>26.400000000000002</v>
      </c>
      <c r="AE21" s="4">
        <f t="shared" si="28"/>
        <v>11.25</v>
      </c>
      <c r="AF21" s="4">
        <f t="shared" si="28"/>
        <v>18.75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2710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1.3320000000000001</v>
      </c>
      <c r="L22" s="4">
        <f t="shared" si="29"/>
        <v>0.21000000000000002</v>
      </c>
      <c r="M22" s="4">
        <f t="shared" si="29"/>
        <v>0.52</v>
      </c>
      <c r="N22" s="4">
        <f t="shared" si="29"/>
        <v>0.252</v>
      </c>
      <c r="O22" s="4">
        <f t="shared" si="29"/>
        <v>0.21799999999999997</v>
      </c>
      <c r="P22" s="4">
        <f t="shared" si="29"/>
        <v>0.17399999999999999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9.9000000000000005E-2</v>
      </c>
      <c r="T22" s="4">
        <f t="shared" si="29"/>
        <v>0.32600000000000001</v>
      </c>
      <c r="U22" s="4">
        <f t="shared" si="29"/>
        <v>0.12</v>
      </c>
      <c r="V22" s="4">
        <f t="shared" si="29"/>
        <v>0.32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0.47600000000000003</v>
      </c>
      <c r="Z22" s="4">
        <f t="shared" si="29"/>
        <v>0.54</v>
      </c>
      <c r="AA22" s="4">
        <f t="shared" si="29"/>
        <v>0.18000000000000002</v>
      </c>
      <c r="AB22" s="4">
        <f t="shared" si="29"/>
        <v>0.12</v>
      </c>
      <c r="AC22" s="4">
        <f t="shared" si="29"/>
        <v>9.9000000000000005E-2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0.375</v>
      </c>
      <c r="AG22" s="9"/>
      <c r="BF22" s="432" t="s">
        <v>131</v>
      </c>
      <c r="BG22" s="432"/>
      <c r="BH22" s="41">
        <f>SUMPRODUCT(B4:B19,BH4:BH19)</f>
        <v>6987.5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65.268000000000001</v>
      </c>
      <c r="L25" s="69">
        <f t="shared" si="31"/>
        <v>10.29</v>
      </c>
      <c r="M25" s="69">
        <f t="shared" si="31"/>
        <v>25.48</v>
      </c>
      <c r="N25" s="69">
        <f t="shared" si="31"/>
        <v>12.347999999999999</v>
      </c>
      <c r="O25" s="69">
        <f t="shared" si="31"/>
        <v>10.681999999999999</v>
      </c>
      <c r="P25" s="69">
        <f t="shared" si="31"/>
        <v>8.5259999999999998</v>
      </c>
      <c r="Q25" s="69">
        <f t="shared" si="31"/>
        <v>15.974</v>
      </c>
      <c r="R25" s="69">
        <f t="shared" si="31"/>
        <v>15.974</v>
      </c>
      <c r="S25" s="69">
        <f t="shared" si="31"/>
        <v>4.851</v>
      </c>
      <c r="T25" s="69">
        <f t="shared" si="31"/>
        <v>15.974</v>
      </c>
      <c r="U25" s="69">
        <f t="shared" si="31"/>
        <v>5.88</v>
      </c>
      <c r="V25" s="69">
        <f t="shared" si="31"/>
        <v>15.68</v>
      </c>
      <c r="W25" s="69">
        <f t="shared" si="31"/>
        <v>17.149999999999999</v>
      </c>
      <c r="X25" s="69">
        <f t="shared" si="31"/>
        <v>11.025</v>
      </c>
      <c r="Y25" s="69">
        <f t="shared" si="31"/>
        <v>23.324000000000002</v>
      </c>
      <c r="Z25" s="69">
        <f t="shared" si="31"/>
        <v>26.46</v>
      </c>
      <c r="AA25" s="69">
        <f t="shared" si="31"/>
        <v>8.82</v>
      </c>
      <c r="AB25" s="69">
        <f t="shared" si="31"/>
        <v>5.88</v>
      </c>
      <c r="AC25" s="69">
        <f t="shared" si="31"/>
        <v>4.851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18.375</v>
      </c>
      <c r="AG25" s="16"/>
      <c r="BF25" s="434" t="s">
        <v>42</v>
      </c>
      <c r="BG25" s="434"/>
      <c r="BH25" s="39">
        <f>AG50+AG51-AG52-BH22</f>
        <v>23322.736024381837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137.1</v>
      </c>
      <c r="L26" s="4">
        <f t="shared" si="32"/>
        <v>51</v>
      </c>
      <c r="M26" s="4">
        <f t="shared" si="32"/>
        <v>28</v>
      </c>
      <c r="N26" s="4">
        <f t="shared" si="32"/>
        <v>35.199999999999996</v>
      </c>
      <c r="O26" s="4">
        <f t="shared" si="32"/>
        <v>52.300000000000004</v>
      </c>
      <c r="P26" s="4">
        <f t="shared" si="32"/>
        <v>41.9</v>
      </c>
      <c r="Q26" s="4">
        <f t="shared" si="32"/>
        <v>34.6</v>
      </c>
      <c r="R26" s="4">
        <f t="shared" si="32"/>
        <v>34.6</v>
      </c>
      <c r="S26" s="4">
        <f t="shared" si="32"/>
        <v>45.349999999999994</v>
      </c>
      <c r="T26" s="4">
        <f t="shared" si="32"/>
        <v>54.6</v>
      </c>
      <c r="U26" s="4">
        <f t="shared" si="32"/>
        <v>64.5</v>
      </c>
      <c r="V26" s="4">
        <f t="shared" si="32"/>
        <v>35.299999999999997</v>
      </c>
      <c r="W26" s="4">
        <f t="shared" si="32"/>
        <v>63.2</v>
      </c>
      <c r="X26" s="4">
        <f t="shared" si="32"/>
        <v>51.25</v>
      </c>
      <c r="Y26" s="4">
        <f t="shared" si="32"/>
        <v>38.1</v>
      </c>
      <c r="Z26" s="4">
        <f t="shared" si="32"/>
        <v>34.5</v>
      </c>
      <c r="AA26" s="4">
        <f t="shared" si="32"/>
        <v>41.5</v>
      </c>
      <c r="AB26" s="4">
        <f t="shared" si="32"/>
        <v>44.5</v>
      </c>
      <c r="AC26" s="4">
        <f t="shared" si="32"/>
        <v>45.349999999999994</v>
      </c>
      <c r="AD26" s="4">
        <f t="shared" si="32"/>
        <v>34.399999999999991</v>
      </c>
      <c r="AE26" s="4">
        <f t="shared" si="32"/>
        <v>111.25</v>
      </c>
      <c r="AF26" s="4">
        <f t="shared" si="32"/>
        <v>82.75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0.67747865275142316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0.74030453436527299</v>
      </c>
      <c r="O27" s="70">
        <f t="shared" si="33"/>
        <v>0.8303959861547745</v>
      </c>
      <c r="P27" s="70">
        <f t="shared" si="33"/>
        <v>0.8309205568555903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0.90336845879564154</v>
      </c>
      <c r="T27" s="70">
        <f t="shared" si="33"/>
        <v>0.77365602063082728</v>
      </c>
      <c r="U27" s="70">
        <f t="shared" si="33"/>
        <v>0.91645353793691398</v>
      </c>
      <c r="V27" s="70">
        <f t="shared" si="33"/>
        <v>0.69242840329541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0.62027871841625415</v>
      </c>
      <c r="Z27" s="70">
        <f t="shared" si="33"/>
        <v>0.56594488188976377</v>
      </c>
      <c r="AA27" s="70">
        <f t="shared" si="33"/>
        <v>0.82472178060413359</v>
      </c>
      <c r="AB27" s="70">
        <f t="shared" si="33"/>
        <v>0.8832870186581977</v>
      </c>
      <c r="AC27" s="70">
        <f t="shared" si="33"/>
        <v>0.90336845879564154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0.81829419035846729</v>
      </c>
      <c r="AG27" s="9"/>
      <c r="BF27" s="430" t="s">
        <v>130</v>
      </c>
      <c r="BG27" s="430"/>
      <c r="BH27" s="40">
        <f>BH25-AG41</f>
        <v>10487.207706218996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74.117695435756147</v>
      </c>
      <c r="K28" s="72">
        <v>23.923964728802403</v>
      </c>
      <c r="L28" s="72">
        <v>34.744880254316392</v>
      </c>
      <c r="M28" s="72">
        <v>7.9651916537969427</v>
      </c>
      <c r="N28" s="72">
        <v>32.147397166436171</v>
      </c>
      <c r="O28" s="72">
        <v>21.378739966041927</v>
      </c>
      <c r="P28" s="72">
        <v>39.57159232591686</v>
      </c>
      <c r="Q28" s="72">
        <v>13.057586435686471</v>
      </c>
      <c r="R28" s="72">
        <v>11.019221164154679</v>
      </c>
      <c r="S28" s="72">
        <v>25.751833231103557</v>
      </c>
      <c r="T28" s="72">
        <v>14.401287326393746</v>
      </c>
      <c r="U28" s="72">
        <v>21.782294533398552</v>
      </c>
      <c r="V28" s="72">
        <v>12.8103835165925</v>
      </c>
      <c r="W28" s="72">
        <v>13.436985042474008</v>
      </c>
      <c r="X28" s="72">
        <v>11.606024397386863</v>
      </c>
      <c r="Y28" s="72">
        <v>8.2241289497212762</v>
      </c>
      <c r="Z28" s="72">
        <v>8.0380057818946291</v>
      </c>
      <c r="AA28" s="72">
        <v>13.837568835178862</v>
      </c>
      <c r="AB28" s="72">
        <v>23.887843327048138</v>
      </c>
      <c r="AC28" s="72">
        <v>9.6576224014782355</v>
      </c>
      <c r="AD28" s="72">
        <v>8.9697135699030923</v>
      </c>
      <c r="AE28" s="72">
        <v>17.295649408959292</v>
      </c>
      <c r="AF28" s="72">
        <v>13.341150444833014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35.460992907801419</v>
      </c>
      <c r="Q29" s="74">
        <f>(F13/Q13)*(6/20)</f>
        <v>15</v>
      </c>
      <c r="R29" s="74">
        <f>(F13/R13)*(3/20)</f>
        <v>7.5</v>
      </c>
      <c r="S29" s="74">
        <f>(F6/S6)*(12/47)</f>
        <v>17.021276595744681</v>
      </c>
      <c r="T29" s="74">
        <f>(F13/T13)*(3/20)</f>
        <v>7.5</v>
      </c>
      <c r="U29" s="74">
        <f>(F7/U7)*(6/47)</f>
        <v>20.425531914893615</v>
      </c>
      <c r="V29" s="74">
        <f>(F7/V7)*(3/47)</f>
        <v>10.212765957446807</v>
      </c>
      <c r="W29" s="74">
        <f>(F13/W13)*(8/20)</f>
        <v>5.7142857142857144</v>
      </c>
      <c r="X29" s="74">
        <f>(F19/X19)*(3/4)</f>
        <v>0</v>
      </c>
      <c r="Y29" s="74">
        <f>(F7/Y7)*(1/29)</f>
        <v>5.5172413793103452</v>
      </c>
      <c r="Z29" s="74">
        <f>(F16/Z16)*(4/5)</f>
        <v>0</v>
      </c>
      <c r="AA29" s="74">
        <f>(F15/AA15)*(4/16)</f>
        <v>5</v>
      </c>
      <c r="AB29" s="74">
        <f>(F7/AB7)*(11/47)</f>
        <v>37.446808510638299</v>
      </c>
      <c r="AC29" s="74">
        <f>(F6/AC6)*(1/47)</f>
        <v>1.4184397163120568</v>
      </c>
      <c r="AD29" s="74">
        <f>(F14/AD14)</f>
        <v>0</v>
      </c>
      <c r="AE29" s="74">
        <f>(F19/AE19)*(1/4)</f>
        <v>0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0.81115424115302281</v>
      </c>
      <c r="K30" s="70">
        <f t="shared" si="34"/>
        <v>-1.1904761904761905</v>
      </c>
      <c r="L30" s="70">
        <f t="shared" si="34"/>
        <v>-0.13793103448275862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1.25</v>
      </c>
      <c r="P30" s="70">
        <f t="shared" si="34"/>
        <v>1.0551918530641935</v>
      </c>
      <c r="Q30" s="70">
        <f t="shared" si="34"/>
        <v>1.3015184381778742</v>
      </c>
      <c r="R30" s="70">
        <f t="shared" si="34"/>
        <v>1.2110726643598615</v>
      </c>
      <c r="S30" s="70">
        <f t="shared" si="34"/>
        <v>0.93816100535025493</v>
      </c>
      <c r="T30" s="70">
        <f t="shared" si="34"/>
        <v>1.0416666666666667</v>
      </c>
      <c r="U30" s="70">
        <f t="shared" si="34"/>
        <v>2.2085591780600273</v>
      </c>
      <c r="V30" s="70">
        <f t="shared" si="34"/>
        <v>0.98772113790887239</v>
      </c>
      <c r="W30" s="70">
        <f t="shared" si="34"/>
        <v>1.209865053513262</v>
      </c>
      <c r="X30" s="70">
        <f t="shared" si="34"/>
        <v>-1.5228426395939088</v>
      </c>
      <c r="Y30" s="70">
        <f t="shared" si="34"/>
        <v>3.1811559009227786</v>
      </c>
      <c r="Z30" s="70">
        <f t="shared" si="34"/>
        <v>-0.64516129032258063</v>
      </c>
      <c r="AA30" s="70">
        <f t="shared" si="34"/>
        <v>0</v>
      </c>
      <c r="AB30" s="70">
        <f t="shared" si="34"/>
        <v>3.6611079164270657</v>
      </c>
      <c r="AC30" s="70">
        <f t="shared" si="34"/>
        <v>-0.37279505364611742</v>
      </c>
      <c r="AD30" s="70">
        <f t="shared" si="34"/>
        <v>-1.6528925619834711</v>
      </c>
      <c r="AE30" s="70">
        <f t="shared" si="34"/>
        <v>-0.48309178743961356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0.2871001599664737</v>
      </c>
      <c r="K31" s="70">
        <f t="shared" ref="K31:AF31" si="35">NORMDIST(K30,0,1,FALSE)</f>
        <v>0.19640914652400149</v>
      </c>
      <c r="L31" s="70">
        <f t="shared" si="35"/>
        <v>0.39516534041185808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0.18264908538902191</v>
      </c>
      <c r="P31" s="70">
        <f t="shared" si="35"/>
        <v>0.22862927891236096</v>
      </c>
      <c r="Q31" s="70">
        <f t="shared" si="35"/>
        <v>0.17103045213676746</v>
      </c>
      <c r="R31" s="70">
        <f t="shared" si="35"/>
        <v>0.19161118613778638</v>
      </c>
      <c r="S31" s="70">
        <f t="shared" si="35"/>
        <v>0.25691459379413667</v>
      </c>
      <c r="T31" s="70">
        <f t="shared" si="35"/>
        <v>0.23189438328624271</v>
      </c>
      <c r="U31" s="70">
        <f t="shared" si="35"/>
        <v>3.4811574229341447E-2</v>
      </c>
      <c r="V31" s="70">
        <f t="shared" si="35"/>
        <v>0.24494169990133521</v>
      </c>
      <c r="W31" s="70">
        <f t="shared" si="35"/>
        <v>0.1918914834573347</v>
      </c>
      <c r="X31" s="70">
        <f t="shared" si="35"/>
        <v>0.1251223293178855</v>
      </c>
      <c r="Y31" s="70">
        <f t="shared" si="35"/>
        <v>2.5318248132020988E-3</v>
      </c>
      <c r="Z31" s="70">
        <f t="shared" si="35"/>
        <v>0.32398596615315295</v>
      </c>
      <c r="AA31" s="70">
        <f t="shared" si="35"/>
        <v>0.3989422804014327</v>
      </c>
      <c r="AB31" s="70">
        <f t="shared" si="35"/>
        <v>4.9015243614438883E-4</v>
      </c>
      <c r="AC31" s="70">
        <f t="shared" si="35"/>
        <v>0.37216178653442294</v>
      </c>
      <c r="AD31" s="70">
        <f t="shared" si="35"/>
        <v>0.10177757907817411</v>
      </c>
      <c r="AE31" s="70">
        <f t="shared" si="35"/>
        <v>0.35500359217664224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0.79136145005436331</v>
      </c>
      <c r="K32" s="70">
        <f t="shared" ref="K32:AF32" si="36">NORMDIST(K30,0,1,TRUE)</f>
        <v>0.11692964134637239</v>
      </c>
      <c r="L32" s="70">
        <f t="shared" si="36"/>
        <v>0.44514746142618433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0.89435022633314476</v>
      </c>
      <c r="P32" s="70">
        <f t="shared" si="36"/>
        <v>0.85433120529486528</v>
      </c>
      <c r="Q32" s="70">
        <f t="shared" si="36"/>
        <v>0.90345947127020609</v>
      </c>
      <c r="R32" s="70">
        <f t="shared" si="36"/>
        <v>0.88706622156702475</v>
      </c>
      <c r="S32" s="70">
        <f t="shared" si="36"/>
        <v>0.82591916269481458</v>
      </c>
      <c r="T32" s="70">
        <f t="shared" si="36"/>
        <v>0.85121687581824801</v>
      </c>
      <c r="U32" s="70">
        <f t="shared" si="36"/>
        <v>0.98639734131015289</v>
      </c>
      <c r="V32" s="70">
        <f t="shared" si="36"/>
        <v>0.83835538035354285</v>
      </c>
      <c r="W32" s="70">
        <f t="shared" si="36"/>
        <v>0.88683466058836546</v>
      </c>
      <c r="X32" s="70">
        <f t="shared" si="36"/>
        <v>6.389903965475742E-2</v>
      </c>
      <c r="Y32" s="70">
        <f t="shared" si="36"/>
        <v>0.99926655666362063</v>
      </c>
      <c r="Z32" s="70">
        <f t="shared" si="36"/>
        <v>0.25941133433509533</v>
      </c>
      <c r="AA32" s="70">
        <f t="shared" si="36"/>
        <v>0.5</v>
      </c>
      <c r="AB32" s="70">
        <f t="shared" si="36"/>
        <v>0.99987443652653241</v>
      </c>
      <c r="AC32" s="70">
        <f t="shared" si="36"/>
        <v>0.35465049226698131</v>
      </c>
      <c r="AD32" s="70">
        <f t="shared" si="36"/>
        <v>4.9176365594524589E-2</v>
      </c>
      <c r="AE32" s="70">
        <f t="shared" si="36"/>
        <v>0.31451528251747035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0.11786211531005372</v>
      </c>
      <c r="K33" s="70">
        <f t="shared" ref="K33:AF33" si="37">K31-(K30*(1-K32))</f>
        <v>1.2476833830164151</v>
      </c>
      <c r="L33" s="70">
        <f t="shared" si="37"/>
        <v>0.47169672504272919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5.0586868305452865E-2</v>
      </c>
      <c r="P33" s="70">
        <f t="shared" si="37"/>
        <v>7.4920753493822267E-2</v>
      </c>
      <c r="Q33" s="70">
        <f t="shared" si="37"/>
        <v>4.5381173963499916E-2</v>
      </c>
      <c r="R33" s="70">
        <f t="shared" si="37"/>
        <v>5.4840174194736774E-2</v>
      </c>
      <c r="S33" s="70">
        <f t="shared" si="37"/>
        <v>9.359874045568975E-2</v>
      </c>
      <c r="T33" s="70">
        <f t="shared" si="37"/>
        <v>7.6911962263584377E-2</v>
      </c>
      <c r="U33" s="70">
        <f t="shared" si="37"/>
        <v>4.7692975338616168E-3</v>
      </c>
      <c r="V33" s="70">
        <f t="shared" si="37"/>
        <v>8.5281892247289687E-2</v>
      </c>
      <c r="W33" s="70">
        <f t="shared" si="37"/>
        <v>5.4976694034231027E-2</v>
      </c>
      <c r="X33" s="70">
        <f t="shared" si="37"/>
        <v>1.5506567866964278</v>
      </c>
      <c r="Y33" s="70">
        <f t="shared" si="37"/>
        <v>1.9862721568637831E-4</v>
      </c>
      <c r="Z33" s="70">
        <f t="shared" si="37"/>
        <v>0.80178510529180103</v>
      </c>
      <c r="AA33" s="70">
        <f t="shared" si="37"/>
        <v>0.3989422804014327</v>
      </c>
      <c r="AB33" s="70">
        <f t="shared" si="37"/>
        <v>3.0451009418101848E-5</v>
      </c>
      <c r="AC33" s="70">
        <f t="shared" si="37"/>
        <v>0.61274489089024908</v>
      </c>
      <c r="AD33" s="70">
        <f t="shared" si="37"/>
        <v>1.6733868921450756</v>
      </c>
      <c r="AE33" s="70">
        <f t="shared" si="37"/>
        <v>0.68615562960781595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2.3348485042921641</v>
      </c>
      <c r="K34" s="74">
        <f t="shared" si="38"/>
        <v>1.0480540417337887</v>
      </c>
      <c r="L34" s="74">
        <f t="shared" si="38"/>
        <v>3.4198012565597868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0.24281696786617374</v>
      </c>
      <c r="P34" s="74">
        <f t="shared" si="38"/>
        <v>1.1687637545036274</v>
      </c>
      <c r="Q34" s="74">
        <f t="shared" si="38"/>
        <v>0.41841442394346923</v>
      </c>
      <c r="R34" s="74">
        <f t="shared" si="38"/>
        <v>0.15848810342278929</v>
      </c>
      <c r="S34" s="74">
        <f t="shared" si="38"/>
        <v>0.80026923089614743</v>
      </c>
      <c r="T34" s="74">
        <f t="shared" si="38"/>
        <v>0.25842419320564347</v>
      </c>
      <c r="U34" s="74">
        <f t="shared" si="38"/>
        <v>3.7629757542168157E-2</v>
      </c>
      <c r="V34" s="74">
        <f t="shared" si="38"/>
        <v>0.53642310223545209</v>
      </c>
      <c r="W34" s="74">
        <f t="shared" si="38"/>
        <v>0.16877845068508923</v>
      </c>
      <c r="X34" s="74">
        <f t="shared" si="38"/>
        <v>3.0547938697919625</v>
      </c>
      <c r="Y34" s="74">
        <f t="shared" si="38"/>
        <v>2.8205064627465716E-4</v>
      </c>
      <c r="Z34" s="74">
        <f t="shared" si="38"/>
        <v>1.2427669132022916</v>
      </c>
      <c r="AA34" s="74">
        <f t="shared" si="38"/>
        <v>1.3723614445809285</v>
      </c>
      <c r="AB34" s="74">
        <f t="shared" si="38"/>
        <v>2.3660434317865134E-4</v>
      </c>
      <c r="AC34" s="74">
        <f t="shared" si="38"/>
        <v>0.95588202978878856</v>
      </c>
      <c r="AD34" s="74">
        <f t="shared" si="38"/>
        <v>2.0247981394955414</v>
      </c>
      <c r="AE34" s="74">
        <f t="shared" si="38"/>
        <v>1.4203421532881788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43.665151495707839</v>
      </c>
      <c r="K35" s="74">
        <f t="shared" si="39"/>
        <v>-4.8054041733788688E-2</v>
      </c>
      <c r="L35" s="74">
        <f t="shared" si="39"/>
        <v>17.580198743440214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9.7571830321338258</v>
      </c>
      <c r="P35" s="74">
        <f t="shared" si="39"/>
        <v>17.831236245496374</v>
      </c>
      <c r="Q35" s="74">
        <f t="shared" si="39"/>
        <v>2.5815855760565309</v>
      </c>
      <c r="R35" s="74">
        <f t="shared" si="39"/>
        <v>3.8415118965772108</v>
      </c>
      <c r="S35" s="74">
        <f t="shared" si="39"/>
        <v>8.1997307691038532</v>
      </c>
      <c r="T35" s="74">
        <f t="shared" si="39"/>
        <v>3.7415758067943568</v>
      </c>
      <c r="U35" s="74">
        <f t="shared" si="39"/>
        <v>2.962370242457832</v>
      </c>
      <c r="V35" s="74">
        <f t="shared" si="39"/>
        <v>3.4635768977645478</v>
      </c>
      <c r="W35" s="74">
        <f t="shared" si="39"/>
        <v>1.8312215493149107</v>
      </c>
      <c r="X35" s="74">
        <f t="shared" si="39"/>
        <v>-5.4793869791962546E-2</v>
      </c>
      <c r="Y35" s="74">
        <f t="shared" si="39"/>
        <v>0.99971794935372538</v>
      </c>
      <c r="Z35" s="74">
        <f t="shared" si="39"/>
        <v>-0.2427669132022916</v>
      </c>
      <c r="AA35" s="74">
        <f t="shared" si="39"/>
        <v>3.6276385554190718</v>
      </c>
      <c r="AB35" s="74">
        <f t="shared" si="39"/>
        <v>8.9997633956568208</v>
      </c>
      <c r="AC35" s="74">
        <f t="shared" si="39"/>
        <v>1.0441179702112113</v>
      </c>
      <c r="AD35" s="74">
        <f t="shared" si="39"/>
        <v>-2.4798139495541438E-2</v>
      </c>
      <c r="AE35" s="74">
        <f t="shared" si="39"/>
        <v>-0.42034215328817881</v>
      </c>
      <c r="AF35" s="74">
        <f t="shared" si="39"/>
        <v>0.69099903829292908</v>
      </c>
      <c r="AG35" s="187">
        <f>SUM(J35:AF35)</f>
        <v>145.96940279459091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18.403814021533542</v>
      </c>
      <c r="K36" s="74">
        <f t="shared" ref="K36:AF36" si="40">K29-K35</f>
        <v>4.8054041733788688E-2</v>
      </c>
      <c r="L36" s="74">
        <f t="shared" si="40"/>
        <v>2.4198012565597864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6.2428169678661742</v>
      </c>
      <c r="P36" s="74">
        <f t="shared" si="40"/>
        <v>17.629756662305045</v>
      </c>
      <c r="Q36" s="74">
        <f t="shared" si="40"/>
        <v>12.418414423943469</v>
      </c>
      <c r="R36" s="74">
        <f t="shared" si="40"/>
        <v>3.6584881034227892</v>
      </c>
      <c r="S36" s="74">
        <f t="shared" si="40"/>
        <v>8.8215458266408273</v>
      </c>
      <c r="T36" s="74">
        <f t="shared" si="40"/>
        <v>3.7584241932056432</v>
      </c>
      <c r="U36" s="74">
        <f t="shared" si="40"/>
        <v>17.463161672435781</v>
      </c>
      <c r="V36" s="74">
        <f t="shared" si="40"/>
        <v>6.7491890596822595</v>
      </c>
      <c r="W36" s="74">
        <f t="shared" si="40"/>
        <v>3.8830641649708038</v>
      </c>
      <c r="X36" s="74">
        <f t="shared" si="40"/>
        <v>5.4793869791962546E-2</v>
      </c>
      <c r="Y36" s="74">
        <f t="shared" si="40"/>
        <v>4.5175234299566203</v>
      </c>
      <c r="Z36" s="74">
        <f t="shared" si="40"/>
        <v>0.2427669132022916</v>
      </c>
      <c r="AA36" s="74">
        <f t="shared" si="40"/>
        <v>1.3723614445809282</v>
      </c>
      <c r="AB36" s="74">
        <f t="shared" si="40"/>
        <v>28.447045114981478</v>
      </c>
      <c r="AC36" s="74">
        <f t="shared" si="40"/>
        <v>0.37432174610084545</v>
      </c>
      <c r="AD36" s="74">
        <f t="shared" si="40"/>
        <v>2.4798139495541438E-2</v>
      </c>
      <c r="AE36" s="74">
        <f t="shared" si="40"/>
        <v>0.42034215328817881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2183.2575747853921</v>
      </c>
      <c r="K37" s="70">
        <f t="shared" ref="K37:AF37" si="41">K20*K35</f>
        <v>-9.6108083467577377</v>
      </c>
      <c r="L37" s="70">
        <f t="shared" si="41"/>
        <v>1054.8119246064127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585.4309819280295</v>
      </c>
      <c r="P37" s="70">
        <f t="shared" si="41"/>
        <v>891.56181227481875</v>
      </c>
      <c r="Q37" s="70">
        <f t="shared" si="41"/>
        <v>129.07927880282654</v>
      </c>
      <c r="R37" s="70">
        <f t="shared" si="41"/>
        <v>192.07559482886055</v>
      </c>
      <c r="S37" s="70">
        <f t="shared" si="41"/>
        <v>409.98653845519266</v>
      </c>
      <c r="T37" s="70">
        <f t="shared" si="41"/>
        <v>261.91030647560495</v>
      </c>
      <c r="U37" s="70">
        <f t="shared" si="41"/>
        <v>207.36591697204824</v>
      </c>
      <c r="V37" s="70">
        <f t="shared" si="41"/>
        <v>173.17884488822739</v>
      </c>
      <c r="W37" s="70">
        <f t="shared" si="41"/>
        <v>146.49772394519286</v>
      </c>
      <c r="X37" s="70">
        <f t="shared" si="41"/>
        <v>-3.2876321875177528</v>
      </c>
      <c r="Y37" s="70">
        <f t="shared" si="41"/>
        <v>59.983076961223524</v>
      </c>
      <c r="Z37" s="70">
        <f t="shared" si="41"/>
        <v>-14.566014792137496</v>
      </c>
      <c r="AA37" s="70">
        <f t="shared" si="41"/>
        <v>181.38192777095358</v>
      </c>
      <c r="AB37" s="70">
        <f t="shared" si="41"/>
        <v>449.98816978284106</v>
      </c>
      <c r="AC37" s="70">
        <f t="shared" si="41"/>
        <v>52.205898510560566</v>
      </c>
      <c r="AD37" s="70">
        <f t="shared" si="41"/>
        <v>-1.4878883697324863</v>
      </c>
      <c r="AE37" s="70">
        <f t="shared" si="41"/>
        <v>-50.441058394581461</v>
      </c>
      <c r="AF37" s="70">
        <f t="shared" si="41"/>
        <v>69.099903829292913</v>
      </c>
      <c r="AG37" s="288">
        <f>SUM(J37:AF37)</f>
        <v>7683.2145402559754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917.76139762583466</v>
      </c>
      <c r="K38" s="70">
        <f t="shared" ref="K38:AF38" si="42">(K20-K22)*K36</f>
        <v>9.546800363168332</v>
      </c>
      <c r="L38" s="70">
        <f t="shared" si="42"/>
        <v>144.67991712970962</v>
      </c>
      <c r="M38" s="70">
        <f t="shared" si="42"/>
        <v>25.962909533292716</v>
      </c>
      <c r="N38" s="70">
        <f t="shared" si="42"/>
        <v>381.82152910067498</v>
      </c>
      <c r="O38" s="70">
        <f t="shared" si="42"/>
        <v>373.2080839729756</v>
      </c>
      <c r="P38" s="70">
        <f t="shared" si="42"/>
        <v>878.4202554560112</v>
      </c>
      <c r="Q38" s="70">
        <f t="shared" si="42"/>
        <v>616.87231809496791</v>
      </c>
      <c r="R38" s="70">
        <f t="shared" si="42"/>
        <v>181.73173804942363</v>
      </c>
      <c r="S38" s="70">
        <f t="shared" si="42"/>
        <v>440.20395829520396</v>
      </c>
      <c r="T38" s="70">
        <f t="shared" si="42"/>
        <v>261.86444723740999</v>
      </c>
      <c r="U38" s="70">
        <f t="shared" si="42"/>
        <v>1220.3257376698123</v>
      </c>
      <c r="V38" s="70">
        <f t="shared" si="42"/>
        <v>335.29971248501465</v>
      </c>
      <c r="W38" s="70">
        <f t="shared" si="42"/>
        <v>309.28606073992455</v>
      </c>
      <c r="X38" s="70">
        <f t="shared" si="42"/>
        <v>3.2753035668145611</v>
      </c>
      <c r="Y38" s="70">
        <f t="shared" si="42"/>
        <v>268.90106464473786</v>
      </c>
      <c r="Z38" s="70">
        <f t="shared" si="42"/>
        <v>14.434920659008259</v>
      </c>
      <c r="AA38" s="70">
        <f t="shared" si="42"/>
        <v>68.37104716902185</v>
      </c>
      <c r="AB38" s="70">
        <f t="shared" si="42"/>
        <v>1418.9386103352763</v>
      </c>
      <c r="AC38" s="70">
        <f t="shared" si="42"/>
        <v>18.679029452178291</v>
      </c>
      <c r="AD38" s="70">
        <f>(AD20-AD22)*AD36</f>
        <v>1.4747949520788404</v>
      </c>
      <c r="AE38" s="70">
        <f t="shared" si="42"/>
        <v>50.34648141009162</v>
      </c>
      <c r="AF38" s="70">
        <f t="shared" si="42"/>
        <v>68.573013913515226</v>
      </c>
      <c r="AG38" s="288">
        <f>SUM(J38:AF38)</f>
        <v>8009.9791318561456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1.4009091025752984</v>
      </c>
      <c r="K39" s="70">
        <f t="shared" ref="K39:AF39" si="43">K23*K34</f>
        <v>3.8777999544150181</v>
      </c>
      <c r="L39" s="70">
        <f t="shared" si="43"/>
        <v>5.1297018848396805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0.77701429717175596</v>
      </c>
      <c r="P39" s="70">
        <f t="shared" si="43"/>
        <v>0.70125825270217634</v>
      </c>
      <c r="Q39" s="70">
        <f t="shared" si="43"/>
        <v>0.37657298154912228</v>
      </c>
      <c r="R39" s="70">
        <f t="shared" si="43"/>
        <v>0.14263929308051035</v>
      </c>
      <c r="S39" s="70">
        <f t="shared" si="43"/>
        <v>0.24008076926884422</v>
      </c>
      <c r="T39" s="70">
        <f t="shared" si="43"/>
        <v>0.23258177388507911</v>
      </c>
      <c r="U39" s="70">
        <f t="shared" si="43"/>
        <v>1.8814878771084079E-2</v>
      </c>
      <c r="V39" s="70">
        <f t="shared" si="43"/>
        <v>0.69735003290608777</v>
      </c>
      <c r="W39" s="70">
        <f t="shared" si="43"/>
        <v>0.11814491547956248</v>
      </c>
      <c r="X39" s="70">
        <f t="shared" si="43"/>
        <v>7.6369846744799066</v>
      </c>
      <c r="Y39" s="70">
        <f t="shared" si="43"/>
        <v>5.3589622792184861E-4</v>
      </c>
      <c r="Z39" s="70">
        <f t="shared" si="43"/>
        <v>1.8641503698034374</v>
      </c>
      <c r="AA39" s="70">
        <f t="shared" si="43"/>
        <v>0.68618072229046423</v>
      </c>
      <c r="AB39" s="70">
        <f t="shared" si="43"/>
        <v>1.1830217158932567E-4</v>
      </c>
      <c r="AC39" s="70">
        <f t="shared" si="43"/>
        <v>0.28676460893663658</v>
      </c>
      <c r="AD39" s="70">
        <f t="shared" si="43"/>
        <v>1.6198385115964333</v>
      </c>
      <c r="AE39" s="70">
        <f t="shared" si="43"/>
        <v>3.5508553832204468</v>
      </c>
      <c r="AF39" s="70">
        <f t="shared" si="43"/>
        <v>0.46350144256060638</v>
      </c>
      <c r="AG39" s="288">
        <f t="shared" ref="AG39" si="44">SUM(J39:AF39)</f>
        <v>47.012235827489206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409.65517241379308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315</v>
      </c>
      <c r="O40" s="70">
        <f t="shared" si="45"/>
        <v>174.39999999999998</v>
      </c>
      <c r="P40" s="70">
        <f t="shared" si="45"/>
        <v>308.51063829787233</v>
      </c>
      <c r="Q40" s="70">
        <f t="shared" si="45"/>
        <v>244.5</v>
      </c>
      <c r="R40" s="70">
        <f t="shared" si="45"/>
        <v>122.25</v>
      </c>
      <c r="S40" s="70">
        <f t="shared" si="45"/>
        <v>84.255319148936167</v>
      </c>
      <c r="T40" s="70">
        <f t="shared" si="45"/>
        <v>122.25</v>
      </c>
      <c r="U40" s="70">
        <f t="shared" si="45"/>
        <v>122.55319148936169</v>
      </c>
      <c r="V40" s="70">
        <f t="shared" si="45"/>
        <v>163.40425531914892</v>
      </c>
      <c r="W40" s="70">
        <f t="shared" si="45"/>
        <v>100</v>
      </c>
      <c r="X40" s="70">
        <f t="shared" si="45"/>
        <v>0</v>
      </c>
      <c r="Y40" s="70">
        <f t="shared" si="45"/>
        <v>131.31034482758622</v>
      </c>
      <c r="Z40" s="70">
        <f t="shared" si="45"/>
        <v>0</v>
      </c>
      <c r="AA40" s="70">
        <f t="shared" si="45"/>
        <v>45</v>
      </c>
      <c r="AB40" s="70">
        <f t="shared" si="45"/>
        <v>224.68085106382978</v>
      </c>
      <c r="AC40" s="70">
        <f t="shared" si="45"/>
        <v>7.0212765957446814</v>
      </c>
      <c r="AD40" s="70">
        <f t="shared" si="45"/>
        <v>0</v>
      </c>
      <c r="AE40" s="70">
        <f t="shared" si="45"/>
        <v>0</v>
      </c>
      <c r="AF40" s="70">
        <f t="shared" si="45"/>
        <v>25.862068965517242</v>
      </c>
      <c r="AG40" s="289">
        <f>SUM(J40:AF40)</f>
        <v>2810.6531181217902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2689.9628908948584</v>
      </c>
      <c r="K41" s="76">
        <f t="shared" ref="K41:AF41" si="46">K37+K38-K40-K39</f>
        <v>-3.9418079380044238</v>
      </c>
      <c r="L41" s="76">
        <f t="shared" si="46"/>
        <v>984.36213985128256</v>
      </c>
      <c r="M41" s="76">
        <f t="shared" si="46"/>
        <v>-10.37171283529675</v>
      </c>
      <c r="N41" s="76">
        <f t="shared" si="46"/>
        <v>800.75818121893133</v>
      </c>
      <c r="O41" s="76">
        <f t="shared" si="46"/>
        <v>783.4620516038334</v>
      </c>
      <c r="P41" s="76">
        <f t="shared" si="46"/>
        <v>1460.7701711802551</v>
      </c>
      <c r="Q41" s="76">
        <f t="shared" si="46"/>
        <v>501.07502391624524</v>
      </c>
      <c r="R41" s="76">
        <f t="shared" si="46"/>
        <v>251.41469358520365</v>
      </c>
      <c r="S41" s="76">
        <f t="shared" si="46"/>
        <v>765.69509683219167</v>
      </c>
      <c r="T41" s="76">
        <f t="shared" si="46"/>
        <v>401.29217193912979</v>
      </c>
      <c r="U41" s="76">
        <f t="shared" si="46"/>
        <v>1305.1196482737278</v>
      </c>
      <c r="V41" s="76">
        <f t="shared" si="46"/>
        <v>344.37695202118698</v>
      </c>
      <c r="W41" s="76">
        <f t="shared" si="46"/>
        <v>355.66563976963789</v>
      </c>
      <c r="X41" s="76">
        <f t="shared" si="46"/>
        <v>-7.6493132951830987</v>
      </c>
      <c r="Y41" s="76">
        <f t="shared" si="46"/>
        <v>197.57326088214722</v>
      </c>
      <c r="Z41" s="76">
        <f t="shared" si="46"/>
        <v>-1.995244502932674</v>
      </c>
      <c r="AA41" s="76">
        <f t="shared" si="46"/>
        <v>204.06679421768499</v>
      </c>
      <c r="AB41" s="76">
        <f t="shared" si="46"/>
        <v>1644.2458107521159</v>
      </c>
      <c r="AC41" s="76">
        <f t="shared" si="46"/>
        <v>63.57688675805754</v>
      </c>
      <c r="AD41" s="76">
        <f t="shared" si="46"/>
        <v>-1.6329319292500792</v>
      </c>
      <c r="AE41" s="76">
        <f t="shared" si="46"/>
        <v>-3.6454323677102876</v>
      </c>
      <c r="AF41" s="76">
        <f t="shared" si="46"/>
        <v>111.34734733473027</v>
      </c>
      <c r="AG41" s="290">
        <f>SUM(J41:AF41)</f>
        <v>12835.52831816284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1.419368775151749</v>
      </c>
      <c r="K43" s="70">
        <f t="shared" si="47"/>
        <v>27.290434200955243</v>
      </c>
      <c r="L43" s="70">
        <f t="shared" si="47"/>
        <v>1.8958455523195024</v>
      </c>
      <c r="M43" s="70">
        <f t="shared" si="47"/>
        <v>1.8525439918624045</v>
      </c>
      <c r="N43" s="70">
        <f t="shared" si="47"/>
        <v>1.05601583666154</v>
      </c>
      <c r="O43" s="70">
        <f t="shared" si="47"/>
        <v>2.3705708262587351</v>
      </c>
      <c r="P43" s="70">
        <f t="shared" si="47"/>
        <v>1.3186918157639014</v>
      </c>
      <c r="Q43" s="70">
        <f t="shared" si="47"/>
        <v>1.0908445158011355</v>
      </c>
      <c r="R43" s="70">
        <f t="shared" si="47"/>
        <v>2.4287962505725531</v>
      </c>
      <c r="S43" s="70">
        <f t="shared" si="47"/>
        <v>1.9592787404799481</v>
      </c>
      <c r="T43" s="70">
        <f t="shared" si="47"/>
        <v>3.095621228093377</v>
      </c>
      <c r="U43" s="70">
        <f t="shared" si="47"/>
        <v>2.3805189522685111</v>
      </c>
      <c r="V43" s="70">
        <f t="shared" si="47"/>
        <v>1.4006969024789349</v>
      </c>
      <c r="W43" s="70">
        <f t="shared" si="47"/>
        <v>3.7254022939654754</v>
      </c>
      <c r="X43" s="70">
        <f t="shared" si="47"/>
        <v>4.368540303242062</v>
      </c>
      <c r="Y43" s="70">
        <f t="shared" si="47"/>
        <v>5.0874147533248424</v>
      </c>
      <c r="Z43" s="70">
        <f t="shared" si="47"/>
        <v>4.5406488915449215</v>
      </c>
      <c r="AA43" s="70">
        <f t="shared" si="47"/>
        <v>2.5690607079008321</v>
      </c>
      <c r="AB43" s="70">
        <f t="shared" si="47"/>
        <v>1.9160673522584477</v>
      </c>
      <c r="AC43" s="70">
        <f t="shared" si="47"/>
        <v>4.9087323086398946</v>
      </c>
      <c r="AD43" s="70">
        <f t="shared" si="47"/>
        <v>5.7600938594240434</v>
      </c>
      <c r="AE43" s="70">
        <f t="shared" si="47"/>
        <v>7.872294400463427</v>
      </c>
      <c r="AF43" s="70">
        <f t="shared" si="47"/>
        <v>10.370714659523541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0.14569463435221933</v>
      </c>
      <c r="K44" s="70">
        <f t="shared" ref="K44:AF44" si="48">NORMDIST(K43,0,1,FALSE)</f>
        <v>7.5272681950891168E-163</v>
      </c>
      <c r="L44" s="70">
        <f t="shared" si="48"/>
        <v>6.6135228772910129E-2</v>
      </c>
      <c r="M44" s="70">
        <f t="shared" si="48"/>
        <v>7.1726274063730666E-2</v>
      </c>
      <c r="N44" s="70">
        <f t="shared" si="48"/>
        <v>0.22843050356756864</v>
      </c>
      <c r="O44" s="70">
        <f t="shared" si="48"/>
        <v>2.4023048522903039E-2</v>
      </c>
      <c r="P44" s="70">
        <f t="shared" si="48"/>
        <v>0.16722541510173555</v>
      </c>
      <c r="Q44" s="70">
        <f t="shared" si="48"/>
        <v>0.22004803577505588</v>
      </c>
      <c r="R44" s="70">
        <f t="shared" si="48"/>
        <v>2.0890429436202881E-2</v>
      </c>
      <c r="S44" s="70">
        <f t="shared" si="48"/>
        <v>5.8523603665881899E-2</v>
      </c>
      <c r="T44" s="70">
        <f t="shared" si="48"/>
        <v>3.3114340783719732E-3</v>
      </c>
      <c r="U44" s="70">
        <f t="shared" si="48"/>
        <v>2.3461986242805797E-2</v>
      </c>
      <c r="V44" s="70">
        <f t="shared" si="48"/>
        <v>0.14958141693420943</v>
      </c>
      <c r="W44" s="70">
        <f t="shared" si="48"/>
        <v>3.8654987361807955E-4</v>
      </c>
      <c r="X44" s="70">
        <f t="shared" si="48"/>
        <v>2.8631280222635563E-5</v>
      </c>
      <c r="Y44" s="70">
        <f t="shared" si="48"/>
        <v>9.566454743263695E-7</v>
      </c>
      <c r="Z44" s="70">
        <f t="shared" si="48"/>
        <v>1.3300822116865981E-5</v>
      </c>
      <c r="AA44" s="70">
        <f t="shared" si="48"/>
        <v>1.4713718433050863E-2</v>
      </c>
      <c r="AB44" s="70">
        <f t="shared" si="48"/>
        <v>6.3634749478286429E-2</v>
      </c>
      <c r="AC44" s="70">
        <f t="shared" si="48"/>
        <v>2.3367138057437589E-6</v>
      </c>
      <c r="AD44" s="70">
        <f t="shared" si="48"/>
        <v>2.4902959928949743E-8</v>
      </c>
      <c r="AE44" s="70">
        <f t="shared" si="48"/>
        <v>1.3920022870799053E-14</v>
      </c>
      <c r="AF44" s="70">
        <f t="shared" si="48"/>
        <v>1.7633976376687557E-24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0.9221042345918764</v>
      </c>
      <c r="K45" s="70">
        <f t="shared" ref="K45:AF45" si="49">NORMDIST(K43,0,1,TRUE)</f>
        <v>1</v>
      </c>
      <c r="L45" s="70">
        <f t="shared" si="49"/>
        <v>0.97100976479961276</v>
      </c>
      <c r="M45" s="70">
        <f t="shared" si="49"/>
        <v>0.96802612672066646</v>
      </c>
      <c r="N45" s="70">
        <f t="shared" si="49"/>
        <v>0.85451951017553263</v>
      </c>
      <c r="O45" s="70">
        <f t="shared" si="49"/>
        <v>0.99111967963811365</v>
      </c>
      <c r="P45" s="70">
        <f t="shared" si="49"/>
        <v>0.90636391800044658</v>
      </c>
      <c r="Q45" s="70">
        <f t="shared" si="49"/>
        <v>0.86232934761382429</v>
      </c>
      <c r="R45" s="70">
        <f t="shared" si="49"/>
        <v>0.99242547847191376</v>
      </c>
      <c r="S45" s="70">
        <f t="shared" si="49"/>
        <v>0.97495992396009656</v>
      </c>
      <c r="T45" s="70">
        <f t="shared" si="49"/>
        <v>0.99901799464958974</v>
      </c>
      <c r="U45" s="70">
        <f t="shared" si="49"/>
        <v>0.99135586414877064</v>
      </c>
      <c r="V45" s="70">
        <f t="shared" si="49"/>
        <v>0.91934763531328767</v>
      </c>
      <c r="W45" s="70">
        <f t="shared" si="49"/>
        <v>0.99990249801227304</v>
      </c>
      <c r="X45" s="70">
        <f t="shared" si="49"/>
        <v>0.9999937460131697</v>
      </c>
      <c r="Y45" s="70">
        <f t="shared" si="49"/>
        <v>0.99999981851127373</v>
      </c>
      <c r="Z45" s="70">
        <f t="shared" si="49"/>
        <v>0.99999719593210601</v>
      </c>
      <c r="AA45" s="70">
        <f t="shared" si="49"/>
        <v>0.99490127043524779</v>
      </c>
      <c r="AB45" s="70">
        <f t="shared" si="49"/>
        <v>0.97232173837566227</v>
      </c>
      <c r="AC45" s="70">
        <f t="shared" si="49"/>
        <v>0.9999995416650016</v>
      </c>
      <c r="AD45" s="70">
        <f t="shared" si="49"/>
        <v>0.99999999579664123</v>
      </c>
      <c r="AE45" s="70">
        <f t="shared" si="49"/>
        <v>0.99999999999999822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3.5131817215382957E-2</v>
      </c>
      <c r="K46" s="70">
        <f t="shared" ref="K46:AF46" si="50">K44-(K43*(1-K45))</f>
        <v>7.5272681950891168E-163</v>
      </c>
      <c r="L46" s="70">
        <f t="shared" si="50"/>
        <v>1.1174220307559705E-2</v>
      </c>
      <c r="M46" s="70">
        <f t="shared" si="50"/>
        <v>1.2493267223531439E-2</v>
      </c>
      <c r="N46" s="70">
        <f t="shared" si="50"/>
        <v>7.4800802387653076E-2</v>
      </c>
      <c r="O46" s="70">
        <f t="shared" si="50"/>
        <v>2.9716201451838418E-3</v>
      </c>
      <c r="P46" s="70">
        <f t="shared" si="50"/>
        <v>4.3748280108726889E-2</v>
      </c>
      <c r="Q46" s="70">
        <f t="shared" si="50"/>
        <v>6.9870759632831597E-2</v>
      </c>
      <c r="R46" s="70">
        <f t="shared" si="50"/>
        <v>2.4934599489059295E-3</v>
      </c>
      <c r="S46" s="70">
        <f t="shared" si="50"/>
        <v>9.4631150208977707E-3</v>
      </c>
      <c r="T46" s="70">
        <f t="shared" si="50"/>
        <v>2.7151746954068344E-4</v>
      </c>
      <c r="U46" s="70">
        <f t="shared" si="50"/>
        <v>2.8844570229706011E-3</v>
      </c>
      <c r="V46" s="70">
        <f t="shared" si="50"/>
        <v>3.6611899539930035E-2</v>
      </c>
      <c r="W46" s="70">
        <f t="shared" si="50"/>
        <v>2.3315744873885435E-5</v>
      </c>
      <c r="X46" s="70">
        <f t="shared" si="50"/>
        <v>1.3104866985434354E-6</v>
      </c>
      <c r="Y46" s="70">
        <f t="shared" si="50"/>
        <v>3.3337050739952311E-8</v>
      </c>
      <c r="Z46" s="70">
        <f t="shared" si="50"/>
        <v>5.685343421984793E-7</v>
      </c>
      <c r="AA46" s="70">
        <f t="shared" si="50"/>
        <v>1.6147726480336393E-3</v>
      </c>
      <c r="AB46" s="70">
        <f t="shared" si="50"/>
        <v>1.0601336012625036E-2</v>
      </c>
      <c r="AC46" s="70">
        <f t="shared" si="50"/>
        <v>8.6869990922819685E-8</v>
      </c>
      <c r="AD46" s="70">
        <f t="shared" si="50"/>
        <v>6.9121887648021579E-10</v>
      </c>
      <c r="AE46" s="70">
        <f t="shared" si="50"/>
        <v>-6.398112923645019E-17</v>
      </c>
      <c r="AF46" s="70">
        <f t="shared" si="50"/>
        <v>1.7633976376687557E-24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0.69596129903673631</v>
      </c>
      <c r="K47" s="74">
        <f t="shared" si="51"/>
        <v>6.322905283874858E-163</v>
      </c>
      <c r="L47" s="74">
        <f t="shared" si="51"/>
        <v>8.1013097229807859E-2</v>
      </c>
      <c r="M47" s="74">
        <f t="shared" si="51"/>
        <v>4.0228320459771233E-2</v>
      </c>
      <c r="N47" s="74">
        <f t="shared" si="51"/>
        <v>0.93126998972628072</v>
      </c>
      <c r="O47" s="74">
        <f t="shared" si="51"/>
        <v>1.4263776696882439E-2</v>
      </c>
      <c r="P47" s="74">
        <f t="shared" si="51"/>
        <v>0.68247316969613947</v>
      </c>
      <c r="Q47" s="74">
        <f t="shared" si="51"/>
        <v>0.64420840381470734</v>
      </c>
      <c r="R47" s="74">
        <f t="shared" si="51"/>
        <v>7.2060992523381362E-3</v>
      </c>
      <c r="S47" s="74">
        <f t="shared" si="51"/>
        <v>8.0909633428675951E-2</v>
      </c>
      <c r="T47" s="74">
        <f t="shared" si="51"/>
        <v>9.1229869765669638E-4</v>
      </c>
      <c r="U47" s="74">
        <f t="shared" si="51"/>
        <v>2.2758365911238043E-2</v>
      </c>
      <c r="V47" s="74">
        <f t="shared" si="51"/>
        <v>0.23028884810615993</v>
      </c>
      <c r="W47" s="74">
        <f t="shared" si="51"/>
        <v>7.1579336762828276E-5</v>
      </c>
      <c r="X47" s="74">
        <f t="shared" si="51"/>
        <v>2.5816587961305678E-6</v>
      </c>
      <c r="Y47" s="74">
        <f t="shared" si="51"/>
        <v>4.7338612050732277E-8</v>
      </c>
      <c r="Z47" s="74">
        <f t="shared" si="51"/>
        <v>8.8122823040764291E-7</v>
      </c>
      <c r="AA47" s="74">
        <f t="shared" si="51"/>
        <v>5.5548179092357189E-3</v>
      </c>
      <c r="AB47" s="74">
        <f t="shared" si="51"/>
        <v>8.237238081809653E-2</v>
      </c>
      <c r="AC47" s="74">
        <f t="shared" si="51"/>
        <v>1.3551718583959872E-7</v>
      </c>
      <c r="AD47" s="74">
        <f t="shared" si="51"/>
        <v>8.3637484054106104E-10</v>
      </c>
      <c r="AE47" s="74">
        <f t="shared" si="51"/>
        <v>-1.3244093751945187E-16</v>
      </c>
      <c r="AF47" s="74">
        <f t="shared" si="51"/>
        <v>2.098443188825819E-24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45.304038700963261</v>
      </c>
      <c r="K48" s="74">
        <f t="shared" si="52"/>
        <v>1</v>
      </c>
      <c r="L48" s="74">
        <f t="shared" si="52"/>
        <v>20.918986902770193</v>
      </c>
      <c r="M48" s="74">
        <f t="shared" si="52"/>
        <v>1.9597716795402287</v>
      </c>
      <c r="N48" s="74">
        <f t="shared" si="52"/>
        <v>18.068730010273718</v>
      </c>
      <c r="O48" s="74">
        <f t="shared" si="52"/>
        <v>9.9857362233031175</v>
      </c>
      <c r="P48" s="74">
        <f t="shared" si="52"/>
        <v>18.317526830303862</v>
      </c>
      <c r="Q48" s="74">
        <f t="shared" si="52"/>
        <v>2.3557915961852927</v>
      </c>
      <c r="R48" s="74">
        <f t="shared" si="52"/>
        <v>3.9927939007476621</v>
      </c>
      <c r="S48" s="74">
        <f t="shared" si="52"/>
        <v>8.9190903665713233</v>
      </c>
      <c r="T48" s="74">
        <f t="shared" si="52"/>
        <v>3.9990877013023431</v>
      </c>
      <c r="U48" s="74">
        <f t="shared" si="52"/>
        <v>2.9772416340887617</v>
      </c>
      <c r="V48" s="74">
        <f t="shared" si="52"/>
        <v>3.7697111518938402</v>
      </c>
      <c r="W48" s="74">
        <f t="shared" si="52"/>
        <v>1.9999284206632371</v>
      </c>
      <c r="X48" s="74">
        <f t="shared" si="52"/>
        <v>2.9999974183412039</v>
      </c>
      <c r="Y48" s="74">
        <f t="shared" si="52"/>
        <v>0.99999995266138797</v>
      </c>
      <c r="Z48" s="74">
        <f t="shared" si="52"/>
        <v>0.99999911877176961</v>
      </c>
      <c r="AA48" s="74">
        <f t="shared" si="52"/>
        <v>4.9944451820907645</v>
      </c>
      <c r="AB48" s="74">
        <f t="shared" si="52"/>
        <v>8.9176276191819035</v>
      </c>
      <c r="AC48" s="74">
        <f t="shared" si="52"/>
        <v>1.9999998644828141</v>
      </c>
      <c r="AD48" s="74">
        <f t="shared" si="52"/>
        <v>1.9999999991636253</v>
      </c>
      <c r="AE48" s="74">
        <f t="shared" si="52"/>
        <v>1.0000000000000002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28.813656734792886</v>
      </c>
      <c r="K49" s="74">
        <f t="shared" ref="K49:AF49" si="53">K28-K48</f>
        <v>22.923964728802403</v>
      </c>
      <c r="L49" s="74">
        <f t="shared" si="53"/>
        <v>13.825893351546199</v>
      </c>
      <c r="M49" s="74">
        <f t="shared" si="53"/>
        <v>6.0054199742567143</v>
      </c>
      <c r="N49" s="74">
        <f t="shared" si="53"/>
        <v>14.078667156162453</v>
      </c>
      <c r="O49" s="74">
        <f t="shared" si="53"/>
        <v>11.393003742738809</v>
      </c>
      <c r="P49" s="74">
        <f t="shared" si="53"/>
        <v>21.254065495612998</v>
      </c>
      <c r="Q49" s="74">
        <f t="shared" si="53"/>
        <v>10.701794839501177</v>
      </c>
      <c r="R49" s="74">
        <f t="shared" si="53"/>
        <v>7.0264272634070171</v>
      </c>
      <c r="S49" s="74">
        <f t="shared" si="53"/>
        <v>16.832742864532236</v>
      </c>
      <c r="T49" s="74">
        <f t="shared" si="53"/>
        <v>10.402199625091402</v>
      </c>
      <c r="U49" s="74">
        <f t="shared" si="53"/>
        <v>18.805052899309789</v>
      </c>
      <c r="V49" s="74">
        <f t="shared" si="53"/>
        <v>9.0406723646986595</v>
      </c>
      <c r="W49" s="74">
        <f t="shared" si="53"/>
        <v>11.437056621810772</v>
      </c>
      <c r="X49" s="74">
        <f t="shared" si="53"/>
        <v>8.6060269790456587</v>
      </c>
      <c r="Y49" s="74">
        <f t="shared" si="53"/>
        <v>7.2241289970598883</v>
      </c>
      <c r="Z49" s="74">
        <f t="shared" si="53"/>
        <v>7.0380066631228591</v>
      </c>
      <c r="AA49" s="74">
        <f t="shared" si="53"/>
        <v>8.8431236530880977</v>
      </c>
      <c r="AB49" s="74">
        <f t="shared" si="53"/>
        <v>14.970215707866235</v>
      </c>
      <c r="AC49" s="74">
        <f t="shared" si="53"/>
        <v>7.6576225369954214</v>
      </c>
      <c r="AD49" s="74">
        <f t="shared" si="53"/>
        <v>6.9697135707394668</v>
      </c>
      <c r="AE49" s="74">
        <f t="shared" si="53"/>
        <v>16.295649408959292</v>
      </c>
      <c r="AF49" s="74">
        <f t="shared" si="53"/>
        <v>12.341150444833014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2265.2019350481633</v>
      </c>
      <c r="K50" s="70">
        <f t="shared" ref="K50:AF50" si="54">K48*K20</f>
        <v>200</v>
      </c>
      <c r="L50" s="70">
        <f t="shared" si="54"/>
        <v>1255.1392141662116</v>
      </c>
      <c r="M50" s="70">
        <f t="shared" si="54"/>
        <v>97.98858397701143</v>
      </c>
      <c r="N50" s="70">
        <f t="shared" si="54"/>
        <v>813.0928504623173</v>
      </c>
      <c r="O50" s="70">
        <f t="shared" si="54"/>
        <v>599.14417339818704</v>
      </c>
      <c r="P50" s="70">
        <f t="shared" si="54"/>
        <v>915.87634151519308</v>
      </c>
      <c r="Q50" s="70">
        <f t="shared" si="54"/>
        <v>117.78957980926464</v>
      </c>
      <c r="R50" s="70">
        <f t="shared" si="54"/>
        <v>199.63969503738309</v>
      </c>
      <c r="S50" s="70">
        <f t="shared" si="54"/>
        <v>445.95451832856617</v>
      </c>
      <c r="T50" s="70">
        <f t="shared" si="54"/>
        <v>279.93613909116402</v>
      </c>
      <c r="U50" s="70">
        <f t="shared" si="54"/>
        <v>208.40691438621332</v>
      </c>
      <c r="V50" s="70">
        <f t="shared" si="54"/>
        <v>188.48555759469201</v>
      </c>
      <c r="W50" s="70">
        <f t="shared" si="54"/>
        <v>159.99427365305897</v>
      </c>
      <c r="X50" s="70">
        <f t="shared" si="54"/>
        <v>179.99984510047224</v>
      </c>
      <c r="Y50" s="70">
        <f t="shared" si="54"/>
        <v>59.999997159683275</v>
      </c>
      <c r="Z50" s="70">
        <f t="shared" si="54"/>
        <v>59.999947126306175</v>
      </c>
      <c r="AA50" s="70">
        <f t="shared" si="54"/>
        <v>249.72225910453824</v>
      </c>
      <c r="AB50" s="70">
        <f t="shared" si="54"/>
        <v>445.88138095909517</v>
      </c>
      <c r="AC50" s="70">
        <f t="shared" si="54"/>
        <v>99.999993224140709</v>
      </c>
      <c r="AD50" s="70">
        <f t="shared" si="54"/>
        <v>119.99999994981752</v>
      </c>
      <c r="AE50" s="70">
        <f t="shared" si="54"/>
        <v>120.00000000000003</v>
      </c>
      <c r="AF50" s="70">
        <f t="shared" si="54"/>
        <v>100</v>
      </c>
      <c r="AG50" s="186">
        <f>SUM(J50:AF50)</f>
        <v>9182.2531990914813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1436.8794340506518</v>
      </c>
      <c r="K51" s="70">
        <f t="shared" ref="K51:AF51" si="55">(K20-K22)*K49</f>
        <v>4554.2582247417158</v>
      </c>
      <c r="L51" s="70">
        <f t="shared" si="55"/>
        <v>826.65016348894721</v>
      </c>
      <c r="M51" s="70">
        <f t="shared" si="55"/>
        <v>297.14818032622219</v>
      </c>
      <c r="N51" s="70">
        <f t="shared" si="55"/>
        <v>629.99219790395739</v>
      </c>
      <c r="O51" s="70">
        <f t="shared" si="55"/>
        <v>681.09654974841146</v>
      </c>
      <c r="P51" s="70">
        <f t="shared" si="55"/>
        <v>1059.0050673844132</v>
      </c>
      <c r="Q51" s="70">
        <f t="shared" si="55"/>
        <v>531.60095685738145</v>
      </c>
      <c r="R51" s="70">
        <f t="shared" si="55"/>
        <v>349.03074788248017</v>
      </c>
      <c r="S51" s="70">
        <f t="shared" si="55"/>
        <v>839.97070168302309</v>
      </c>
      <c r="T51" s="70">
        <f t="shared" si="55"/>
        <v>724.76285667861839</v>
      </c>
      <c r="U51" s="70">
        <f t="shared" si="55"/>
        <v>1314.097096603768</v>
      </c>
      <c r="V51" s="70">
        <f t="shared" si="55"/>
        <v>449.14060307822939</v>
      </c>
      <c r="W51" s="70">
        <f t="shared" si="55"/>
        <v>910.961559927228</v>
      </c>
      <c r="X51" s="70">
        <f t="shared" si="55"/>
        <v>514.42526267245421</v>
      </c>
      <c r="Y51" s="70">
        <f t="shared" si="55"/>
        <v>430.00905442099281</v>
      </c>
      <c r="Z51" s="70">
        <f t="shared" si="55"/>
        <v>418.47987618928522</v>
      </c>
      <c r="AA51" s="70">
        <f t="shared" si="55"/>
        <v>440.56442039684902</v>
      </c>
      <c r="AB51" s="70">
        <f t="shared" si="55"/>
        <v>746.71435950836781</v>
      </c>
      <c r="AC51" s="70">
        <f t="shared" si="55"/>
        <v>382.12302221860853</v>
      </c>
      <c r="AD51" s="70">
        <f t="shared" si="55"/>
        <v>414.50280547901758</v>
      </c>
      <c r="AE51" s="70">
        <f t="shared" si="55"/>
        <v>1951.8114079580994</v>
      </c>
      <c r="AF51" s="70">
        <f t="shared" si="55"/>
        <v>1229.487113066489</v>
      </c>
      <c r="AG51" s="51">
        <f>SUM(J51:AF51)</f>
        <v>21132.71166226521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0.4175767794220418</v>
      </c>
      <c r="K52" s="70">
        <f t="shared" ref="K52:AF52" si="56">K47*K23</f>
        <v>2.3394749550336975E-162</v>
      </c>
      <c r="L52" s="70">
        <f t="shared" si="56"/>
        <v>0.12151964584471178</v>
      </c>
      <c r="M52" s="70">
        <f t="shared" si="56"/>
        <v>0.16091328183908493</v>
      </c>
      <c r="N52" s="70">
        <f t="shared" si="56"/>
        <v>2.6075559712335861</v>
      </c>
      <c r="O52" s="70">
        <f t="shared" si="56"/>
        <v>4.5644085430023809E-2</v>
      </c>
      <c r="P52" s="70">
        <f t="shared" si="56"/>
        <v>0.40948390181768368</v>
      </c>
      <c r="Q52" s="70">
        <f t="shared" si="56"/>
        <v>0.57978756343323656</v>
      </c>
      <c r="R52" s="70">
        <f t="shared" si="56"/>
        <v>6.4854893271043216E-3</v>
      </c>
      <c r="S52" s="70">
        <f t="shared" si="56"/>
        <v>2.4272890028602785E-2</v>
      </c>
      <c r="T52" s="70">
        <f t="shared" si="56"/>
        <v>8.2106882789102667E-4</v>
      </c>
      <c r="U52" s="70">
        <f t="shared" si="56"/>
        <v>1.1379182955619021E-2</v>
      </c>
      <c r="V52" s="70">
        <f t="shared" si="56"/>
        <v>0.29937550253800793</v>
      </c>
      <c r="W52" s="70">
        <f t="shared" si="56"/>
        <v>5.0105535733979798E-5</v>
      </c>
      <c r="X52" s="70">
        <f t="shared" si="56"/>
        <v>6.4541469903264196E-6</v>
      </c>
      <c r="Y52" s="70">
        <f t="shared" si="56"/>
        <v>8.9943362896391334E-8</v>
      </c>
      <c r="Z52" s="70">
        <f t="shared" si="56"/>
        <v>1.3218423456114644E-6</v>
      </c>
      <c r="AA52" s="70">
        <f t="shared" si="56"/>
        <v>2.7774089546178595E-3</v>
      </c>
      <c r="AB52" s="70">
        <f t="shared" si="56"/>
        <v>4.1186190409048265E-2</v>
      </c>
      <c r="AC52" s="70">
        <f t="shared" si="56"/>
        <v>4.0655155751879611E-8</v>
      </c>
      <c r="AD52" s="70">
        <f t="shared" si="56"/>
        <v>6.6909987243284885E-10</v>
      </c>
      <c r="AE52" s="70">
        <f t="shared" si="56"/>
        <v>-3.3110234379862969E-16</v>
      </c>
      <c r="AF52" s="70">
        <f t="shared" si="56"/>
        <v>3.1476647832387285E-24</v>
      </c>
      <c r="AG52" s="51">
        <f>SUM(J52:AF52)</f>
        <v>4.728836974853948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489.17678987599055</v>
      </c>
      <c r="K53" s="70">
        <f t="shared" ref="K53:AF53" si="57">K21*K28</f>
        <v>1593.3360509382399</v>
      </c>
      <c r="L53" s="70">
        <f t="shared" si="57"/>
        <v>364.82124267032214</v>
      </c>
      <c r="M53" s="70">
        <f t="shared" si="57"/>
        <v>207.09498299872052</v>
      </c>
      <c r="N53" s="70">
        <f t="shared" si="57"/>
        <v>405.05720429709572</v>
      </c>
      <c r="O53" s="70">
        <f t="shared" si="57"/>
        <v>233.02826562985697</v>
      </c>
      <c r="P53" s="70">
        <f t="shared" si="57"/>
        <v>344.27285323547665</v>
      </c>
      <c r="Q53" s="70">
        <f t="shared" si="57"/>
        <v>212.83865890168948</v>
      </c>
      <c r="R53" s="70">
        <f t="shared" si="57"/>
        <v>179.61330497572129</v>
      </c>
      <c r="S53" s="70">
        <f t="shared" si="57"/>
        <v>127.47157449396261</v>
      </c>
      <c r="T53" s="70">
        <f t="shared" si="57"/>
        <v>234.74098342021807</v>
      </c>
      <c r="U53" s="70">
        <f t="shared" si="57"/>
        <v>130.69376720039131</v>
      </c>
      <c r="V53" s="70">
        <f t="shared" si="57"/>
        <v>204.96613626548</v>
      </c>
      <c r="W53" s="70">
        <f t="shared" si="57"/>
        <v>235.14723824329513</v>
      </c>
      <c r="X53" s="70">
        <f t="shared" si="57"/>
        <v>130.56777447060222</v>
      </c>
      <c r="Y53" s="70">
        <f t="shared" si="57"/>
        <v>195.73426900336639</v>
      </c>
      <c r="Z53" s="70">
        <f t="shared" si="57"/>
        <v>217.02615611115499</v>
      </c>
      <c r="AA53" s="70">
        <f t="shared" si="57"/>
        <v>124.53811951660975</v>
      </c>
      <c r="AB53" s="70">
        <f t="shared" si="57"/>
        <v>143.32705996228884</v>
      </c>
      <c r="AC53" s="70">
        <f t="shared" si="57"/>
        <v>47.805230887317265</v>
      </c>
      <c r="AD53" s="70">
        <f t="shared" si="57"/>
        <v>236.80043824544165</v>
      </c>
      <c r="AE53" s="70">
        <f t="shared" si="57"/>
        <v>194.57605585079205</v>
      </c>
      <c r="AF53" s="70">
        <f t="shared" si="57"/>
        <v>250.14657084061901</v>
      </c>
      <c r="AG53" s="67">
        <f>SUM(J53:AF53)</f>
        <v>6502.7807280346533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3212.4870024434026</v>
      </c>
      <c r="K54" s="79">
        <f t="shared" ref="K54:AF54" si="58">K50+K51-K53-K52</f>
        <v>3160.9221738034757</v>
      </c>
      <c r="L54" s="79">
        <f t="shared" si="58"/>
        <v>1716.8466153389918</v>
      </c>
      <c r="M54" s="79">
        <f t="shared" si="58"/>
        <v>187.88086802267404</v>
      </c>
      <c r="N54" s="79">
        <f t="shared" si="58"/>
        <v>1035.4202880979456</v>
      </c>
      <c r="O54" s="79">
        <f t="shared" si="58"/>
        <v>1047.1668134313115</v>
      </c>
      <c r="P54" s="79">
        <f t="shared" si="58"/>
        <v>1630.1990717623119</v>
      </c>
      <c r="Q54" s="79">
        <f t="shared" si="58"/>
        <v>435.97209020152337</v>
      </c>
      <c r="R54" s="79">
        <f t="shared" si="58"/>
        <v>369.05065245481489</v>
      </c>
      <c r="S54" s="79">
        <f t="shared" si="58"/>
        <v>1158.429372627598</v>
      </c>
      <c r="T54" s="79">
        <f t="shared" si="58"/>
        <v>769.95719128073642</v>
      </c>
      <c r="U54" s="79">
        <f t="shared" si="58"/>
        <v>1391.7988646066347</v>
      </c>
      <c r="V54" s="79">
        <f t="shared" si="58"/>
        <v>432.36064890490337</v>
      </c>
      <c r="W54" s="79">
        <f t="shared" si="58"/>
        <v>835.80854523145615</v>
      </c>
      <c r="X54" s="79">
        <f t="shared" si="58"/>
        <v>563.85732684817731</v>
      </c>
      <c r="Y54" s="79">
        <f t="shared" si="58"/>
        <v>294.27478248736634</v>
      </c>
      <c r="Z54" s="79">
        <f t="shared" si="58"/>
        <v>261.45366588259407</v>
      </c>
      <c r="AA54" s="79">
        <f t="shared" si="58"/>
        <v>565.74578257582277</v>
      </c>
      <c r="AB54" s="79">
        <f>AB50+AB51-AB53-AB52</f>
        <v>1049.2274943147652</v>
      </c>
      <c r="AC54" s="79">
        <f t="shared" si="58"/>
        <v>434.31778451477686</v>
      </c>
      <c r="AD54" s="79">
        <f t="shared" si="58"/>
        <v>297.70236718272434</v>
      </c>
      <c r="AE54" s="79">
        <f t="shared" si="58"/>
        <v>1877.2353521073076</v>
      </c>
      <c r="AF54" s="79">
        <f t="shared" si="58"/>
        <v>1079.34054222587</v>
      </c>
      <c r="AG54" s="68">
        <f>SUM(J54:AF54)</f>
        <v>23807.455296347176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10971.926978184336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1B48-8E8B-0A43-A0C6-152D32321EA0}">
  <dimension ref="A1:BJ75"/>
  <sheetViews>
    <sheetView topLeftCell="AK4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6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45</v>
      </c>
      <c r="K2" s="262">
        <f>_xlfn.XLOOKUP($B$1,daily_demand!$E$1:$AH$1,daily_demand!$E$3:$AH$3)</f>
        <v>1</v>
      </c>
      <c r="L2" s="263">
        <f>_xlfn.XLOOKUP($B$1,daily_demand!$E$1:$AH$1,daily_demand!$E$4:$AH$4)</f>
        <v>18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19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3</v>
      </c>
      <c r="W2" s="262">
        <f>_xlfn.XLOOKUP($B$1,daily_demand!$E$1:$AH$1,daily_demand!$E$15:$AH$15)</f>
        <v>1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2.1935308630726844</v>
      </c>
      <c r="AJ4" s="45">
        <f t="shared" ref="AJ4:AJ18" si="1">K4*K$28</f>
        <v>0.71771894186407204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1.1871477697775057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0.9448306813274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0.32896515796295639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0.53364601779332055</v>
      </c>
      <c r="BF4" s="44">
        <f>SUM(AI4:BE4)</f>
        <v>5.9058394317979399</v>
      </c>
      <c r="BG4" s="54">
        <f>ROUNDUP(BF4*2, 0)</f>
        <v>12</v>
      </c>
      <c r="BH4" s="86">
        <f>CEILING($BG$1*BG4, 0.5)</f>
        <v>6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2.1935308630726844</v>
      </c>
      <c r="AJ5" s="45">
        <f t="shared" si="1"/>
        <v>0.9569585891520962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0.32896515796295639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0.66705752224165071</v>
      </c>
      <c r="BF5" s="44">
        <f t="shared" ref="BF5:BF19" si="23">SUM(AI5:BE5)</f>
        <v>4.1465121324293879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165</v>
      </c>
      <c r="C6" s="7">
        <f>B6*0.02</f>
        <v>3.3000000000000003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0.4784792945760481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1.1871477697775057</v>
      </c>
      <c r="AP6" s="45">
        <f t="shared" si="7"/>
        <v>0</v>
      </c>
      <c r="AQ6" s="45">
        <f t="shared" si="8"/>
        <v>0</v>
      </c>
      <c r="AR6" s="45">
        <f t="shared" si="9"/>
        <v>0.7725549969331067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0.32896515796295639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0.25972866983926568</v>
      </c>
      <c r="BC6" s="45">
        <f t="shared" si="20"/>
        <v>0</v>
      </c>
      <c r="BD6" s="45">
        <f t="shared" si="21"/>
        <v>0</v>
      </c>
      <c r="BE6" s="45">
        <f t="shared" si="22"/>
        <v>0.53364601779332055</v>
      </c>
      <c r="BF6" s="44">
        <f t="shared" si="23"/>
        <v>3.5605219068822032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3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0.71771894186407204</v>
      </c>
      <c r="AK7" s="45">
        <f t="shared" si="2"/>
        <v>0</v>
      </c>
      <c r="AL7" s="45">
        <f t="shared" si="3"/>
        <v>0</v>
      </c>
      <c r="AM7" s="45">
        <f t="shared" si="4"/>
        <v>1.2858958862164303</v>
      </c>
      <c r="AN7" s="45">
        <f t="shared" si="5"/>
        <v>0.85514959864162332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1.0891147266699277</v>
      </c>
      <c r="AU7" s="45">
        <f t="shared" si="12"/>
        <v>0.59051917582962499</v>
      </c>
      <c r="AV7" s="45">
        <f t="shared" si="13"/>
        <v>0</v>
      </c>
      <c r="AW7" s="45">
        <f t="shared" si="14"/>
        <v>0</v>
      </c>
      <c r="AX7" s="45">
        <f t="shared" si="15"/>
        <v>0.4112064474536955</v>
      </c>
      <c r="AY7" s="45">
        <f t="shared" si="16"/>
        <v>0.40190028909473147</v>
      </c>
      <c r="AZ7" s="45">
        <f t="shared" si="17"/>
        <v>0</v>
      </c>
      <c r="BA7" s="45">
        <f t="shared" si="18"/>
        <v>1.1943921663524069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6.5458972321225124</v>
      </c>
      <c r="BG7" s="54">
        <f t="shared" si="24"/>
        <v>14</v>
      </c>
      <c r="BH7" s="86">
        <f t="shared" si="25"/>
        <v>7</v>
      </c>
      <c r="BI7" s="6"/>
    </row>
    <row r="8" spans="1:61" ht="24" x14ac:dyDescent="0.2">
      <c r="A8" s="286" t="s">
        <v>46</v>
      </c>
      <c r="B8" s="295">
        <f>_xlfn.XLOOKUP($B$1,cost!$A$16:$A$45,cost!$F$16:$F$45)</f>
        <v>120</v>
      </c>
      <c r="C8" s="7">
        <f t="shared" ref="C8:C19" si="26">B8*0.02</f>
        <v>2.4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0.23923964728802405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0.64136219898121749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0.16448257898147819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0.26682300889666027</v>
      </c>
      <c r="BF8" s="44">
        <f t="shared" si="23"/>
        <v>1.31190743414738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0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5.344684991510146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5.344684991510146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0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6.4294794310821519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6.4294794310821519</v>
      </c>
      <c r="BG10" s="54">
        <f t="shared" si="24"/>
        <v>13</v>
      </c>
      <c r="BH10" s="86">
        <f t="shared" si="25"/>
        <v>6.5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145</v>
      </c>
      <c r="C11" s="7">
        <f t="shared" si="26"/>
        <v>2.9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0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1.2858958862164303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1.2858958862164303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0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4.7617320381474579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4.7617320381474579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1.1961982364401202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0.26115172871372944</v>
      </c>
      <c r="AQ13" s="45">
        <f t="shared" si="8"/>
        <v>0.22038442328314742</v>
      </c>
      <c r="AR13" s="45">
        <f t="shared" si="9"/>
        <v>0</v>
      </c>
      <c r="AS13" s="45">
        <f t="shared" si="10"/>
        <v>0.28802574652787494</v>
      </c>
      <c r="AT13" s="45">
        <f t="shared" si="11"/>
        <v>0</v>
      </c>
      <c r="AU13" s="45">
        <f t="shared" si="12"/>
        <v>0</v>
      </c>
      <c r="AV13" s="45">
        <f t="shared" si="13"/>
        <v>0.87058895297318062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2.8363490879380526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0.9569585891520962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0.71757708559224742</v>
      </c>
      <c r="BD14" s="45">
        <f t="shared" si="21"/>
        <v>0</v>
      </c>
      <c r="BE14" s="45">
        <f t="shared" si="22"/>
        <v>0</v>
      </c>
      <c r="BF14" s="44">
        <f t="shared" si="23"/>
        <v>1.6745356747443436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1.1961982364401202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0.65287932178432362</v>
      </c>
      <c r="AQ15" s="45">
        <f t="shared" si="8"/>
        <v>0.55096105820786856</v>
      </c>
      <c r="AR15" s="45">
        <f t="shared" si="9"/>
        <v>0</v>
      </c>
      <c r="AS15" s="45">
        <f t="shared" si="10"/>
        <v>0.72006436631968729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0.6918784417589432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3.8119814245109431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1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1.1961982364401202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0.80380057818946293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1.9999988146295831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1.1961982364401202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0.26115172871372944</v>
      </c>
      <c r="AQ17" s="45">
        <f t="shared" si="8"/>
        <v>0.22038442328314742</v>
      </c>
      <c r="AR17" s="45">
        <f t="shared" si="9"/>
        <v>0</v>
      </c>
      <c r="AS17" s="45">
        <f t="shared" si="10"/>
        <v>0.28802574652787494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1.9657601349648721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2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3.1860766615187099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3.1860766615187099</v>
      </c>
      <c r="BG18" s="54">
        <f t="shared" si="24"/>
        <v>7</v>
      </c>
      <c r="BH18" s="86">
        <f t="shared" si="25"/>
        <v>3.5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4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2.9015060993467157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4.3239123522398231</v>
      </c>
      <c r="BE19" s="45">
        <f t="shared" si="27"/>
        <v>0</v>
      </c>
      <c r="BF19" s="44">
        <f t="shared" si="23"/>
        <v>7.2254184515865383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17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61.992590734228656</v>
      </c>
      <c r="BG20" s="54">
        <f>SUM(BG4:BG19)</f>
        <v>131</v>
      </c>
      <c r="BH20" s="86">
        <f>SUM(BH4:BH19)</f>
        <v>65.5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66.599999999999994</v>
      </c>
      <c r="L21" s="4">
        <f t="shared" si="28"/>
        <v>10.5</v>
      </c>
      <c r="M21" s="4">
        <f t="shared" si="28"/>
        <v>26</v>
      </c>
      <c r="N21" s="4">
        <f t="shared" si="28"/>
        <v>12.6</v>
      </c>
      <c r="O21" s="4">
        <f t="shared" si="28"/>
        <v>10.899999999999999</v>
      </c>
      <c r="P21" s="4">
        <f t="shared" si="28"/>
        <v>8.6999999999999993</v>
      </c>
      <c r="Q21" s="4">
        <f t="shared" si="28"/>
        <v>16.3</v>
      </c>
      <c r="R21" s="4">
        <f t="shared" si="28"/>
        <v>16.3</v>
      </c>
      <c r="S21" s="4">
        <f t="shared" si="28"/>
        <v>4.95</v>
      </c>
      <c r="T21" s="4">
        <f t="shared" si="28"/>
        <v>16.3</v>
      </c>
      <c r="U21" s="4">
        <f t="shared" si="28"/>
        <v>6</v>
      </c>
      <c r="V21" s="4">
        <f t="shared" si="28"/>
        <v>16</v>
      </c>
      <c r="W21" s="4">
        <f t="shared" si="28"/>
        <v>17.5</v>
      </c>
      <c r="X21" s="4">
        <f t="shared" si="28"/>
        <v>11.25</v>
      </c>
      <c r="Y21" s="4">
        <f t="shared" si="28"/>
        <v>23.8</v>
      </c>
      <c r="Z21" s="4">
        <f t="shared" si="28"/>
        <v>27</v>
      </c>
      <c r="AA21" s="4">
        <f t="shared" si="28"/>
        <v>9</v>
      </c>
      <c r="AB21" s="4">
        <f t="shared" si="28"/>
        <v>6</v>
      </c>
      <c r="AC21" s="4">
        <f t="shared" si="28"/>
        <v>4.95</v>
      </c>
      <c r="AD21" s="4">
        <f t="shared" si="28"/>
        <v>26.400000000000002</v>
      </c>
      <c r="AE21" s="4">
        <f t="shared" si="28"/>
        <v>11.25</v>
      </c>
      <c r="AF21" s="4">
        <f t="shared" si="28"/>
        <v>18.75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1985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1.3320000000000001</v>
      </c>
      <c r="L22" s="4">
        <f t="shared" si="29"/>
        <v>0.21000000000000002</v>
      </c>
      <c r="M22" s="4">
        <f t="shared" si="29"/>
        <v>0.52</v>
      </c>
      <c r="N22" s="4">
        <f t="shared" si="29"/>
        <v>0.252</v>
      </c>
      <c r="O22" s="4">
        <f t="shared" si="29"/>
        <v>0.21799999999999997</v>
      </c>
      <c r="P22" s="4">
        <f t="shared" si="29"/>
        <v>0.17399999999999999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9.9000000000000005E-2</v>
      </c>
      <c r="T22" s="4">
        <f t="shared" si="29"/>
        <v>0.32600000000000001</v>
      </c>
      <c r="U22" s="4">
        <f t="shared" si="29"/>
        <v>0.12</v>
      </c>
      <c r="V22" s="4">
        <f t="shared" si="29"/>
        <v>0.32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0.47600000000000003</v>
      </c>
      <c r="Z22" s="4">
        <f t="shared" si="29"/>
        <v>0.54</v>
      </c>
      <c r="AA22" s="4">
        <f t="shared" si="29"/>
        <v>0.18000000000000002</v>
      </c>
      <c r="AB22" s="4">
        <f t="shared" si="29"/>
        <v>0.12</v>
      </c>
      <c r="AC22" s="4">
        <f t="shared" si="29"/>
        <v>9.9000000000000005E-2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0.375</v>
      </c>
      <c r="AG22" s="9"/>
      <c r="BF22" s="432" t="s">
        <v>131</v>
      </c>
      <c r="BG22" s="432"/>
      <c r="BH22" s="41">
        <f>SUMPRODUCT(B4:B19,BH4:BH19)</f>
        <v>6890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65.268000000000001</v>
      </c>
      <c r="L25" s="69">
        <f t="shared" si="31"/>
        <v>10.29</v>
      </c>
      <c r="M25" s="69">
        <f t="shared" si="31"/>
        <v>25.48</v>
      </c>
      <c r="N25" s="69">
        <f t="shared" si="31"/>
        <v>12.347999999999999</v>
      </c>
      <c r="O25" s="69">
        <f t="shared" si="31"/>
        <v>10.681999999999999</v>
      </c>
      <c r="P25" s="69">
        <f t="shared" si="31"/>
        <v>8.5259999999999998</v>
      </c>
      <c r="Q25" s="69">
        <f t="shared" si="31"/>
        <v>15.974</v>
      </c>
      <c r="R25" s="69">
        <f t="shared" si="31"/>
        <v>15.974</v>
      </c>
      <c r="S25" s="69">
        <f t="shared" si="31"/>
        <v>4.851</v>
      </c>
      <c r="T25" s="69">
        <f t="shared" si="31"/>
        <v>15.974</v>
      </c>
      <c r="U25" s="69">
        <f t="shared" si="31"/>
        <v>5.88</v>
      </c>
      <c r="V25" s="69">
        <f t="shared" si="31"/>
        <v>15.68</v>
      </c>
      <c r="W25" s="69">
        <f t="shared" si="31"/>
        <v>17.149999999999999</v>
      </c>
      <c r="X25" s="69">
        <f t="shared" si="31"/>
        <v>11.025</v>
      </c>
      <c r="Y25" s="69">
        <f t="shared" si="31"/>
        <v>23.324000000000002</v>
      </c>
      <c r="Z25" s="69">
        <f t="shared" si="31"/>
        <v>26.46</v>
      </c>
      <c r="AA25" s="69">
        <f t="shared" si="31"/>
        <v>8.82</v>
      </c>
      <c r="AB25" s="69">
        <f t="shared" si="31"/>
        <v>5.88</v>
      </c>
      <c r="AC25" s="69">
        <f t="shared" si="31"/>
        <v>4.851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18.375</v>
      </c>
      <c r="AG25" s="16"/>
      <c r="BF25" s="434" t="s">
        <v>42</v>
      </c>
      <c r="BG25" s="434"/>
      <c r="BH25" s="39">
        <f>AG50+AG51-AG52-BH22</f>
        <v>23010.236020177224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137.1</v>
      </c>
      <c r="L26" s="4">
        <f t="shared" si="32"/>
        <v>51</v>
      </c>
      <c r="M26" s="4">
        <f t="shared" si="32"/>
        <v>28</v>
      </c>
      <c r="N26" s="4">
        <f t="shared" si="32"/>
        <v>35.199999999999996</v>
      </c>
      <c r="O26" s="4">
        <f t="shared" si="32"/>
        <v>52.300000000000004</v>
      </c>
      <c r="P26" s="4">
        <f t="shared" si="32"/>
        <v>41.9</v>
      </c>
      <c r="Q26" s="4">
        <f t="shared" si="32"/>
        <v>34.6</v>
      </c>
      <c r="R26" s="4">
        <f t="shared" si="32"/>
        <v>34.6</v>
      </c>
      <c r="S26" s="4">
        <f t="shared" si="32"/>
        <v>45.349999999999994</v>
      </c>
      <c r="T26" s="4">
        <f t="shared" si="32"/>
        <v>54.6</v>
      </c>
      <c r="U26" s="4">
        <f t="shared" si="32"/>
        <v>64.5</v>
      </c>
      <c r="V26" s="4">
        <f t="shared" si="32"/>
        <v>35.299999999999997</v>
      </c>
      <c r="W26" s="4">
        <f t="shared" si="32"/>
        <v>63.2</v>
      </c>
      <c r="X26" s="4">
        <f t="shared" si="32"/>
        <v>51.25</v>
      </c>
      <c r="Y26" s="4">
        <f t="shared" si="32"/>
        <v>38.1</v>
      </c>
      <c r="Z26" s="4">
        <f t="shared" si="32"/>
        <v>34.5</v>
      </c>
      <c r="AA26" s="4">
        <f t="shared" si="32"/>
        <v>41.5</v>
      </c>
      <c r="AB26" s="4">
        <f t="shared" si="32"/>
        <v>44.5</v>
      </c>
      <c r="AC26" s="4">
        <f t="shared" si="32"/>
        <v>45.349999999999994</v>
      </c>
      <c r="AD26" s="4">
        <f t="shared" si="32"/>
        <v>34.399999999999991</v>
      </c>
      <c r="AE26" s="4">
        <f t="shared" si="32"/>
        <v>111.25</v>
      </c>
      <c r="AF26" s="4">
        <f t="shared" si="32"/>
        <v>82.75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0.67747865275142316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0.74030453436527299</v>
      </c>
      <c r="O27" s="70">
        <f t="shared" si="33"/>
        <v>0.8303959861547745</v>
      </c>
      <c r="P27" s="70">
        <f t="shared" si="33"/>
        <v>0.8309205568555903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0.90336845879564154</v>
      </c>
      <c r="T27" s="70">
        <f t="shared" si="33"/>
        <v>0.77365602063082728</v>
      </c>
      <c r="U27" s="70">
        <f t="shared" si="33"/>
        <v>0.91645353793691398</v>
      </c>
      <c r="V27" s="70">
        <f t="shared" si="33"/>
        <v>0.69242840329541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0.62027871841625415</v>
      </c>
      <c r="Z27" s="70">
        <f t="shared" si="33"/>
        <v>0.56594488188976377</v>
      </c>
      <c r="AA27" s="70">
        <f t="shared" si="33"/>
        <v>0.82472178060413359</v>
      </c>
      <c r="AB27" s="70">
        <f t="shared" si="33"/>
        <v>0.8832870186581977</v>
      </c>
      <c r="AC27" s="70">
        <f t="shared" si="33"/>
        <v>0.90336845879564154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0.81829419035846729</v>
      </c>
      <c r="AG27" s="9"/>
      <c r="BF27" s="430" t="s">
        <v>130</v>
      </c>
      <c r="BG27" s="430"/>
      <c r="BH27" s="40">
        <f>BH25-AG41</f>
        <v>14500.648410229305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73.117695435756147</v>
      </c>
      <c r="K28" s="72">
        <v>23.923964728802403</v>
      </c>
      <c r="L28" s="72">
        <v>31.744880254316385</v>
      </c>
      <c r="M28" s="72">
        <v>7.9651916537967749</v>
      </c>
      <c r="N28" s="72">
        <v>32.147397155410758</v>
      </c>
      <c r="O28" s="72">
        <v>21.378739966040584</v>
      </c>
      <c r="P28" s="72">
        <v>39.57159232591686</v>
      </c>
      <c r="Q28" s="72">
        <v>13.057586435686471</v>
      </c>
      <c r="R28" s="72">
        <v>11.01922116415737</v>
      </c>
      <c r="S28" s="72">
        <v>25.751833231103557</v>
      </c>
      <c r="T28" s="72">
        <v>14.401287326393746</v>
      </c>
      <c r="U28" s="72">
        <v>21.782294533398552</v>
      </c>
      <c r="V28" s="72">
        <v>11.8103835165925</v>
      </c>
      <c r="W28" s="72">
        <v>12.436985042474008</v>
      </c>
      <c r="X28" s="72">
        <v>11.606024397386863</v>
      </c>
      <c r="Y28" s="72">
        <v>8.2241289490739096</v>
      </c>
      <c r="Z28" s="72">
        <v>8.0380057818946291</v>
      </c>
      <c r="AA28" s="72">
        <v>13.837568835178862</v>
      </c>
      <c r="AB28" s="72">
        <v>23.887843327048138</v>
      </c>
      <c r="AC28" s="72">
        <v>8.6576223279755222</v>
      </c>
      <c r="AD28" s="72">
        <v>8.9697135699030923</v>
      </c>
      <c r="AE28" s="72">
        <v>17.295649408959292</v>
      </c>
      <c r="AF28" s="72">
        <v>13.341150444833014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4</v>
      </c>
      <c r="L29" s="74">
        <f>F12/L12</f>
        <v>0</v>
      </c>
      <c r="M29" s="74">
        <f>F18/M18</f>
        <v>5</v>
      </c>
      <c r="N29" s="74">
        <f>F11/N11</f>
        <v>0</v>
      </c>
      <c r="O29" s="74">
        <f>F9/O9</f>
        <v>0</v>
      </c>
      <c r="P29" s="74">
        <f>(F6/P6)*(25/47)</f>
        <v>35.460992907801419</v>
      </c>
      <c r="Q29" s="74">
        <f>(F13/Q13)*(6/20)</f>
        <v>15</v>
      </c>
      <c r="R29" s="74">
        <f>(F13/R13)*(3/20)</f>
        <v>7.5</v>
      </c>
      <c r="S29" s="74">
        <f>(F6/S6)*(12/47)</f>
        <v>17.021276595744681</v>
      </c>
      <c r="T29" s="74">
        <f>(F13/T13)*(3/20)</f>
        <v>7.5</v>
      </c>
      <c r="U29" s="74">
        <f>(F7/U7)*(6/47)</f>
        <v>7.6595744680851059</v>
      </c>
      <c r="V29" s="74">
        <f>(F7/V7)*(3/47)</f>
        <v>3.8297872340425529</v>
      </c>
      <c r="W29" s="74">
        <f>(F13/W13)*(8/20)</f>
        <v>5.7142857142857144</v>
      </c>
      <c r="X29" s="74">
        <f>(F19/X19)*(3/4)</f>
        <v>12</v>
      </c>
      <c r="Y29" s="74">
        <f>(F7/Y7)*(1/29)</f>
        <v>2.0689655172413794</v>
      </c>
      <c r="Z29" s="74">
        <f>(F16/Z16)*(4/5)</f>
        <v>8</v>
      </c>
      <c r="AA29" s="74">
        <f>(F15/AA15)*(4/16)</f>
        <v>5</v>
      </c>
      <c r="AB29" s="74">
        <f>(F7/AB7)*(11/47)</f>
        <v>14.042553191489361</v>
      </c>
      <c r="AC29" s="74">
        <f>(F6/AC6)*(1/47)</f>
        <v>1.4184397163120568</v>
      </c>
      <c r="AD29" s="74">
        <f>(F14/AD14)</f>
        <v>0</v>
      </c>
      <c r="AE29" s="74">
        <f>(F19/AE19)*(1/4)</f>
        <v>4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-0.70497310658148971</v>
      </c>
      <c r="K30" s="70">
        <f t="shared" si="34"/>
        <v>3.5714285714285716</v>
      </c>
      <c r="L30" s="70">
        <f t="shared" si="34"/>
        <v>-2.4827586206896552</v>
      </c>
      <c r="M30" s="70">
        <f t="shared" si="34"/>
        <v>0.93167701863354035</v>
      </c>
      <c r="N30" s="70">
        <f t="shared" si="34"/>
        <v>-1.5261044176706828</v>
      </c>
      <c r="O30" s="70">
        <f t="shared" si="34"/>
        <v>-2.0833333333333335</v>
      </c>
      <c r="P30" s="70">
        <f t="shared" si="34"/>
        <v>1.0551918530641935</v>
      </c>
      <c r="Q30" s="70">
        <f t="shared" si="34"/>
        <v>1.3015184381778742</v>
      </c>
      <c r="R30" s="70">
        <f t="shared" si="34"/>
        <v>1.2110726643598615</v>
      </c>
      <c r="S30" s="70">
        <f t="shared" si="34"/>
        <v>0.93816100535025493</v>
      </c>
      <c r="T30" s="70">
        <f t="shared" si="34"/>
        <v>1.0416666666666667</v>
      </c>
      <c r="U30" s="70">
        <f t="shared" si="34"/>
        <v>0.59056710622117947</v>
      </c>
      <c r="V30" s="70">
        <f t="shared" si="34"/>
        <v>0.13192165883029458</v>
      </c>
      <c r="W30" s="70">
        <f t="shared" si="34"/>
        <v>1.5355979525360635</v>
      </c>
      <c r="X30" s="70">
        <f t="shared" si="34"/>
        <v>4.5685279187817258</v>
      </c>
      <c r="Y30" s="70">
        <f t="shared" si="34"/>
        <v>0.75279261777561934</v>
      </c>
      <c r="Z30" s="70">
        <f t="shared" si="34"/>
        <v>4.5161290322580641</v>
      </c>
      <c r="AA30" s="70">
        <f t="shared" si="34"/>
        <v>0</v>
      </c>
      <c r="AB30" s="70">
        <f t="shared" si="34"/>
        <v>0.64897724472192553</v>
      </c>
      <c r="AC30" s="70">
        <f t="shared" si="34"/>
        <v>0.2682305873795236</v>
      </c>
      <c r="AD30" s="70">
        <f t="shared" si="34"/>
        <v>-1.6528925619834711</v>
      </c>
      <c r="AE30" s="70">
        <f t="shared" si="34"/>
        <v>1.4492753623188408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0.31116496488906387</v>
      </c>
      <c r="K31" s="70">
        <f t="shared" ref="K31:AF31" si="35">NORMDIST(K30,0,1,FALSE)</f>
        <v>6.7791438513267678E-4</v>
      </c>
      <c r="L31" s="70">
        <f t="shared" si="35"/>
        <v>1.8297630333187428E-2</v>
      </c>
      <c r="M31" s="70">
        <f t="shared" si="35"/>
        <v>0.25847674077806199</v>
      </c>
      <c r="N31" s="70">
        <f t="shared" si="35"/>
        <v>0.12450170355209141</v>
      </c>
      <c r="O31" s="70">
        <f t="shared" si="35"/>
        <v>4.5543952872905573E-2</v>
      </c>
      <c r="P31" s="70">
        <f t="shared" si="35"/>
        <v>0.22862927891236096</v>
      </c>
      <c r="Q31" s="70">
        <f t="shared" si="35"/>
        <v>0.17103045213676746</v>
      </c>
      <c r="R31" s="70">
        <f t="shared" si="35"/>
        <v>0.19161118613778638</v>
      </c>
      <c r="S31" s="70">
        <f t="shared" si="35"/>
        <v>0.25691459379413667</v>
      </c>
      <c r="T31" s="70">
        <f t="shared" si="35"/>
        <v>0.23189438328624271</v>
      </c>
      <c r="U31" s="70">
        <f t="shared" si="35"/>
        <v>0.3351010044835166</v>
      </c>
      <c r="V31" s="70">
        <f t="shared" si="35"/>
        <v>0.39548587953186165</v>
      </c>
      <c r="W31" s="70">
        <f t="shared" si="35"/>
        <v>0.12270538151229468</v>
      </c>
      <c r="X31" s="70">
        <f t="shared" si="35"/>
        <v>1.171474555830288E-5</v>
      </c>
      <c r="Y31" s="70">
        <f t="shared" si="35"/>
        <v>0.30050619911253779</v>
      </c>
      <c r="Z31" s="70">
        <f t="shared" si="35"/>
        <v>1.4862797917943318E-5</v>
      </c>
      <c r="AA31" s="70">
        <f t="shared" si="35"/>
        <v>0.3989422804014327</v>
      </c>
      <c r="AB31" s="70">
        <f t="shared" si="35"/>
        <v>0.32318697111623867</v>
      </c>
      <c r="AC31" s="70">
        <f t="shared" si="35"/>
        <v>0.38484587204181958</v>
      </c>
      <c r="AD31" s="70">
        <f t="shared" si="35"/>
        <v>0.10177757907817411</v>
      </c>
      <c r="AE31" s="70">
        <f t="shared" si="35"/>
        <v>0.13957710992500036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0.24041348629186277</v>
      </c>
      <c r="K32" s="70">
        <f t="shared" ref="K32:AF32" si="36">NORMDIST(K30,0,1,TRUE)</f>
        <v>0.9998224803096265</v>
      </c>
      <c r="L32" s="70">
        <f t="shared" si="36"/>
        <v>6.5184697274321794E-3</v>
      </c>
      <c r="M32" s="70">
        <f t="shared" si="36"/>
        <v>0.82424826667399453</v>
      </c>
      <c r="N32" s="70">
        <f t="shared" si="36"/>
        <v>6.349193103372576E-2</v>
      </c>
      <c r="O32" s="70">
        <f t="shared" si="36"/>
        <v>1.8610425189886329E-2</v>
      </c>
      <c r="P32" s="70">
        <f t="shared" si="36"/>
        <v>0.85433120529486528</v>
      </c>
      <c r="Q32" s="70">
        <f t="shared" si="36"/>
        <v>0.90345947127020609</v>
      </c>
      <c r="R32" s="70">
        <f t="shared" si="36"/>
        <v>0.88706622156702475</v>
      </c>
      <c r="S32" s="70">
        <f t="shared" si="36"/>
        <v>0.82591916269481458</v>
      </c>
      <c r="T32" s="70">
        <f t="shared" si="36"/>
        <v>0.85121687581824801</v>
      </c>
      <c r="U32" s="70">
        <f t="shared" si="36"/>
        <v>0.72259474492746256</v>
      </c>
      <c r="V32" s="70">
        <f t="shared" si="36"/>
        <v>0.55247687145932511</v>
      </c>
      <c r="W32" s="70">
        <f t="shared" si="36"/>
        <v>0.9376814916664995</v>
      </c>
      <c r="X32" s="70">
        <f t="shared" si="36"/>
        <v>0.99999754419173437</v>
      </c>
      <c r="Y32" s="70">
        <f t="shared" si="36"/>
        <v>0.77421272821047848</v>
      </c>
      <c r="Z32" s="70">
        <f t="shared" si="36"/>
        <v>0.99999685098513735</v>
      </c>
      <c r="AA32" s="70">
        <f t="shared" si="36"/>
        <v>0.5</v>
      </c>
      <c r="AB32" s="70">
        <f t="shared" si="36"/>
        <v>0.7418234577444639</v>
      </c>
      <c r="AC32" s="70">
        <f t="shared" si="36"/>
        <v>0.60573908397805565</v>
      </c>
      <c r="AD32" s="70">
        <f t="shared" si="36"/>
        <v>4.9176365594524589E-2</v>
      </c>
      <c r="AE32" s="70">
        <f t="shared" si="36"/>
        <v>0.92636965065740862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0.84665302917529273</v>
      </c>
      <c r="K33" s="70">
        <f t="shared" ref="K33:AF33" si="37">K31-(K30*(1-K32))</f>
        <v>4.3915490941621505E-5</v>
      </c>
      <c r="L33" s="70">
        <f t="shared" si="37"/>
        <v>2.4848724641133559</v>
      </c>
      <c r="M33" s="70">
        <f t="shared" si="37"/>
        <v>9.4732889853212182E-2</v>
      </c>
      <c r="N33" s="70">
        <f t="shared" si="37"/>
        <v>1.5537108047857631</v>
      </c>
      <c r="O33" s="70">
        <f t="shared" si="37"/>
        <v>2.0901055670606423</v>
      </c>
      <c r="P33" s="70">
        <f t="shared" si="37"/>
        <v>7.4920753493822267E-2</v>
      </c>
      <c r="Q33" s="70">
        <f t="shared" si="37"/>
        <v>4.5381173963499916E-2</v>
      </c>
      <c r="R33" s="70">
        <f t="shared" si="37"/>
        <v>5.4840174194736774E-2</v>
      </c>
      <c r="S33" s="70">
        <f t="shared" si="37"/>
        <v>9.359874045568975E-2</v>
      </c>
      <c r="T33" s="70">
        <f t="shared" si="37"/>
        <v>7.6911962263584377E-2</v>
      </c>
      <c r="U33" s="70">
        <f t="shared" si="37"/>
        <v>0.17127458574477999</v>
      </c>
      <c r="V33" s="70">
        <f t="shared" si="37"/>
        <v>0.33644788604985265</v>
      </c>
      <c r="W33" s="70">
        <f t="shared" si="37"/>
        <v>2.7009207710269711E-2</v>
      </c>
      <c r="X33" s="70">
        <f t="shared" si="37"/>
        <v>4.9531693358172747E-7</v>
      </c>
      <c r="Y33" s="70">
        <f t="shared" si="37"/>
        <v>0.13053520772168864</v>
      </c>
      <c r="Z33" s="70">
        <f t="shared" si="37"/>
        <v>6.4144047373224736E-7</v>
      </c>
      <c r="AA33" s="70">
        <f t="shared" si="37"/>
        <v>0.3989422804014327</v>
      </c>
      <c r="AB33" s="70">
        <f t="shared" si="37"/>
        <v>0.15563627007140707</v>
      </c>
      <c r="AC33" s="70">
        <f t="shared" si="37"/>
        <v>0.27909303495646443</v>
      </c>
      <c r="AD33" s="70">
        <f t="shared" si="37"/>
        <v>1.6733868921450756</v>
      </c>
      <c r="AE33" s="70">
        <f t="shared" si="37"/>
        <v>3.2866458703853407E-2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16.772196507962548</v>
      </c>
      <c r="K34" s="74">
        <f t="shared" si="38"/>
        <v>3.6889012390962061E-5</v>
      </c>
      <c r="L34" s="74">
        <f t="shared" si="38"/>
        <v>18.01532536482183</v>
      </c>
      <c r="M34" s="74">
        <f t="shared" si="38"/>
        <v>0.30503990532734326</v>
      </c>
      <c r="N34" s="74">
        <f t="shared" si="38"/>
        <v>19.343699519582749</v>
      </c>
      <c r="O34" s="74">
        <f t="shared" si="38"/>
        <v>10.032506721891084</v>
      </c>
      <c r="P34" s="74">
        <f t="shared" si="38"/>
        <v>1.1687637545036274</v>
      </c>
      <c r="Q34" s="74">
        <f t="shared" si="38"/>
        <v>0.41841442394346923</v>
      </c>
      <c r="R34" s="74">
        <f t="shared" si="38"/>
        <v>0.15848810342278929</v>
      </c>
      <c r="S34" s="74">
        <f t="shared" si="38"/>
        <v>0.80026923089614743</v>
      </c>
      <c r="T34" s="74">
        <f t="shared" si="38"/>
        <v>0.25842419320564347</v>
      </c>
      <c r="U34" s="74">
        <f t="shared" si="38"/>
        <v>1.3513564815263142</v>
      </c>
      <c r="V34" s="74">
        <f t="shared" si="38"/>
        <v>2.1162572032535731</v>
      </c>
      <c r="W34" s="74">
        <f t="shared" si="38"/>
        <v>8.2918267670528012E-2</v>
      </c>
      <c r="X34" s="74">
        <f t="shared" si="38"/>
        <v>9.7577435915600303E-7</v>
      </c>
      <c r="Y34" s="74">
        <f t="shared" si="38"/>
        <v>0.18535999496479785</v>
      </c>
      <c r="Z34" s="74">
        <f t="shared" si="38"/>
        <v>9.9423273428498349E-7</v>
      </c>
      <c r="AA34" s="74">
        <f t="shared" si="38"/>
        <v>1.3723614445809285</v>
      </c>
      <c r="AB34" s="74">
        <f t="shared" si="38"/>
        <v>1.2092938184548327</v>
      </c>
      <c r="AC34" s="74">
        <f t="shared" si="38"/>
        <v>0.43538513453208449</v>
      </c>
      <c r="AD34" s="74">
        <f t="shared" si="38"/>
        <v>2.0247981394955414</v>
      </c>
      <c r="AE34" s="74">
        <f t="shared" si="38"/>
        <v>6.8033569516976547E-2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28.227803492037452</v>
      </c>
      <c r="K35" s="74">
        <f t="shared" si="39"/>
        <v>0.99996311098760904</v>
      </c>
      <c r="L35" s="74">
        <f t="shared" si="39"/>
        <v>-1.5325364821830334E-2</v>
      </c>
      <c r="M35" s="74">
        <f t="shared" si="39"/>
        <v>1.6949600946726568</v>
      </c>
      <c r="N35" s="74">
        <f t="shared" si="39"/>
        <v>-0.34369951958274925</v>
      </c>
      <c r="O35" s="74">
        <f t="shared" si="39"/>
        <v>-3.2506721891083501E-2</v>
      </c>
      <c r="P35" s="74">
        <f t="shared" si="39"/>
        <v>17.831236245496374</v>
      </c>
      <c r="Q35" s="74">
        <f t="shared" si="39"/>
        <v>2.5815855760565309</v>
      </c>
      <c r="R35" s="74">
        <f t="shared" si="39"/>
        <v>3.8415118965772108</v>
      </c>
      <c r="S35" s="74">
        <f t="shared" si="39"/>
        <v>8.1997307691038532</v>
      </c>
      <c r="T35" s="74">
        <f t="shared" si="39"/>
        <v>3.7415758067943568</v>
      </c>
      <c r="U35" s="74">
        <f t="shared" si="39"/>
        <v>1.6486435184736858</v>
      </c>
      <c r="V35" s="74">
        <f t="shared" si="39"/>
        <v>0.88374279674642686</v>
      </c>
      <c r="W35" s="74">
        <f t="shared" si="39"/>
        <v>0.91708173232947199</v>
      </c>
      <c r="X35" s="74">
        <f t="shared" si="39"/>
        <v>2.9999990242256409</v>
      </c>
      <c r="Y35" s="74">
        <f t="shared" si="39"/>
        <v>0.81464000503520217</v>
      </c>
      <c r="Z35" s="74">
        <f t="shared" si="39"/>
        <v>0.99999900576726575</v>
      </c>
      <c r="AA35" s="74">
        <f t="shared" si="39"/>
        <v>3.6276385554190718</v>
      </c>
      <c r="AB35" s="74">
        <f t="shared" si="39"/>
        <v>7.7907061815451675</v>
      </c>
      <c r="AC35" s="74">
        <f t="shared" si="39"/>
        <v>0.56461486546791551</v>
      </c>
      <c r="AD35" s="74">
        <f t="shared" si="39"/>
        <v>-2.4798139495541438E-2</v>
      </c>
      <c r="AE35" s="74">
        <f t="shared" si="39"/>
        <v>0.93196643048302341</v>
      </c>
      <c r="AF35" s="74">
        <f t="shared" si="39"/>
        <v>0.35403274880761504</v>
      </c>
      <c r="AG35" s="187">
        <f>SUM(J35:AF35)</f>
        <v>88.235102110235331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2.8066792665832381</v>
      </c>
      <c r="K36" s="74">
        <f t="shared" ref="K36:AF36" si="40">K29-K35</f>
        <v>3.000036889012391</v>
      </c>
      <c r="L36" s="74">
        <f t="shared" si="40"/>
        <v>1.5325364821830334E-2</v>
      </c>
      <c r="M36" s="74">
        <f t="shared" si="40"/>
        <v>3.3050399053273432</v>
      </c>
      <c r="N36" s="74">
        <f t="shared" si="40"/>
        <v>0.34369951958274925</v>
      </c>
      <c r="O36" s="74">
        <f t="shared" si="40"/>
        <v>3.2506721891083501E-2</v>
      </c>
      <c r="P36" s="74">
        <f t="shared" si="40"/>
        <v>17.629756662305045</v>
      </c>
      <c r="Q36" s="74">
        <f t="shared" si="40"/>
        <v>12.418414423943469</v>
      </c>
      <c r="R36" s="74">
        <f t="shared" si="40"/>
        <v>3.6584881034227892</v>
      </c>
      <c r="S36" s="74">
        <f t="shared" si="40"/>
        <v>8.8215458266408273</v>
      </c>
      <c r="T36" s="74">
        <f t="shared" si="40"/>
        <v>3.7584241932056432</v>
      </c>
      <c r="U36" s="74">
        <f t="shared" si="40"/>
        <v>6.0109309496114198</v>
      </c>
      <c r="V36" s="74">
        <f t="shared" si="40"/>
        <v>2.9460444372961261</v>
      </c>
      <c r="W36" s="74">
        <f t="shared" si="40"/>
        <v>4.7972039819562422</v>
      </c>
      <c r="X36" s="74">
        <f t="shared" si="40"/>
        <v>9.0000009757743591</v>
      </c>
      <c r="Y36" s="74">
        <f t="shared" si="40"/>
        <v>1.2543255122061772</v>
      </c>
      <c r="Z36" s="74">
        <f t="shared" si="40"/>
        <v>7.0000009942327344</v>
      </c>
      <c r="AA36" s="74">
        <f t="shared" si="40"/>
        <v>1.3723614445809282</v>
      </c>
      <c r="AB36" s="74">
        <f t="shared" si="40"/>
        <v>6.2518470099441936</v>
      </c>
      <c r="AC36" s="74">
        <f t="shared" si="40"/>
        <v>0.85382485084414128</v>
      </c>
      <c r="AD36" s="74">
        <f t="shared" si="40"/>
        <v>2.4798139495541438E-2</v>
      </c>
      <c r="AE36" s="74">
        <f t="shared" si="40"/>
        <v>3.0680335695169765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1411.3901746018726</v>
      </c>
      <c r="K37" s="70">
        <f t="shared" ref="K37:AF37" si="41">K20*K35</f>
        <v>199.9926221975218</v>
      </c>
      <c r="L37" s="70">
        <f t="shared" si="41"/>
        <v>-0.91952188930982004</v>
      </c>
      <c r="M37" s="70">
        <f t="shared" si="41"/>
        <v>84.74800473363284</v>
      </c>
      <c r="N37" s="70">
        <f t="shared" si="41"/>
        <v>-15.466478381223716</v>
      </c>
      <c r="O37" s="70">
        <f t="shared" si="41"/>
        <v>-1.9504033134650101</v>
      </c>
      <c r="P37" s="70">
        <f t="shared" si="41"/>
        <v>891.56181227481875</v>
      </c>
      <c r="Q37" s="70">
        <f t="shared" si="41"/>
        <v>129.07927880282654</v>
      </c>
      <c r="R37" s="70">
        <f t="shared" si="41"/>
        <v>192.07559482886055</v>
      </c>
      <c r="S37" s="70">
        <f t="shared" si="41"/>
        <v>409.98653845519266</v>
      </c>
      <c r="T37" s="70">
        <f t="shared" si="41"/>
        <v>261.91030647560495</v>
      </c>
      <c r="U37" s="70">
        <f t="shared" si="41"/>
        <v>115.40504629315801</v>
      </c>
      <c r="V37" s="70">
        <f t="shared" si="41"/>
        <v>44.18713983732134</v>
      </c>
      <c r="W37" s="70">
        <f t="shared" si="41"/>
        <v>73.366538586357763</v>
      </c>
      <c r="X37" s="70">
        <f t="shared" si="41"/>
        <v>179.99994145353844</v>
      </c>
      <c r="Y37" s="70">
        <f t="shared" si="41"/>
        <v>48.878400302112134</v>
      </c>
      <c r="Z37" s="70">
        <f t="shared" si="41"/>
        <v>59.999940346035942</v>
      </c>
      <c r="AA37" s="70">
        <f t="shared" si="41"/>
        <v>181.38192777095358</v>
      </c>
      <c r="AB37" s="70">
        <f t="shared" si="41"/>
        <v>389.53530907725838</v>
      </c>
      <c r="AC37" s="70">
        <f t="shared" si="41"/>
        <v>28.230743273395774</v>
      </c>
      <c r="AD37" s="70">
        <f t="shared" si="41"/>
        <v>-1.4878883697324863</v>
      </c>
      <c r="AE37" s="70">
        <f t="shared" si="41"/>
        <v>111.83597165796282</v>
      </c>
      <c r="AF37" s="70">
        <f t="shared" si="41"/>
        <v>35.403274880761501</v>
      </c>
      <c r="AG37" s="288">
        <f>SUM(J37:AF37)</f>
        <v>4829.1442738954556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139.96348166597292</v>
      </c>
      <c r="K38" s="70">
        <f t="shared" ref="K38:AF38" si="42">(K20-K22)*K36</f>
        <v>596.01132866631372</v>
      </c>
      <c r="L38" s="70">
        <f t="shared" si="42"/>
        <v>0.91630356269723567</v>
      </c>
      <c r="M38" s="70">
        <f t="shared" si="42"/>
        <v>163.53337451559693</v>
      </c>
      <c r="N38" s="70">
        <f t="shared" si="42"/>
        <v>15.379866102288862</v>
      </c>
      <c r="O38" s="70">
        <f t="shared" si="42"/>
        <v>1.9433168480927538</v>
      </c>
      <c r="P38" s="70">
        <f t="shared" si="42"/>
        <v>878.4202554560112</v>
      </c>
      <c r="Q38" s="70">
        <f t="shared" si="42"/>
        <v>616.87231809496791</v>
      </c>
      <c r="R38" s="70">
        <f t="shared" si="42"/>
        <v>181.73173804942363</v>
      </c>
      <c r="S38" s="70">
        <f t="shared" si="42"/>
        <v>440.20395829520396</v>
      </c>
      <c r="T38" s="70">
        <f t="shared" si="42"/>
        <v>261.86444723740999</v>
      </c>
      <c r="U38" s="70">
        <f t="shared" si="42"/>
        <v>420.04385475884601</v>
      </c>
      <c r="V38" s="70">
        <f t="shared" si="42"/>
        <v>146.35948764487154</v>
      </c>
      <c r="W38" s="70">
        <f t="shared" si="42"/>
        <v>382.0972971628147</v>
      </c>
      <c r="X38" s="70">
        <f t="shared" si="42"/>
        <v>537.97505832691229</v>
      </c>
      <c r="Y38" s="70">
        <f t="shared" si="42"/>
        <v>74.662471788560495</v>
      </c>
      <c r="Z38" s="70">
        <f t="shared" si="42"/>
        <v>416.22005911707839</v>
      </c>
      <c r="AA38" s="70">
        <f t="shared" si="42"/>
        <v>68.37104716902185</v>
      </c>
      <c r="AB38" s="70">
        <f t="shared" si="42"/>
        <v>311.84212885601642</v>
      </c>
      <c r="AC38" s="70">
        <f t="shared" si="42"/>
        <v>42.606713881973498</v>
      </c>
      <c r="AD38" s="70">
        <f>(AD20-AD22)*AD36</f>
        <v>1.4747949520788404</v>
      </c>
      <c r="AE38" s="70">
        <f t="shared" si="42"/>
        <v>367.47372078889589</v>
      </c>
      <c r="AF38" s="70">
        <f t="shared" si="42"/>
        <v>33.436383951765492</v>
      </c>
      <c r="AG38" s="288">
        <f>SUM(J38:AF38)</f>
        <v>6099.4034068928149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10.063317904777529</v>
      </c>
      <c r="K39" s="70">
        <f t="shared" ref="K39:AF39" si="43">K23*K34</f>
        <v>1.3648934584655964E-4</v>
      </c>
      <c r="L39" s="70">
        <f t="shared" si="43"/>
        <v>27.022988047232744</v>
      </c>
      <c r="M39" s="70">
        <f t="shared" si="43"/>
        <v>1.2201596213093731</v>
      </c>
      <c r="N39" s="70">
        <f t="shared" si="43"/>
        <v>54.162358654831692</v>
      </c>
      <c r="O39" s="70">
        <f t="shared" si="43"/>
        <v>32.104021510051467</v>
      </c>
      <c r="P39" s="70">
        <f t="shared" si="43"/>
        <v>0.70125825270217634</v>
      </c>
      <c r="Q39" s="70">
        <f t="shared" si="43"/>
        <v>0.37657298154912228</v>
      </c>
      <c r="R39" s="70">
        <f t="shared" si="43"/>
        <v>0.14263929308051035</v>
      </c>
      <c r="S39" s="70">
        <f t="shared" si="43"/>
        <v>0.24008076926884422</v>
      </c>
      <c r="T39" s="70">
        <f t="shared" si="43"/>
        <v>0.23258177388507911</v>
      </c>
      <c r="U39" s="70">
        <f t="shared" si="43"/>
        <v>0.67567824076315708</v>
      </c>
      <c r="V39" s="70">
        <f t="shared" si="43"/>
        <v>2.7511343642296451</v>
      </c>
      <c r="W39" s="70">
        <f t="shared" si="43"/>
        <v>5.8042787369369617E-2</v>
      </c>
      <c r="X39" s="70">
        <f t="shared" si="43"/>
        <v>2.4394358978900076E-6</v>
      </c>
      <c r="Y39" s="70">
        <f t="shared" si="43"/>
        <v>0.35218399043311593</v>
      </c>
      <c r="Z39" s="70">
        <f t="shared" si="43"/>
        <v>1.4913491014274752E-6</v>
      </c>
      <c r="AA39" s="70">
        <f t="shared" si="43"/>
        <v>0.68618072229046423</v>
      </c>
      <c r="AB39" s="70">
        <f t="shared" si="43"/>
        <v>0.60464690922741637</v>
      </c>
      <c r="AC39" s="70">
        <f t="shared" si="43"/>
        <v>0.13061554035962533</v>
      </c>
      <c r="AD39" s="70">
        <f t="shared" si="43"/>
        <v>1.6198385115964333</v>
      </c>
      <c r="AE39" s="70">
        <f t="shared" si="43"/>
        <v>0.17008392379244136</v>
      </c>
      <c r="AF39" s="70">
        <f t="shared" si="43"/>
        <v>0.9689508767885775</v>
      </c>
      <c r="AG39" s="288">
        <f t="shared" ref="AG39" si="44">SUM(J39:AF39)</f>
        <v>134.28347509566962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204.82758620689654</v>
      </c>
      <c r="K40" s="70">
        <f t="shared" ref="K40:AF40" si="45">K21*K29</f>
        <v>266.39999999999998</v>
      </c>
      <c r="L40" s="70">
        <f t="shared" si="45"/>
        <v>0</v>
      </c>
      <c r="M40" s="70">
        <f t="shared" si="45"/>
        <v>130</v>
      </c>
      <c r="N40" s="70">
        <f t="shared" si="45"/>
        <v>0</v>
      </c>
      <c r="O40" s="70">
        <f t="shared" si="45"/>
        <v>0</v>
      </c>
      <c r="P40" s="70">
        <f t="shared" si="45"/>
        <v>308.51063829787233</v>
      </c>
      <c r="Q40" s="70">
        <f t="shared" si="45"/>
        <v>244.5</v>
      </c>
      <c r="R40" s="70">
        <f t="shared" si="45"/>
        <v>122.25</v>
      </c>
      <c r="S40" s="70">
        <f t="shared" si="45"/>
        <v>84.255319148936167</v>
      </c>
      <c r="T40" s="70">
        <f t="shared" si="45"/>
        <v>122.25</v>
      </c>
      <c r="U40" s="70">
        <f t="shared" si="45"/>
        <v>45.957446808510639</v>
      </c>
      <c r="V40" s="70">
        <f t="shared" si="45"/>
        <v>61.276595744680847</v>
      </c>
      <c r="W40" s="70">
        <f t="shared" si="45"/>
        <v>100</v>
      </c>
      <c r="X40" s="70">
        <f t="shared" si="45"/>
        <v>135</v>
      </c>
      <c r="Y40" s="70">
        <f t="shared" si="45"/>
        <v>49.241379310344833</v>
      </c>
      <c r="Z40" s="70">
        <f t="shared" si="45"/>
        <v>216</v>
      </c>
      <c r="AA40" s="70">
        <f t="shared" si="45"/>
        <v>45</v>
      </c>
      <c r="AB40" s="70">
        <f t="shared" si="45"/>
        <v>84.255319148936167</v>
      </c>
      <c r="AC40" s="70">
        <f t="shared" si="45"/>
        <v>7.0212765957446814</v>
      </c>
      <c r="AD40" s="70">
        <f t="shared" si="45"/>
        <v>0</v>
      </c>
      <c r="AE40" s="70">
        <f t="shared" si="45"/>
        <v>45</v>
      </c>
      <c r="AF40" s="70">
        <f t="shared" si="45"/>
        <v>12.931034482758621</v>
      </c>
      <c r="AG40" s="289">
        <f>SUM(J40:AF40)</f>
        <v>2284.676595744681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1336.4627521561715</v>
      </c>
      <c r="K41" s="76">
        <f t="shared" ref="K41:AF41" si="46">K37+K38-K40-K39</f>
        <v>529.60381437448962</v>
      </c>
      <c r="L41" s="76">
        <f t="shared" si="46"/>
        <v>-27.026206373845326</v>
      </c>
      <c r="M41" s="76">
        <f t="shared" si="46"/>
        <v>117.06121962792038</v>
      </c>
      <c r="N41" s="76">
        <f t="shared" si="46"/>
        <v>-54.248970933766543</v>
      </c>
      <c r="O41" s="76">
        <f t="shared" si="46"/>
        <v>-32.111107975423721</v>
      </c>
      <c r="P41" s="76">
        <f t="shared" si="46"/>
        <v>1460.7701711802551</v>
      </c>
      <c r="Q41" s="76">
        <f t="shared" si="46"/>
        <v>501.07502391624524</v>
      </c>
      <c r="R41" s="76">
        <f t="shared" si="46"/>
        <v>251.41469358520365</v>
      </c>
      <c r="S41" s="76">
        <f t="shared" si="46"/>
        <v>765.69509683219167</v>
      </c>
      <c r="T41" s="76">
        <f t="shared" si="46"/>
        <v>401.29217193912979</v>
      </c>
      <c r="U41" s="76">
        <f t="shared" si="46"/>
        <v>488.81577600273016</v>
      </c>
      <c r="V41" s="76">
        <f t="shared" si="46"/>
        <v>126.51889737328241</v>
      </c>
      <c r="W41" s="76">
        <f t="shared" si="46"/>
        <v>355.40579296180312</v>
      </c>
      <c r="X41" s="76">
        <f t="shared" si="46"/>
        <v>582.97499734101484</v>
      </c>
      <c r="Y41" s="76">
        <f t="shared" si="46"/>
        <v>73.947308789894677</v>
      </c>
      <c r="Z41" s="76">
        <f t="shared" si="46"/>
        <v>260.21999797176522</v>
      </c>
      <c r="AA41" s="76">
        <f t="shared" si="46"/>
        <v>204.06679421768499</v>
      </c>
      <c r="AB41" s="76">
        <f t="shared" si="46"/>
        <v>616.51747187511126</v>
      </c>
      <c r="AC41" s="76">
        <f t="shared" si="46"/>
        <v>63.685565019264956</v>
      </c>
      <c r="AD41" s="76">
        <f t="shared" si="46"/>
        <v>-1.6329319292500792</v>
      </c>
      <c r="AE41" s="76">
        <f t="shared" si="46"/>
        <v>434.13960852306627</v>
      </c>
      <c r="AF41" s="76">
        <f t="shared" si="46"/>
        <v>54.939673472979798</v>
      </c>
      <c r="AG41" s="290">
        <f>SUM(J41:AF41)</f>
        <v>8509.5876099479192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1.419368775151749</v>
      </c>
      <c r="K43" s="70">
        <f t="shared" si="47"/>
        <v>27.290434200955243</v>
      </c>
      <c r="L43" s="70">
        <f t="shared" si="47"/>
        <v>1.8958455523195015</v>
      </c>
      <c r="M43" s="70">
        <f t="shared" si="47"/>
        <v>1.8525439918623523</v>
      </c>
      <c r="N43" s="70">
        <f t="shared" si="47"/>
        <v>1.0560158357759646</v>
      </c>
      <c r="O43" s="70">
        <f t="shared" si="47"/>
        <v>2.3705708262584553</v>
      </c>
      <c r="P43" s="70">
        <f t="shared" si="47"/>
        <v>1.3186918157639014</v>
      </c>
      <c r="Q43" s="70">
        <f t="shared" si="47"/>
        <v>1.0908445158011355</v>
      </c>
      <c r="R43" s="70">
        <f t="shared" si="47"/>
        <v>2.4287962505734844</v>
      </c>
      <c r="S43" s="70">
        <f t="shared" si="47"/>
        <v>1.9592787404799481</v>
      </c>
      <c r="T43" s="70">
        <f t="shared" si="47"/>
        <v>3.095621228093377</v>
      </c>
      <c r="U43" s="70">
        <f t="shared" si="47"/>
        <v>2.3805189522685111</v>
      </c>
      <c r="V43" s="70">
        <f t="shared" si="47"/>
        <v>1.4006969024789349</v>
      </c>
      <c r="W43" s="70">
        <f t="shared" si="47"/>
        <v>3.7254022939654754</v>
      </c>
      <c r="X43" s="70">
        <f t="shared" si="47"/>
        <v>4.368540303242062</v>
      </c>
      <c r="Y43" s="70">
        <f t="shared" si="47"/>
        <v>5.0874147528689511</v>
      </c>
      <c r="Z43" s="70">
        <f t="shared" si="47"/>
        <v>4.5406488915449215</v>
      </c>
      <c r="AA43" s="70">
        <f t="shared" si="47"/>
        <v>2.5690607079008321</v>
      </c>
      <c r="AB43" s="70">
        <f t="shared" si="47"/>
        <v>1.9160673522584477</v>
      </c>
      <c r="AC43" s="70">
        <f t="shared" si="47"/>
        <v>4.9087322615227702</v>
      </c>
      <c r="AD43" s="70">
        <f t="shared" si="47"/>
        <v>5.7600938594240434</v>
      </c>
      <c r="AE43" s="70">
        <f t="shared" si="47"/>
        <v>7.872294400463427</v>
      </c>
      <c r="AF43" s="70">
        <f t="shared" si="47"/>
        <v>10.370714659523541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0.14569463435221933</v>
      </c>
      <c r="K44" s="70">
        <f t="shared" ref="K44:AF44" si="48">NORMDIST(K43,0,1,FALSE)</f>
        <v>7.5272681950891168E-163</v>
      </c>
      <c r="L44" s="70">
        <f t="shared" si="48"/>
        <v>6.6135228772910226E-2</v>
      </c>
      <c r="M44" s="70">
        <f t="shared" si="48"/>
        <v>7.1726274063737605E-2</v>
      </c>
      <c r="N44" s="70">
        <f t="shared" si="48"/>
        <v>0.22843050378119259</v>
      </c>
      <c r="O44" s="70">
        <f t="shared" si="48"/>
        <v>2.4023048522918977E-2</v>
      </c>
      <c r="P44" s="70">
        <f t="shared" si="48"/>
        <v>0.16722541510173555</v>
      </c>
      <c r="Q44" s="70">
        <f t="shared" si="48"/>
        <v>0.22004803577505588</v>
      </c>
      <c r="R44" s="70">
        <f t="shared" si="48"/>
        <v>2.0890429436155631E-2</v>
      </c>
      <c r="S44" s="70">
        <f t="shared" si="48"/>
        <v>5.8523603665881899E-2</v>
      </c>
      <c r="T44" s="70">
        <f t="shared" si="48"/>
        <v>3.3114340783719732E-3</v>
      </c>
      <c r="U44" s="70">
        <f t="shared" si="48"/>
        <v>2.3461986242805797E-2</v>
      </c>
      <c r="V44" s="70">
        <f t="shared" si="48"/>
        <v>0.14958141693420943</v>
      </c>
      <c r="W44" s="70">
        <f t="shared" si="48"/>
        <v>3.8654987361807955E-4</v>
      </c>
      <c r="X44" s="70">
        <f t="shared" si="48"/>
        <v>2.8631280222635563E-5</v>
      </c>
      <c r="Y44" s="70">
        <f t="shared" si="48"/>
        <v>9.5664547654512614E-7</v>
      </c>
      <c r="Z44" s="70">
        <f t="shared" si="48"/>
        <v>1.3300822116865981E-5</v>
      </c>
      <c r="AA44" s="70">
        <f t="shared" si="48"/>
        <v>1.4713718433050863E-2</v>
      </c>
      <c r="AB44" s="70">
        <f t="shared" si="48"/>
        <v>6.3634749478286429E-2</v>
      </c>
      <c r="AC44" s="70">
        <f t="shared" si="48"/>
        <v>2.3367143461914919E-6</v>
      </c>
      <c r="AD44" s="70">
        <f t="shared" si="48"/>
        <v>2.4902959928949743E-8</v>
      </c>
      <c r="AE44" s="70">
        <f t="shared" si="48"/>
        <v>1.3920022870799053E-14</v>
      </c>
      <c r="AF44" s="70">
        <f t="shared" si="48"/>
        <v>1.7633976376687557E-24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0.9221042345918764</v>
      </c>
      <c r="K45" s="70">
        <f t="shared" ref="K45:AF45" si="49">NORMDIST(K43,0,1,TRUE)</f>
        <v>1</v>
      </c>
      <c r="L45" s="70">
        <f t="shared" si="49"/>
        <v>0.97100976479961265</v>
      </c>
      <c r="M45" s="70">
        <f t="shared" si="49"/>
        <v>0.96802612672066268</v>
      </c>
      <c r="N45" s="70">
        <f t="shared" si="49"/>
        <v>0.85451950997324011</v>
      </c>
      <c r="O45" s="70">
        <f t="shared" si="49"/>
        <v>0.99111967963810699</v>
      </c>
      <c r="P45" s="70">
        <f t="shared" si="49"/>
        <v>0.90636391800044658</v>
      </c>
      <c r="Q45" s="70">
        <f t="shared" si="49"/>
        <v>0.86232934761382429</v>
      </c>
      <c r="R45" s="70">
        <f t="shared" si="49"/>
        <v>0.99242547847193319</v>
      </c>
      <c r="S45" s="70">
        <f t="shared" si="49"/>
        <v>0.97495992396009656</v>
      </c>
      <c r="T45" s="70">
        <f t="shared" si="49"/>
        <v>0.99901799464958974</v>
      </c>
      <c r="U45" s="70">
        <f t="shared" si="49"/>
        <v>0.99135586414877064</v>
      </c>
      <c r="V45" s="70">
        <f t="shared" si="49"/>
        <v>0.91934763531328767</v>
      </c>
      <c r="W45" s="70">
        <f t="shared" si="49"/>
        <v>0.99990249801227304</v>
      </c>
      <c r="X45" s="70">
        <f t="shared" si="49"/>
        <v>0.9999937460131697</v>
      </c>
      <c r="Y45" s="70">
        <f t="shared" si="49"/>
        <v>0.99999981851127329</v>
      </c>
      <c r="Z45" s="70">
        <f t="shared" si="49"/>
        <v>0.99999719593210601</v>
      </c>
      <c r="AA45" s="70">
        <f t="shared" si="49"/>
        <v>0.99490127043524779</v>
      </c>
      <c r="AB45" s="70">
        <f t="shared" si="49"/>
        <v>0.97232173837566227</v>
      </c>
      <c r="AC45" s="70">
        <f t="shared" si="49"/>
        <v>0.99999954166489147</v>
      </c>
      <c r="AD45" s="70">
        <f t="shared" si="49"/>
        <v>0.99999999579664123</v>
      </c>
      <c r="AE45" s="70">
        <f t="shared" si="49"/>
        <v>0.99999999999999822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3.5131817215382957E-2</v>
      </c>
      <c r="K46" s="70">
        <f t="shared" ref="K46:AF46" si="50">K44-(K43*(1-K45))</f>
        <v>7.5272681950891168E-163</v>
      </c>
      <c r="L46" s="70">
        <f t="shared" si="50"/>
        <v>1.1174220307559622E-2</v>
      </c>
      <c r="M46" s="70">
        <f t="shared" si="50"/>
        <v>1.2493267223533049E-2</v>
      </c>
      <c r="N46" s="70">
        <f t="shared" si="50"/>
        <v>7.4800802516486853E-2</v>
      </c>
      <c r="O46" s="70">
        <f t="shared" si="50"/>
        <v>2.9716201451864752E-3</v>
      </c>
      <c r="P46" s="70">
        <f t="shared" si="50"/>
        <v>4.3748280108726889E-2</v>
      </c>
      <c r="Q46" s="70">
        <f t="shared" si="50"/>
        <v>6.9870759632831597E-2</v>
      </c>
      <c r="R46" s="70">
        <f t="shared" si="50"/>
        <v>2.4934599488988171E-3</v>
      </c>
      <c r="S46" s="70">
        <f t="shared" si="50"/>
        <v>9.4631150208977707E-3</v>
      </c>
      <c r="T46" s="70">
        <f t="shared" si="50"/>
        <v>2.7151746954068344E-4</v>
      </c>
      <c r="U46" s="70">
        <f t="shared" si="50"/>
        <v>2.8844570229706011E-3</v>
      </c>
      <c r="V46" s="70">
        <f t="shared" si="50"/>
        <v>3.6611899539930035E-2</v>
      </c>
      <c r="W46" s="70">
        <f t="shared" si="50"/>
        <v>2.3315744873885435E-5</v>
      </c>
      <c r="X46" s="70">
        <f t="shared" si="50"/>
        <v>1.3104866985434354E-6</v>
      </c>
      <c r="Y46" s="70">
        <f t="shared" si="50"/>
        <v>3.3337050782182092E-8</v>
      </c>
      <c r="Z46" s="70">
        <f t="shared" si="50"/>
        <v>5.685343421984793E-7</v>
      </c>
      <c r="AA46" s="70">
        <f t="shared" si="50"/>
        <v>1.6147726480336393E-3</v>
      </c>
      <c r="AB46" s="70">
        <f t="shared" si="50"/>
        <v>1.0601336012625036E-2</v>
      </c>
      <c r="AC46" s="70">
        <f t="shared" si="50"/>
        <v>8.6870012347052295E-8</v>
      </c>
      <c r="AD46" s="70">
        <f t="shared" si="50"/>
        <v>6.9121887648021579E-10</v>
      </c>
      <c r="AE46" s="70">
        <f t="shared" si="50"/>
        <v>-6.398112923645019E-17</v>
      </c>
      <c r="AF46" s="70">
        <f t="shared" si="50"/>
        <v>1.7633976376687557E-24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0.69596129903673631</v>
      </c>
      <c r="K47" s="74">
        <f t="shared" si="51"/>
        <v>6.322905283874858E-163</v>
      </c>
      <c r="L47" s="74">
        <f t="shared" si="51"/>
        <v>8.1013097229807263E-2</v>
      </c>
      <c r="M47" s="74">
        <f t="shared" si="51"/>
        <v>4.0228320459776416E-2</v>
      </c>
      <c r="N47" s="74">
        <f t="shared" si="51"/>
        <v>0.93126999133026123</v>
      </c>
      <c r="O47" s="74">
        <f t="shared" si="51"/>
        <v>1.426377669689508E-2</v>
      </c>
      <c r="P47" s="74">
        <f t="shared" si="51"/>
        <v>0.68247316969613947</v>
      </c>
      <c r="Q47" s="74">
        <f t="shared" si="51"/>
        <v>0.64420840381470734</v>
      </c>
      <c r="R47" s="74">
        <f t="shared" si="51"/>
        <v>7.2060992523175814E-3</v>
      </c>
      <c r="S47" s="74">
        <f t="shared" si="51"/>
        <v>8.0909633428675951E-2</v>
      </c>
      <c r="T47" s="74">
        <f t="shared" si="51"/>
        <v>9.1229869765669638E-4</v>
      </c>
      <c r="U47" s="74">
        <f t="shared" si="51"/>
        <v>2.2758365911238043E-2</v>
      </c>
      <c r="V47" s="74">
        <f t="shared" si="51"/>
        <v>0.23028884810615993</v>
      </c>
      <c r="W47" s="74">
        <f t="shared" si="51"/>
        <v>7.1579336762828276E-5</v>
      </c>
      <c r="X47" s="74">
        <f t="shared" si="51"/>
        <v>2.5816587961305678E-6</v>
      </c>
      <c r="Y47" s="74">
        <f t="shared" si="51"/>
        <v>4.733861211069857E-8</v>
      </c>
      <c r="Z47" s="74">
        <f t="shared" si="51"/>
        <v>8.8122823040764291E-7</v>
      </c>
      <c r="AA47" s="74">
        <f t="shared" si="51"/>
        <v>5.5548179092357189E-3</v>
      </c>
      <c r="AB47" s="74">
        <f t="shared" si="51"/>
        <v>8.237238081809653E-2</v>
      </c>
      <c r="AC47" s="74">
        <f t="shared" si="51"/>
        <v>1.3551721926140158E-7</v>
      </c>
      <c r="AD47" s="74">
        <f t="shared" si="51"/>
        <v>8.3637484054106104E-10</v>
      </c>
      <c r="AE47" s="74">
        <f t="shared" si="51"/>
        <v>-1.3244093751945187E-16</v>
      </c>
      <c r="AF47" s="74">
        <f t="shared" si="51"/>
        <v>2.098443188825819E-24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44.304038700963261</v>
      </c>
      <c r="K48" s="74">
        <f t="shared" si="52"/>
        <v>1</v>
      </c>
      <c r="L48" s="74">
        <f t="shared" si="52"/>
        <v>17.918986902770193</v>
      </c>
      <c r="M48" s="74">
        <f t="shared" si="52"/>
        <v>1.9597716795402236</v>
      </c>
      <c r="N48" s="74">
        <f t="shared" si="52"/>
        <v>18.068730008669739</v>
      </c>
      <c r="O48" s="74">
        <f t="shared" si="52"/>
        <v>9.9857362233031051</v>
      </c>
      <c r="P48" s="74">
        <f t="shared" si="52"/>
        <v>18.317526830303862</v>
      </c>
      <c r="Q48" s="74">
        <f t="shared" si="52"/>
        <v>2.3557915961852927</v>
      </c>
      <c r="R48" s="74">
        <f t="shared" si="52"/>
        <v>3.9927939007476825</v>
      </c>
      <c r="S48" s="74">
        <f t="shared" si="52"/>
        <v>8.9190903665713233</v>
      </c>
      <c r="T48" s="74">
        <f t="shared" si="52"/>
        <v>3.9990877013023431</v>
      </c>
      <c r="U48" s="74">
        <f t="shared" si="52"/>
        <v>2.9772416340887617</v>
      </c>
      <c r="V48" s="74">
        <f t="shared" si="52"/>
        <v>2.7697111518938402</v>
      </c>
      <c r="W48" s="74">
        <f t="shared" si="52"/>
        <v>0.99992842066323717</v>
      </c>
      <c r="X48" s="74">
        <f t="shared" si="52"/>
        <v>2.9999974183412039</v>
      </c>
      <c r="Y48" s="74">
        <f t="shared" si="52"/>
        <v>0.99999995266138786</v>
      </c>
      <c r="Z48" s="74">
        <f t="shared" si="52"/>
        <v>0.99999911877176961</v>
      </c>
      <c r="AA48" s="74">
        <f t="shared" si="52"/>
        <v>4.9944451820907645</v>
      </c>
      <c r="AB48" s="74">
        <f t="shared" si="52"/>
        <v>8.9176276191819035</v>
      </c>
      <c r="AC48" s="74">
        <f t="shared" si="52"/>
        <v>0.99999986448278078</v>
      </c>
      <c r="AD48" s="74">
        <f t="shared" si="52"/>
        <v>1.9999999991636253</v>
      </c>
      <c r="AE48" s="74">
        <f t="shared" si="52"/>
        <v>1.0000000000000002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28.813656734792886</v>
      </c>
      <c r="K49" s="74">
        <f t="shared" ref="K49:AF49" si="53">K28-K48</f>
        <v>22.923964728802403</v>
      </c>
      <c r="L49" s="74">
        <f t="shared" si="53"/>
        <v>13.825893351546192</v>
      </c>
      <c r="M49" s="74">
        <f t="shared" si="53"/>
        <v>6.0054199742565508</v>
      </c>
      <c r="N49" s="74">
        <f t="shared" si="53"/>
        <v>14.078667146741019</v>
      </c>
      <c r="O49" s="74">
        <f t="shared" si="53"/>
        <v>11.393003742737479</v>
      </c>
      <c r="P49" s="74">
        <f t="shared" si="53"/>
        <v>21.254065495612998</v>
      </c>
      <c r="Q49" s="74">
        <f t="shared" si="53"/>
        <v>10.701794839501177</v>
      </c>
      <c r="R49" s="74">
        <f t="shared" si="53"/>
        <v>7.0264272634096878</v>
      </c>
      <c r="S49" s="74">
        <f t="shared" si="53"/>
        <v>16.832742864532236</v>
      </c>
      <c r="T49" s="74">
        <f t="shared" si="53"/>
        <v>10.402199625091402</v>
      </c>
      <c r="U49" s="74">
        <f t="shared" si="53"/>
        <v>18.805052899309789</v>
      </c>
      <c r="V49" s="74">
        <f t="shared" si="53"/>
        <v>9.0406723646986595</v>
      </c>
      <c r="W49" s="74">
        <f t="shared" si="53"/>
        <v>11.437056621810772</v>
      </c>
      <c r="X49" s="74">
        <f t="shared" si="53"/>
        <v>8.6060269790456587</v>
      </c>
      <c r="Y49" s="74">
        <f t="shared" si="53"/>
        <v>7.2241289964125217</v>
      </c>
      <c r="Z49" s="74">
        <f t="shared" si="53"/>
        <v>7.0380066631228591</v>
      </c>
      <c r="AA49" s="74">
        <f t="shared" si="53"/>
        <v>8.8431236530880977</v>
      </c>
      <c r="AB49" s="74">
        <f t="shared" si="53"/>
        <v>14.970215707866235</v>
      </c>
      <c r="AC49" s="74">
        <f t="shared" si="53"/>
        <v>7.657622463492741</v>
      </c>
      <c r="AD49" s="74">
        <f t="shared" si="53"/>
        <v>6.9697135707394668</v>
      </c>
      <c r="AE49" s="74">
        <f t="shared" si="53"/>
        <v>16.295649408959292</v>
      </c>
      <c r="AF49" s="74">
        <f t="shared" si="53"/>
        <v>12.341150444833014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2215.2019350481633</v>
      </c>
      <c r="K50" s="70">
        <f t="shared" ref="K50:AF50" si="54">K48*K20</f>
        <v>200</v>
      </c>
      <c r="L50" s="70">
        <f t="shared" si="54"/>
        <v>1075.1392141662116</v>
      </c>
      <c r="M50" s="70">
        <f t="shared" si="54"/>
        <v>97.988583977011174</v>
      </c>
      <c r="N50" s="70">
        <f t="shared" si="54"/>
        <v>813.09285039013821</v>
      </c>
      <c r="O50" s="70">
        <f t="shared" si="54"/>
        <v>599.14417339818635</v>
      </c>
      <c r="P50" s="70">
        <f t="shared" si="54"/>
        <v>915.87634151519308</v>
      </c>
      <c r="Q50" s="70">
        <f t="shared" si="54"/>
        <v>117.78957980926464</v>
      </c>
      <c r="R50" s="70">
        <f t="shared" si="54"/>
        <v>199.63969503738412</v>
      </c>
      <c r="S50" s="70">
        <f t="shared" si="54"/>
        <v>445.95451832856617</v>
      </c>
      <c r="T50" s="70">
        <f t="shared" si="54"/>
        <v>279.93613909116402</v>
      </c>
      <c r="U50" s="70">
        <f t="shared" si="54"/>
        <v>208.40691438621332</v>
      </c>
      <c r="V50" s="70">
        <f t="shared" si="54"/>
        <v>138.48555759469201</v>
      </c>
      <c r="W50" s="70">
        <f t="shared" si="54"/>
        <v>79.994273653058968</v>
      </c>
      <c r="X50" s="70">
        <f t="shared" si="54"/>
        <v>179.99984510047224</v>
      </c>
      <c r="Y50" s="70">
        <f t="shared" si="54"/>
        <v>59.999997159683275</v>
      </c>
      <c r="Z50" s="70">
        <f t="shared" si="54"/>
        <v>59.999947126306175</v>
      </c>
      <c r="AA50" s="70">
        <f t="shared" si="54"/>
        <v>249.72225910453824</v>
      </c>
      <c r="AB50" s="70">
        <f t="shared" si="54"/>
        <v>445.88138095909517</v>
      </c>
      <c r="AC50" s="70">
        <f t="shared" si="54"/>
        <v>49.99999322413904</v>
      </c>
      <c r="AD50" s="70">
        <f t="shared" si="54"/>
        <v>119.99999994981752</v>
      </c>
      <c r="AE50" s="70">
        <f t="shared" si="54"/>
        <v>120.00000000000003</v>
      </c>
      <c r="AF50" s="70">
        <f t="shared" si="54"/>
        <v>100</v>
      </c>
      <c r="AG50" s="186">
        <f>SUM(J50:AF50)</f>
        <v>8772.2531990193002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1436.8794340506518</v>
      </c>
      <c r="K51" s="70">
        <f t="shared" ref="K51:AF51" si="55">(K20-K22)*K49</f>
        <v>4554.2582247417158</v>
      </c>
      <c r="L51" s="70">
        <f t="shared" si="55"/>
        <v>826.65016348894676</v>
      </c>
      <c r="M51" s="70">
        <f t="shared" si="55"/>
        <v>297.14818032621412</v>
      </c>
      <c r="N51" s="70">
        <f t="shared" si="55"/>
        <v>629.99219748236703</v>
      </c>
      <c r="O51" s="70">
        <f t="shared" si="55"/>
        <v>681.09654974833188</v>
      </c>
      <c r="P51" s="70">
        <f t="shared" si="55"/>
        <v>1059.0050673844132</v>
      </c>
      <c r="Q51" s="70">
        <f t="shared" si="55"/>
        <v>531.60095685738145</v>
      </c>
      <c r="R51" s="70">
        <f t="shared" si="55"/>
        <v>349.03074788261284</v>
      </c>
      <c r="S51" s="70">
        <f t="shared" si="55"/>
        <v>839.97070168302309</v>
      </c>
      <c r="T51" s="70">
        <f t="shared" si="55"/>
        <v>724.76285667861839</v>
      </c>
      <c r="U51" s="70">
        <f t="shared" si="55"/>
        <v>1314.097096603768</v>
      </c>
      <c r="V51" s="70">
        <f t="shared" si="55"/>
        <v>449.14060307822939</v>
      </c>
      <c r="W51" s="70">
        <f t="shared" si="55"/>
        <v>910.961559927228</v>
      </c>
      <c r="X51" s="70">
        <f t="shared" si="55"/>
        <v>514.42526267245421</v>
      </c>
      <c r="Y51" s="70">
        <f t="shared" si="55"/>
        <v>430.00905438245894</v>
      </c>
      <c r="Z51" s="70">
        <f t="shared" si="55"/>
        <v>418.47987618928522</v>
      </c>
      <c r="AA51" s="70">
        <f t="shared" si="55"/>
        <v>440.56442039684902</v>
      </c>
      <c r="AB51" s="70">
        <f t="shared" si="55"/>
        <v>746.71435950836781</v>
      </c>
      <c r="AC51" s="70">
        <f t="shared" si="55"/>
        <v>382.12301855075128</v>
      </c>
      <c r="AD51" s="70">
        <f t="shared" si="55"/>
        <v>414.50280547901758</v>
      </c>
      <c r="AE51" s="70">
        <f t="shared" si="55"/>
        <v>1951.8114079580994</v>
      </c>
      <c r="AF51" s="70">
        <f t="shared" si="55"/>
        <v>1229.487113066489</v>
      </c>
      <c r="AG51" s="51">
        <f>SUM(J51:AF51)</f>
        <v>21132.711658137272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0.4175767794220418</v>
      </c>
      <c r="K52" s="70">
        <f t="shared" ref="K52:AF52" si="56">K47*K23</f>
        <v>2.3394749550336975E-162</v>
      </c>
      <c r="L52" s="70">
        <f t="shared" si="56"/>
        <v>0.12151964584471089</v>
      </c>
      <c r="M52" s="70">
        <f t="shared" si="56"/>
        <v>0.16091328183910567</v>
      </c>
      <c r="N52" s="70">
        <f t="shared" si="56"/>
        <v>2.6075559757247313</v>
      </c>
      <c r="O52" s="70">
        <f t="shared" si="56"/>
        <v>4.5644085430064263E-2</v>
      </c>
      <c r="P52" s="70">
        <f t="shared" si="56"/>
        <v>0.40948390181768368</v>
      </c>
      <c r="Q52" s="70">
        <f t="shared" si="56"/>
        <v>0.57978756343323656</v>
      </c>
      <c r="R52" s="70">
        <f t="shared" si="56"/>
        <v>6.4854893270858225E-3</v>
      </c>
      <c r="S52" s="70">
        <f t="shared" si="56"/>
        <v>2.4272890028602785E-2</v>
      </c>
      <c r="T52" s="70">
        <f t="shared" si="56"/>
        <v>8.2106882789102667E-4</v>
      </c>
      <c r="U52" s="70">
        <f t="shared" si="56"/>
        <v>1.1379182955619021E-2</v>
      </c>
      <c r="V52" s="70">
        <f t="shared" si="56"/>
        <v>0.29937550253800793</v>
      </c>
      <c r="W52" s="70">
        <f t="shared" si="56"/>
        <v>5.0105535733979798E-5</v>
      </c>
      <c r="X52" s="70">
        <f t="shared" si="56"/>
        <v>6.4541469903264196E-6</v>
      </c>
      <c r="Y52" s="70">
        <f t="shared" si="56"/>
        <v>8.9943363010327284E-8</v>
      </c>
      <c r="Z52" s="70">
        <f t="shared" si="56"/>
        <v>1.3218423456114644E-6</v>
      </c>
      <c r="AA52" s="70">
        <f t="shared" si="56"/>
        <v>2.7774089546178595E-3</v>
      </c>
      <c r="AB52" s="70">
        <f t="shared" si="56"/>
        <v>4.1186190409048265E-2</v>
      </c>
      <c r="AC52" s="70">
        <f t="shared" si="56"/>
        <v>4.0655165778420471E-8</v>
      </c>
      <c r="AD52" s="70">
        <f t="shared" si="56"/>
        <v>6.6909987243284885E-10</v>
      </c>
      <c r="AE52" s="70">
        <f t="shared" si="56"/>
        <v>-3.3110234379862969E-16</v>
      </c>
      <c r="AF52" s="70">
        <f t="shared" si="56"/>
        <v>3.1476647832387285E-24</v>
      </c>
      <c r="AG52" s="51">
        <f>SUM(J52:AF52)</f>
        <v>4.7288369793451448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482.57678987599053</v>
      </c>
      <c r="K53" s="70">
        <f t="shared" ref="K53:AF53" si="57">K21*K28</f>
        <v>1593.3360509382399</v>
      </c>
      <c r="L53" s="70">
        <f t="shared" si="57"/>
        <v>333.32124267032202</v>
      </c>
      <c r="M53" s="70">
        <f t="shared" si="57"/>
        <v>207.09498299871615</v>
      </c>
      <c r="N53" s="70">
        <f t="shared" si="57"/>
        <v>405.05720415817552</v>
      </c>
      <c r="O53" s="70">
        <f t="shared" si="57"/>
        <v>233.02826562984234</v>
      </c>
      <c r="P53" s="70">
        <f t="shared" si="57"/>
        <v>344.27285323547665</v>
      </c>
      <c r="Q53" s="70">
        <f t="shared" si="57"/>
        <v>212.83865890168948</v>
      </c>
      <c r="R53" s="70">
        <f t="shared" si="57"/>
        <v>179.61330497576515</v>
      </c>
      <c r="S53" s="70">
        <f t="shared" si="57"/>
        <v>127.47157449396261</v>
      </c>
      <c r="T53" s="70">
        <f t="shared" si="57"/>
        <v>234.74098342021807</v>
      </c>
      <c r="U53" s="70">
        <f t="shared" si="57"/>
        <v>130.69376720039131</v>
      </c>
      <c r="V53" s="70">
        <f t="shared" si="57"/>
        <v>188.96613626548</v>
      </c>
      <c r="W53" s="70">
        <f t="shared" si="57"/>
        <v>217.64723824329513</v>
      </c>
      <c r="X53" s="70">
        <f t="shared" si="57"/>
        <v>130.56777447060222</v>
      </c>
      <c r="Y53" s="70">
        <f t="shared" si="57"/>
        <v>195.73426898795904</v>
      </c>
      <c r="Z53" s="70">
        <f t="shared" si="57"/>
        <v>217.02615611115499</v>
      </c>
      <c r="AA53" s="70">
        <f t="shared" si="57"/>
        <v>124.53811951660975</v>
      </c>
      <c r="AB53" s="70">
        <f t="shared" si="57"/>
        <v>143.32705996228884</v>
      </c>
      <c r="AC53" s="70">
        <f t="shared" si="57"/>
        <v>42.855230523478838</v>
      </c>
      <c r="AD53" s="70">
        <f t="shared" si="57"/>
        <v>236.80043824544165</v>
      </c>
      <c r="AE53" s="70">
        <f t="shared" si="57"/>
        <v>194.57605585079205</v>
      </c>
      <c r="AF53" s="70">
        <f t="shared" si="57"/>
        <v>250.14657084061901</v>
      </c>
      <c r="AG53" s="67">
        <f>SUM(J53:AF53)</f>
        <v>6426.2307275165113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3169.0870024434025</v>
      </c>
      <c r="K54" s="79">
        <f t="shared" ref="K54:AF54" si="58">K50+K51-K53-K52</f>
        <v>3160.9221738034757</v>
      </c>
      <c r="L54" s="79">
        <f t="shared" si="58"/>
        <v>1568.3466153389913</v>
      </c>
      <c r="M54" s="79">
        <f t="shared" si="58"/>
        <v>187.88086802267003</v>
      </c>
      <c r="N54" s="79">
        <f t="shared" si="58"/>
        <v>1035.4202877386049</v>
      </c>
      <c r="O54" s="79">
        <f t="shared" si="58"/>
        <v>1047.1668134312458</v>
      </c>
      <c r="P54" s="79">
        <f t="shared" si="58"/>
        <v>1630.1990717623119</v>
      </c>
      <c r="Q54" s="79">
        <f t="shared" si="58"/>
        <v>435.97209020152337</v>
      </c>
      <c r="R54" s="79">
        <f t="shared" si="58"/>
        <v>369.05065245490476</v>
      </c>
      <c r="S54" s="79">
        <f t="shared" si="58"/>
        <v>1158.429372627598</v>
      </c>
      <c r="T54" s="79">
        <f t="shared" si="58"/>
        <v>769.95719128073642</v>
      </c>
      <c r="U54" s="79">
        <f t="shared" si="58"/>
        <v>1391.7988646066347</v>
      </c>
      <c r="V54" s="79">
        <f t="shared" si="58"/>
        <v>398.36064890490337</v>
      </c>
      <c r="W54" s="79">
        <f t="shared" si="58"/>
        <v>773.30854523145615</v>
      </c>
      <c r="X54" s="79">
        <f t="shared" si="58"/>
        <v>563.85732684817731</v>
      </c>
      <c r="Y54" s="79">
        <f t="shared" si="58"/>
        <v>294.27478246423982</v>
      </c>
      <c r="Z54" s="79">
        <f t="shared" si="58"/>
        <v>261.45366588259407</v>
      </c>
      <c r="AA54" s="79">
        <f t="shared" si="58"/>
        <v>565.74578257582277</v>
      </c>
      <c r="AB54" s="79">
        <f>AB50+AB51-AB53-AB52</f>
        <v>1049.2274943147652</v>
      </c>
      <c r="AC54" s="79">
        <f t="shared" si="58"/>
        <v>389.26778121075631</v>
      </c>
      <c r="AD54" s="79">
        <f t="shared" si="58"/>
        <v>297.70236718272434</v>
      </c>
      <c r="AE54" s="79">
        <f t="shared" si="58"/>
        <v>1877.2353521073076</v>
      </c>
      <c r="AF54" s="79">
        <f t="shared" si="58"/>
        <v>1079.34054222587</v>
      </c>
      <c r="AG54" s="68">
        <f>SUM(J54:AF54)</f>
        <v>23474.005292660713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14964.417682712794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AF816-7B40-9D49-997A-7C06FE34E7EE}">
  <dimension ref="A1:BJ75"/>
  <sheetViews>
    <sheetView topLeftCell="AO6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5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46</v>
      </c>
      <c r="K2" s="262">
        <f>_xlfn.XLOOKUP($B$1,daily_demand!$E$1:$AH$1,daily_demand!$E$3:$AH$3)</f>
        <v>1</v>
      </c>
      <c r="L2" s="263">
        <f>_xlfn.XLOOKUP($B$1,daily_demand!$E$1:$AH$1,daily_demand!$E$4:$AH$4)</f>
        <v>21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19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2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2.2235089698128201</v>
      </c>
      <c r="AJ4" s="45">
        <f t="shared" ref="AJ4:AJ18" si="1">K4*K$28</f>
        <v>0.7177581342114574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1.2036949410472846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1.024778369676618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0.33057580003676507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0.53484210018201617</v>
      </c>
      <c r="BF4" s="44">
        <f>SUM(AI4:BE4)</f>
        <v>6.035158314966961</v>
      </c>
      <c r="BG4" s="54">
        <f>ROUNDUP(BF4*2, 0)</f>
        <v>13</v>
      </c>
      <c r="BH4" s="86">
        <f>CEILING($BG$1*BG4, 0.5)</f>
        <v>6.5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2.2235089698128201</v>
      </c>
      <c r="AJ5" s="45">
        <f t="shared" si="1"/>
        <v>0.9570108456152765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0.33057580003676507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0.66855262522752024</v>
      </c>
      <c r="BF5" s="44">
        <f t="shared" ref="BF5:BF19" si="23">SUM(AI5:BE5)</f>
        <v>4.1796482406923818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150</v>
      </c>
      <c r="C6" s="7">
        <f>B6*0.02</f>
        <v>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0.47850542280763825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1.2036949410472846</v>
      </c>
      <c r="AP6" s="45">
        <f t="shared" si="7"/>
        <v>0</v>
      </c>
      <c r="AQ6" s="45">
        <f t="shared" si="8"/>
        <v>0</v>
      </c>
      <c r="AR6" s="45">
        <f t="shared" si="9"/>
        <v>0.7862083770943018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0.33057580003676507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0.29221771708871264</v>
      </c>
      <c r="BC6" s="45">
        <f t="shared" si="20"/>
        <v>0</v>
      </c>
      <c r="BD6" s="45">
        <f t="shared" si="21"/>
        <v>0</v>
      </c>
      <c r="BE6" s="45">
        <f t="shared" si="22"/>
        <v>0.53484210018201617</v>
      </c>
      <c r="BF6" s="44">
        <f t="shared" si="23"/>
        <v>3.6260443582567188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4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0.7177581342114574</v>
      </c>
      <c r="AK7" s="45">
        <f t="shared" si="2"/>
        <v>0</v>
      </c>
      <c r="AL7" s="45">
        <f t="shared" si="3"/>
        <v>0</v>
      </c>
      <c r="AM7" s="45">
        <f t="shared" si="4"/>
        <v>1.3116087677097235</v>
      </c>
      <c r="AN7" s="45">
        <f t="shared" si="5"/>
        <v>0.85688900187197581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1.0890636339187181</v>
      </c>
      <c r="AU7" s="45">
        <f t="shared" si="12"/>
        <v>0.6404864810478863</v>
      </c>
      <c r="AV7" s="45">
        <f t="shared" si="13"/>
        <v>0</v>
      </c>
      <c r="AW7" s="45">
        <f t="shared" si="14"/>
        <v>0</v>
      </c>
      <c r="AX7" s="45">
        <f t="shared" si="15"/>
        <v>0.41321975004595635</v>
      </c>
      <c r="AY7" s="45">
        <f t="shared" si="16"/>
        <v>0.40186771437089486</v>
      </c>
      <c r="AZ7" s="45">
        <f t="shared" si="17"/>
        <v>0</v>
      </c>
      <c r="BA7" s="45">
        <f t="shared" si="18"/>
        <v>1.194355922215133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6.6252494053917452</v>
      </c>
      <c r="BG7" s="54">
        <f t="shared" si="24"/>
        <v>14</v>
      </c>
      <c r="BH7" s="86">
        <f t="shared" si="25"/>
        <v>7</v>
      </c>
      <c r="BI7" s="6"/>
    </row>
    <row r="8" spans="1:61" ht="24" x14ac:dyDescent="0.2">
      <c r="A8" s="286" t="s">
        <v>46</v>
      </c>
      <c r="B8" s="295">
        <f>_xlfn.XLOOKUP($B$1,cost!$A$16:$A$45,cost!$F$16:$F$45)</f>
        <v>115</v>
      </c>
      <c r="C8" s="7">
        <f t="shared" ref="C8:C19" si="26">B8*0.02</f>
        <v>2.3000000000000003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0.23925271140381912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0.64266675140398177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0.16528790001838253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0.26742105009100808</v>
      </c>
      <c r="BF8" s="44">
        <f t="shared" si="23"/>
        <v>1.3146284129171915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5.3555562616998484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5.3555562616998484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6.5580438385486177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6.5580438385486177</v>
      </c>
      <c r="BG10" s="54">
        <f t="shared" si="24"/>
        <v>14</v>
      </c>
      <c r="BH10" s="86">
        <f t="shared" si="25"/>
        <v>7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125</v>
      </c>
      <c r="C11" s="7">
        <f t="shared" si="26"/>
        <v>2.5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1.3116087677097235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1.3116087677097235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0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5.2116075642331978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5.2116075642331978</v>
      </c>
      <c r="BG12" s="54">
        <f t="shared" si="24"/>
        <v>11</v>
      </c>
      <c r="BH12" s="86">
        <f t="shared" si="25"/>
        <v>5.5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1.1962635570190956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0.2611379533523463</v>
      </c>
      <c r="AQ13" s="45">
        <f t="shared" si="8"/>
        <v>0.22037157825992285</v>
      </c>
      <c r="AR13" s="45">
        <f t="shared" si="9"/>
        <v>0</v>
      </c>
      <c r="AS13" s="45">
        <f t="shared" si="10"/>
        <v>0.28800654094756151</v>
      </c>
      <c r="AT13" s="45">
        <f t="shared" si="11"/>
        <v>0</v>
      </c>
      <c r="AU13" s="45">
        <f t="shared" si="12"/>
        <v>0</v>
      </c>
      <c r="AV13" s="45">
        <f t="shared" si="13"/>
        <v>0.94051055999265609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2.9062901895715822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0.9570108456152765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0.7175185042771266</v>
      </c>
      <c r="BD14" s="45">
        <f t="shared" si="21"/>
        <v>0</v>
      </c>
      <c r="BE14" s="45">
        <f t="shared" si="22"/>
        <v>0</v>
      </c>
      <c r="BF14" s="44">
        <f t="shared" si="23"/>
        <v>1.6745293498924032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3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1.1962635570190956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0.65284488338086577</v>
      </c>
      <c r="AQ15" s="45">
        <f t="shared" si="8"/>
        <v>0.5509289456498071</v>
      </c>
      <c r="AR15" s="45">
        <f t="shared" si="9"/>
        <v>0</v>
      </c>
      <c r="AS15" s="45">
        <f t="shared" si="10"/>
        <v>0.72001635236890382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0.69184303649544798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3.8118967749141204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1.1962635570190956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0.80373542874178971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1.9999989857608853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1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1.1962635570190956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0.2611379533523463</v>
      </c>
      <c r="AQ17" s="45">
        <f t="shared" si="8"/>
        <v>0.22037157825992285</v>
      </c>
      <c r="AR17" s="45">
        <f t="shared" si="9"/>
        <v>0</v>
      </c>
      <c r="AS17" s="45">
        <f t="shared" si="10"/>
        <v>0.28800654094756151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1.9657796295789263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2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3.1859713058789407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3.1859713058789407</v>
      </c>
      <c r="BG18" s="54">
        <f t="shared" si="24"/>
        <v>7</v>
      </c>
      <c r="BH18" s="86">
        <f t="shared" si="25"/>
        <v>3.5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2.9013162267260757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4.3234856292974602</v>
      </c>
      <c r="BE19" s="45">
        <f t="shared" si="27"/>
        <v>0</v>
      </c>
      <c r="BF19" s="44">
        <f t="shared" si="23"/>
        <v>7.2248018560235359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27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62.986813256036783</v>
      </c>
      <c r="BG20" s="54">
        <f>SUM(BG4:BG19)</f>
        <v>134</v>
      </c>
      <c r="BH20" s="86">
        <f>SUM(BH4:BH19)</f>
        <v>67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66.25</v>
      </c>
      <c r="L21" s="4">
        <f t="shared" si="28"/>
        <v>10.5</v>
      </c>
      <c r="M21" s="4">
        <f t="shared" si="28"/>
        <v>26</v>
      </c>
      <c r="N21" s="4">
        <f t="shared" si="28"/>
        <v>11.8</v>
      </c>
      <c r="O21" s="4">
        <f t="shared" si="28"/>
        <v>10.75</v>
      </c>
      <c r="P21" s="4">
        <f t="shared" si="28"/>
        <v>8.25</v>
      </c>
      <c r="Q21" s="4">
        <f t="shared" si="28"/>
        <v>16.3</v>
      </c>
      <c r="R21" s="4">
        <f t="shared" si="28"/>
        <v>16.3</v>
      </c>
      <c r="S21" s="4">
        <f t="shared" si="28"/>
        <v>4.5</v>
      </c>
      <c r="T21" s="4">
        <f t="shared" si="28"/>
        <v>16.3</v>
      </c>
      <c r="U21" s="4">
        <f t="shared" si="28"/>
        <v>6</v>
      </c>
      <c r="V21" s="4">
        <f t="shared" si="28"/>
        <v>16</v>
      </c>
      <c r="W21" s="4">
        <f t="shared" si="28"/>
        <v>17.5</v>
      </c>
      <c r="X21" s="4">
        <f t="shared" si="28"/>
        <v>11.25</v>
      </c>
      <c r="Y21" s="4">
        <f t="shared" si="28"/>
        <v>23.1</v>
      </c>
      <c r="Z21" s="4">
        <f t="shared" si="28"/>
        <v>27</v>
      </c>
      <c r="AA21" s="4">
        <f t="shared" si="28"/>
        <v>9</v>
      </c>
      <c r="AB21" s="4">
        <f t="shared" si="28"/>
        <v>6</v>
      </c>
      <c r="AC21" s="4">
        <f t="shared" si="28"/>
        <v>4.5</v>
      </c>
      <c r="AD21" s="4">
        <f t="shared" si="28"/>
        <v>26.400000000000002</v>
      </c>
      <c r="AE21" s="4">
        <f t="shared" si="28"/>
        <v>11.25</v>
      </c>
      <c r="AF21" s="4">
        <f t="shared" si="28"/>
        <v>18.05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2710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1.325</v>
      </c>
      <c r="L22" s="4">
        <f t="shared" si="29"/>
        <v>0.21000000000000002</v>
      </c>
      <c r="M22" s="4">
        <f t="shared" si="29"/>
        <v>0.52</v>
      </c>
      <c r="N22" s="4">
        <f t="shared" si="29"/>
        <v>0.23600000000000002</v>
      </c>
      <c r="O22" s="4">
        <f t="shared" si="29"/>
        <v>0.21500000000000002</v>
      </c>
      <c r="P22" s="4">
        <f t="shared" si="29"/>
        <v>0.16499999999999998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0.09</v>
      </c>
      <c r="T22" s="4">
        <f t="shared" si="29"/>
        <v>0.32600000000000001</v>
      </c>
      <c r="U22" s="4">
        <f t="shared" si="29"/>
        <v>0.12</v>
      </c>
      <c r="V22" s="4">
        <f t="shared" si="29"/>
        <v>0.32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0.46200000000000002</v>
      </c>
      <c r="Z22" s="4">
        <f t="shared" si="29"/>
        <v>0.54</v>
      </c>
      <c r="AA22" s="4">
        <f t="shared" si="29"/>
        <v>0.18000000000000002</v>
      </c>
      <c r="AB22" s="4">
        <f t="shared" si="29"/>
        <v>0.12</v>
      </c>
      <c r="AC22" s="4">
        <f t="shared" si="29"/>
        <v>0.09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0.36099999999999999</v>
      </c>
      <c r="AG22" s="9"/>
      <c r="BF22" s="432" t="s">
        <v>131</v>
      </c>
      <c r="BG22" s="432"/>
      <c r="BH22" s="41">
        <f>SUMPRODUCT(B4:B19,BH4:BH19)</f>
        <v>6895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64.924999999999997</v>
      </c>
      <c r="L25" s="69">
        <f t="shared" si="31"/>
        <v>10.29</v>
      </c>
      <c r="M25" s="69">
        <f t="shared" si="31"/>
        <v>25.48</v>
      </c>
      <c r="N25" s="69">
        <f t="shared" si="31"/>
        <v>11.564</v>
      </c>
      <c r="O25" s="69">
        <f t="shared" si="31"/>
        <v>10.535</v>
      </c>
      <c r="P25" s="69">
        <f t="shared" si="31"/>
        <v>8.0850000000000009</v>
      </c>
      <c r="Q25" s="69">
        <f t="shared" si="31"/>
        <v>15.974</v>
      </c>
      <c r="R25" s="69">
        <f t="shared" si="31"/>
        <v>15.974</v>
      </c>
      <c r="S25" s="69">
        <f t="shared" si="31"/>
        <v>4.41</v>
      </c>
      <c r="T25" s="69">
        <f t="shared" si="31"/>
        <v>15.974</v>
      </c>
      <c r="U25" s="69">
        <f t="shared" si="31"/>
        <v>5.88</v>
      </c>
      <c r="V25" s="69">
        <f t="shared" si="31"/>
        <v>15.68</v>
      </c>
      <c r="W25" s="69">
        <f t="shared" si="31"/>
        <v>17.149999999999999</v>
      </c>
      <c r="X25" s="69">
        <f t="shared" si="31"/>
        <v>11.025</v>
      </c>
      <c r="Y25" s="69">
        <f t="shared" si="31"/>
        <v>22.638000000000002</v>
      </c>
      <c r="Z25" s="69">
        <f t="shared" si="31"/>
        <v>26.46</v>
      </c>
      <c r="AA25" s="69">
        <f t="shared" si="31"/>
        <v>8.82</v>
      </c>
      <c r="AB25" s="69">
        <f t="shared" si="31"/>
        <v>5.88</v>
      </c>
      <c r="AC25" s="69">
        <f t="shared" si="31"/>
        <v>4.41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17.689</v>
      </c>
      <c r="AG25" s="16"/>
      <c r="BF25" s="434" t="s">
        <v>42</v>
      </c>
      <c r="BG25" s="434"/>
      <c r="BH25" s="39">
        <f>AG50+AG51-AG52-BH22</f>
        <v>23507.18344354942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137.44999999999999</v>
      </c>
      <c r="L26" s="4">
        <f t="shared" si="32"/>
        <v>51</v>
      </c>
      <c r="M26" s="4">
        <f t="shared" si="32"/>
        <v>28</v>
      </c>
      <c r="N26" s="4">
        <f t="shared" si="32"/>
        <v>36</v>
      </c>
      <c r="O26" s="4">
        <f t="shared" si="32"/>
        <v>52.45</v>
      </c>
      <c r="P26" s="4">
        <f t="shared" si="32"/>
        <v>42.35</v>
      </c>
      <c r="Q26" s="4">
        <f t="shared" si="32"/>
        <v>34.6</v>
      </c>
      <c r="R26" s="4">
        <f t="shared" si="32"/>
        <v>34.6</v>
      </c>
      <c r="S26" s="4">
        <f t="shared" si="32"/>
        <v>45.8</v>
      </c>
      <c r="T26" s="4">
        <f t="shared" si="32"/>
        <v>54.6</v>
      </c>
      <c r="U26" s="4">
        <f t="shared" si="32"/>
        <v>64.5</v>
      </c>
      <c r="V26" s="4">
        <f t="shared" si="32"/>
        <v>35.299999999999997</v>
      </c>
      <c r="W26" s="4">
        <f t="shared" si="32"/>
        <v>63.2</v>
      </c>
      <c r="X26" s="4">
        <f t="shared" si="32"/>
        <v>51.25</v>
      </c>
      <c r="Y26" s="4">
        <f t="shared" si="32"/>
        <v>38.799999999999997</v>
      </c>
      <c r="Z26" s="4">
        <f t="shared" si="32"/>
        <v>34.5</v>
      </c>
      <c r="AA26" s="4">
        <f t="shared" si="32"/>
        <v>41.5</v>
      </c>
      <c r="AB26" s="4">
        <f t="shared" si="32"/>
        <v>44.5</v>
      </c>
      <c r="AC26" s="4">
        <f t="shared" si="32"/>
        <v>45.8</v>
      </c>
      <c r="AD26" s="4">
        <f t="shared" si="32"/>
        <v>34.399999999999991</v>
      </c>
      <c r="AE26" s="4">
        <f t="shared" si="32"/>
        <v>111.25</v>
      </c>
      <c r="AF26" s="4">
        <f t="shared" si="32"/>
        <v>83.45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0.67918468190240888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0.75687494743923978</v>
      </c>
      <c r="O27" s="70">
        <f t="shared" si="33"/>
        <v>0.83273795348098756</v>
      </c>
      <c r="P27" s="70">
        <f t="shared" si="33"/>
        <v>0.83969465648854957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0.91216889065923124</v>
      </c>
      <c r="T27" s="70">
        <f t="shared" si="33"/>
        <v>0.77365602063082728</v>
      </c>
      <c r="U27" s="70">
        <f t="shared" si="33"/>
        <v>0.91645353793691398</v>
      </c>
      <c r="V27" s="70">
        <f t="shared" si="33"/>
        <v>0.69242840329541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0.63153097431557015</v>
      </c>
      <c r="Z27" s="70">
        <f t="shared" si="33"/>
        <v>0.56594488188976377</v>
      </c>
      <c r="AA27" s="70">
        <f t="shared" si="33"/>
        <v>0.82472178060413359</v>
      </c>
      <c r="AB27" s="70">
        <f t="shared" si="33"/>
        <v>0.8832870186581977</v>
      </c>
      <c r="AC27" s="70">
        <f t="shared" si="33"/>
        <v>0.91216889065923124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0.82510208722649026</v>
      </c>
      <c r="AG27" s="9"/>
      <c r="BF27" s="430" t="s">
        <v>130</v>
      </c>
      <c r="BG27" s="430"/>
      <c r="BH27" s="40">
        <f>BH25-AG41</f>
        <v>11341.159374506942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74.11696566042734</v>
      </c>
      <c r="K28" s="72">
        <v>23.925271140381913</v>
      </c>
      <c r="L28" s="72">
        <v>34.744050428221321</v>
      </c>
      <c r="M28" s="72">
        <v>7.9649282646973516</v>
      </c>
      <c r="N28" s="72">
        <v>32.790219192743088</v>
      </c>
      <c r="O28" s="72">
        <v>21.422225046799394</v>
      </c>
      <c r="P28" s="72">
        <v>40.123164701576151</v>
      </c>
      <c r="Q28" s="72">
        <v>13.056897667617315</v>
      </c>
      <c r="R28" s="72">
        <v>11.018578912996142</v>
      </c>
      <c r="S28" s="72">
        <v>26.206945903143396</v>
      </c>
      <c r="T28" s="72">
        <v>14.400327047378076</v>
      </c>
      <c r="U28" s="72">
        <v>21.781272678374361</v>
      </c>
      <c r="V28" s="72">
        <v>12.809729620957725</v>
      </c>
      <c r="W28" s="72">
        <v>13.435865142752229</v>
      </c>
      <c r="X28" s="72">
        <v>11.605264906904303</v>
      </c>
      <c r="Y28" s="72">
        <v>8.2643950009191265</v>
      </c>
      <c r="Z28" s="72">
        <v>8.0373542874178963</v>
      </c>
      <c r="AA28" s="72">
        <v>13.83686072990896</v>
      </c>
      <c r="AB28" s="72">
        <v>23.887118444302658</v>
      </c>
      <c r="AC28" s="72">
        <v>9.7405905696237554</v>
      </c>
      <c r="AD28" s="72">
        <v>8.9689813034640817</v>
      </c>
      <c r="AE28" s="72">
        <v>17.293942517189841</v>
      </c>
      <c r="AF28" s="72">
        <v>13.371052504550404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0</v>
      </c>
      <c r="M29" s="74">
        <f>F18/M18</f>
        <v>5</v>
      </c>
      <c r="N29" s="74">
        <f>F11/N11</f>
        <v>25</v>
      </c>
      <c r="O29" s="74">
        <f>F9/O9</f>
        <v>16</v>
      </c>
      <c r="P29" s="74">
        <f>(F6/P6)*(25/47)</f>
        <v>35.460992907801419</v>
      </c>
      <c r="Q29" s="74">
        <f>(F13/Q13)*(6/20)</f>
        <v>30</v>
      </c>
      <c r="R29" s="74">
        <f>(F13/R13)*(3/20)</f>
        <v>15</v>
      </c>
      <c r="S29" s="74">
        <f>(F6/S6)*(12/47)</f>
        <v>17.021276595744681</v>
      </c>
      <c r="T29" s="74">
        <f>(F13/T13)*(3/20)</f>
        <v>15</v>
      </c>
      <c r="U29" s="74">
        <f>(F7/U7)*(6/47)</f>
        <v>10.212765957446807</v>
      </c>
      <c r="V29" s="74">
        <f>(F7/V7)*(3/47)</f>
        <v>5.1063829787234036</v>
      </c>
      <c r="W29" s="74">
        <f>(F13/W13)*(8/20)</f>
        <v>11.428571428571429</v>
      </c>
      <c r="X29" s="74">
        <f>(F19/X19)*(3/4)</f>
        <v>0</v>
      </c>
      <c r="Y29" s="74">
        <f>(F7/Y7)*(1/29)</f>
        <v>2.7586206896551726</v>
      </c>
      <c r="Z29" s="74">
        <f>(F16/Z16)*(4/5)</f>
        <v>0</v>
      </c>
      <c r="AA29" s="74">
        <f>(F15/AA15)*(4/16)</f>
        <v>15</v>
      </c>
      <c r="AB29" s="74">
        <f>(F7/AB7)*(11/47)</f>
        <v>18.723404255319149</v>
      </c>
      <c r="AC29" s="74">
        <f>(F6/AC6)*(1/47)</f>
        <v>1.4184397163120568</v>
      </c>
      <c r="AD29" s="74">
        <f>(F14/AD14)</f>
        <v>0</v>
      </c>
      <c r="AE29" s="74">
        <f>(F19/AE19)*(1/4)</f>
        <v>0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0.81115424115302281</v>
      </c>
      <c r="K30" s="70">
        <f t="shared" si="34"/>
        <v>-1.1904761904761905</v>
      </c>
      <c r="L30" s="70">
        <f t="shared" si="34"/>
        <v>-2.896551724137931</v>
      </c>
      <c r="M30" s="70">
        <f t="shared" si="34"/>
        <v>0.93167701863354035</v>
      </c>
      <c r="N30" s="70">
        <f t="shared" si="34"/>
        <v>0.48192771084337355</v>
      </c>
      <c r="O30" s="70">
        <f t="shared" si="34"/>
        <v>1.25</v>
      </c>
      <c r="P30" s="70">
        <f t="shared" si="34"/>
        <v>1.0551918530641935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0.93816100535025493</v>
      </c>
      <c r="T30" s="70">
        <f t="shared" si="34"/>
        <v>3.2738095238095237</v>
      </c>
      <c r="U30" s="70">
        <f t="shared" si="34"/>
        <v>0.91416552058894895</v>
      </c>
      <c r="V30" s="70">
        <f t="shared" si="34"/>
        <v>0.1758955451070594</v>
      </c>
      <c r="W30" s="70">
        <f t="shared" si="34"/>
        <v>3.0711959050721269</v>
      </c>
      <c r="X30" s="70">
        <f t="shared" si="34"/>
        <v>-1.5228426395939088</v>
      </c>
      <c r="Y30" s="70">
        <f t="shared" si="34"/>
        <v>1.2384652744050513</v>
      </c>
      <c r="Z30" s="70">
        <f t="shared" si="34"/>
        <v>-0.64516129032258063</v>
      </c>
      <c r="AA30" s="70">
        <f t="shared" si="34"/>
        <v>2.9069767441860463</v>
      </c>
      <c r="AB30" s="70">
        <f t="shared" si="34"/>
        <v>1.2514033790629537</v>
      </c>
      <c r="AC30" s="70">
        <f t="shared" si="34"/>
        <v>-0.37279505364611742</v>
      </c>
      <c r="AD30" s="70">
        <f t="shared" si="34"/>
        <v>-1.6528925619834711</v>
      </c>
      <c r="AE30" s="70">
        <f t="shared" si="34"/>
        <v>-0.48309178743961356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0.2871001599664737</v>
      </c>
      <c r="K31" s="70">
        <f t="shared" ref="K31:AF31" si="35">NORMDIST(K30,0,1,FALSE)</f>
        <v>0.19640914652400149</v>
      </c>
      <c r="L31" s="70">
        <f t="shared" si="35"/>
        <v>6.0123206199931833E-3</v>
      </c>
      <c r="M31" s="70">
        <f t="shared" si="35"/>
        <v>0.25847674077806199</v>
      </c>
      <c r="N31" s="70">
        <f t="shared" si="35"/>
        <v>0.35520304600227354</v>
      </c>
      <c r="O31" s="70">
        <f t="shared" si="35"/>
        <v>0.18264908538902191</v>
      </c>
      <c r="P31" s="70">
        <f t="shared" si="35"/>
        <v>0.22862927891236096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0.25691459379413667</v>
      </c>
      <c r="T31" s="70">
        <f t="shared" si="35"/>
        <v>1.8774272333183636E-3</v>
      </c>
      <c r="U31" s="70">
        <f t="shared" si="35"/>
        <v>0.262688112980761</v>
      </c>
      <c r="V31" s="70">
        <f t="shared" si="35"/>
        <v>0.39281828444180655</v>
      </c>
      <c r="W31" s="70">
        <f t="shared" si="35"/>
        <v>3.5704605822708328E-3</v>
      </c>
      <c r="X31" s="70">
        <f t="shared" si="35"/>
        <v>0.1251223293178855</v>
      </c>
      <c r="Y31" s="70">
        <f t="shared" si="35"/>
        <v>0.18528934454325996</v>
      </c>
      <c r="Z31" s="70">
        <f t="shared" si="35"/>
        <v>0.32398596615315295</v>
      </c>
      <c r="AA31" s="70">
        <f t="shared" si="35"/>
        <v>5.833165673474432E-3</v>
      </c>
      <c r="AB31" s="70">
        <f t="shared" si="35"/>
        <v>0.18232877933413894</v>
      </c>
      <c r="AC31" s="70">
        <f t="shared" si="35"/>
        <v>0.37216178653442294</v>
      </c>
      <c r="AD31" s="70">
        <f t="shared" si="35"/>
        <v>0.10177757907817411</v>
      </c>
      <c r="AE31" s="70">
        <f t="shared" si="35"/>
        <v>0.35500359217664224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0.79136145005436331</v>
      </c>
      <c r="K32" s="70">
        <f t="shared" ref="K32:AF32" si="36">NORMDIST(K30,0,1,TRUE)</f>
        <v>0.11692964134637239</v>
      </c>
      <c r="L32" s="70">
        <f t="shared" si="36"/>
        <v>1.8864422060872194E-3</v>
      </c>
      <c r="M32" s="70">
        <f t="shared" si="36"/>
        <v>0.82424826667399453</v>
      </c>
      <c r="N32" s="70">
        <f t="shared" si="36"/>
        <v>0.68507134998371932</v>
      </c>
      <c r="O32" s="70">
        <f t="shared" si="36"/>
        <v>0.89435022633314476</v>
      </c>
      <c r="P32" s="70">
        <f t="shared" si="36"/>
        <v>0.85433120529486528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0.82591916269481458</v>
      </c>
      <c r="T32" s="70">
        <f t="shared" si="36"/>
        <v>0.99946945944972954</v>
      </c>
      <c r="U32" s="70">
        <f t="shared" si="36"/>
        <v>0.81968506073047842</v>
      </c>
      <c r="V32" s="70">
        <f t="shared" si="36"/>
        <v>0.56981199736182153</v>
      </c>
      <c r="W32" s="70">
        <f t="shared" si="36"/>
        <v>0.99893398392725807</v>
      </c>
      <c r="X32" s="70">
        <f t="shared" si="36"/>
        <v>6.389903965475742E-2</v>
      </c>
      <c r="Y32" s="70">
        <f t="shared" si="36"/>
        <v>0.8922282048162371</v>
      </c>
      <c r="Z32" s="70">
        <f t="shared" si="36"/>
        <v>0.25941133433509533</v>
      </c>
      <c r="AA32" s="70">
        <f t="shared" si="36"/>
        <v>0.99817529836089469</v>
      </c>
      <c r="AB32" s="70">
        <f t="shared" si="36"/>
        <v>0.89460632745632507</v>
      </c>
      <c r="AC32" s="70">
        <f t="shared" si="36"/>
        <v>0.35465049226698131</v>
      </c>
      <c r="AD32" s="70">
        <f t="shared" si="36"/>
        <v>4.9176365594524589E-2</v>
      </c>
      <c r="AE32" s="70">
        <f t="shared" si="36"/>
        <v>0.31451528251747035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0.11786211531005372</v>
      </c>
      <c r="K33" s="70">
        <f t="shared" ref="K33:AF33" si="37">K31-(K30*(1-K32))</f>
        <v>1.2476833830164151</v>
      </c>
      <c r="L33" s="70">
        <f t="shared" si="37"/>
        <v>2.8970998673333956</v>
      </c>
      <c r="M33" s="70">
        <f t="shared" si="37"/>
        <v>9.4732889853212182E-2</v>
      </c>
      <c r="N33" s="70">
        <f t="shared" si="37"/>
        <v>0.20343020262093345</v>
      </c>
      <c r="O33" s="70">
        <f t="shared" si="37"/>
        <v>5.0586868305452865E-2</v>
      </c>
      <c r="P33" s="70">
        <f t="shared" si="37"/>
        <v>7.4920753493822267E-2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9.359874045568975E-2</v>
      </c>
      <c r="T33" s="70">
        <f t="shared" si="37"/>
        <v>1.4053852707577295E-4</v>
      </c>
      <c r="U33" s="70">
        <f t="shared" si="37"/>
        <v>9.7850412653474106E-2</v>
      </c>
      <c r="V33" s="70">
        <f t="shared" si="37"/>
        <v>0.31715013121924707</v>
      </c>
      <c r="W33" s="70">
        <f t="shared" si="37"/>
        <v>2.9651638492475757E-4</v>
      </c>
      <c r="X33" s="70">
        <f t="shared" si="37"/>
        <v>1.5506567866964278</v>
      </c>
      <c r="Y33" s="70">
        <f t="shared" si="37"/>
        <v>5.1817718647876071E-2</v>
      </c>
      <c r="Z33" s="70">
        <f t="shared" si="37"/>
        <v>0.80178510529180103</v>
      </c>
      <c r="AA33" s="70">
        <f t="shared" si="37"/>
        <v>5.2880044351714083E-4</v>
      </c>
      <c r="AB33" s="70">
        <f t="shared" si="37"/>
        <v>5.0438781381129671E-2</v>
      </c>
      <c r="AC33" s="70">
        <f t="shared" si="37"/>
        <v>0.61274489089024908</v>
      </c>
      <c r="AD33" s="70">
        <f t="shared" si="37"/>
        <v>1.6733868921450756</v>
      </c>
      <c r="AE33" s="70">
        <f t="shared" si="37"/>
        <v>0.68615562960781595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2.3348485042921641</v>
      </c>
      <c r="K34" s="74">
        <f t="shared" si="38"/>
        <v>1.0480540417337887</v>
      </c>
      <c r="L34" s="74">
        <f t="shared" si="38"/>
        <v>21.003974038167119</v>
      </c>
      <c r="M34" s="74">
        <f t="shared" si="38"/>
        <v>0.30503990532734326</v>
      </c>
      <c r="N34" s="74">
        <f t="shared" si="38"/>
        <v>2.5327060226306215</v>
      </c>
      <c r="O34" s="74">
        <f t="shared" si="38"/>
        <v>0.24281696786617374</v>
      </c>
      <c r="P34" s="74">
        <f t="shared" si="38"/>
        <v>1.1687637545036274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0.80026923089614743</v>
      </c>
      <c r="T34" s="74">
        <f t="shared" si="38"/>
        <v>4.7220945097459709E-4</v>
      </c>
      <c r="U34" s="74">
        <f t="shared" si="38"/>
        <v>0.77203975583591067</v>
      </c>
      <c r="V34" s="74">
        <f t="shared" si="38"/>
        <v>1.9948743253690642</v>
      </c>
      <c r="W34" s="74">
        <f t="shared" si="38"/>
        <v>9.1030530171900572E-4</v>
      </c>
      <c r="X34" s="74">
        <f t="shared" si="38"/>
        <v>3.0547938697919625</v>
      </c>
      <c r="Y34" s="74">
        <f t="shared" si="38"/>
        <v>7.3581160479984017E-2</v>
      </c>
      <c r="Z34" s="74">
        <f t="shared" si="38"/>
        <v>1.2427669132022916</v>
      </c>
      <c r="AA34" s="74">
        <f t="shared" si="38"/>
        <v>1.8190735256989644E-3</v>
      </c>
      <c r="AB34" s="74">
        <f t="shared" si="38"/>
        <v>0.39190933133137751</v>
      </c>
      <c r="AC34" s="74">
        <f t="shared" si="38"/>
        <v>0.95588202978878856</v>
      </c>
      <c r="AD34" s="74">
        <f t="shared" si="38"/>
        <v>2.0247981394955414</v>
      </c>
      <c r="AE34" s="74">
        <f t="shared" si="38"/>
        <v>1.4203421532881788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43.665151495707839</v>
      </c>
      <c r="K35" s="74">
        <f t="shared" si="39"/>
        <v>-4.8054041733788688E-2</v>
      </c>
      <c r="L35" s="74">
        <f t="shared" si="39"/>
        <v>-3.9740381671187208E-3</v>
      </c>
      <c r="M35" s="74">
        <f t="shared" si="39"/>
        <v>1.6949600946726568</v>
      </c>
      <c r="N35" s="74">
        <f t="shared" si="39"/>
        <v>16.46729397736938</v>
      </c>
      <c r="O35" s="74">
        <f t="shared" si="39"/>
        <v>9.7571830321338258</v>
      </c>
      <c r="P35" s="74">
        <f t="shared" si="39"/>
        <v>17.831236245496374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8.1997307691038532</v>
      </c>
      <c r="T35" s="74">
        <f t="shared" si="39"/>
        <v>3.9995277905490254</v>
      </c>
      <c r="U35" s="74">
        <f t="shared" si="39"/>
        <v>2.2279602441640893</v>
      </c>
      <c r="V35" s="74">
        <f t="shared" si="39"/>
        <v>2.0051256746309356</v>
      </c>
      <c r="W35" s="74">
        <f t="shared" si="39"/>
        <v>1.999089694698281</v>
      </c>
      <c r="X35" s="74">
        <f t="shared" si="39"/>
        <v>-5.4793869791962546E-2</v>
      </c>
      <c r="Y35" s="74">
        <f t="shared" si="39"/>
        <v>0.92641883952001602</v>
      </c>
      <c r="Z35" s="74">
        <f t="shared" si="39"/>
        <v>-0.2427669132022916</v>
      </c>
      <c r="AA35" s="74">
        <f t="shared" si="39"/>
        <v>4.9981809264743013</v>
      </c>
      <c r="AB35" s="74">
        <f t="shared" si="39"/>
        <v>8.6080906686686234</v>
      </c>
      <c r="AC35" s="74">
        <f t="shared" si="39"/>
        <v>1.0441179702112113</v>
      </c>
      <c r="AD35" s="74">
        <f t="shared" si="39"/>
        <v>-2.4798139495541438E-2</v>
      </c>
      <c r="AE35" s="74">
        <f t="shared" si="39"/>
        <v>-0.42034215328817881</v>
      </c>
      <c r="AF35" s="74">
        <f t="shared" si="39"/>
        <v>0.69099903829292908</v>
      </c>
      <c r="AG35" s="187">
        <f>SUM(J35:AF35)</f>
        <v>130.31576244095351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18.403814021533542</v>
      </c>
      <c r="K36" s="74">
        <f t="shared" ref="K36:AF36" si="40">K29-K35</f>
        <v>4.8054041733788688E-2</v>
      </c>
      <c r="L36" s="74">
        <f t="shared" si="40"/>
        <v>3.9740381671187208E-3</v>
      </c>
      <c r="M36" s="74">
        <f t="shared" si="40"/>
        <v>3.3050399053273432</v>
      </c>
      <c r="N36" s="74">
        <f t="shared" si="40"/>
        <v>8.5327060226306202</v>
      </c>
      <c r="O36" s="74">
        <f t="shared" si="40"/>
        <v>6.2428169678661742</v>
      </c>
      <c r="P36" s="74">
        <f t="shared" si="40"/>
        <v>17.629756662305045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8.8215458266408273</v>
      </c>
      <c r="T36" s="74">
        <f t="shared" si="40"/>
        <v>11.000472209450974</v>
      </c>
      <c r="U36" s="74">
        <f t="shared" si="40"/>
        <v>7.9848057132827179</v>
      </c>
      <c r="V36" s="74">
        <f t="shared" si="40"/>
        <v>3.101257304092468</v>
      </c>
      <c r="W36" s="74">
        <f t="shared" si="40"/>
        <v>9.429481733873148</v>
      </c>
      <c r="X36" s="74">
        <f t="shared" si="40"/>
        <v>5.4793869791962546E-2</v>
      </c>
      <c r="Y36" s="74">
        <f t="shared" si="40"/>
        <v>1.8322018501351565</v>
      </c>
      <c r="Z36" s="74">
        <f t="shared" si="40"/>
        <v>0.2427669132022916</v>
      </c>
      <c r="AA36" s="74">
        <f t="shared" si="40"/>
        <v>10.001819073525699</v>
      </c>
      <c r="AB36" s="74">
        <f t="shared" si="40"/>
        <v>10.115313586650526</v>
      </c>
      <c r="AC36" s="74">
        <f t="shared" si="40"/>
        <v>0.37432174610084545</v>
      </c>
      <c r="AD36" s="74">
        <f t="shared" si="40"/>
        <v>2.4798139495541438E-2</v>
      </c>
      <c r="AE36" s="74">
        <f t="shared" si="40"/>
        <v>0.42034215328817881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2183.2575747853921</v>
      </c>
      <c r="K37" s="70">
        <f t="shared" ref="K37:AF37" si="41">K20*K35</f>
        <v>-9.6108083467577377</v>
      </c>
      <c r="L37" s="70">
        <f t="shared" si="41"/>
        <v>-0.23844229002712325</v>
      </c>
      <c r="M37" s="70">
        <f t="shared" si="41"/>
        <v>84.74800473363284</v>
      </c>
      <c r="N37" s="70">
        <f t="shared" si="41"/>
        <v>741.02822898162208</v>
      </c>
      <c r="O37" s="70">
        <f t="shared" si="41"/>
        <v>585.4309819280295</v>
      </c>
      <c r="P37" s="70">
        <f t="shared" si="41"/>
        <v>891.56181227481875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409.98653845519266</v>
      </c>
      <c r="T37" s="70">
        <f t="shared" si="41"/>
        <v>279.9669453384318</v>
      </c>
      <c r="U37" s="70">
        <f t="shared" si="41"/>
        <v>155.95721709148626</v>
      </c>
      <c r="V37" s="70">
        <f t="shared" si="41"/>
        <v>100.25628373154677</v>
      </c>
      <c r="W37" s="70">
        <f t="shared" si="41"/>
        <v>159.92717557586249</v>
      </c>
      <c r="X37" s="70">
        <f t="shared" si="41"/>
        <v>-3.2876321875177528</v>
      </c>
      <c r="Y37" s="70">
        <f t="shared" si="41"/>
        <v>55.585130371200961</v>
      </c>
      <c r="Z37" s="70">
        <f t="shared" si="41"/>
        <v>-14.566014792137496</v>
      </c>
      <c r="AA37" s="70">
        <f t="shared" si="41"/>
        <v>249.90904632371507</v>
      </c>
      <c r="AB37" s="70">
        <f t="shared" si="41"/>
        <v>430.4045334334312</v>
      </c>
      <c r="AC37" s="70">
        <f t="shared" si="41"/>
        <v>52.205898510560566</v>
      </c>
      <c r="AD37" s="70">
        <f t="shared" si="41"/>
        <v>-1.4878883697324863</v>
      </c>
      <c r="AE37" s="70">
        <f t="shared" si="41"/>
        <v>-50.441058394581461</v>
      </c>
      <c r="AF37" s="70">
        <f t="shared" si="41"/>
        <v>69.099903829292913</v>
      </c>
      <c r="AG37" s="288">
        <f>SUM(J37:AF37)</f>
        <v>6719.4646877304149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917.76139762583466</v>
      </c>
      <c r="K38" s="70">
        <f t="shared" ref="K38:AF38" si="42">(K20-K22)*K36</f>
        <v>9.5471367414604682</v>
      </c>
      <c r="L38" s="70">
        <f t="shared" si="42"/>
        <v>0.23760774201202831</v>
      </c>
      <c r="M38" s="70">
        <f t="shared" si="42"/>
        <v>163.53337451559693</v>
      </c>
      <c r="N38" s="70">
        <f t="shared" si="42"/>
        <v>381.95805239703708</v>
      </c>
      <c r="O38" s="70">
        <f t="shared" si="42"/>
        <v>373.22681242387921</v>
      </c>
      <c r="P38" s="70">
        <f t="shared" si="42"/>
        <v>878.57892326597198</v>
      </c>
      <c r="Q38" s="70">
        <f t="shared" si="42"/>
        <v>1341.422871748664</v>
      </c>
      <c r="R38" s="70">
        <f t="shared" si="42"/>
        <v>546.41638009837322</v>
      </c>
      <c r="S38" s="70">
        <f t="shared" si="42"/>
        <v>440.28335220764365</v>
      </c>
      <c r="T38" s="70">
        <f t="shared" si="42"/>
        <v>766.44690072128719</v>
      </c>
      <c r="U38" s="70">
        <f t="shared" si="42"/>
        <v>557.97822324419633</v>
      </c>
      <c r="V38" s="70">
        <f t="shared" si="42"/>
        <v>154.07046286731381</v>
      </c>
      <c r="W38" s="70">
        <f t="shared" si="42"/>
        <v>751.0582201029963</v>
      </c>
      <c r="X38" s="70">
        <f t="shared" si="42"/>
        <v>3.2753035668145611</v>
      </c>
      <c r="Y38" s="70">
        <f t="shared" si="42"/>
        <v>109.08563375334694</v>
      </c>
      <c r="Z38" s="70">
        <f t="shared" si="42"/>
        <v>14.434920659008259</v>
      </c>
      <c r="AA38" s="70">
        <f t="shared" si="42"/>
        <v>498.29062624305033</v>
      </c>
      <c r="AB38" s="70">
        <f t="shared" si="42"/>
        <v>504.55184170212829</v>
      </c>
      <c r="AC38" s="70">
        <f t="shared" si="42"/>
        <v>18.682398347893194</v>
      </c>
      <c r="AD38" s="70">
        <f>(AD20-AD22)*AD36</f>
        <v>1.4747949520788404</v>
      </c>
      <c r="AE38" s="70">
        <f t="shared" si="42"/>
        <v>50.34648141009162</v>
      </c>
      <c r="AF38" s="70">
        <f t="shared" si="42"/>
        <v>68.582650271806713</v>
      </c>
      <c r="AG38" s="288">
        <f>SUM(J38:AF38)</f>
        <v>8551.2443666084873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1.4009091025752984</v>
      </c>
      <c r="K39" s="70">
        <f t="shared" ref="K39:AF39" si="43">K23*K34</f>
        <v>3.8777999544150181</v>
      </c>
      <c r="L39" s="70">
        <f t="shared" si="43"/>
        <v>31.50596105725068</v>
      </c>
      <c r="M39" s="70">
        <f t="shared" si="43"/>
        <v>1.2201596213093731</v>
      </c>
      <c r="N39" s="70">
        <f t="shared" si="43"/>
        <v>7.0915768633657397</v>
      </c>
      <c r="O39" s="70">
        <f t="shared" si="43"/>
        <v>0.77701429717175596</v>
      </c>
      <c r="P39" s="70">
        <f t="shared" si="43"/>
        <v>0.70125825270217634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0.24008076926884422</v>
      </c>
      <c r="T39" s="70">
        <f t="shared" si="43"/>
        <v>4.2498850587713733E-4</v>
      </c>
      <c r="U39" s="70">
        <f t="shared" si="43"/>
        <v>0.38601987791795533</v>
      </c>
      <c r="V39" s="70">
        <f t="shared" si="43"/>
        <v>2.5933366229797836</v>
      </c>
      <c r="W39" s="70">
        <f t="shared" si="43"/>
        <v>6.3721371120330401E-4</v>
      </c>
      <c r="X39" s="70">
        <f t="shared" si="43"/>
        <v>7.6369846744799066</v>
      </c>
      <c r="Y39" s="70">
        <f t="shared" si="43"/>
        <v>0.13980420491196965</v>
      </c>
      <c r="Z39" s="70">
        <f t="shared" si="43"/>
        <v>1.8641503698034374</v>
      </c>
      <c r="AA39" s="70">
        <f t="shared" si="43"/>
        <v>9.0953676284948222E-4</v>
      </c>
      <c r="AB39" s="70">
        <f t="shared" si="43"/>
        <v>0.19595466566568875</v>
      </c>
      <c r="AC39" s="70">
        <f t="shared" si="43"/>
        <v>0.28676460893663658</v>
      </c>
      <c r="AD39" s="70">
        <f t="shared" si="43"/>
        <v>1.6198385115964333</v>
      </c>
      <c r="AE39" s="70">
        <f t="shared" si="43"/>
        <v>3.5508553832204468</v>
      </c>
      <c r="AF39" s="70">
        <f t="shared" si="43"/>
        <v>0.46350144256060638</v>
      </c>
      <c r="AG39" s="288">
        <f t="shared" ref="AG39" si="44">SUM(J39:AF39)</f>
        <v>65.558059397666511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409.65517241379308</v>
      </c>
      <c r="K40" s="70">
        <f t="shared" ref="K40:AF40" si="45">K21*K29</f>
        <v>0</v>
      </c>
      <c r="L40" s="70">
        <f t="shared" si="45"/>
        <v>0</v>
      </c>
      <c r="M40" s="70">
        <f t="shared" si="45"/>
        <v>130</v>
      </c>
      <c r="N40" s="70">
        <f t="shared" si="45"/>
        <v>295</v>
      </c>
      <c r="O40" s="70">
        <f t="shared" si="45"/>
        <v>172</v>
      </c>
      <c r="P40" s="70">
        <f t="shared" si="45"/>
        <v>292.55319148936172</v>
      </c>
      <c r="Q40" s="70">
        <f t="shared" si="45"/>
        <v>489</v>
      </c>
      <c r="R40" s="70">
        <f t="shared" si="45"/>
        <v>244.5</v>
      </c>
      <c r="S40" s="70">
        <f t="shared" si="45"/>
        <v>76.595744680851055</v>
      </c>
      <c r="T40" s="70">
        <f t="shared" si="45"/>
        <v>244.5</v>
      </c>
      <c r="U40" s="70">
        <f t="shared" si="45"/>
        <v>61.276595744680847</v>
      </c>
      <c r="V40" s="70">
        <f t="shared" si="45"/>
        <v>81.702127659574458</v>
      </c>
      <c r="W40" s="70">
        <f t="shared" si="45"/>
        <v>200</v>
      </c>
      <c r="X40" s="70">
        <f t="shared" si="45"/>
        <v>0</v>
      </c>
      <c r="Y40" s="70">
        <f t="shared" si="45"/>
        <v>63.724137931034491</v>
      </c>
      <c r="Z40" s="70">
        <f t="shared" si="45"/>
        <v>0</v>
      </c>
      <c r="AA40" s="70">
        <f t="shared" si="45"/>
        <v>135</v>
      </c>
      <c r="AB40" s="70">
        <f t="shared" si="45"/>
        <v>112.34042553191489</v>
      </c>
      <c r="AC40" s="70">
        <f t="shared" si="45"/>
        <v>6.3829787234042552</v>
      </c>
      <c r="AD40" s="70">
        <f t="shared" si="45"/>
        <v>0</v>
      </c>
      <c r="AE40" s="70">
        <f t="shared" si="45"/>
        <v>0</v>
      </c>
      <c r="AF40" s="70">
        <f t="shared" si="45"/>
        <v>24.896551724137932</v>
      </c>
      <c r="AG40" s="289">
        <f>SUM(J40:AF40)</f>
        <v>3039.1269258987536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2689.9628908948584</v>
      </c>
      <c r="K41" s="76">
        <f t="shared" ref="K41:AF41" si="46">K37+K38-K40-K39</f>
        <v>-3.9414715597122876</v>
      </c>
      <c r="L41" s="76">
        <f t="shared" si="46"/>
        <v>-31.506795605265776</v>
      </c>
      <c r="M41" s="76">
        <f t="shared" si="46"/>
        <v>117.06121962792038</v>
      </c>
      <c r="N41" s="76">
        <f t="shared" si="46"/>
        <v>820.89470451529348</v>
      </c>
      <c r="O41" s="76">
        <f t="shared" si="46"/>
        <v>785.88078005473699</v>
      </c>
      <c r="P41" s="76">
        <f t="shared" si="46"/>
        <v>1476.8862857987267</v>
      </c>
      <c r="Q41" s="76">
        <f t="shared" si="46"/>
        <v>1002.1924499584519</v>
      </c>
      <c r="R41" s="76">
        <f t="shared" si="46"/>
        <v>501.91394125698349</v>
      </c>
      <c r="S41" s="76">
        <f t="shared" si="46"/>
        <v>773.4340652127164</v>
      </c>
      <c r="T41" s="76">
        <f t="shared" si="46"/>
        <v>801.91342107121307</v>
      </c>
      <c r="U41" s="76">
        <f t="shared" si="46"/>
        <v>652.27282471308376</v>
      </c>
      <c r="V41" s="76">
        <f t="shared" si="46"/>
        <v>170.03128231630632</v>
      </c>
      <c r="W41" s="76">
        <f t="shared" si="46"/>
        <v>710.98475846514759</v>
      </c>
      <c r="X41" s="76">
        <f t="shared" si="46"/>
        <v>-7.6493132951830987</v>
      </c>
      <c r="Y41" s="76">
        <f t="shared" si="46"/>
        <v>100.80682198860144</v>
      </c>
      <c r="Z41" s="76">
        <f t="shared" si="46"/>
        <v>-1.995244502932674</v>
      </c>
      <c r="AA41" s="76">
        <f t="shared" si="46"/>
        <v>613.19876303000262</v>
      </c>
      <c r="AB41" s="76">
        <f t="shared" si="46"/>
        <v>822.41999493797891</v>
      </c>
      <c r="AC41" s="76">
        <f t="shared" si="46"/>
        <v>64.218553526112871</v>
      </c>
      <c r="AD41" s="76">
        <f t="shared" si="46"/>
        <v>-1.6329319292500792</v>
      </c>
      <c r="AE41" s="76">
        <f t="shared" si="46"/>
        <v>-3.6454323677102876</v>
      </c>
      <c r="AF41" s="76">
        <f t="shared" si="46"/>
        <v>112.32250093440109</v>
      </c>
      <c r="AG41" s="290">
        <f>SUM(J41:AF41)</f>
        <v>12166.024069042478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1.4193319364173318</v>
      </c>
      <c r="K43" s="70">
        <f t="shared" si="47"/>
        <v>27.291989452835612</v>
      </c>
      <c r="L43" s="70">
        <f t="shared" si="47"/>
        <v>1.8957310935477685</v>
      </c>
      <c r="M43" s="70">
        <f t="shared" si="47"/>
        <v>1.8524621940053885</v>
      </c>
      <c r="N43" s="70">
        <f t="shared" si="47"/>
        <v>1.1076481279311718</v>
      </c>
      <c r="O43" s="70">
        <f t="shared" si="47"/>
        <v>2.3796302180832072</v>
      </c>
      <c r="P43" s="70">
        <f t="shared" si="47"/>
        <v>1.3540490193318047</v>
      </c>
      <c r="Q43" s="70">
        <f t="shared" si="47"/>
        <v>1.0907698121059994</v>
      </c>
      <c r="R43" s="70">
        <f t="shared" si="47"/>
        <v>2.4285740183377653</v>
      </c>
      <c r="S43" s="70">
        <f t="shared" si="47"/>
        <v>2.0125082927653093</v>
      </c>
      <c r="T43" s="70">
        <f t="shared" si="47"/>
        <v>3.0953354307672845</v>
      </c>
      <c r="U43" s="70">
        <f t="shared" si="47"/>
        <v>2.3803894395911738</v>
      </c>
      <c r="V43" s="70">
        <f t="shared" si="47"/>
        <v>1.4005929445083825</v>
      </c>
      <c r="W43" s="70">
        <f t="shared" si="47"/>
        <v>3.7250375057824852</v>
      </c>
      <c r="X43" s="70">
        <f t="shared" si="47"/>
        <v>4.3681547750783265</v>
      </c>
      <c r="Y43" s="70">
        <f t="shared" si="47"/>
        <v>5.1157711274078359</v>
      </c>
      <c r="Z43" s="70">
        <f t="shared" si="47"/>
        <v>4.540228572527675</v>
      </c>
      <c r="AA43" s="70">
        <f t="shared" si="47"/>
        <v>2.5688548633456278</v>
      </c>
      <c r="AB43" s="70">
        <f t="shared" si="47"/>
        <v>1.9159740597558119</v>
      </c>
      <c r="AC43" s="70">
        <f t="shared" si="47"/>
        <v>4.9619170318100991</v>
      </c>
      <c r="AD43" s="70">
        <f t="shared" si="47"/>
        <v>5.7594886805488281</v>
      </c>
      <c r="AE43" s="70">
        <f t="shared" si="47"/>
        <v>7.8714698150675568</v>
      </c>
      <c r="AF43" s="70">
        <f t="shared" si="47"/>
        <v>10.39584244079866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0.1457022524970446</v>
      </c>
      <c r="K44" s="70">
        <f t="shared" ref="K44:AF44" si="48">NORMDIST(K43,0,1,FALSE)</f>
        <v>7.2144609568512295E-163</v>
      </c>
      <c r="L44" s="70">
        <f t="shared" si="48"/>
        <v>6.614958098702424E-2</v>
      </c>
      <c r="M44" s="70">
        <f t="shared" si="48"/>
        <v>7.1737143625725461E-2</v>
      </c>
      <c r="N44" s="70">
        <f t="shared" si="48"/>
        <v>0.21602076949321619</v>
      </c>
      <c r="O44" s="70">
        <f t="shared" si="48"/>
        <v>2.351166681976858E-2</v>
      </c>
      <c r="P44" s="70">
        <f t="shared" si="48"/>
        <v>0.15950772799025847</v>
      </c>
      <c r="Q44" s="70">
        <f t="shared" si="48"/>
        <v>0.22006596763164457</v>
      </c>
      <c r="R44" s="70">
        <f t="shared" si="48"/>
        <v>2.0901707715426196E-2</v>
      </c>
      <c r="S44" s="70">
        <f t="shared" si="48"/>
        <v>5.2652932316677684E-2</v>
      </c>
      <c r="T44" s="70">
        <f t="shared" si="48"/>
        <v>3.3143649322252521E-3</v>
      </c>
      <c r="U44" s="70">
        <f t="shared" si="48"/>
        <v>2.3469220664738367E-2</v>
      </c>
      <c r="V44" s="70">
        <f t="shared" si="48"/>
        <v>0.14960319880140852</v>
      </c>
      <c r="W44" s="70">
        <f t="shared" si="48"/>
        <v>3.87075519576386E-4</v>
      </c>
      <c r="X44" s="70">
        <f t="shared" si="48"/>
        <v>2.8679539388799431E-5</v>
      </c>
      <c r="Y44" s="70">
        <f t="shared" si="48"/>
        <v>8.277988497042289E-7</v>
      </c>
      <c r="Z44" s="70">
        <f t="shared" si="48"/>
        <v>1.3326230078320048E-5</v>
      </c>
      <c r="AA44" s="70">
        <f t="shared" si="48"/>
        <v>1.4721501192842748E-2</v>
      </c>
      <c r="AB44" s="70">
        <f t="shared" si="48"/>
        <v>6.3646125229774281E-2</v>
      </c>
      <c r="AC44" s="70">
        <f t="shared" si="48"/>
        <v>1.7972571721097088E-6</v>
      </c>
      <c r="AD44" s="70">
        <f t="shared" si="48"/>
        <v>2.4989915739105859E-8</v>
      </c>
      <c r="AE44" s="70">
        <f t="shared" si="48"/>
        <v>1.4010672168251635E-14</v>
      </c>
      <c r="AF44" s="70">
        <f t="shared" si="48"/>
        <v>1.3584355024138716E-24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0.92209886724561474</v>
      </c>
      <c r="K45" s="70">
        <f t="shared" ref="K45:AF45" si="49">NORMDIST(K43,0,1,TRUE)</f>
        <v>1</v>
      </c>
      <c r="L45" s="70">
        <f t="shared" si="49"/>
        <v>0.97100219422121214</v>
      </c>
      <c r="M45" s="70">
        <f t="shared" si="49"/>
        <v>0.96802025922061075</v>
      </c>
      <c r="N45" s="70">
        <f t="shared" si="49"/>
        <v>0.8659930951875624</v>
      </c>
      <c r="O45" s="70">
        <f t="shared" si="49"/>
        <v>0.99133499060953689</v>
      </c>
      <c r="P45" s="70">
        <f t="shared" si="49"/>
        <v>0.91213963036357648</v>
      </c>
      <c r="Q45" s="70">
        <f t="shared" si="49"/>
        <v>0.86231290854265796</v>
      </c>
      <c r="R45" s="70">
        <f t="shared" si="49"/>
        <v>0.9924208346919895</v>
      </c>
      <c r="S45" s="70">
        <f t="shared" si="49"/>
        <v>0.97791680830179906</v>
      </c>
      <c r="T45" s="70">
        <f t="shared" si="49"/>
        <v>0.99901704783182488</v>
      </c>
      <c r="U45" s="70">
        <f t="shared" si="49"/>
        <v>0.9913528250556618</v>
      </c>
      <c r="V45" s="70">
        <f t="shared" si="49"/>
        <v>0.91933208400056499</v>
      </c>
      <c r="W45" s="70">
        <f t="shared" si="49"/>
        <v>0.99990235690759255</v>
      </c>
      <c r="X45" s="70">
        <f t="shared" si="49"/>
        <v>0.99999373496570476</v>
      </c>
      <c r="Y45" s="70">
        <f t="shared" si="49"/>
        <v>0.99999984376912099</v>
      </c>
      <c r="Z45" s="70">
        <f t="shared" si="49"/>
        <v>0.9999971903361794</v>
      </c>
      <c r="AA45" s="70">
        <f t="shared" si="49"/>
        <v>0.99489824089546208</v>
      </c>
      <c r="AB45" s="70">
        <f t="shared" si="49"/>
        <v>0.97231580120000427</v>
      </c>
      <c r="AC45" s="70">
        <f t="shared" si="49"/>
        <v>0.99999965099593757</v>
      </c>
      <c r="AD45" s="70">
        <f t="shared" si="49"/>
        <v>0.99999999578154419</v>
      </c>
      <c r="AE45" s="70">
        <f t="shared" si="49"/>
        <v>0.99999999999999822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3.5134686895659337E-2</v>
      </c>
      <c r="K46" s="70">
        <f t="shared" ref="K46:AF46" si="50">K44-(K43*(1-K45))</f>
        <v>7.2144609568512295E-163</v>
      </c>
      <c r="L46" s="70">
        <f t="shared" si="50"/>
        <v>1.1177538927516939E-2</v>
      </c>
      <c r="M46" s="70">
        <f t="shared" si="50"/>
        <v>1.2495882857814451E-2</v>
      </c>
      <c r="N46" s="70">
        <f t="shared" si="50"/>
        <v>6.7588272247868952E-2</v>
      </c>
      <c r="O46" s="70">
        <f t="shared" si="50"/>
        <v>2.8921486342478181E-3</v>
      </c>
      <c r="P46" s="70">
        <f t="shared" si="50"/>
        <v>4.0540480645929342E-2</v>
      </c>
      <c r="Q46" s="70">
        <f t="shared" si="50"/>
        <v>6.9881044753298038E-2</v>
      </c>
      <c r="R46" s="70">
        <f t="shared" si="50"/>
        <v>2.4951437677049361E-3</v>
      </c>
      <c r="S46" s="70">
        <f t="shared" si="50"/>
        <v>8.2103258933222539E-3</v>
      </c>
      <c r="T46" s="70">
        <f t="shared" si="50"/>
        <v>2.7179825932327484E-4</v>
      </c>
      <c r="U46" s="70">
        <f t="shared" si="50"/>
        <v>2.8855767449383236E-3</v>
      </c>
      <c r="V46" s="70">
        <f t="shared" si="50"/>
        <v>3.6620284804404976E-2</v>
      </c>
      <c r="W46" s="70">
        <f t="shared" si="50"/>
        <v>2.3351338178045369E-5</v>
      </c>
      <c r="X46" s="70">
        <f t="shared" si="50"/>
        <v>1.3128999160234008E-6</v>
      </c>
      <c r="Y46" s="70">
        <f t="shared" si="50"/>
        <v>2.8557429647600817E-8</v>
      </c>
      <c r="Z46" s="70">
        <f t="shared" si="50"/>
        <v>5.6971412082510348E-7</v>
      </c>
      <c r="AA46" s="70">
        <f t="shared" si="50"/>
        <v>1.6158225055326846E-3</v>
      </c>
      <c r="AB46" s="70">
        <f t="shared" si="50"/>
        <v>1.0603918463859489E-2</v>
      </c>
      <c r="AC46" s="70">
        <f t="shared" si="50"/>
        <v>6.5527970578986274E-8</v>
      </c>
      <c r="AD46" s="70">
        <f t="shared" si="50"/>
        <v>6.937672699129924E-10</v>
      </c>
      <c r="AE46" s="70">
        <f t="shared" si="50"/>
        <v>2.8132926123756214E-17</v>
      </c>
      <c r="AF46" s="70">
        <f t="shared" si="50"/>
        <v>1.3584355024138716E-24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0.69601814740301138</v>
      </c>
      <c r="K47" s="74">
        <f t="shared" si="51"/>
        <v>6.0601472037550329E-163</v>
      </c>
      <c r="L47" s="74">
        <f t="shared" si="51"/>
        <v>8.1037157224497808E-2</v>
      </c>
      <c r="M47" s="74">
        <f t="shared" si="51"/>
        <v>4.0236742802162537E-2</v>
      </c>
      <c r="N47" s="74">
        <f t="shared" si="51"/>
        <v>0.84147398948596841</v>
      </c>
      <c r="O47" s="74">
        <f t="shared" si="51"/>
        <v>1.3882313444389527E-2</v>
      </c>
      <c r="P47" s="74">
        <f t="shared" si="51"/>
        <v>0.63243149807649768</v>
      </c>
      <c r="Q47" s="74">
        <f t="shared" si="51"/>
        <v>0.64430323262540801</v>
      </c>
      <c r="R47" s="74">
        <f t="shared" si="51"/>
        <v>7.2109654886672652E-3</v>
      </c>
      <c r="S47" s="74">
        <f t="shared" si="51"/>
        <v>7.0198286387905276E-2</v>
      </c>
      <c r="T47" s="74">
        <f t="shared" si="51"/>
        <v>9.1324215132620339E-4</v>
      </c>
      <c r="U47" s="74">
        <f t="shared" si="51"/>
        <v>2.2767200517563372E-2</v>
      </c>
      <c r="V47" s="74">
        <f t="shared" si="51"/>
        <v>0.23034159141970731</v>
      </c>
      <c r="W47" s="74">
        <f t="shared" si="51"/>
        <v>7.1688608206599283E-5</v>
      </c>
      <c r="X47" s="74">
        <f t="shared" si="51"/>
        <v>2.5864128345660997E-6</v>
      </c>
      <c r="Y47" s="74">
        <f t="shared" si="51"/>
        <v>4.0551550099593155E-8</v>
      </c>
      <c r="Z47" s="74">
        <f t="shared" si="51"/>
        <v>8.8305688727891043E-7</v>
      </c>
      <c r="AA47" s="74">
        <f t="shared" si="51"/>
        <v>5.5584294190324348E-3</v>
      </c>
      <c r="AB47" s="74">
        <f t="shared" si="51"/>
        <v>8.2392446464188224E-2</v>
      </c>
      <c r="AC47" s="74">
        <f t="shared" si="51"/>
        <v>1.0222363410321859E-7</v>
      </c>
      <c r="AD47" s="74">
        <f t="shared" si="51"/>
        <v>8.3945839659472078E-10</v>
      </c>
      <c r="AE47" s="74">
        <f t="shared" si="51"/>
        <v>5.8235157076175365E-17</v>
      </c>
      <c r="AF47" s="74">
        <f t="shared" si="51"/>
        <v>1.6165382478725071E-24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45.303981852596991</v>
      </c>
      <c r="K48" s="74">
        <f t="shared" si="52"/>
        <v>1</v>
      </c>
      <c r="L48" s="74">
        <f t="shared" si="52"/>
        <v>20.918962842775503</v>
      </c>
      <c r="M48" s="74">
        <f t="shared" si="52"/>
        <v>1.9597632571978374</v>
      </c>
      <c r="N48" s="74">
        <f t="shared" si="52"/>
        <v>18.158526010514031</v>
      </c>
      <c r="O48" s="74">
        <f t="shared" si="52"/>
        <v>9.9861176865556107</v>
      </c>
      <c r="P48" s="74">
        <f t="shared" si="52"/>
        <v>18.367568501923504</v>
      </c>
      <c r="Q48" s="74">
        <f t="shared" si="52"/>
        <v>2.3556967673745919</v>
      </c>
      <c r="R48" s="74">
        <f t="shared" si="52"/>
        <v>3.9927890345113326</v>
      </c>
      <c r="S48" s="74">
        <f t="shared" si="52"/>
        <v>8.9298017136120951</v>
      </c>
      <c r="T48" s="74">
        <f t="shared" si="52"/>
        <v>3.9990867578486737</v>
      </c>
      <c r="U48" s="74">
        <f t="shared" si="52"/>
        <v>2.9772327994824366</v>
      </c>
      <c r="V48" s="74">
        <f t="shared" si="52"/>
        <v>3.7696584085802929</v>
      </c>
      <c r="W48" s="74">
        <f t="shared" si="52"/>
        <v>1.9999283113917934</v>
      </c>
      <c r="X48" s="74">
        <f t="shared" si="52"/>
        <v>2.9999974135871654</v>
      </c>
      <c r="Y48" s="74">
        <f t="shared" si="52"/>
        <v>0.99999995944844988</v>
      </c>
      <c r="Z48" s="74">
        <f t="shared" si="52"/>
        <v>0.99999911694311272</v>
      </c>
      <c r="AA48" s="74">
        <f t="shared" si="52"/>
        <v>4.9944415705809675</v>
      </c>
      <c r="AB48" s="74">
        <f t="shared" si="52"/>
        <v>8.9176075535358112</v>
      </c>
      <c r="AC48" s="74">
        <f t="shared" si="52"/>
        <v>1.999999897776366</v>
      </c>
      <c r="AD48" s="74">
        <f t="shared" si="52"/>
        <v>1.9999999991605415</v>
      </c>
      <c r="AE48" s="74">
        <f t="shared" si="52"/>
        <v>0.99999999999999989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28.812983807830349</v>
      </c>
      <c r="K49" s="74">
        <f t="shared" ref="K49:AF49" si="53">K28-K48</f>
        <v>22.925271140381913</v>
      </c>
      <c r="L49" s="74">
        <f t="shared" si="53"/>
        <v>13.825087585445818</v>
      </c>
      <c r="M49" s="74">
        <f t="shared" si="53"/>
        <v>6.0051650074995138</v>
      </c>
      <c r="N49" s="74">
        <f t="shared" si="53"/>
        <v>14.631693182229057</v>
      </c>
      <c r="O49" s="74">
        <f t="shared" si="53"/>
        <v>11.436107360243783</v>
      </c>
      <c r="P49" s="74">
        <f t="shared" si="53"/>
        <v>21.755596199652647</v>
      </c>
      <c r="Q49" s="74">
        <f t="shared" si="53"/>
        <v>10.701200900242723</v>
      </c>
      <c r="R49" s="74">
        <f t="shared" si="53"/>
        <v>7.0257898784848098</v>
      </c>
      <c r="S49" s="74">
        <f t="shared" si="53"/>
        <v>17.277144189531299</v>
      </c>
      <c r="T49" s="74">
        <f t="shared" si="53"/>
        <v>10.401240289529401</v>
      </c>
      <c r="U49" s="74">
        <f t="shared" si="53"/>
        <v>18.804039878891924</v>
      </c>
      <c r="V49" s="74">
        <f t="shared" si="53"/>
        <v>9.0400712123774323</v>
      </c>
      <c r="W49" s="74">
        <f t="shared" si="53"/>
        <v>11.435936831360436</v>
      </c>
      <c r="X49" s="74">
        <f t="shared" si="53"/>
        <v>8.6052674933171378</v>
      </c>
      <c r="Y49" s="74">
        <f t="shared" si="53"/>
        <v>7.2643950414706762</v>
      </c>
      <c r="Z49" s="74">
        <f t="shared" si="53"/>
        <v>7.0373551704747834</v>
      </c>
      <c r="AA49" s="74">
        <f t="shared" si="53"/>
        <v>8.8424191593279922</v>
      </c>
      <c r="AB49" s="74">
        <f t="shared" si="53"/>
        <v>14.969510890766847</v>
      </c>
      <c r="AC49" s="74">
        <f t="shared" si="53"/>
        <v>7.7405906718473894</v>
      </c>
      <c r="AD49" s="74">
        <f t="shared" si="53"/>
        <v>6.96898130430354</v>
      </c>
      <c r="AE49" s="74">
        <f t="shared" si="53"/>
        <v>16.293942517189841</v>
      </c>
      <c r="AF49" s="74">
        <f t="shared" si="53"/>
        <v>12.371052504550404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2265.1990926298495</v>
      </c>
      <c r="K50" s="70">
        <f t="shared" ref="K50:AF50" si="54">K48*K20</f>
        <v>200</v>
      </c>
      <c r="L50" s="70">
        <f t="shared" si="54"/>
        <v>1255.1377705665302</v>
      </c>
      <c r="M50" s="70">
        <f t="shared" si="54"/>
        <v>97.988162859891872</v>
      </c>
      <c r="N50" s="70">
        <f t="shared" si="54"/>
        <v>817.13367047313136</v>
      </c>
      <c r="O50" s="70">
        <f t="shared" si="54"/>
        <v>599.16706119333662</v>
      </c>
      <c r="P50" s="70">
        <f t="shared" si="54"/>
        <v>918.37842509617519</v>
      </c>
      <c r="Q50" s="70">
        <f t="shared" si="54"/>
        <v>117.7848383687296</v>
      </c>
      <c r="R50" s="70">
        <f t="shared" si="54"/>
        <v>199.63945172556663</v>
      </c>
      <c r="S50" s="70">
        <f t="shared" si="54"/>
        <v>446.49008568060475</v>
      </c>
      <c r="T50" s="70">
        <f t="shared" si="54"/>
        <v>279.93607304940718</v>
      </c>
      <c r="U50" s="70">
        <f t="shared" si="54"/>
        <v>208.40629596377056</v>
      </c>
      <c r="V50" s="70">
        <f t="shared" si="54"/>
        <v>188.48292042901465</v>
      </c>
      <c r="W50" s="70">
        <f t="shared" si="54"/>
        <v>159.99426491134346</v>
      </c>
      <c r="X50" s="70">
        <f t="shared" si="54"/>
        <v>179.99984481522992</v>
      </c>
      <c r="Y50" s="70">
        <f t="shared" si="54"/>
        <v>59.999997566906991</v>
      </c>
      <c r="Z50" s="70">
        <f t="shared" si="54"/>
        <v>59.999947016586766</v>
      </c>
      <c r="AA50" s="70">
        <f t="shared" si="54"/>
        <v>249.72207852904836</v>
      </c>
      <c r="AB50" s="70">
        <f t="shared" si="54"/>
        <v>445.88037767679054</v>
      </c>
      <c r="AC50" s="70">
        <f t="shared" si="54"/>
        <v>99.999994888818293</v>
      </c>
      <c r="AD50" s="70">
        <f t="shared" si="54"/>
        <v>119.9999999496325</v>
      </c>
      <c r="AE50" s="70">
        <f t="shared" si="54"/>
        <v>119.99999999999999</v>
      </c>
      <c r="AF50" s="70">
        <f t="shared" si="54"/>
        <v>100</v>
      </c>
      <c r="AG50" s="186">
        <f>SUM(J50:AF50)</f>
        <v>9189.3403533903656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1436.845876528884</v>
      </c>
      <c r="K51" s="70">
        <f t="shared" ref="K51:AF51" si="55">(K20-K22)*K49</f>
        <v>4554.6782438153768</v>
      </c>
      <c r="L51" s="70">
        <f t="shared" si="55"/>
        <v>826.60198673380546</v>
      </c>
      <c r="M51" s="70">
        <f t="shared" si="55"/>
        <v>297.13556457107592</v>
      </c>
      <c r="N51" s="70">
        <f t="shared" si="55"/>
        <v>654.97311360930155</v>
      </c>
      <c r="O51" s="70">
        <f t="shared" si="55"/>
        <v>683.70767853217455</v>
      </c>
      <c r="P51" s="70">
        <f t="shared" si="55"/>
        <v>1084.1901366096897</v>
      </c>
      <c r="Q51" s="70">
        <f t="shared" si="55"/>
        <v>531.57145351865699</v>
      </c>
      <c r="R51" s="70">
        <f t="shared" si="55"/>
        <v>348.99908642385446</v>
      </c>
      <c r="S51" s="70">
        <f t="shared" si="55"/>
        <v>862.30226649950703</v>
      </c>
      <c r="T51" s="70">
        <f t="shared" si="55"/>
        <v>724.69601593267157</v>
      </c>
      <c r="U51" s="70">
        <f t="shared" si="55"/>
        <v>1314.0263067369676</v>
      </c>
      <c r="V51" s="70">
        <f t="shared" si="55"/>
        <v>449.11073783091081</v>
      </c>
      <c r="W51" s="70">
        <f t="shared" si="55"/>
        <v>910.8723686178588</v>
      </c>
      <c r="X51" s="70">
        <f t="shared" si="55"/>
        <v>514.3798644130319</v>
      </c>
      <c r="Y51" s="70">
        <f t="shared" si="55"/>
        <v>432.50755197908109</v>
      </c>
      <c r="Z51" s="70">
        <f t="shared" si="55"/>
        <v>418.44113843643061</v>
      </c>
      <c r="AA51" s="70">
        <f t="shared" si="55"/>
        <v>440.52932251772057</v>
      </c>
      <c r="AB51" s="70">
        <f t="shared" si="55"/>
        <v>746.6792032314504</v>
      </c>
      <c r="AC51" s="70">
        <f t="shared" si="55"/>
        <v>386.33288043190316</v>
      </c>
      <c r="AD51" s="70">
        <f t="shared" si="55"/>
        <v>414.45925612954017</v>
      </c>
      <c r="AE51" s="70">
        <f t="shared" si="55"/>
        <v>1951.6069649964134</v>
      </c>
      <c r="AF51" s="70">
        <f t="shared" si="55"/>
        <v>1232.6393005008977</v>
      </c>
      <c r="AG51" s="51">
        <f>SUM(J51:AF51)</f>
        <v>21217.286318597202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0.41761088844180683</v>
      </c>
      <c r="K52" s="70">
        <f t="shared" ref="K52:AF52" si="56">K47*K23</f>
        <v>2.2422544653893621E-162</v>
      </c>
      <c r="L52" s="70">
        <f t="shared" si="56"/>
        <v>0.12155573583674671</v>
      </c>
      <c r="M52" s="70">
        <f t="shared" si="56"/>
        <v>0.16094697120865015</v>
      </c>
      <c r="N52" s="70">
        <f t="shared" si="56"/>
        <v>2.3561271705607112</v>
      </c>
      <c r="O52" s="70">
        <f t="shared" si="56"/>
        <v>4.442340302204649E-2</v>
      </c>
      <c r="P52" s="70">
        <f t="shared" si="56"/>
        <v>0.37945889884589862</v>
      </c>
      <c r="Q52" s="70">
        <f t="shared" si="56"/>
        <v>0.57987290936286717</v>
      </c>
      <c r="R52" s="70">
        <f t="shared" si="56"/>
        <v>6.4898689398005379E-3</v>
      </c>
      <c r="S52" s="70">
        <f t="shared" si="56"/>
        <v>2.1059485916371582E-2</v>
      </c>
      <c r="T52" s="70">
        <f t="shared" si="56"/>
        <v>8.2191793619358297E-4</v>
      </c>
      <c r="U52" s="70">
        <f t="shared" si="56"/>
        <v>1.1383600258781686E-2</v>
      </c>
      <c r="V52" s="70">
        <f t="shared" si="56"/>
        <v>0.29944406884561953</v>
      </c>
      <c r="W52" s="70">
        <f t="shared" si="56"/>
        <v>5.0182025744619505E-5</v>
      </c>
      <c r="X52" s="70">
        <f t="shared" si="56"/>
        <v>6.4660320864152496E-6</v>
      </c>
      <c r="Y52" s="70">
        <f t="shared" si="56"/>
        <v>7.7047945189227003E-8</v>
      </c>
      <c r="Z52" s="70">
        <f t="shared" si="56"/>
        <v>1.3245853309183658E-6</v>
      </c>
      <c r="AA52" s="70">
        <f t="shared" si="56"/>
        <v>2.7792147095162174E-3</v>
      </c>
      <c r="AB52" s="70">
        <f t="shared" si="56"/>
        <v>4.1196223232094112E-2</v>
      </c>
      <c r="AC52" s="70">
        <f t="shared" si="56"/>
        <v>3.0667090230965577E-8</v>
      </c>
      <c r="AD52" s="70">
        <f t="shared" si="56"/>
        <v>6.7156671727577666E-10</v>
      </c>
      <c r="AE52" s="70">
        <f t="shared" si="56"/>
        <v>1.4558789269043842E-16</v>
      </c>
      <c r="AF52" s="70">
        <f t="shared" si="56"/>
        <v>2.4248073718087606E-24</v>
      </c>
      <c r="AG52" s="51">
        <f>SUM(J52:AF52)</f>
        <v>4.4432284381468685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489.17197335882042</v>
      </c>
      <c r="K53" s="70">
        <f t="shared" ref="K53:AF53" si="57">K21*K28</f>
        <v>1585.0492130503017</v>
      </c>
      <c r="L53" s="70">
        <f t="shared" si="57"/>
        <v>364.81252949632386</v>
      </c>
      <c r="M53" s="70">
        <f t="shared" si="57"/>
        <v>207.08813488213113</v>
      </c>
      <c r="N53" s="70">
        <f t="shared" si="57"/>
        <v>386.92458647436848</v>
      </c>
      <c r="O53" s="70">
        <f t="shared" si="57"/>
        <v>230.2889192530935</v>
      </c>
      <c r="P53" s="70">
        <f t="shared" si="57"/>
        <v>331.01610878800324</v>
      </c>
      <c r="Q53" s="70">
        <f t="shared" si="57"/>
        <v>212.82743198216224</v>
      </c>
      <c r="R53" s="70">
        <f t="shared" si="57"/>
        <v>179.60283628183714</v>
      </c>
      <c r="S53" s="70">
        <f t="shared" si="57"/>
        <v>117.93125656414529</v>
      </c>
      <c r="T53" s="70">
        <f t="shared" si="57"/>
        <v>234.72533087226265</v>
      </c>
      <c r="U53" s="70">
        <f t="shared" si="57"/>
        <v>130.68763607024616</v>
      </c>
      <c r="V53" s="70">
        <f t="shared" si="57"/>
        <v>204.9556739353236</v>
      </c>
      <c r="W53" s="70">
        <f t="shared" si="57"/>
        <v>235.127639998164</v>
      </c>
      <c r="X53" s="70">
        <f t="shared" si="57"/>
        <v>130.5592302026734</v>
      </c>
      <c r="Y53" s="70">
        <f t="shared" si="57"/>
        <v>190.90752452123184</v>
      </c>
      <c r="Z53" s="70">
        <f t="shared" si="57"/>
        <v>217.0085657602832</v>
      </c>
      <c r="AA53" s="70">
        <f t="shared" si="57"/>
        <v>124.53174656918064</v>
      </c>
      <c r="AB53" s="70">
        <f t="shared" si="57"/>
        <v>143.32271066581595</v>
      </c>
      <c r="AC53" s="70">
        <f t="shared" si="57"/>
        <v>43.832657563306896</v>
      </c>
      <c r="AD53" s="70">
        <f t="shared" si="57"/>
        <v>236.78110641145179</v>
      </c>
      <c r="AE53" s="70">
        <f t="shared" si="57"/>
        <v>194.55685331838572</v>
      </c>
      <c r="AF53" s="70">
        <f t="shared" si="57"/>
        <v>241.34749770713481</v>
      </c>
      <c r="AG53" s="67">
        <f>SUM(J53:AF53)</f>
        <v>6433.0571637266485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3212.4553849114714</v>
      </c>
      <c r="K54" s="79">
        <f t="shared" ref="K54:AF54" si="58">K50+K51-K53-K52</f>
        <v>3169.6290307650752</v>
      </c>
      <c r="L54" s="79">
        <f t="shared" si="58"/>
        <v>1716.805672068175</v>
      </c>
      <c r="M54" s="79">
        <f t="shared" si="58"/>
        <v>187.874645577628</v>
      </c>
      <c r="N54" s="79">
        <f t="shared" si="58"/>
        <v>1082.8260704375039</v>
      </c>
      <c r="O54" s="79">
        <f t="shared" si="58"/>
        <v>1052.5413970693955</v>
      </c>
      <c r="P54" s="79">
        <f t="shared" si="58"/>
        <v>1671.1729940190155</v>
      </c>
      <c r="Q54" s="79">
        <f t="shared" si="58"/>
        <v>435.94898699586145</v>
      </c>
      <c r="R54" s="79">
        <f t="shared" si="58"/>
        <v>369.02921199864409</v>
      </c>
      <c r="S54" s="79">
        <f t="shared" si="58"/>
        <v>1190.8400361300501</v>
      </c>
      <c r="T54" s="79">
        <f t="shared" si="58"/>
        <v>769.90593619187996</v>
      </c>
      <c r="U54" s="79">
        <f t="shared" si="58"/>
        <v>1391.7335830302334</v>
      </c>
      <c r="V54" s="79">
        <f t="shared" si="58"/>
        <v>432.33854025575619</v>
      </c>
      <c r="W54" s="79">
        <f t="shared" si="58"/>
        <v>835.73894334901263</v>
      </c>
      <c r="X54" s="79">
        <f t="shared" si="58"/>
        <v>563.82047255955626</v>
      </c>
      <c r="Y54" s="79">
        <f t="shared" si="58"/>
        <v>301.60002494770828</v>
      </c>
      <c r="Z54" s="79">
        <f t="shared" si="58"/>
        <v>261.43251836814881</v>
      </c>
      <c r="AA54" s="79">
        <f t="shared" si="58"/>
        <v>565.71687526287872</v>
      </c>
      <c r="AB54" s="79">
        <f>AB50+AB51-AB53-AB52</f>
        <v>1049.1956740191929</v>
      </c>
      <c r="AC54" s="79">
        <f t="shared" si="58"/>
        <v>442.50021772674745</v>
      </c>
      <c r="AD54" s="79">
        <f t="shared" si="58"/>
        <v>297.6781496670493</v>
      </c>
      <c r="AE54" s="79">
        <f t="shared" si="58"/>
        <v>1877.0501116780276</v>
      </c>
      <c r="AF54" s="79">
        <f t="shared" si="58"/>
        <v>1091.2918027937628</v>
      </c>
      <c r="AG54" s="68">
        <f>SUM(J54:AF54)</f>
        <v>23969.12627982278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11803.102210780302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175A-43E7-8B43-9AD3-CE1AE812B3F9}">
  <dimension ref="A1:BJ75"/>
  <sheetViews>
    <sheetView topLeftCell="AJ10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4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45</v>
      </c>
      <c r="K2" s="262">
        <f>_xlfn.XLOOKUP($B$1,daily_demand!$E$1:$AH$1,daily_demand!$E$3:$AH$3)</f>
        <v>1</v>
      </c>
      <c r="L2" s="263">
        <f>_xlfn.XLOOKUP($B$1,daily_demand!$E$1:$AH$1,daily_demand!$E$4:$AH$4)</f>
        <v>18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19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3</v>
      </c>
      <c r="W2" s="262">
        <f>_xlfn.XLOOKUP($B$1,daily_demand!$E$1:$AH$1,daily_demand!$E$15:$AH$15)</f>
        <v>1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9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1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2.1935089698128203</v>
      </c>
      <c r="AJ4" s="45">
        <f t="shared" ref="AJ4:AJ18" si="1">K4*K$28</f>
        <v>0.7177581342114574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1.2036949410369189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0.94477836968352846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0.33057580002294407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0.53484210018201617</v>
      </c>
      <c r="BF4" s="44">
        <f>SUM(AI4:BE4)</f>
        <v>5.9251583149496856</v>
      </c>
      <c r="BG4" s="54">
        <f>ROUNDUP(BF4*2, 0)</f>
        <v>12</v>
      </c>
      <c r="BH4" s="86">
        <f>CEILING($BG$1*BG4, 0.5)</f>
        <v>6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2.1935089698128203</v>
      </c>
      <c r="AJ5" s="45">
        <f t="shared" si="1"/>
        <v>0.9570108456152765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0.33057580002294407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0.66855262522752024</v>
      </c>
      <c r="BF5" s="44">
        <f t="shared" ref="BF5:BF19" si="23">SUM(AI5:BE5)</f>
        <v>4.1496482406785606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150</v>
      </c>
      <c r="C6" s="7">
        <f>B6*0.02</f>
        <v>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0.47850542280763825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1.2036949410369189</v>
      </c>
      <c r="AP6" s="45">
        <f t="shared" si="7"/>
        <v>0</v>
      </c>
      <c r="AQ6" s="45">
        <f t="shared" si="8"/>
        <v>0</v>
      </c>
      <c r="AR6" s="45">
        <f t="shared" si="9"/>
        <v>0.78620837676259769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0.33057580002294407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0.26221770912703335</v>
      </c>
      <c r="BC6" s="45">
        <f t="shared" si="20"/>
        <v>0</v>
      </c>
      <c r="BD6" s="45">
        <f t="shared" si="21"/>
        <v>0</v>
      </c>
      <c r="BE6" s="45">
        <f t="shared" si="22"/>
        <v>0.53484210018201617</v>
      </c>
      <c r="BF6" s="44">
        <f t="shared" si="23"/>
        <v>3.5960443499391483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5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0.7177581342114574</v>
      </c>
      <c r="AK7" s="45">
        <f t="shared" si="2"/>
        <v>0</v>
      </c>
      <c r="AL7" s="45">
        <f t="shared" si="3"/>
        <v>0</v>
      </c>
      <c r="AM7" s="45">
        <f t="shared" si="4"/>
        <v>1.3116087677131787</v>
      </c>
      <c r="AN7" s="45">
        <f t="shared" si="5"/>
        <v>0.85688900187003225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1.0890636339187181</v>
      </c>
      <c r="AU7" s="45">
        <f t="shared" si="12"/>
        <v>0.59048648105220536</v>
      </c>
      <c r="AV7" s="45">
        <f t="shared" si="13"/>
        <v>0</v>
      </c>
      <c r="AW7" s="45">
        <f t="shared" si="14"/>
        <v>0</v>
      </c>
      <c r="AX7" s="45">
        <f t="shared" si="15"/>
        <v>0.41321975002868011</v>
      </c>
      <c r="AY7" s="45">
        <f t="shared" si="16"/>
        <v>0.40186771437089486</v>
      </c>
      <c r="AZ7" s="45">
        <f t="shared" si="17"/>
        <v>0</v>
      </c>
      <c r="BA7" s="45">
        <f t="shared" si="18"/>
        <v>1.1943559216622928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6.5752494048274599</v>
      </c>
      <c r="BG7" s="54">
        <f t="shared" si="24"/>
        <v>14</v>
      </c>
      <c r="BH7" s="86">
        <f t="shared" si="25"/>
        <v>7</v>
      </c>
      <c r="BI7" s="6"/>
    </row>
    <row r="8" spans="1:61" ht="24" x14ac:dyDescent="0.2">
      <c r="A8" s="286" t="s">
        <v>46</v>
      </c>
      <c r="B8" s="295">
        <f>_xlfn.XLOOKUP($B$1,cost!$A$16:$A$45,cost!$F$16:$F$45)</f>
        <v>115</v>
      </c>
      <c r="C8" s="7">
        <f t="shared" ref="C8:C19" si="26">B8*0.02</f>
        <v>2.3000000000000003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0.23925271140381912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0.64266675140252416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0.16528790001147203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0.26742105009100808</v>
      </c>
      <c r="BF8" s="44">
        <f t="shared" si="23"/>
        <v>1.3146284129088235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10</v>
      </c>
      <c r="C9" s="7">
        <f t="shared" si="26"/>
        <v>0.2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5.3555562616877017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5.3555562616877017</v>
      </c>
      <c r="BG9" s="54">
        <f t="shared" si="24"/>
        <v>11</v>
      </c>
      <c r="BH9" s="86">
        <f t="shared" si="25"/>
        <v>5.5</v>
      </c>
      <c r="BI9" s="6"/>
    </row>
    <row r="10" spans="1:61" ht="24" x14ac:dyDescent="0.2">
      <c r="A10" s="286" t="s">
        <v>49</v>
      </c>
      <c r="B10" s="295">
        <f>_xlfn.XLOOKUP($B$1,cost!$A$16:$A$45,cost!$H$16:$H$45)</f>
        <v>10</v>
      </c>
      <c r="C10" s="7">
        <f t="shared" si="26"/>
        <v>0.2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0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6.5580438385658937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6.5580438385658937</v>
      </c>
      <c r="BG10" s="54">
        <f t="shared" si="24"/>
        <v>14</v>
      </c>
      <c r="BH10" s="86">
        <f t="shared" si="25"/>
        <v>7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125</v>
      </c>
      <c r="C11" s="7">
        <f t="shared" si="26"/>
        <v>2.5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0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1.3116087677131787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1.3116087677131787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4.7616075642331994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4.7616075642331994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1.1962635570190956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0.2611379533523463</v>
      </c>
      <c r="AQ13" s="45">
        <f t="shared" si="8"/>
        <v>0.22037157825992285</v>
      </c>
      <c r="AR13" s="45">
        <f t="shared" si="9"/>
        <v>0</v>
      </c>
      <c r="AS13" s="45">
        <f t="shared" si="10"/>
        <v>0.28800654094756151</v>
      </c>
      <c r="AT13" s="45">
        <f t="shared" si="11"/>
        <v>0</v>
      </c>
      <c r="AU13" s="45">
        <f t="shared" si="12"/>
        <v>0</v>
      </c>
      <c r="AV13" s="45">
        <f t="shared" si="13"/>
        <v>0.87051055999265614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2.8362901895715824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0.9570108456152765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0.7175185042771266</v>
      </c>
      <c r="BD14" s="45">
        <f t="shared" si="21"/>
        <v>0</v>
      </c>
      <c r="BE14" s="45">
        <f t="shared" si="22"/>
        <v>0</v>
      </c>
      <c r="BF14" s="44">
        <f t="shared" si="23"/>
        <v>1.6745293498924032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2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1.1962635570190956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0.65284488338086577</v>
      </c>
      <c r="AQ15" s="45">
        <f t="shared" si="8"/>
        <v>0.5509289456498071</v>
      </c>
      <c r="AR15" s="45">
        <f t="shared" si="9"/>
        <v>0</v>
      </c>
      <c r="AS15" s="45">
        <f t="shared" si="10"/>
        <v>0.72001635236890382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0.69184303649544798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3.8118967749141204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1.1962635570190956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0.80373542874178971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1.9999989857608853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1.1962635570190956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0.2611379533523463</v>
      </c>
      <c r="AQ17" s="45">
        <f t="shared" si="8"/>
        <v>0.22037157825992285</v>
      </c>
      <c r="AR17" s="45">
        <f t="shared" si="9"/>
        <v>0</v>
      </c>
      <c r="AS17" s="45">
        <f t="shared" si="10"/>
        <v>0.28800654094756151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1.9657796295789263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3.1859713058811003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3.1859713058811003</v>
      </c>
      <c r="BG18" s="54">
        <f t="shared" si="24"/>
        <v>7</v>
      </c>
      <c r="BH18" s="86">
        <f t="shared" si="25"/>
        <v>3.5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4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2.9013162267260757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4.3234856292974602</v>
      </c>
      <c r="BE19" s="45">
        <f t="shared" si="27"/>
        <v>0</v>
      </c>
      <c r="BF19" s="44">
        <f t="shared" si="23"/>
        <v>7.2248018560235359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23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62.246813247126198</v>
      </c>
      <c r="BG20" s="54">
        <f>SUM(BG4:BG19)</f>
        <v>132</v>
      </c>
      <c r="BH20" s="86">
        <f>SUM(BH4:BH19)</f>
        <v>66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66.25</v>
      </c>
      <c r="L21" s="4">
        <f t="shared" si="28"/>
        <v>10.5</v>
      </c>
      <c r="M21" s="4">
        <f t="shared" si="28"/>
        <v>26</v>
      </c>
      <c r="N21" s="4">
        <f t="shared" si="28"/>
        <v>11.8</v>
      </c>
      <c r="O21" s="4">
        <f t="shared" si="28"/>
        <v>10.75</v>
      </c>
      <c r="P21" s="4">
        <f t="shared" si="28"/>
        <v>8.25</v>
      </c>
      <c r="Q21" s="4">
        <f t="shared" si="28"/>
        <v>16.3</v>
      </c>
      <c r="R21" s="4">
        <f t="shared" si="28"/>
        <v>16.3</v>
      </c>
      <c r="S21" s="4">
        <f t="shared" si="28"/>
        <v>4.5</v>
      </c>
      <c r="T21" s="4">
        <f t="shared" si="28"/>
        <v>16.3</v>
      </c>
      <c r="U21" s="4">
        <f t="shared" si="28"/>
        <v>6</v>
      </c>
      <c r="V21" s="4">
        <f t="shared" si="28"/>
        <v>16</v>
      </c>
      <c r="W21" s="4">
        <f t="shared" si="28"/>
        <v>17.5</v>
      </c>
      <c r="X21" s="4">
        <f t="shared" si="28"/>
        <v>11.25</v>
      </c>
      <c r="Y21" s="4">
        <f t="shared" si="28"/>
        <v>23.1</v>
      </c>
      <c r="Z21" s="4">
        <f t="shared" si="28"/>
        <v>27</v>
      </c>
      <c r="AA21" s="4">
        <f t="shared" si="28"/>
        <v>9</v>
      </c>
      <c r="AB21" s="4">
        <f t="shared" si="28"/>
        <v>6</v>
      </c>
      <c r="AC21" s="4">
        <f t="shared" si="28"/>
        <v>4.5</v>
      </c>
      <c r="AD21" s="4">
        <f t="shared" si="28"/>
        <v>26.400000000000002</v>
      </c>
      <c r="AE21" s="4">
        <f t="shared" si="28"/>
        <v>11.25</v>
      </c>
      <c r="AF21" s="4">
        <f t="shared" si="28"/>
        <v>18.05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2160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1.325</v>
      </c>
      <c r="L22" s="4">
        <f t="shared" si="29"/>
        <v>0.21000000000000002</v>
      </c>
      <c r="M22" s="4">
        <f t="shared" si="29"/>
        <v>0.52</v>
      </c>
      <c r="N22" s="4">
        <f t="shared" si="29"/>
        <v>0.23600000000000002</v>
      </c>
      <c r="O22" s="4">
        <f t="shared" si="29"/>
        <v>0.21500000000000002</v>
      </c>
      <c r="P22" s="4">
        <f t="shared" si="29"/>
        <v>0.16499999999999998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0.09</v>
      </c>
      <c r="T22" s="4">
        <f t="shared" si="29"/>
        <v>0.32600000000000001</v>
      </c>
      <c r="U22" s="4">
        <f t="shared" si="29"/>
        <v>0.12</v>
      </c>
      <c r="V22" s="4">
        <f t="shared" si="29"/>
        <v>0.32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0.46200000000000002</v>
      </c>
      <c r="Z22" s="4">
        <f t="shared" si="29"/>
        <v>0.54</v>
      </c>
      <c r="AA22" s="4">
        <f t="shared" si="29"/>
        <v>0.18000000000000002</v>
      </c>
      <c r="AB22" s="4">
        <f t="shared" si="29"/>
        <v>0.12</v>
      </c>
      <c r="AC22" s="4">
        <f t="shared" si="29"/>
        <v>0.09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0.36099999999999999</v>
      </c>
      <c r="AG22" s="9"/>
      <c r="BF22" s="432" t="s">
        <v>131</v>
      </c>
      <c r="BG22" s="432"/>
      <c r="BH22" s="41">
        <f>SUMPRODUCT(B4:B19,BH4:BH19)</f>
        <v>6797.5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64.924999999999997</v>
      </c>
      <c r="L25" s="69">
        <f t="shared" si="31"/>
        <v>10.29</v>
      </c>
      <c r="M25" s="69">
        <f t="shared" si="31"/>
        <v>25.48</v>
      </c>
      <c r="N25" s="69">
        <f t="shared" si="31"/>
        <v>11.564</v>
      </c>
      <c r="O25" s="69">
        <f t="shared" si="31"/>
        <v>10.535</v>
      </c>
      <c r="P25" s="69">
        <f t="shared" si="31"/>
        <v>8.0850000000000009</v>
      </c>
      <c r="Q25" s="69">
        <f t="shared" si="31"/>
        <v>15.974</v>
      </c>
      <c r="R25" s="69">
        <f t="shared" si="31"/>
        <v>15.974</v>
      </c>
      <c r="S25" s="69">
        <f t="shared" si="31"/>
        <v>4.41</v>
      </c>
      <c r="T25" s="69">
        <f t="shared" si="31"/>
        <v>15.974</v>
      </c>
      <c r="U25" s="69">
        <f t="shared" si="31"/>
        <v>5.88</v>
      </c>
      <c r="V25" s="69">
        <f t="shared" si="31"/>
        <v>15.68</v>
      </c>
      <c r="W25" s="69">
        <f t="shared" si="31"/>
        <v>17.149999999999999</v>
      </c>
      <c r="X25" s="69">
        <f t="shared" si="31"/>
        <v>11.025</v>
      </c>
      <c r="Y25" s="69">
        <f t="shared" si="31"/>
        <v>22.638000000000002</v>
      </c>
      <c r="Z25" s="69">
        <f t="shared" si="31"/>
        <v>26.46</v>
      </c>
      <c r="AA25" s="69">
        <f t="shared" si="31"/>
        <v>8.82</v>
      </c>
      <c r="AB25" s="69">
        <f t="shared" si="31"/>
        <v>5.88</v>
      </c>
      <c r="AC25" s="69">
        <f t="shared" si="31"/>
        <v>4.41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17.689</v>
      </c>
      <c r="AG25" s="16"/>
      <c r="BF25" s="434" t="s">
        <v>42</v>
      </c>
      <c r="BG25" s="434"/>
      <c r="BH25" s="39">
        <f>AG50+AG51-AG52-BH22</f>
        <v>23194.683429167948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137.44999999999999</v>
      </c>
      <c r="L26" s="4">
        <f t="shared" si="32"/>
        <v>51</v>
      </c>
      <c r="M26" s="4">
        <f t="shared" si="32"/>
        <v>28</v>
      </c>
      <c r="N26" s="4">
        <f t="shared" si="32"/>
        <v>36</v>
      </c>
      <c r="O26" s="4">
        <f t="shared" si="32"/>
        <v>52.45</v>
      </c>
      <c r="P26" s="4">
        <f t="shared" si="32"/>
        <v>42.35</v>
      </c>
      <c r="Q26" s="4">
        <f t="shared" si="32"/>
        <v>34.6</v>
      </c>
      <c r="R26" s="4">
        <f t="shared" si="32"/>
        <v>34.6</v>
      </c>
      <c r="S26" s="4">
        <f t="shared" si="32"/>
        <v>45.8</v>
      </c>
      <c r="T26" s="4">
        <f t="shared" si="32"/>
        <v>54.6</v>
      </c>
      <c r="U26" s="4">
        <f t="shared" si="32"/>
        <v>64.5</v>
      </c>
      <c r="V26" s="4">
        <f t="shared" si="32"/>
        <v>35.299999999999997</v>
      </c>
      <c r="W26" s="4">
        <f t="shared" si="32"/>
        <v>63.2</v>
      </c>
      <c r="X26" s="4">
        <f t="shared" si="32"/>
        <v>51.25</v>
      </c>
      <c r="Y26" s="4">
        <f t="shared" si="32"/>
        <v>38.799999999999997</v>
      </c>
      <c r="Z26" s="4">
        <f t="shared" si="32"/>
        <v>34.5</v>
      </c>
      <c r="AA26" s="4">
        <f t="shared" si="32"/>
        <v>41.5</v>
      </c>
      <c r="AB26" s="4">
        <f t="shared" si="32"/>
        <v>44.5</v>
      </c>
      <c r="AC26" s="4">
        <f t="shared" si="32"/>
        <v>45.8</v>
      </c>
      <c r="AD26" s="4">
        <f t="shared" si="32"/>
        <v>34.399999999999991</v>
      </c>
      <c r="AE26" s="4">
        <f t="shared" si="32"/>
        <v>111.25</v>
      </c>
      <c r="AF26" s="4">
        <f t="shared" si="32"/>
        <v>83.45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0.67918468190240888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0.75687494743923978</v>
      </c>
      <c r="O27" s="70">
        <f t="shared" si="33"/>
        <v>0.83273795348098756</v>
      </c>
      <c r="P27" s="70">
        <f t="shared" si="33"/>
        <v>0.83969465648854957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0.91216889065923124</v>
      </c>
      <c r="T27" s="70">
        <f t="shared" si="33"/>
        <v>0.77365602063082728</v>
      </c>
      <c r="U27" s="70">
        <f t="shared" si="33"/>
        <v>0.91645353793691398</v>
      </c>
      <c r="V27" s="70">
        <f t="shared" si="33"/>
        <v>0.69242840329541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0.63153097431557015</v>
      </c>
      <c r="Z27" s="70">
        <f t="shared" si="33"/>
        <v>0.56594488188976377</v>
      </c>
      <c r="AA27" s="70">
        <f t="shared" si="33"/>
        <v>0.82472178060413359</v>
      </c>
      <c r="AB27" s="70">
        <f t="shared" si="33"/>
        <v>0.8832870186581977</v>
      </c>
      <c r="AC27" s="70">
        <f t="shared" si="33"/>
        <v>0.91216889065923124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0.82510208722649026</v>
      </c>
      <c r="AG27" s="9"/>
      <c r="BF27" s="430" t="s">
        <v>130</v>
      </c>
      <c r="BG27" s="430"/>
      <c r="BH27" s="40">
        <f>BH25-AG41</f>
        <v>12669.276148770527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73.11696566042734</v>
      </c>
      <c r="K28" s="72">
        <v>23.925271140381913</v>
      </c>
      <c r="L28" s="72">
        <v>31.744050428221332</v>
      </c>
      <c r="M28" s="72">
        <v>7.9649282647027499</v>
      </c>
      <c r="N28" s="72">
        <v>32.790219192829468</v>
      </c>
      <c r="O28" s="72">
        <v>21.422225046750807</v>
      </c>
      <c r="P28" s="72">
        <v>40.123164701230628</v>
      </c>
      <c r="Q28" s="72">
        <v>13.056897667617315</v>
      </c>
      <c r="R28" s="72">
        <v>11.018578912996142</v>
      </c>
      <c r="S28" s="72">
        <v>26.206945892086591</v>
      </c>
      <c r="T28" s="72">
        <v>14.400327047378076</v>
      </c>
      <c r="U28" s="72">
        <v>21.781272678374361</v>
      </c>
      <c r="V28" s="72">
        <v>11.809729621044106</v>
      </c>
      <c r="W28" s="72">
        <v>12.435865142752229</v>
      </c>
      <c r="X28" s="72">
        <v>11.605264906904303</v>
      </c>
      <c r="Y28" s="72">
        <v>8.264395000573602</v>
      </c>
      <c r="Z28" s="72">
        <v>8.0373542874178963</v>
      </c>
      <c r="AA28" s="72">
        <v>13.83686072990896</v>
      </c>
      <c r="AB28" s="72">
        <v>23.887118433245853</v>
      </c>
      <c r="AC28" s="72">
        <v>8.7405903042344448</v>
      </c>
      <c r="AD28" s="72">
        <v>8.9689813034640817</v>
      </c>
      <c r="AE28" s="72">
        <v>17.293942517189841</v>
      </c>
      <c r="AF28" s="72">
        <v>13.371052504550404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0</v>
      </c>
      <c r="O29" s="74">
        <f>F9/O9</f>
        <v>16</v>
      </c>
      <c r="P29" s="74">
        <f>(F6/P6)*(25/47)</f>
        <v>35.460992907801419</v>
      </c>
      <c r="Q29" s="74">
        <f>(F13/Q13)*(6/20)</f>
        <v>15</v>
      </c>
      <c r="R29" s="74">
        <f>(F13/R13)*(3/20)</f>
        <v>7.5</v>
      </c>
      <c r="S29" s="74">
        <f>(F6/S6)*(12/47)</f>
        <v>17.021276595744681</v>
      </c>
      <c r="T29" s="74">
        <f>(F13/T13)*(3/20)</f>
        <v>7.5</v>
      </c>
      <c r="U29" s="74">
        <f>(F7/U7)*(6/47)</f>
        <v>12.76595744680851</v>
      </c>
      <c r="V29" s="74">
        <f>(F7/V7)*(3/47)</f>
        <v>6.3829787234042552</v>
      </c>
      <c r="W29" s="74">
        <f>(F13/W13)*(8/20)</f>
        <v>5.7142857142857144</v>
      </c>
      <c r="X29" s="74">
        <f>(F19/X19)*(3/4)</f>
        <v>12</v>
      </c>
      <c r="Y29" s="74">
        <f>(F7/Y7)*(1/29)</f>
        <v>3.4482758620689653</v>
      </c>
      <c r="Z29" s="74">
        <f>(F16/Z16)*(4/5)</f>
        <v>0</v>
      </c>
      <c r="AA29" s="74">
        <f>(F15/AA15)*(4/16)</f>
        <v>10</v>
      </c>
      <c r="AB29" s="74">
        <f>(F7/AB7)*(11/47)</f>
        <v>23.404255319148938</v>
      </c>
      <c r="AC29" s="74">
        <f>(F6/AC6)*(1/47)</f>
        <v>1.4184397163120568</v>
      </c>
      <c r="AD29" s="74">
        <f>(F14/AD14)</f>
        <v>0</v>
      </c>
      <c r="AE29" s="74">
        <f>(F19/AE19)*(1/4)</f>
        <v>4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-0.70497310658148971</v>
      </c>
      <c r="K30" s="70">
        <f t="shared" si="34"/>
        <v>-1.1904761904761905</v>
      </c>
      <c r="L30" s="70">
        <f t="shared" si="34"/>
        <v>0.27586206896551724</v>
      </c>
      <c r="M30" s="70">
        <f t="shared" si="34"/>
        <v>-0.6211180124223602</v>
      </c>
      <c r="N30" s="70">
        <f t="shared" si="34"/>
        <v>-1.5261044176706828</v>
      </c>
      <c r="O30" s="70">
        <f t="shared" si="34"/>
        <v>1.25</v>
      </c>
      <c r="P30" s="70">
        <f t="shared" si="34"/>
        <v>1.0551918530641935</v>
      </c>
      <c r="Q30" s="70">
        <f t="shared" si="34"/>
        <v>1.3015184381778742</v>
      </c>
      <c r="R30" s="70">
        <f t="shared" si="34"/>
        <v>1.2110726643598615</v>
      </c>
      <c r="S30" s="70">
        <f t="shared" si="34"/>
        <v>0.93816100535025493</v>
      </c>
      <c r="T30" s="70">
        <f t="shared" si="34"/>
        <v>1.0416666666666667</v>
      </c>
      <c r="U30" s="70">
        <f t="shared" si="34"/>
        <v>1.2377639349567187</v>
      </c>
      <c r="V30" s="70">
        <f t="shared" si="34"/>
        <v>0.5378344552312011</v>
      </c>
      <c r="W30" s="70">
        <f t="shared" si="34"/>
        <v>1.5355979525360635</v>
      </c>
      <c r="X30" s="70">
        <f t="shared" si="34"/>
        <v>4.5685279187817258</v>
      </c>
      <c r="Y30" s="70">
        <f t="shared" si="34"/>
        <v>1.7241379310344827</v>
      </c>
      <c r="Z30" s="70">
        <f t="shared" si="34"/>
        <v>-0.64516129032258063</v>
      </c>
      <c r="AA30" s="70">
        <f t="shared" si="34"/>
        <v>1.4534883720930232</v>
      </c>
      <c r="AB30" s="70">
        <f t="shared" si="34"/>
        <v>1.8538295134039817</v>
      </c>
      <c r="AC30" s="70">
        <f t="shared" si="34"/>
        <v>0.2682305873795236</v>
      </c>
      <c r="AD30" s="70">
        <f t="shared" si="34"/>
        <v>-1.6528925619834711</v>
      </c>
      <c r="AE30" s="70">
        <f t="shared" si="34"/>
        <v>1.4492753623188408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0.31116496488906387</v>
      </c>
      <c r="K31" s="70">
        <f t="shared" ref="K31:AF31" si="35">NORMDIST(K30,0,1,FALSE)</f>
        <v>0.19640914652400149</v>
      </c>
      <c r="L31" s="70">
        <f t="shared" si="35"/>
        <v>0.38404771597918042</v>
      </c>
      <c r="M31" s="70">
        <f t="shared" si="35"/>
        <v>0.3289556545568964</v>
      </c>
      <c r="N31" s="70">
        <f t="shared" si="35"/>
        <v>0.12450170355209141</v>
      </c>
      <c r="O31" s="70">
        <f t="shared" si="35"/>
        <v>0.18264908538902191</v>
      </c>
      <c r="P31" s="70">
        <f t="shared" si="35"/>
        <v>0.22862927891236096</v>
      </c>
      <c r="Q31" s="70">
        <f t="shared" si="35"/>
        <v>0.17103045213676746</v>
      </c>
      <c r="R31" s="70">
        <f t="shared" si="35"/>
        <v>0.19161118613778638</v>
      </c>
      <c r="S31" s="70">
        <f t="shared" si="35"/>
        <v>0.25691459379413667</v>
      </c>
      <c r="T31" s="70">
        <f t="shared" si="35"/>
        <v>0.23189438328624271</v>
      </c>
      <c r="U31" s="70">
        <f t="shared" si="35"/>
        <v>0.18545030831126971</v>
      </c>
      <c r="V31" s="70">
        <f t="shared" si="35"/>
        <v>0.34522065598835761</v>
      </c>
      <c r="W31" s="70">
        <f t="shared" si="35"/>
        <v>0.12270538151229468</v>
      </c>
      <c r="X31" s="70">
        <f t="shared" si="35"/>
        <v>1.171474555830288E-5</v>
      </c>
      <c r="Y31" s="70">
        <f t="shared" si="35"/>
        <v>9.0241638359231741E-2</v>
      </c>
      <c r="Z31" s="70">
        <f t="shared" si="35"/>
        <v>0.32398596615315295</v>
      </c>
      <c r="AA31" s="70">
        <f t="shared" si="35"/>
        <v>0.13872624376685427</v>
      </c>
      <c r="AB31" s="70">
        <f t="shared" si="35"/>
        <v>7.1555603113218846E-2</v>
      </c>
      <c r="AC31" s="70">
        <f t="shared" si="35"/>
        <v>0.38484587204181958</v>
      </c>
      <c r="AD31" s="70">
        <f t="shared" si="35"/>
        <v>0.10177757907817411</v>
      </c>
      <c r="AE31" s="70">
        <f t="shared" si="35"/>
        <v>0.13957710992500036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0.24041348629186277</v>
      </c>
      <c r="K32" s="70">
        <f t="shared" ref="K32:AF32" si="36">NORMDIST(K30,0,1,TRUE)</f>
        <v>0.11692964134637239</v>
      </c>
      <c r="L32" s="70">
        <f t="shared" si="36"/>
        <v>0.60867299579262324</v>
      </c>
      <c r="M32" s="70">
        <f t="shared" si="36"/>
        <v>0.26726098931262676</v>
      </c>
      <c r="N32" s="70">
        <f t="shared" si="36"/>
        <v>6.349193103372576E-2</v>
      </c>
      <c r="O32" s="70">
        <f t="shared" si="36"/>
        <v>0.89435022633314476</v>
      </c>
      <c r="P32" s="70">
        <f t="shared" si="36"/>
        <v>0.85433120529486528</v>
      </c>
      <c r="Q32" s="70">
        <f t="shared" si="36"/>
        <v>0.90345947127020609</v>
      </c>
      <c r="R32" s="70">
        <f t="shared" si="36"/>
        <v>0.88706622156702475</v>
      </c>
      <c r="S32" s="70">
        <f t="shared" si="36"/>
        <v>0.82591916269481458</v>
      </c>
      <c r="T32" s="70">
        <f t="shared" si="36"/>
        <v>0.85121687581824801</v>
      </c>
      <c r="U32" s="70">
        <f t="shared" si="36"/>
        <v>0.89209819764727305</v>
      </c>
      <c r="V32" s="70">
        <f t="shared" si="36"/>
        <v>0.70465432877468637</v>
      </c>
      <c r="W32" s="70">
        <f t="shared" si="36"/>
        <v>0.9376814916664995</v>
      </c>
      <c r="X32" s="70">
        <f t="shared" si="36"/>
        <v>0.99999754419173437</v>
      </c>
      <c r="Y32" s="70">
        <f t="shared" si="36"/>
        <v>0.95765852702121079</v>
      </c>
      <c r="Z32" s="70">
        <f t="shared" si="36"/>
        <v>0.25941133433509533</v>
      </c>
      <c r="AA32" s="70">
        <f t="shared" si="36"/>
        <v>0.92695589707257042</v>
      </c>
      <c r="AB32" s="70">
        <f t="shared" si="36"/>
        <v>0.96811822265960679</v>
      </c>
      <c r="AC32" s="70">
        <f t="shared" si="36"/>
        <v>0.60573908397805565</v>
      </c>
      <c r="AD32" s="70">
        <f t="shared" si="36"/>
        <v>4.9176365594524589E-2</v>
      </c>
      <c r="AE32" s="70">
        <f t="shared" si="36"/>
        <v>0.92636965065740862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0.84665302917529273</v>
      </c>
      <c r="K33" s="70">
        <f t="shared" ref="K33:AF33" si="37">K31-(K30*(1-K32))</f>
        <v>1.2476833830164151</v>
      </c>
      <c r="L33" s="70">
        <f t="shared" si="37"/>
        <v>0.27609543895645577</v>
      </c>
      <c r="M33" s="70">
        <f t="shared" si="37"/>
        <v>0.78407305249936421</v>
      </c>
      <c r="N33" s="70">
        <f t="shared" si="37"/>
        <v>1.5537108047857631</v>
      </c>
      <c r="O33" s="70">
        <f t="shared" si="37"/>
        <v>5.0586868305452865E-2</v>
      </c>
      <c r="P33" s="70">
        <f t="shared" si="37"/>
        <v>7.4920753493822267E-2</v>
      </c>
      <c r="Q33" s="70">
        <f t="shared" si="37"/>
        <v>4.5381173963499916E-2</v>
      </c>
      <c r="R33" s="70">
        <f t="shared" si="37"/>
        <v>5.4840174194736774E-2</v>
      </c>
      <c r="S33" s="70">
        <f t="shared" si="37"/>
        <v>9.359874045568975E-2</v>
      </c>
      <c r="T33" s="70">
        <f t="shared" si="37"/>
        <v>7.6911962263584377E-2</v>
      </c>
      <c r="U33" s="70">
        <f t="shared" si="37"/>
        <v>5.1893348842236287E-2</v>
      </c>
      <c r="V33" s="70">
        <f t="shared" si="37"/>
        <v>0.18637357779999761</v>
      </c>
      <c r="W33" s="70">
        <f t="shared" si="37"/>
        <v>2.7009207710269711E-2</v>
      </c>
      <c r="X33" s="70">
        <f t="shared" si="37"/>
        <v>4.9531693358172747E-7</v>
      </c>
      <c r="Y33" s="70">
        <f t="shared" si="37"/>
        <v>1.7239098740629663E-2</v>
      </c>
      <c r="Z33" s="70">
        <f t="shared" si="37"/>
        <v>0.80178510529180103</v>
      </c>
      <c r="AA33" s="70">
        <f t="shared" si="37"/>
        <v>3.2557489511869431E-2</v>
      </c>
      <c r="AB33" s="70">
        <f t="shared" si="37"/>
        <v>1.2452223339823605E-2</v>
      </c>
      <c r="AC33" s="70">
        <f t="shared" si="37"/>
        <v>0.27909303495646443</v>
      </c>
      <c r="AD33" s="70">
        <f t="shared" si="37"/>
        <v>1.6733868921450756</v>
      </c>
      <c r="AE33" s="70">
        <f t="shared" si="37"/>
        <v>3.2866458703853407E-2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16.772196507962548</v>
      </c>
      <c r="K34" s="74">
        <f t="shared" si="38"/>
        <v>1.0480540417337887</v>
      </c>
      <c r="L34" s="74">
        <f t="shared" si="38"/>
        <v>2.0016919324343045</v>
      </c>
      <c r="M34" s="74">
        <f t="shared" si="38"/>
        <v>2.5247152290479531</v>
      </c>
      <c r="N34" s="74">
        <f t="shared" si="38"/>
        <v>19.343699519582749</v>
      </c>
      <c r="O34" s="74">
        <f t="shared" si="38"/>
        <v>0.24281696786617374</v>
      </c>
      <c r="P34" s="74">
        <f t="shared" si="38"/>
        <v>1.1687637545036274</v>
      </c>
      <c r="Q34" s="74">
        <f t="shared" si="38"/>
        <v>0.41841442394346923</v>
      </c>
      <c r="R34" s="74">
        <f t="shared" si="38"/>
        <v>0.15848810342278929</v>
      </c>
      <c r="S34" s="74">
        <f t="shared" si="38"/>
        <v>0.80026923089614743</v>
      </c>
      <c r="T34" s="74">
        <f t="shared" si="38"/>
        <v>0.25842419320564347</v>
      </c>
      <c r="U34" s="74">
        <f t="shared" si="38"/>
        <v>0.40943852236524431</v>
      </c>
      <c r="V34" s="74">
        <f t="shared" si="38"/>
        <v>1.1722898043619849</v>
      </c>
      <c r="W34" s="74">
        <f t="shared" si="38"/>
        <v>8.2918267670528012E-2</v>
      </c>
      <c r="X34" s="74">
        <f t="shared" si="38"/>
        <v>9.7577435915600303E-7</v>
      </c>
      <c r="Y34" s="74">
        <f t="shared" si="38"/>
        <v>2.4479520211694122E-2</v>
      </c>
      <c r="Z34" s="74">
        <f t="shared" si="38"/>
        <v>1.2427669132022916</v>
      </c>
      <c r="AA34" s="74">
        <f t="shared" si="38"/>
        <v>0.11199776392083084</v>
      </c>
      <c r="AB34" s="74">
        <f t="shared" si="38"/>
        <v>9.6753775350429408E-2</v>
      </c>
      <c r="AC34" s="74">
        <f t="shared" si="38"/>
        <v>0.43538513453208449</v>
      </c>
      <c r="AD34" s="74">
        <f t="shared" si="38"/>
        <v>2.0247981394955414</v>
      </c>
      <c r="AE34" s="74">
        <f t="shared" si="38"/>
        <v>6.8033569516976547E-2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28.227803492037452</v>
      </c>
      <c r="K35" s="74">
        <f t="shared" si="39"/>
        <v>-4.8054041733788688E-2</v>
      </c>
      <c r="L35" s="74">
        <f t="shared" si="39"/>
        <v>15.998308067565695</v>
      </c>
      <c r="M35" s="74">
        <f t="shared" si="39"/>
        <v>-0.52471522904795309</v>
      </c>
      <c r="N35" s="74">
        <f t="shared" si="39"/>
        <v>-0.34369951958274925</v>
      </c>
      <c r="O35" s="74">
        <f t="shared" si="39"/>
        <v>9.7571830321338258</v>
      </c>
      <c r="P35" s="74">
        <f t="shared" si="39"/>
        <v>17.831236245496374</v>
      </c>
      <c r="Q35" s="74">
        <f t="shared" si="39"/>
        <v>2.5815855760565309</v>
      </c>
      <c r="R35" s="74">
        <f t="shared" si="39"/>
        <v>3.8415118965772108</v>
      </c>
      <c r="S35" s="74">
        <f t="shared" si="39"/>
        <v>8.1997307691038532</v>
      </c>
      <c r="T35" s="74">
        <f t="shared" si="39"/>
        <v>3.7415758067943568</v>
      </c>
      <c r="U35" s="74">
        <f t="shared" si="39"/>
        <v>2.5905614776347559</v>
      </c>
      <c r="V35" s="74">
        <f t="shared" si="39"/>
        <v>1.8277101956380151</v>
      </c>
      <c r="W35" s="74">
        <f t="shared" si="39"/>
        <v>0.91708173232947199</v>
      </c>
      <c r="X35" s="74">
        <f t="shared" si="39"/>
        <v>2.9999990242256409</v>
      </c>
      <c r="Y35" s="74">
        <f t="shared" si="39"/>
        <v>0.97552047978830592</v>
      </c>
      <c r="Z35" s="74">
        <f t="shared" si="39"/>
        <v>-0.2427669132022916</v>
      </c>
      <c r="AA35" s="74">
        <f t="shared" si="39"/>
        <v>4.8880022360791688</v>
      </c>
      <c r="AB35" s="74">
        <f t="shared" si="39"/>
        <v>8.9032462246495712</v>
      </c>
      <c r="AC35" s="74">
        <f t="shared" si="39"/>
        <v>0.56461486546791551</v>
      </c>
      <c r="AD35" s="74">
        <f t="shared" si="39"/>
        <v>-2.4798139495541438E-2</v>
      </c>
      <c r="AE35" s="74">
        <f t="shared" si="39"/>
        <v>0.93196643048302341</v>
      </c>
      <c r="AF35" s="74">
        <f t="shared" si="39"/>
        <v>0.35403274880761504</v>
      </c>
      <c r="AG35" s="187">
        <f>SUM(J35:AF35)</f>
        <v>113.94763645780647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2.8066792665832381</v>
      </c>
      <c r="K36" s="74">
        <f t="shared" ref="K36:AF36" si="40">K29-K35</f>
        <v>4.8054041733788688E-2</v>
      </c>
      <c r="L36" s="74">
        <f t="shared" si="40"/>
        <v>4.001691932434305</v>
      </c>
      <c r="M36" s="74">
        <f t="shared" si="40"/>
        <v>0.52471522904795309</v>
      </c>
      <c r="N36" s="74">
        <f t="shared" si="40"/>
        <v>0.34369951958274925</v>
      </c>
      <c r="O36" s="74">
        <f t="shared" si="40"/>
        <v>6.2428169678661742</v>
      </c>
      <c r="P36" s="74">
        <f t="shared" si="40"/>
        <v>17.629756662305045</v>
      </c>
      <c r="Q36" s="74">
        <f t="shared" si="40"/>
        <v>12.418414423943469</v>
      </c>
      <c r="R36" s="74">
        <f t="shared" si="40"/>
        <v>3.6584881034227892</v>
      </c>
      <c r="S36" s="74">
        <f t="shared" si="40"/>
        <v>8.8215458266408273</v>
      </c>
      <c r="T36" s="74">
        <f t="shared" si="40"/>
        <v>3.7584241932056432</v>
      </c>
      <c r="U36" s="74">
        <f t="shared" si="40"/>
        <v>10.175395969173755</v>
      </c>
      <c r="V36" s="74">
        <f t="shared" si="40"/>
        <v>4.5552685277662404</v>
      </c>
      <c r="W36" s="74">
        <f t="shared" si="40"/>
        <v>4.7972039819562422</v>
      </c>
      <c r="X36" s="74">
        <f t="shared" si="40"/>
        <v>9.0000009757743591</v>
      </c>
      <c r="Y36" s="74">
        <f t="shared" si="40"/>
        <v>2.4727553822806594</v>
      </c>
      <c r="Z36" s="74">
        <f t="shared" si="40"/>
        <v>0.2427669132022916</v>
      </c>
      <c r="AA36" s="74">
        <f t="shared" si="40"/>
        <v>5.1119977639208312</v>
      </c>
      <c r="AB36" s="74">
        <f t="shared" si="40"/>
        <v>14.501009094499366</v>
      </c>
      <c r="AC36" s="74">
        <f t="shared" si="40"/>
        <v>0.85382485084414128</v>
      </c>
      <c r="AD36" s="74">
        <f t="shared" si="40"/>
        <v>2.4798139495541438E-2</v>
      </c>
      <c r="AE36" s="74">
        <f t="shared" si="40"/>
        <v>3.0680335695169765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1411.3901746018726</v>
      </c>
      <c r="K37" s="70">
        <f t="shared" ref="K37:AF37" si="41">K20*K35</f>
        <v>-9.6108083467577377</v>
      </c>
      <c r="L37" s="70">
        <f t="shared" si="41"/>
        <v>959.89848405394173</v>
      </c>
      <c r="M37" s="70">
        <f t="shared" si="41"/>
        <v>-26.235761452397654</v>
      </c>
      <c r="N37" s="70">
        <f t="shared" si="41"/>
        <v>-15.466478381223716</v>
      </c>
      <c r="O37" s="70">
        <f t="shared" si="41"/>
        <v>585.4309819280295</v>
      </c>
      <c r="P37" s="70">
        <f t="shared" si="41"/>
        <v>891.56181227481875</v>
      </c>
      <c r="Q37" s="70">
        <f t="shared" si="41"/>
        <v>129.07927880282654</v>
      </c>
      <c r="R37" s="70">
        <f t="shared" si="41"/>
        <v>192.07559482886055</v>
      </c>
      <c r="S37" s="70">
        <f t="shared" si="41"/>
        <v>409.98653845519266</v>
      </c>
      <c r="T37" s="70">
        <f t="shared" si="41"/>
        <v>261.91030647560495</v>
      </c>
      <c r="U37" s="70">
        <f t="shared" si="41"/>
        <v>181.33930343443291</v>
      </c>
      <c r="V37" s="70">
        <f t="shared" si="41"/>
        <v>91.385509781900751</v>
      </c>
      <c r="W37" s="70">
        <f t="shared" si="41"/>
        <v>73.366538586357763</v>
      </c>
      <c r="X37" s="70">
        <f t="shared" si="41"/>
        <v>179.99994145353844</v>
      </c>
      <c r="Y37" s="70">
        <f t="shared" si="41"/>
        <v>58.531228787298353</v>
      </c>
      <c r="Z37" s="70">
        <f t="shared" si="41"/>
        <v>-14.566014792137496</v>
      </c>
      <c r="AA37" s="70">
        <f t="shared" si="41"/>
        <v>244.40011180395845</v>
      </c>
      <c r="AB37" s="70">
        <f t="shared" si="41"/>
        <v>445.16231123247854</v>
      </c>
      <c r="AC37" s="70">
        <f t="shared" si="41"/>
        <v>28.230743273395774</v>
      </c>
      <c r="AD37" s="70">
        <f t="shared" si="41"/>
        <v>-1.4878883697324863</v>
      </c>
      <c r="AE37" s="70">
        <f t="shared" si="41"/>
        <v>111.83597165796282</v>
      </c>
      <c r="AF37" s="70">
        <f t="shared" si="41"/>
        <v>35.403274880761501</v>
      </c>
      <c r="AG37" s="288">
        <f>SUM(J37:AF37)</f>
        <v>6223.6211549709833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139.96348166597292</v>
      </c>
      <c r="K38" s="70">
        <f t="shared" ref="K38:AF38" si="42">(K20-K22)*K36</f>
        <v>9.5471367414604682</v>
      </c>
      <c r="L38" s="70">
        <f t="shared" si="42"/>
        <v>239.26116064024708</v>
      </c>
      <c r="M38" s="70">
        <f t="shared" si="42"/>
        <v>25.962909533292716</v>
      </c>
      <c r="N38" s="70">
        <f t="shared" si="42"/>
        <v>15.385365294602188</v>
      </c>
      <c r="O38" s="70">
        <f t="shared" si="42"/>
        <v>373.22681242387921</v>
      </c>
      <c r="P38" s="70">
        <f t="shared" si="42"/>
        <v>878.57892326597198</v>
      </c>
      <c r="Q38" s="70">
        <f t="shared" si="42"/>
        <v>616.87231809496791</v>
      </c>
      <c r="R38" s="70">
        <f t="shared" si="42"/>
        <v>181.73173804942363</v>
      </c>
      <c r="S38" s="70">
        <f t="shared" si="42"/>
        <v>440.28335220764365</v>
      </c>
      <c r="T38" s="70">
        <f t="shared" si="42"/>
        <v>261.86444723740999</v>
      </c>
      <c r="U38" s="70">
        <f t="shared" si="42"/>
        <v>711.05667032586189</v>
      </c>
      <c r="V38" s="70">
        <f t="shared" si="42"/>
        <v>226.30574045942683</v>
      </c>
      <c r="W38" s="70">
        <f t="shared" si="42"/>
        <v>382.0972971628147</v>
      </c>
      <c r="X38" s="70">
        <f t="shared" si="42"/>
        <v>537.97505832691229</v>
      </c>
      <c r="Y38" s="70">
        <f t="shared" si="42"/>
        <v>147.2229099502259</v>
      </c>
      <c r="Z38" s="70">
        <f t="shared" si="42"/>
        <v>14.434920659008259</v>
      </c>
      <c r="AA38" s="70">
        <f t="shared" si="42"/>
        <v>254.6797285985358</v>
      </c>
      <c r="AB38" s="70">
        <f t="shared" si="42"/>
        <v>723.31033363362849</v>
      </c>
      <c r="AC38" s="70">
        <f t="shared" si="42"/>
        <v>42.614398305631092</v>
      </c>
      <c r="AD38" s="70">
        <f>(AD20-AD22)*AD36</f>
        <v>1.4747949520788404</v>
      </c>
      <c r="AE38" s="70">
        <f t="shared" si="42"/>
        <v>367.47372078889589</v>
      </c>
      <c r="AF38" s="70">
        <f t="shared" si="42"/>
        <v>33.44108266569598</v>
      </c>
      <c r="AG38" s="288">
        <f>SUM(J38:AF38)</f>
        <v>6624.7643009835865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10.063317904777529</v>
      </c>
      <c r="K39" s="70">
        <f t="shared" ref="K39:AF39" si="43">K23*K34</f>
        <v>3.8777999544150181</v>
      </c>
      <c r="L39" s="70">
        <f t="shared" si="43"/>
        <v>3.0025378986514566</v>
      </c>
      <c r="M39" s="70">
        <f t="shared" si="43"/>
        <v>10.098860916191812</v>
      </c>
      <c r="N39" s="70">
        <f t="shared" si="43"/>
        <v>54.162358654831692</v>
      </c>
      <c r="O39" s="70">
        <f t="shared" si="43"/>
        <v>0.77701429717175596</v>
      </c>
      <c r="P39" s="70">
        <f t="shared" si="43"/>
        <v>0.70125825270217634</v>
      </c>
      <c r="Q39" s="70">
        <f t="shared" si="43"/>
        <v>0.37657298154912228</v>
      </c>
      <c r="R39" s="70">
        <f t="shared" si="43"/>
        <v>0.14263929308051035</v>
      </c>
      <c r="S39" s="70">
        <f t="shared" si="43"/>
        <v>0.24008076926884422</v>
      </c>
      <c r="T39" s="70">
        <f t="shared" si="43"/>
        <v>0.23258177388507911</v>
      </c>
      <c r="U39" s="70">
        <f t="shared" si="43"/>
        <v>0.20471926118262215</v>
      </c>
      <c r="V39" s="70">
        <f t="shared" si="43"/>
        <v>1.5239767456705804</v>
      </c>
      <c r="W39" s="70">
        <f t="shared" si="43"/>
        <v>5.8042787369369617E-2</v>
      </c>
      <c r="X39" s="70">
        <f t="shared" si="43"/>
        <v>2.4394358978900076E-6</v>
      </c>
      <c r="Y39" s="70">
        <f t="shared" si="43"/>
        <v>4.6511088402218834E-2</v>
      </c>
      <c r="Z39" s="70">
        <f t="shared" si="43"/>
        <v>1.8641503698034374</v>
      </c>
      <c r="AA39" s="70">
        <f t="shared" si="43"/>
        <v>5.5998881960415421E-2</v>
      </c>
      <c r="AB39" s="70">
        <f t="shared" si="43"/>
        <v>4.8376887675214704E-2</v>
      </c>
      <c r="AC39" s="70">
        <f t="shared" si="43"/>
        <v>0.13061554035962533</v>
      </c>
      <c r="AD39" s="70">
        <f t="shared" si="43"/>
        <v>1.6198385115964333</v>
      </c>
      <c r="AE39" s="70">
        <f t="shared" si="43"/>
        <v>0.17008392379244136</v>
      </c>
      <c r="AF39" s="70">
        <f t="shared" si="43"/>
        <v>0.9689508767885775</v>
      </c>
      <c r="AG39" s="288">
        <f t="shared" ref="AG39" si="44">SUM(J39:AF39)</f>
        <v>90.366290010561826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204.82758620689654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0</v>
      </c>
      <c r="O40" s="70">
        <f t="shared" si="45"/>
        <v>172</v>
      </c>
      <c r="P40" s="70">
        <f t="shared" si="45"/>
        <v>292.55319148936172</v>
      </c>
      <c r="Q40" s="70">
        <f t="shared" si="45"/>
        <v>244.5</v>
      </c>
      <c r="R40" s="70">
        <f t="shared" si="45"/>
        <v>122.25</v>
      </c>
      <c r="S40" s="70">
        <f t="shared" si="45"/>
        <v>76.595744680851055</v>
      </c>
      <c r="T40" s="70">
        <f t="shared" si="45"/>
        <v>122.25</v>
      </c>
      <c r="U40" s="70">
        <f t="shared" si="45"/>
        <v>76.595744680851055</v>
      </c>
      <c r="V40" s="70">
        <f t="shared" si="45"/>
        <v>102.12765957446808</v>
      </c>
      <c r="W40" s="70">
        <f t="shared" si="45"/>
        <v>100</v>
      </c>
      <c r="X40" s="70">
        <f t="shared" si="45"/>
        <v>135</v>
      </c>
      <c r="Y40" s="70">
        <f t="shared" si="45"/>
        <v>79.65517241379311</v>
      </c>
      <c r="Z40" s="70">
        <f t="shared" si="45"/>
        <v>0</v>
      </c>
      <c r="AA40" s="70">
        <f t="shared" si="45"/>
        <v>90</v>
      </c>
      <c r="AB40" s="70">
        <f t="shared" si="45"/>
        <v>140.42553191489361</v>
      </c>
      <c r="AC40" s="70">
        <f t="shared" si="45"/>
        <v>6.3829787234042552</v>
      </c>
      <c r="AD40" s="70">
        <f t="shared" si="45"/>
        <v>0</v>
      </c>
      <c r="AE40" s="70">
        <f t="shared" si="45"/>
        <v>45</v>
      </c>
      <c r="AF40" s="70">
        <f t="shared" si="45"/>
        <v>12.448275862068966</v>
      </c>
      <c r="AG40" s="289">
        <f>SUM(J40:AF40)</f>
        <v>2232.6118855465884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1336.4627521561715</v>
      </c>
      <c r="K41" s="76">
        <f t="shared" ref="K41:AF41" si="46">K37+K38-K40-K39</f>
        <v>-3.9414715597122876</v>
      </c>
      <c r="L41" s="76">
        <f t="shared" si="46"/>
        <v>986.15710679553729</v>
      </c>
      <c r="M41" s="76">
        <f t="shared" si="46"/>
        <v>-10.37171283529675</v>
      </c>
      <c r="N41" s="76">
        <f t="shared" si="46"/>
        <v>-54.24347174145322</v>
      </c>
      <c r="O41" s="76">
        <f t="shared" si="46"/>
        <v>785.88078005473699</v>
      </c>
      <c r="P41" s="76">
        <f t="shared" si="46"/>
        <v>1476.8862857987267</v>
      </c>
      <c r="Q41" s="76">
        <f t="shared" si="46"/>
        <v>501.07502391624524</v>
      </c>
      <c r="R41" s="76">
        <f t="shared" si="46"/>
        <v>251.41469358520365</v>
      </c>
      <c r="S41" s="76">
        <f t="shared" si="46"/>
        <v>773.4340652127164</v>
      </c>
      <c r="T41" s="76">
        <f t="shared" si="46"/>
        <v>401.29217193912979</v>
      </c>
      <c r="U41" s="76">
        <f t="shared" si="46"/>
        <v>815.59550981826101</v>
      </c>
      <c r="V41" s="76">
        <f t="shared" si="46"/>
        <v>214.0396139211889</v>
      </c>
      <c r="W41" s="76">
        <f t="shared" si="46"/>
        <v>355.40579296180312</v>
      </c>
      <c r="X41" s="76">
        <f t="shared" si="46"/>
        <v>582.97499734101484</v>
      </c>
      <c r="Y41" s="76">
        <f t="shared" si="46"/>
        <v>126.05245523532892</v>
      </c>
      <c r="Z41" s="76">
        <f t="shared" si="46"/>
        <v>-1.995244502932674</v>
      </c>
      <c r="AA41" s="76">
        <f t="shared" si="46"/>
        <v>409.02384152053384</v>
      </c>
      <c r="AB41" s="76">
        <f t="shared" si="46"/>
        <v>1027.9987360635382</v>
      </c>
      <c r="AC41" s="76">
        <f t="shared" si="46"/>
        <v>64.331547315262981</v>
      </c>
      <c r="AD41" s="76">
        <f t="shared" si="46"/>
        <v>-1.6329319292500792</v>
      </c>
      <c r="AE41" s="76">
        <f t="shared" si="46"/>
        <v>434.13960852306627</v>
      </c>
      <c r="AF41" s="76">
        <f t="shared" si="46"/>
        <v>55.42713080759993</v>
      </c>
      <c r="AG41" s="290">
        <f>SUM(J41:AF41)</f>
        <v>10525.407280397421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1.4193319364173318</v>
      </c>
      <c r="K43" s="70">
        <f t="shared" si="47"/>
        <v>27.291989452835612</v>
      </c>
      <c r="L43" s="70">
        <f t="shared" si="47"/>
        <v>1.8957310935477698</v>
      </c>
      <c r="M43" s="70">
        <f t="shared" si="47"/>
        <v>1.8524621940070651</v>
      </c>
      <c r="N43" s="70">
        <f t="shared" si="47"/>
        <v>1.1076481279381101</v>
      </c>
      <c r="O43" s="70">
        <f t="shared" si="47"/>
        <v>2.3796302180730851</v>
      </c>
      <c r="P43" s="70">
        <f t="shared" si="47"/>
        <v>1.3540490193096557</v>
      </c>
      <c r="Q43" s="70">
        <f t="shared" si="47"/>
        <v>1.0907698121059994</v>
      </c>
      <c r="R43" s="70">
        <f t="shared" si="47"/>
        <v>2.4285740183377653</v>
      </c>
      <c r="S43" s="70">
        <f t="shared" si="47"/>
        <v>2.0125082914721157</v>
      </c>
      <c r="T43" s="70">
        <f t="shared" si="47"/>
        <v>3.0953354307672845</v>
      </c>
      <c r="U43" s="70">
        <f t="shared" si="47"/>
        <v>2.3803894395911738</v>
      </c>
      <c r="V43" s="70">
        <f t="shared" si="47"/>
        <v>1.4005929445221155</v>
      </c>
      <c r="W43" s="70">
        <f t="shared" si="47"/>
        <v>3.7250375057824852</v>
      </c>
      <c r="X43" s="70">
        <f t="shared" si="47"/>
        <v>4.3681547750783265</v>
      </c>
      <c r="Y43" s="70">
        <f t="shared" si="47"/>
        <v>5.1157711271645088</v>
      </c>
      <c r="Z43" s="70">
        <f t="shared" si="47"/>
        <v>4.540228572527675</v>
      </c>
      <c r="AA43" s="70">
        <f t="shared" si="47"/>
        <v>2.5688548633456278</v>
      </c>
      <c r="AB43" s="70">
        <f t="shared" si="47"/>
        <v>1.9159740583327998</v>
      </c>
      <c r="AC43" s="70">
        <f t="shared" si="47"/>
        <v>4.9619168616887466</v>
      </c>
      <c r="AD43" s="70">
        <f t="shared" si="47"/>
        <v>5.7594886805488281</v>
      </c>
      <c r="AE43" s="70">
        <f t="shared" si="47"/>
        <v>7.8714698150675568</v>
      </c>
      <c r="AF43" s="70">
        <f t="shared" si="47"/>
        <v>10.39584244079866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0.1457022524970446</v>
      </c>
      <c r="K44" s="70">
        <f t="shared" ref="K44:AF44" si="48">NORMDIST(K43,0,1,FALSE)</f>
        <v>7.2144609568512295E-163</v>
      </c>
      <c r="L44" s="70">
        <f t="shared" si="48"/>
        <v>6.6149580987024073E-2</v>
      </c>
      <c r="M44" s="70">
        <f t="shared" si="48"/>
        <v>7.1737143625502667E-2</v>
      </c>
      <c r="N44" s="70">
        <f t="shared" si="48"/>
        <v>0.21602076949155605</v>
      </c>
      <c r="O44" s="70">
        <f t="shared" si="48"/>
        <v>2.3511666820334905E-2</v>
      </c>
      <c r="P44" s="70">
        <f t="shared" si="48"/>
        <v>0.15950772799504223</v>
      </c>
      <c r="Q44" s="70">
        <f t="shared" si="48"/>
        <v>0.22006596763164457</v>
      </c>
      <c r="R44" s="70">
        <f t="shared" si="48"/>
        <v>2.0901707715426196E-2</v>
      </c>
      <c r="S44" s="70">
        <f t="shared" si="48"/>
        <v>5.2652932453710229E-2</v>
      </c>
      <c r="T44" s="70">
        <f t="shared" si="48"/>
        <v>3.3143649322252521E-3</v>
      </c>
      <c r="U44" s="70">
        <f t="shared" si="48"/>
        <v>2.3469220664738367E-2</v>
      </c>
      <c r="V44" s="70">
        <f t="shared" si="48"/>
        <v>0.14960319879853101</v>
      </c>
      <c r="W44" s="70">
        <f t="shared" si="48"/>
        <v>3.87075519576386E-4</v>
      </c>
      <c r="X44" s="70">
        <f t="shared" si="48"/>
        <v>2.8679539388799431E-5</v>
      </c>
      <c r="Y44" s="70">
        <f t="shared" si="48"/>
        <v>8.277988507346772E-7</v>
      </c>
      <c r="Z44" s="70">
        <f t="shared" si="48"/>
        <v>1.3326230078320048E-5</v>
      </c>
      <c r="AA44" s="70">
        <f t="shared" si="48"/>
        <v>1.4721501192842748E-2</v>
      </c>
      <c r="AB44" s="70">
        <f t="shared" si="48"/>
        <v>6.3646125403302542E-2</v>
      </c>
      <c r="AC44" s="70">
        <f t="shared" si="48"/>
        <v>1.7972586892254921E-6</v>
      </c>
      <c r="AD44" s="70">
        <f t="shared" si="48"/>
        <v>2.4989915739105859E-8</v>
      </c>
      <c r="AE44" s="70">
        <f t="shared" si="48"/>
        <v>1.4010672168251635E-14</v>
      </c>
      <c r="AF44" s="70">
        <f t="shared" si="48"/>
        <v>1.3584355024138716E-24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0.92209886724561474</v>
      </c>
      <c r="K45" s="70">
        <f t="shared" ref="K45:AF45" si="49">NORMDIST(K43,0,1,TRUE)</f>
        <v>1</v>
      </c>
      <c r="L45" s="70">
        <f t="shared" si="49"/>
        <v>0.97100219422121214</v>
      </c>
      <c r="M45" s="70">
        <f t="shared" si="49"/>
        <v>0.96802025922073109</v>
      </c>
      <c r="N45" s="70">
        <f t="shared" si="49"/>
        <v>0.8659930951890612</v>
      </c>
      <c r="O45" s="70">
        <f t="shared" si="49"/>
        <v>0.99133499060929897</v>
      </c>
      <c r="P45" s="70">
        <f t="shared" si="49"/>
        <v>0.91213963036004353</v>
      </c>
      <c r="Q45" s="70">
        <f t="shared" si="49"/>
        <v>0.86231290854265796</v>
      </c>
      <c r="R45" s="70">
        <f t="shared" si="49"/>
        <v>0.9924208346919895</v>
      </c>
      <c r="S45" s="70">
        <f t="shared" si="49"/>
        <v>0.97791680823370863</v>
      </c>
      <c r="T45" s="70">
        <f t="shared" si="49"/>
        <v>0.99901704783182488</v>
      </c>
      <c r="U45" s="70">
        <f t="shared" si="49"/>
        <v>0.9913528250556618</v>
      </c>
      <c r="V45" s="70">
        <f t="shared" si="49"/>
        <v>0.91933208400261945</v>
      </c>
      <c r="W45" s="70">
        <f t="shared" si="49"/>
        <v>0.99990235690759255</v>
      </c>
      <c r="X45" s="70">
        <f t="shared" si="49"/>
        <v>0.99999373496570476</v>
      </c>
      <c r="Y45" s="70">
        <f t="shared" si="49"/>
        <v>0.99999984376912077</v>
      </c>
      <c r="Z45" s="70">
        <f t="shared" si="49"/>
        <v>0.9999971903361794</v>
      </c>
      <c r="AA45" s="70">
        <f t="shared" si="49"/>
        <v>0.99489824089546208</v>
      </c>
      <c r="AB45" s="70">
        <f t="shared" si="49"/>
        <v>0.97231580110943505</v>
      </c>
      <c r="AC45" s="70">
        <f t="shared" si="49"/>
        <v>0.99999965099563182</v>
      </c>
      <c r="AD45" s="70">
        <f t="shared" si="49"/>
        <v>0.99999999578154419</v>
      </c>
      <c r="AE45" s="70">
        <f t="shared" si="49"/>
        <v>0.99999999999999822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3.5134686895659337E-2</v>
      </c>
      <c r="K46" s="70">
        <f t="shared" ref="K46:AF46" si="50">K44-(K43*(1-K45))</f>
        <v>7.2144609568512295E-163</v>
      </c>
      <c r="L46" s="70">
        <f t="shared" si="50"/>
        <v>1.1177538927516731E-2</v>
      </c>
      <c r="M46" s="70">
        <f t="shared" si="50"/>
        <v>1.249588285776098E-2</v>
      </c>
      <c r="N46" s="70">
        <f t="shared" si="50"/>
        <v>6.7588272246939168E-2</v>
      </c>
      <c r="O46" s="70">
        <f t="shared" si="50"/>
        <v>2.8921486343356853E-3</v>
      </c>
      <c r="P46" s="70">
        <f t="shared" si="50"/>
        <v>4.0540480647875327E-2</v>
      </c>
      <c r="Q46" s="70">
        <f t="shared" si="50"/>
        <v>6.9881044753298038E-2</v>
      </c>
      <c r="R46" s="70">
        <f t="shared" si="50"/>
        <v>2.4951437677049361E-3</v>
      </c>
      <c r="S46" s="70">
        <f t="shared" si="50"/>
        <v>8.2103259218800975E-3</v>
      </c>
      <c r="T46" s="70">
        <f t="shared" si="50"/>
        <v>2.7179825932327484E-4</v>
      </c>
      <c r="U46" s="70">
        <f t="shared" si="50"/>
        <v>2.8855767449383236E-3</v>
      </c>
      <c r="V46" s="70">
        <f t="shared" si="50"/>
        <v>3.6620284803297126E-2</v>
      </c>
      <c r="W46" s="70">
        <f t="shared" si="50"/>
        <v>2.3351338178045369E-5</v>
      </c>
      <c r="X46" s="70">
        <f t="shared" si="50"/>
        <v>1.3128999160234008E-6</v>
      </c>
      <c r="Y46" s="70">
        <f t="shared" si="50"/>
        <v>2.855742958013496E-8</v>
      </c>
      <c r="Z46" s="70">
        <f t="shared" si="50"/>
        <v>5.6971412082510348E-7</v>
      </c>
      <c r="AA46" s="70">
        <f t="shared" si="50"/>
        <v>1.6158225055326846E-3</v>
      </c>
      <c r="AB46" s="70">
        <f t="shared" si="50"/>
        <v>1.0603918503254428E-2</v>
      </c>
      <c r="AC46" s="70">
        <f t="shared" si="50"/>
        <v>6.5528029934833817E-8</v>
      </c>
      <c r="AD46" s="70">
        <f t="shared" si="50"/>
        <v>6.937672699129924E-10</v>
      </c>
      <c r="AE46" s="70">
        <f t="shared" si="50"/>
        <v>2.8132926123756214E-17</v>
      </c>
      <c r="AF46" s="70">
        <f t="shared" si="50"/>
        <v>1.3584355024138716E-24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0.69601814740301138</v>
      </c>
      <c r="K47" s="74">
        <f t="shared" si="51"/>
        <v>6.0601472037550329E-163</v>
      </c>
      <c r="L47" s="74">
        <f t="shared" si="51"/>
        <v>8.1037157224496295E-2</v>
      </c>
      <c r="M47" s="74">
        <f t="shared" si="51"/>
        <v>4.0236742801990355E-2</v>
      </c>
      <c r="N47" s="74">
        <f t="shared" si="51"/>
        <v>0.84147398947439256</v>
      </c>
      <c r="O47" s="74">
        <f t="shared" si="51"/>
        <v>1.3882313444811289E-2</v>
      </c>
      <c r="P47" s="74">
        <f t="shared" si="51"/>
        <v>0.63243149810685506</v>
      </c>
      <c r="Q47" s="74">
        <f t="shared" si="51"/>
        <v>0.64430323262540801</v>
      </c>
      <c r="R47" s="74">
        <f t="shared" si="51"/>
        <v>7.2109654886672652E-3</v>
      </c>
      <c r="S47" s="74">
        <f t="shared" si="51"/>
        <v>7.0198286632074836E-2</v>
      </c>
      <c r="T47" s="74">
        <f t="shared" si="51"/>
        <v>9.1324215132620339E-4</v>
      </c>
      <c r="U47" s="74">
        <f t="shared" si="51"/>
        <v>2.2767200517563372E-2</v>
      </c>
      <c r="V47" s="74">
        <f t="shared" si="51"/>
        <v>0.23034159141273894</v>
      </c>
      <c r="W47" s="74">
        <f t="shared" si="51"/>
        <v>7.1688608206599283E-5</v>
      </c>
      <c r="X47" s="74">
        <f t="shared" si="51"/>
        <v>2.5864128345660997E-6</v>
      </c>
      <c r="Y47" s="74">
        <f t="shared" si="51"/>
        <v>4.0551550003791644E-8</v>
      </c>
      <c r="Z47" s="74">
        <f t="shared" si="51"/>
        <v>8.8305688727891043E-7</v>
      </c>
      <c r="AA47" s="74">
        <f t="shared" si="51"/>
        <v>5.5584294190324348E-3</v>
      </c>
      <c r="AB47" s="74">
        <f t="shared" si="51"/>
        <v>8.2392446770286898E-2</v>
      </c>
      <c r="AC47" s="74">
        <f t="shared" si="51"/>
        <v>1.0222372669834076E-7</v>
      </c>
      <c r="AD47" s="74">
        <f t="shared" si="51"/>
        <v>8.3945839659472078E-10</v>
      </c>
      <c r="AE47" s="74">
        <f t="shared" si="51"/>
        <v>5.8235157076175365E-17</v>
      </c>
      <c r="AF47" s="74">
        <f t="shared" si="51"/>
        <v>1.6165382478725071E-24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44.303981852596991</v>
      </c>
      <c r="K48" s="74">
        <f t="shared" si="52"/>
        <v>1</v>
      </c>
      <c r="L48" s="74">
        <f t="shared" si="52"/>
        <v>17.918962842775503</v>
      </c>
      <c r="M48" s="74">
        <f t="shared" si="52"/>
        <v>1.9597632571980097</v>
      </c>
      <c r="N48" s="74">
        <f t="shared" si="52"/>
        <v>18.158526010525609</v>
      </c>
      <c r="O48" s="74">
        <f t="shared" si="52"/>
        <v>9.9861176865551879</v>
      </c>
      <c r="P48" s="74">
        <f t="shared" si="52"/>
        <v>18.367568501893146</v>
      </c>
      <c r="Q48" s="74">
        <f t="shared" si="52"/>
        <v>2.3556967673745919</v>
      </c>
      <c r="R48" s="74">
        <f t="shared" si="52"/>
        <v>3.9927890345113326</v>
      </c>
      <c r="S48" s="74">
        <f t="shared" si="52"/>
        <v>8.9298017133679259</v>
      </c>
      <c r="T48" s="74">
        <f t="shared" si="52"/>
        <v>3.9990867578486737</v>
      </c>
      <c r="U48" s="74">
        <f t="shared" si="52"/>
        <v>2.9772327994824366</v>
      </c>
      <c r="V48" s="74">
        <f t="shared" si="52"/>
        <v>2.7696584085872611</v>
      </c>
      <c r="W48" s="74">
        <f t="shared" si="52"/>
        <v>0.99992831139179339</v>
      </c>
      <c r="X48" s="74">
        <f t="shared" si="52"/>
        <v>2.9999974135871654</v>
      </c>
      <c r="Y48" s="74">
        <f t="shared" si="52"/>
        <v>0.99999995944844999</v>
      </c>
      <c r="Z48" s="74">
        <f t="shared" si="52"/>
        <v>0.99999911694311272</v>
      </c>
      <c r="AA48" s="74">
        <f t="shared" si="52"/>
        <v>4.9944415705809675</v>
      </c>
      <c r="AB48" s="74">
        <f t="shared" si="52"/>
        <v>8.917607553229713</v>
      </c>
      <c r="AC48" s="74">
        <f t="shared" si="52"/>
        <v>0.99999989777627329</v>
      </c>
      <c r="AD48" s="74">
        <f t="shared" si="52"/>
        <v>1.9999999991605415</v>
      </c>
      <c r="AE48" s="74">
        <f t="shared" si="52"/>
        <v>0.99999999999999989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28.812983807830349</v>
      </c>
      <c r="K49" s="74">
        <f t="shared" ref="K49:AF49" si="53">K28-K48</f>
        <v>22.925271140381913</v>
      </c>
      <c r="L49" s="74">
        <f t="shared" si="53"/>
        <v>13.825087585445829</v>
      </c>
      <c r="M49" s="74">
        <f t="shared" si="53"/>
        <v>6.0051650075047398</v>
      </c>
      <c r="N49" s="74">
        <f t="shared" si="53"/>
        <v>14.631693182303859</v>
      </c>
      <c r="O49" s="74">
        <f t="shared" si="53"/>
        <v>11.436107360195619</v>
      </c>
      <c r="P49" s="74">
        <f t="shared" si="53"/>
        <v>21.755596199337482</v>
      </c>
      <c r="Q49" s="74">
        <f t="shared" si="53"/>
        <v>10.701200900242723</v>
      </c>
      <c r="R49" s="74">
        <f t="shared" si="53"/>
        <v>7.0257898784848098</v>
      </c>
      <c r="S49" s="74">
        <f t="shared" si="53"/>
        <v>17.277144178718665</v>
      </c>
      <c r="T49" s="74">
        <f t="shared" si="53"/>
        <v>10.401240289529401</v>
      </c>
      <c r="U49" s="74">
        <f t="shared" si="53"/>
        <v>18.804039878891924</v>
      </c>
      <c r="V49" s="74">
        <f t="shared" si="53"/>
        <v>9.0400712124568443</v>
      </c>
      <c r="W49" s="74">
        <f t="shared" si="53"/>
        <v>11.435936831360436</v>
      </c>
      <c r="X49" s="74">
        <f t="shared" si="53"/>
        <v>8.6052674933171378</v>
      </c>
      <c r="Y49" s="74">
        <f t="shared" si="53"/>
        <v>7.2643950411251517</v>
      </c>
      <c r="Z49" s="74">
        <f t="shared" si="53"/>
        <v>7.0373551704747834</v>
      </c>
      <c r="AA49" s="74">
        <f t="shared" si="53"/>
        <v>8.8424191593279922</v>
      </c>
      <c r="AB49" s="74">
        <f t="shared" si="53"/>
        <v>14.96951088001614</v>
      </c>
      <c r="AC49" s="74">
        <f t="shared" si="53"/>
        <v>7.7405904064581712</v>
      </c>
      <c r="AD49" s="74">
        <f t="shared" si="53"/>
        <v>6.96898130430354</v>
      </c>
      <c r="AE49" s="74">
        <f t="shared" si="53"/>
        <v>16.293942517189841</v>
      </c>
      <c r="AF49" s="74">
        <f t="shared" si="53"/>
        <v>12.371052504550404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2215.1990926298495</v>
      </c>
      <c r="K50" s="70">
        <f t="shared" ref="K50:AF50" si="54">K48*K20</f>
        <v>200</v>
      </c>
      <c r="L50" s="70">
        <f t="shared" si="54"/>
        <v>1075.1377705665302</v>
      </c>
      <c r="M50" s="70">
        <f t="shared" si="54"/>
        <v>97.988162859900484</v>
      </c>
      <c r="N50" s="70">
        <f t="shared" si="54"/>
        <v>817.13367047365239</v>
      </c>
      <c r="O50" s="70">
        <f t="shared" si="54"/>
        <v>599.16706119331127</v>
      </c>
      <c r="P50" s="70">
        <f t="shared" si="54"/>
        <v>918.37842509465736</v>
      </c>
      <c r="Q50" s="70">
        <f t="shared" si="54"/>
        <v>117.7848383687296</v>
      </c>
      <c r="R50" s="70">
        <f t="shared" si="54"/>
        <v>199.63945172556663</v>
      </c>
      <c r="S50" s="70">
        <f t="shared" si="54"/>
        <v>446.49008566839632</v>
      </c>
      <c r="T50" s="70">
        <f t="shared" si="54"/>
        <v>279.93607304940718</v>
      </c>
      <c r="U50" s="70">
        <f t="shared" si="54"/>
        <v>208.40629596377056</v>
      </c>
      <c r="V50" s="70">
        <f t="shared" si="54"/>
        <v>138.48292042936305</v>
      </c>
      <c r="W50" s="70">
        <f t="shared" si="54"/>
        <v>79.994264911343464</v>
      </c>
      <c r="X50" s="70">
        <f t="shared" si="54"/>
        <v>179.99984481522992</v>
      </c>
      <c r="Y50" s="70">
        <f t="shared" si="54"/>
        <v>59.999997566906998</v>
      </c>
      <c r="Z50" s="70">
        <f t="shared" si="54"/>
        <v>59.999947016586766</v>
      </c>
      <c r="AA50" s="70">
        <f t="shared" si="54"/>
        <v>249.72207852904836</v>
      </c>
      <c r="AB50" s="70">
        <f t="shared" si="54"/>
        <v>445.88037766148562</v>
      </c>
      <c r="AC50" s="70">
        <f t="shared" si="54"/>
        <v>49.999994888813667</v>
      </c>
      <c r="AD50" s="70">
        <f t="shared" si="54"/>
        <v>119.9999999496325</v>
      </c>
      <c r="AE50" s="70">
        <f t="shared" si="54"/>
        <v>119.99999999999999</v>
      </c>
      <c r="AF50" s="70">
        <f t="shared" si="54"/>
        <v>100</v>
      </c>
      <c r="AG50" s="186">
        <f>SUM(J50:AF50)</f>
        <v>8779.3403533621822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1436.845876528884</v>
      </c>
      <c r="K51" s="70">
        <f t="shared" ref="K51:AF51" si="55">(K20-K22)*K49</f>
        <v>4554.6782438153768</v>
      </c>
      <c r="L51" s="70">
        <f t="shared" si="55"/>
        <v>826.60198673380603</v>
      </c>
      <c r="M51" s="70">
        <f t="shared" si="55"/>
        <v>297.1355645713345</v>
      </c>
      <c r="N51" s="70">
        <f t="shared" si="55"/>
        <v>654.97311361264997</v>
      </c>
      <c r="O51" s="70">
        <f t="shared" si="55"/>
        <v>683.70767852929498</v>
      </c>
      <c r="P51" s="70">
        <f t="shared" si="55"/>
        <v>1084.1901365939834</v>
      </c>
      <c r="Q51" s="70">
        <f t="shared" si="55"/>
        <v>531.57145351865699</v>
      </c>
      <c r="R51" s="70">
        <f t="shared" si="55"/>
        <v>348.99908642385446</v>
      </c>
      <c r="S51" s="70">
        <f t="shared" si="55"/>
        <v>862.30226595984846</v>
      </c>
      <c r="T51" s="70">
        <f t="shared" si="55"/>
        <v>724.69601593267157</v>
      </c>
      <c r="U51" s="70">
        <f t="shared" si="55"/>
        <v>1314.0263067369676</v>
      </c>
      <c r="V51" s="70">
        <f t="shared" si="55"/>
        <v>449.11073783485602</v>
      </c>
      <c r="W51" s="70">
        <f t="shared" si="55"/>
        <v>910.8723686178588</v>
      </c>
      <c r="X51" s="70">
        <f t="shared" si="55"/>
        <v>514.3798644130319</v>
      </c>
      <c r="Y51" s="70">
        <f t="shared" si="55"/>
        <v>432.50755195850928</v>
      </c>
      <c r="Z51" s="70">
        <f t="shared" si="55"/>
        <v>418.44113843643061</v>
      </c>
      <c r="AA51" s="70">
        <f t="shared" si="55"/>
        <v>440.52932251772057</v>
      </c>
      <c r="AB51" s="70">
        <f t="shared" si="55"/>
        <v>746.67920269520505</v>
      </c>
      <c r="AC51" s="70">
        <f t="shared" si="55"/>
        <v>386.33286718632729</v>
      </c>
      <c r="AD51" s="70">
        <f t="shared" si="55"/>
        <v>414.45925612954017</v>
      </c>
      <c r="AE51" s="70">
        <f t="shared" si="55"/>
        <v>1951.6069649964134</v>
      </c>
      <c r="AF51" s="70">
        <f t="shared" si="55"/>
        <v>1232.6393005008977</v>
      </c>
      <c r="AG51" s="51">
        <f>SUM(J51:AF51)</f>
        <v>21217.286304244117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0.41761088844180683</v>
      </c>
      <c r="K52" s="70">
        <f t="shared" ref="K52:AF52" si="56">K47*K23</f>
        <v>2.2422544653893621E-162</v>
      </c>
      <c r="L52" s="70">
        <f t="shared" si="56"/>
        <v>0.12155573583674445</v>
      </c>
      <c r="M52" s="70">
        <f t="shared" si="56"/>
        <v>0.16094697120796142</v>
      </c>
      <c r="N52" s="70">
        <f t="shared" si="56"/>
        <v>2.3561271705282989</v>
      </c>
      <c r="O52" s="70">
        <f t="shared" si="56"/>
        <v>4.4423403023396126E-2</v>
      </c>
      <c r="P52" s="70">
        <f t="shared" si="56"/>
        <v>0.37945889886411305</v>
      </c>
      <c r="Q52" s="70">
        <f t="shared" si="56"/>
        <v>0.57987290936286717</v>
      </c>
      <c r="R52" s="70">
        <f t="shared" si="56"/>
        <v>6.4898689398005379E-3</v>
      </c>
      <c r="S52" s="70">
        <f t="shared" si="56"/>
        <v>2.1059485989622449E-2</v>
      </c>
      <c r="T52" s="70">
        <f t="shared" si="56"/>
        <v>8.2191793619358297E-4</v>
      </c>
      <c r="U52" s="70">
        <f t="shared" si="56"/>
        <v>1.1383600258781686E-2</v>
      </c>
      <c r="V52" s="70">
        <f t="shared" si="56"/>
        <v>0.29944406883656061</v>
      </c>
      <c r="W52" s="70">
        <f t="shared" si="56"/>
        <v>5.0182025744619505E-5</v>
      </c>
      <c r="X52" s="70">
        <f t="shared" si="56"/>
        <v>6.4660320864152496E-6</v>
      </c>
      <c r="Y52" s="70">
        <f t="shared" si="56"/>
        <v>7.7047945007204123E-8</v>
      </c>
      <c r="Z52" s="70">
        <f t="shared" si="56"/>
        <v>1.3245853309183658E-6</v>
      </c>
      <c r="AA52" s="70">
        <f t="shared" si="56"/>
        <v>2.7792147095162174E-3</v>
      </c>
      <c r="AB52" s="70">
        <f t="shared" si="56"/>
        <v>4.1196223385143449E-2</v>
      </c>
      <c r="AC52" s="70">
        <f t="shared" si="56"/>
        <v>3.0667118009502225E-8</v>
      </c>
      <c r="AD52" s="70">
        <f t="shared" si="56"/>
        <v>6.7156671727577666E-10</v>
      </c>
      <c r="AE52" s="70">
        <f t="shared" si="56"/>
        <v>1.4558789269043842E-16</v>
      </c>
      <c r="AF52" s="70">
        <f t="shared" si="56"/>
        <v>2.4248073718087606E-24</v>
      </c>
      <c r="AG52" s="51">
        <f>SUM(J52:AF52)</f>
        <v>4.443228438350598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482.5719733588204</v>
      </c>
      <c r="K53" s="70">
        <f t="shared" ref="K53:AF53" si="57">K21*K28</f>
        <v>1585.0492130503017</v>
      </c>
      <c r="L53" s="70">
        <f t="shared" si="57"/>
        <v>333.31252949632398</v>
      </c>
      <c r="M53" s="70">
        <f t="shared" si="57"/>
        <v>207.0881348822715</v>
      </c>
      <c r="N53" s="70">
        <f t="shared" si="57"/>
        <v>386.92458647538774</v>
      </c>
      <c r="O53" s="70">
        <f t="shared" si="57"/>
        <v>230.28891925257116</v>
      </c>
      <c r="P53" s="70">
        <f t="shared" si="57"/>
        <v>331.01610878515271</v>
      </c>
      <c r="Q53" s="70">
        <f t="shared" si="57"/>
        <v>212.82743198216224</v>
      </c>
      <c r="R53" s="70">
        <f t="shared" si="57"/>
        <v>179.60283628183714</v>
      </c>
      <c r="S53" s="70">
        <f t="shared" si="57"/>
        <v>117.93125651438966</v>
      </c>
      <c r="T53" s="70">
        <f t="shared" si="57"/>
        <v>234.72533087226265</v>
      </c>
      <c r="U53" s="70">
        <f t="shared" si="57"/>
        <v>130.68763607024616</v>
      </c>
      <c r="V53" s="70">
        <f t="shared" si="57"/>
        <v>188.95567393670569</v>
      </c>
      <c r="W53" s="70">
        <f t="shared" si="57"/>
        <v>217.627639998164</v>
      </c>
      <c r="X53" s="70">
        <f t="shared" si="57"/>
        <v>130.5592302026734</v>
      </c>
      <c r="Y53" s="70">
        <f t="shared" si="57"/>
        <v>190.90752451325022</v>
      </c>
      <c r="Z53" s="70">
        <f t="shared" si="57"/>
        <v>217.0085657602832</v>
      </c>
      <c r="AA53" s="70">
        <f t="shared" si="57"/>
        <v>124.53174656918064</v>
      </c>
      <c r="AB53" s="70">
        <f t="shared" si="57"/>
        <v>143.3227105994751</v>
      </c>
      <c r="AC53" s="70">
        <f t="shared" si="57"/>
        <v>39.332656369055002</v>
      </c>
      <c r="AD53" s="70">
        <f t="shared" si="57"/>
        <v>236.78110641145179</v>
      </c>
      <c r="AE53" s="70">
        <f t="shared" si="57"/>
        <v>194.55685331838572</v>
      </c>
      <c r="AF53" s="70">
        <f t="shared" si="57"/>
        <v>241.34749770713481</v>
      </c>
      <c r="AG53" s="67">
        <f>SUM(J53:AF53)</f>
        <v>6356.9571624074852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3169.0553849114717</v>
      </c>
      <c r="K54" s="79">
        <f t="shared" ref="K54:AF54" si="58">K50+K51-K53-K52</f>
        <v>3169.6290307650752</v>
      </c>
      <c r="L54" s="79">
        <f t="shared" si="58"/>
        <v>1568.3056720681757</v>
      </c>
      <c r="M54" s="79">
        <f t="shared" si="58"/>
        <v>187.87464557775556</v>
      </c>
      <c r="N54" s="79">
        <f t="shared" si="58"/>
        <v>1082.8260704403865</v>
      </c>
      <c r="O54" s="79">
        <f t="shared" si="58"/>
        <v>1052.5413970670118</v>
      </c>
      <c r="P54" s="79">
        <f t="shared" si="58"/>
        <v>1671.1729940046239</v>
      </c>
      <c r="Q54" s="79">
        <f t="shared" si="58"/>
        <v>435.94898699586145</v>
      </c>
      <c r="R54" s="79">
        <f t="shared" si="58"/>
        <v>369.02921199864409</v>
      </c>
      <c r="S54" s="79">
        <f t="shared" si="58"/>
        <v>1190.8400356278657</v>
      </c>
      <c r="T54" s="79">
        <f t="shared" si="58"/>
        <v>769.90593619187996</v>
      </c>
      <c r="U54" s="79">
        <f t="shared" si="58"/>
        <v>1391.7335830302334</v>
      </c>
      <c r="V54" s="79">
        <f t="shared" si="58"/>
        <v>398.33854025867686</v>
      </c>
      <c r="W54" s="79">
        <f t="shared" si="58"/>
        <v>773.23894334901263</v>
      </c>
      <c r="X54" s="79">
        <f t="shared" si="58"/>
        <v>563.82047255955626</v>
      </c>
      <c r="Y54" s="79">
        <f t="shared" si="58"/>
        <v>301.60002493511809</v>
      </c>
      <c r="Z54" s="79">
        <f t="shared" si="58"/>
        <v>261.43251836814881</v>
      </c>
      <c r="AA54" s="79">
        <f t="shared" si="58"/>
        <v>565.71687526287872</v>
      </c>
      <c r="AB54" s="79">
        <f>AB50+AB51-AB53-AB52</f>
        <v>1049.1956735338304</v>
      </c>
      <c r="AC54" s="79">
        <f t="shared" si="58"/>
        <v>397.00020567541878</v>
      </c>
      <c r="AD54" s="79">
        <f t="shared" si="58"/>
        <v>297.6781496670493</v>
      </c>
      <c r="AE54" s="79">
        <f t="shared" si="58"/>
        <v>1877.0501116780276</v>
      </c>
      <c r="AF54" s="79">
        <f t="shared" si="58"/>
        <v>1091.2918027937628</v>
      </c>
      <c r="AG54" s="68">
        <f>SUM(J54:AF54)</f>
        <v>23635.22626676047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13109.818986363049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D3743-0139-4D47-B61D-CB219CE694D9}">
  <dimension ref="A1:BJ75"/>
  <sheetViews>
    <sheetView topLeftCell="AO6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3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49</v>
      </c>
      <c r="K2" s="262">
        <f>_xlfn.XLOOKUP($B$1,daily_demand!$E$1:$AH$1,daily_demand!$E$3:$AH$3)</f>
        <v>1</v>
      </c>
      <c r="L2" s="263">
        <f>_xlfn.XLOOKUP($B$1,daily_demand!$E$1:$AH$1,daily_demand!$E$4:$AH$4)</f>
        <v>18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20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8</v>
      </c>
      <c r="AC2" s="262">
        <f>_xlfn.XLOOKUP($B$1,daily_demand!$E$1:$AH$1,daily_demand!$E$21:$AH$21)</f>
        <v>1</v>
      </c>
      <c r="AD2" s="262">
        <f>_xlfn.XLOOKUP($B$1,daily_demand!$E$1:$AH$1,daily_demand!$E$22:$AH$22)</f>
        <v>3</v>
      </c>
      <c r="AE2" s="262">
        <f>_xlfn.XLOOKUP($B$1,daily_demand!$E$1:$AH$1,daily_demand!$E$23:$AH$23)</f>
        <v>2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2.3135049972666972</v>
      </c>
      <c r="AJ4" s="45">
        <f t="shared" ref="AJ4:AJ18" si="1">K4*K$28</f>
        <v>0.71776412141090262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1.2336905417137261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1.0247506389769054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0.33080735480949619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0.53501570261088427</v>
      </c>
      <c r="BF4" s="44">
        <f>SUM(AI4:BE4)</f>
        <v>6.1555333567886121</v>
      </c>
      <c r="BG4" s="54">
        <f>ROUNDUP(BF4*2, 0)</f>
        <v>13</v>
      </c>
      <c r="BH4" s="86">
        <f>CEILING($BG$1*BG4, 0.5)</f>
        <v>6.5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2.3135049972666972</v>
      </c>
      <c r="AJ5" s="45">
        <f t="shared" si="1"/>
        <v>0.95701882854787013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0.33080735480949619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0.66876962826360531</v>
      </c>
      <c r="BF5" s="44">
        <f t="shared" ref="BF5:BF19" si="23">SUM(AI5:BE5)</f>
        <v>4.2701008088876691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150</v>
      </c>
      <c r="C6" s="7">
        <f>B6*0.02</f>
        <v>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0.47850941427393506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1.2336905417137261</v>
      </c>
      <c r="AP6" s="45">
        <f t="shared" si="7"/>
        <v>0</v>
      </c>
      <c r="AQ6" s="45">
        <f t="shared" si="8"/>
        <v>0</v>
      </c>
      <c r="AR6" s="45">
        <f t="shared" si="9"/>
        <v>0.78620485027359843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0.33080735480949619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0.26221469157421301</v>
      </c>
      <c r="BC6" s="45">
        <f t="shared" si="20"/>
        <v>0</v>
      </c>
      <c r="BD6" s="45">
        <f t="shared" si="21"/>
        <v>0</v>
      </c>
      <c r="BE6" s="45">
        <f t="shared" si="22"/>
        <v>0.53501570261088427</v>
      </c>
      <c r="BF6" s="44">
        <f t="shared" si="23"/>
        <v>3.6264425552558528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4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0.71776412141090262</v>
      </c>
      <c r="AK7" s="45">
        <f t="shared" si="2"/>
        <v>0</v>
      </c>
      <c r="AL7" s="45">
        <f t="shared" si="3"/>
        <v>0</v>
      </c>
      <c r="AM7" s="45">
        <f t="shared" si="4"/>
        <v>1.3248130513711343</v>
      </c>
      <c r="AN7" s="45">
        <f t="shared" si="5"/>
        <v>0.90473784108565525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1.089055524336086</v>
      </c>
      <c r="AU7" s="45">
        <f t="shared" si="12"/>
        <v>0.64046914936056598</v>
      </c>
      <c r="AV7" s="45">
        <f t="shared" si="13"/>
        <v>0</v>
      </c>
      <c r="AW7" s="45">
        <f t="shared" si="14"/>
        <v>0</v>
      </c>
      <c r="AX7" s="45">
        <f t="shared" si="15"/>
        <v>0.41350919351187027</v>
      </c>
      <c r="AY7" s="45">
        <f t="shared" si="16"/>
        <v>0.40186312622789977</v>
      </c>
      <c r="AZ7" s="45">
        <f t="shared" si="17"/>
        <v>0</v>
      </c>
      <c r="BA7" s="45">
        <f t="shared" si="18"/>
        <v>1.1443491703413109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6.636561177645425</v>
      </c>
      <c r="BG7" s="54">
        <f t="shared" si="24"/>
        <v>14</v>
      </c>
      <c r="BH7" s="86">
        <f t="shared" si="25"/>
        <v>7</v>
      </c>
      <c r="BI7" s="6"/>
    </row>
    <row r="8" spans="1:61" ht="24" x14ac:dyDescent="0.2">
      <c r="A8" s="286" t="s">
        <v>46</v>
      </c>
      <c r="B8" s="295">
        <f>_xlfn.XLOOKUP($B$1,cost!$A$16:$A$45,cost!$F$16:$F$45)</f>
        <v>110</v>
      </c>
      <c r="C8" s="7">
        <f t="shared" ref="C8:C19" si="26">B8*0.02</f>
        <v>2.2000000000000002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0.23925470713696753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0.67855338081424144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0.1654036774047481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0.26750785130544213</v>
      </c>
      <c r="BF8" s="44">
        <f t="shared" si="23"/>
        <v>1.3507196166613991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8</v>
      </c>
      <c r="C9" s="7">
        <f t="shared" si="26"/>
        <v>0.16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5.6546115067853453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5.6546115067853453</v>
      </c>
      <c r="BG9" s="54">
        <f t="shared" si="24"/>
        <v>12</v>
      </c>
      <c r="BH9" s="86">
        <f t="shared" si="25"/>
        <v>6</v>
      </c>
      <c r="BI9" s="6"/>
    </row>
    <row r="10" spans="1:61" ht="24" x14ac:dyDescent="0.2">
      <c r="A10" s="286" t="s">
        <v>49</v>
      </c>
      <c r="B10" s="295">
        <f>_xlfn.XLOOKUP($B$1,cost!$A$16:$A$45,cost!$H$16:$H$45)</f>
        <v>8</v>
      </c>
      <c r="C10" s="7">
        <f t="shared" si="26"/>
        <v>0.16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6.6240652568556717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6.6240652568556717</v>
      </c>
      <c r="BG10" s="54">
        <f t="shared" si="24"/>
        <v>14</v>
      </c>
      <c r="BH10" s="86">
        <f t="shared" si="25"/>
        <v>7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125</v>
      </c>
      <c r="C11" s="7">
        <f t="shared" si="26"/>
        <v>2.5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1.3248130513711343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1.3248130513711343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4.7615699771365358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4.7615699771365358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1.5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1.1962735356848377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0.26113249825527529</v>
      </c>
      <c r="AQ13" s="45">
        <f t="shared" si="8"/>
        <v>0.22036777682972677</v>
      </c>
      <c r="AR13" s="45">
        <f t="shared" si="9"/>
        <v>0</v>
      </c>
      <c r="AS13" s="45">
        <f t="shared" si="10"/>
        <v>0.2880033020211929</v>
      </c>
      <c r="AT13" s="45">
        <f t="shared" si="11"/>
        <v>0</v>
      </c>
      <c r="AU13" s="45">
        <f t="shared" si="12"/>
        <v>0</v>
      </c>
      <c r="AV13" s="45">
        <f t="shared" si="13"/>
        <v>0.9404992582761974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2.9062763710672304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0.95701882854787013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0.79751044553589878</v>
      </c>
      <c r="BD14" s="45">
        <f t="shared" si="21"/>
        <v>0</v>
      </c>
      <c r="BE14" s="45">
        <f t="shared" si="22"/>
        <v>0</v>
      </c>
      <c r="BF14" s="44">
        <f t="shared" si="23"/>
        <v>1.7545292740837688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1.1962735356848377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0.65283124563818828</v>
      </c>
      <c r="AQ15" s="45">
        <f t="shared" si="8"/>
        <v>0.55091944207431698</v>
      </c>
      <c r="AR15" s="45">
        <f t="shared" si="9"/>
        <v>0</v>
      </c>
      <c r="AS15" s="45">
        <f t="shared" si="10"/>
        <v>0.72000825505298227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0.69183658588790431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3.8118690643382296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1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1.1962735356848377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0.80372625245579954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1.9999997881406373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1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1.1962735356848377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0.26113249825527529</v>
      </c>
      <c r="AQ17" s="45">
        <f t="shared" si="8"/>
        <v>0.22036777682972677</v>
      </c>
      <c r="AR17" s="45">
        <f t="shared" si="9"/>
        <v>0</v>
      </c>
      <c r="AS17" s="45">
        <f t="shared" si="10"/>
        <v>0.2880033020211929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1.9657771127910328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3.1855952873131139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3.1855952873131139</v>
      </c>
      <c r="BG18" s="54">
        <f t="shared" si="24"/>
        <v>7</v>
      </c>
      <c r="BH18" s="86">
        <f t="shared" si="25"/>
        <v>3.5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2.9012893540639992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4.5734266373942516</v>
      </c>
      <c r="BE19" s="45">
        <f t="shared" si="27"/>
        <v>0</v>
      </c>
      <c r="BF19" s="44">
        <f t="shared" si="23"/>
        <v>7.4747159914582504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26.5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63.503180196579905</v>
      </c>
      <c r="BG20" s="54">
        <f>SUM(BG4:BG19)</f>
        <v>134</v>
      </c>
      <c r="BH20" s="86">
        <f>SUM(BH4:BH19)</f>
        <v>67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66.2</v>
      </c>
      <c r="L21" s="4">
        <f t="shared" si="28"/>
        <v>10.5</v>
      </c>
      <c r="M21" s="4">
        <f t="shared" si="28"/>
        <v>26</v>
      </c>
      <c r="N21" s="4">
        <f t="shared" si="28"/>
        <v>11.4</v>
      </c>
      <c r="O21" s="4">
        <f t="shared" si="28"/>
        <v>10.1</v>
      </c>
      <c r="P21" s="4">
        <f t="shared" si="28"/>
        <v>8.25</v>
      </c>
      <c r="Q21" s="4">
        <f t="shared" si="28"/>
        <v>16.3</v>
      </c>
      <c r="R21" s="4">
        <f t="shared" si="28"/>
        <v>16.3</v>
      </c>
      <c r="S21" s="4">
        <f t="shared" si="28"/>
        <v>4.5</v>
      </c>
      <c r="T21" s="4">
        <f t="shared" si="28"/>
        <v>16.3</v>
      </c>
      <c r="U21" s="4">
        <f t="shared" si="28"/>
        <v>6</v>
      </c>
      <c r="V21" s="4">
        <f t="shared" si="28"/>
        <v>16</v>
      </c>
      <c r="W21" s="4">
        <f t="shared" si="28"/>
        <v>17.5</v>
      </c>
      <c r="X21" s="4">
        <f t="shared" si="28"/>
        <v>11.25</v>
      </c>
      <c r="Y21" s="4">
        <f t="shared" si="28"/>
        <v>23</v>
      </c>
      <c r="Z21" s="4">
        <f t="shared" si="28"/>
        <v>27</v>
      </c>
      <c r="AA21" s="4">
        <f t="shared" si="28"/>
        <v>9</v>
      </c>
      <c r="AB21" s="4">
        <f t="shared" si="28"/>
        <v>6</v>
      </c>
      <c r="AC21" s="4">
        <f t="shared" si="28"/>
        <v>4.5</v>
      </c>
      <c r="AD21" s="4">
        <f t="shared" si="28"/>
        <v>26.400000000000002</v>
      </c>
      <c r="AE21" s="4">
        <f t="shared" si="28"/>
        <v>11.25</v>
      </c>
      <c r="AF21" s="4">
        <f t="shared" si="28"/>
        <v>17.95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2499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1.3240000000000001</v>
      </c>
      <c r="L22" s="4">
        <f t="shared" si="29"/>
        <v>0.21000000000000002</v>
      </c>
      <c r="M22" s="4">
        <f t="shared" si="29"/>
        <v>0.52</v>
      </c>
      <c r="N22" s="4">
        <f t="shared" si="29"/>
        <v>0.22800000000000001</v>
      </c>
      <c r="O22" s="4">
        <f t="shared" si="29"/>
        <v>0.20200000000000001</v>
      </c>
      <c r="P22" s="4">
        <f t="shared" si="29"/>
        <v>0.16499999999999998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0.09</v>
      </c>
      <c r="T22" s="4">
        <f t="shared" si="29"/>
        <v>0.32600000000000001</v>
      </c>
      <c r="U22" s="4">
        <f t="shared" si="29"/>
        <v>0.12</v>
      </c>
      <c r="V22" s="4">
        <f t="shared" si="29"/>
        <v>0.32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0.46</v>
      </c>
      <c r="Z22" s="4">
        <f t="shared" si="29"/>
        <v>0.54</v>
      </c>
      <c r="AA22" s="4">
        <f t="shared" si="29"/>
        <v>0.18000000000000002</v>
      </c>
      <c r="AB22" s="4">
        <f t="shared" si="29"/>
        <v>0.12</v>
      </c>
      <c r="AC22" s="4">
        <f t="shared" si="29"/>
        <v>0.09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0.35899999999999999</v>
      </c>
      <c r="AG22" s="9"/>
      <c r="BF22" s="432" t="s">
        <v>131</v>
      </c>
      <c r="BG22" s="432"/>
      <c r="BH22" s="41">
        <f>SUMPRODUCT(B4:B19,BH4:BH19)</f>
        <v>6831.5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64.876000000000005</v>
      </c>
      <c r="L25" s="69">
        <f t="shared" si="31"/>
        <v>10.29</v>
      </c>
      <c r="M25" s="69">
        <f t="shared" si="31"/>
        <v>25.48</v>
      </c>
      <c r="N25" s="69">
        <f t="shared" si="31"/>
        <v>11.172000000000001</v>
      </c>
      <c r="O25" s="69">
        <f t="shared" si="31"/>
        <v>9.8979999999999997</v>
      </c>
      <c r="P25" s="69">
        <f t="shared" si="31"/>
        <v>8.0850000000000009</v>
      </c>
      <c r="Q25" s="69">
        <f t="shared" si="31"/>
        <v>15.974</v>
      </c>
      <c r="R25" s="69">
        <f t="shared" si="31"/>
        <v>15.974</v>
      </c>
      <c r="S25" s="69">
        <f t="shared" si="31"/>
        <v>4.41</v>
      </c>
      <c r="T25" s="69">
        <f t="shared" si="31"/>
        <v>15.974</v>
      </c>
      <c r="U25" s="69">
        <f t="shared" si="31"/>
        <v>5.88</v>
      </c>
      <c r="V25" s="69">
        <f t="shared" si="31"/>
        <v>15.68</v>
      </c>
      <c r="W25" s="69">
        <f t="shared" si="31"/>
        <v>17.149999999999999</v>
      </c>
      <c r="X25" s="69">
        <f t="shared" si="31"/>
        <v>11.025</v>
      </c>
      <c r="Y25" s="69">
        <f t="shared" si="31"/>
        <v>22.54</v>
      </c>
      <c r="Z25" s="69">
        <f t="shared" si="31"/>
        <v>26.46</v>
      </c>
      <c r="AA25" s="69">
        <f t="shared" si="31"/>
        <v>8.82</v>
      </c>
      <c r="AB25" s="69">
        <f t="shared" si="31"/>
        <v>5.88</v>
      </c>
      <c r="AC25" s="69">
        <f t="shared" si="31"/>
        <v>4.41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17.591000000000001</v>
      </c>
      <c r="AG25" s="16"/>
      <c r="BF25" s="434" t="s">
        <v>42</v>
      </c>
      <c r="BG25" s="434"/>
      <c r="BH25" s="39">
        <f>AG50+AG51-AG52-BH22</f>
        <v>23758.256336237468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137.5</v>
      </c>
      <c r="L26" s="4">
        <f t="shared" si="32"/>
        <v>51</v>
      </c>
      <c r="M26" s="4">
        <f t="shared" si="32"/>
        <v>28</v>
      </c>
      <c r="N26" s="4">
        <f t="shared" si="32"/>
        <v>36.4</v>
      </c>
      <c r="O26" s="4">
        <f t="shared" si="32"/>
        <v>53.1</v>
      </c>
      <c r="P26" s="4">
        <f t="shared" si="32"/>
        <v>42.35</v>
      </c>
      <c r="Q26" s="4">
        <f t="shared" si="32"/>
        <v>34.6</v>
      </c>
      <c r="R26" s="4">
        <f t="shared" si="32"/>
        <v>34.6</v>
      </c>
      <c r="S26" s="4">
        <f t="shared" si="32"/>
        <v>45.8</v>
      </c>
      <c r="T26" s="4">
        <f t="shared" si="32"/>
        <v>54.6</v>
      </c>
      <c r="U26" s="4">
        <f t="shared" si="32"/>
        <v>64.5</v>
      </c>
      <c r="V26" s="4">
        <f t="shared" si="32"/>
        <v>35.299999999999997</v>
      </c>
      <c r="W26" s="4">
        <f t="shared" si="32"/>
        <v>63.2</v>
      </c>
      <c r="X26" s="4">
        <f t="shared" si="32"/>
        <v>51.25</v>
      </c>
      <c r="Y26" s="4">
        <f t="shared" si="32"/>
        <v>38.9</v>
      </c>
      <c r="Z26" s="4">
        <f t="shared" si="32"/>
        <v>34.5</v>
      </c>
      <c r="AA26" s="4">
        <f t="shared" si="32"/>
        <v>41.5</v>
      </c>
      <c r="AB26" s="4">
        <f t="shared" si="32"/>
        <v>44.5</v>
      </c>
      <c r="AC26" s="4">
        <f t="shared" si="32"/>
        <v>45.8</v>
      </c>
      <c r="AD26" s="4">
        <f t="shared" si="32"/>
        <v>34.399999999999991</v>
      </c>
      <c r="AE26" s="4">
        <f t="shared" si="32"/>
        <v>111.25</v>
      </c>
      <c r="AF26" s="4">
        <f t="shared" si="32"/>
        <v>83.55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0.67942839071826699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0.76515597410241309</v>
      </c>
      <c r="O27" s="70">
        <f t="shared" si="33"/>
        <v>0.84288390107622457</v>
      </c>
      <c r="P27" s="70">
        <f t="shared" si="33"/>
        <v>0.83969465648854957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0.91216889065923124</v>
      </c>
      <c r="T27" s="70">
        <f t="shared" si="33"/>
        <v>0.77365602063082728</v>
      </c>
      <c r="U27" s="70">
        <f t="shared" si="33"/>
        <v>0.91645353793691398</v>
      </c>
      <c r="V27" s="70">
        <f t="shared" si="33"/>
        <v>0.69242840329541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0.63313802083333337</v>
      </c>
      <c r="Z27" s="70">
        <f t="shared" si="33"/>
        <v>0.56594488188976377</v>
      </c>
      <c r="AA27" s="70">
        <f t="shared" si="33"/>
        <v>0.82472178060413359</v>
      </c>
      <c r="AB27" s="70">
        <f t="shared" si="33"/>
        <v>0.8832870186581977</v>
      </c>
      <c r="AC27" s="70">
        <f t="shared" si="33"/>
        <v>0.91216889065923124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0.82607449006832046</v>
      </c>
      <c r="AG27" s="9"/>
      <c r="BF27" s="430" t="s">
        <v>130</v>
      </c>
      <c r="BG27" s="430"/>
      <c r="BH27" s="40">
        <f>BH25-AG41</f>
        <v>11048.93965749571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77.116833242223237</v>
      </c>
      <c r="K28" s="72">
        <v>23.925470713696754</v>
      </c>
      <c r="L28" s="72">
        <v>31.743799847576906</v>
      </c>
      <c r="M28" s="72">
        <v>7.9639882182827844</v>
      </c>
      <c r="N28" s="72">
        <v>33.120326284278356</v>
      </c>
      <c r="O28" s="72">
        <v>22.618446027141381</v>
      </c>
      <c r="P28" s="72">
        <v>41.123018057124206</v>
      </c>
      <c r="Q28" s="72">
        <v>13.056624912763764</v>
      </c>
      <c r="R28" s="72">
        <v>11.018388841486338</v>
      </c>
      <c r="S28" s="72">
        <v>26.206828342453282</v>
      </c>
      <c r="T28" s="72">
        <v>14.400165101059644</v>
      </c>
      <c r="U28" s="72">
        <v>21.781110486721719</v>
      </c>
      <c r="V28" s="72">
        <v>12.809382987211318</v>
      </c>
      <c r="W28" s="72">
        <v>13.435703689659961</v>
      </c>
      <c r="X28" s="72">
        <v>11.605157416255997</v>
      </c>
      <c r="Y28" s="72">
        <v>8.2701838702374051</v>
      </c>
      <c r="Z28" s="72">
        <v>8.0372625245579954</v>
      </c>
      <c r="AA28" s="72">
        <v>13.836731717758084</v>
      </c>
      <c r="AB28" s="72">
        <v>22.886983406826218</v>
      </c>
      <c r="AC28" s="72">
        <v>8.7404897191404345</v>
      </c>
      <c r="AD28" s="72">
        <v>9.9688805691987348</v>
      </c>
      <c r="AE28" s="72">
        <v>18.293706549577006</v>
      </c>
      <c r="AF28" s="72">
        <v>13.375392565272106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4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16</v>
      </c>
      <c r="P29" s="74">
        <f>(F6/P6)*(25/47)</f>
        <v>35.460992907801419</v>
      </c>
      <c r="Q29" s="74">
        <f>(F13/Q13)*(6/20)</f>
        <v>22.5</v>
      </c>
      <c r="R29" s="74">
        <f>(F13/R13)*(3/20)</f>
        <v>11.25</v>
      </c>
      <c r="S29" s="74">
        <f>(F6/S6)*(12/47)</f>
        <v>17.021276595744681</v>
      </c>
      <c r="T29" s="74">
        <f>(F13/T13)*(3/20)</f>
        <v>11.25</v>
      </c>
      <c r="U29" s="74">
        <f>(F7/U7)*(6/47)</f>
        <v>10.212765957446807</v>
      </c>
      <c r="V29" s="74">
        <f>(F7/V7)*(3/47)</f>
        <v>5.1063829787234036</v>
      </c>
      <c r="W29" s="74">
        <f>(F13/W13)*(8/20)</f>
        <v>8.5714285714285712</v>
      </c>
      <c r="X29" s="74">
        <f>(F19/X19)*(3/4)</f>
        <v>0</v>
      </c>
      <c r="Y29" s="74">
        <f>(F7/Y7)*(1/29)</f>
        <v>2.7586206896551726</v>
      </c>
      <c r="Z29" s="74">
        <f>(F16/Z16)*(4/5)</f>
        <v>8</v>
      </c>
      <c r="AA29" s="74">
        <f>(F15/AA15)*(4/16)</f>
        <v>5</v>
      </c>
      <c r="AB29" s="74">
        <f>(F7/AB7)*(11/47)</f>
        <v>18.723404255319149</v>
      </c>
      <c r="AC29" s="74">
        <f>(F6/AC6)*(1/47)</f>
        <v>1.4184397163120568</v>
      </c>
      <c r="AD29" s="74">
        <f>(F14/AD14)</f>
        <v>0</v>
      </c>
      <c r="AE29" s="74">
        <f>(F19/AE19)*(1/4)</f>
        <v>0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0.65971557381329538</v>
      </c>
      <c r="K30" s="70">
        <f t="shared" si="34"/>
        <v>3.5714285714285716</v>
      </c>
      <c r="L30" s="70">
        <f t="shared" si="34"/>
        <v>0.27586206896551724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1.0416666666666667</v>
      </c>
      <c r="P30" s="70">
        <f t="shared" si="34"/>
        <v>0.9910892889616294</v>
      </c>
      <c r="Q30" s="70">
        <f t="shared" si="34"/>
        <v>2.1149674620390453</v>
      </c>
      <c r="R30" s="70">
        <f t="shared" si="34"/>
        <v>2.5086505190311419</v>
      </c>
      <c r="S30" s="70">
        <f t="shared" si="34"/>
        <v>0.93816100535025493</v>
      </c>
      <c r="T30" s="70">
        <f t="shared" si="34"/>
        <v>2.1577380952380953</v>
      </c>
      <c r="U30" s="70">
        <f t="shared" si="34"/>
        <v>0.91416552058894895</v>
      </c>
      <c r="V30" s="70">
        <f t="shared" si="34"/>
        <v>0.1758955451070594</v>
      </c>
      <c r="W30" s="70">
        <f t="shared" si="34"/>
        <v>2.1405304792926945</v>
      </c>
      <c r="X30" s="70">
        <f t="shared" si="34"/>
        <v>-1.5228426395939088</v>
      </c>
      <c r="Y30" s="70">
        <f t="shared" si="34"/>
        <v>1.2384652744050513</v>
      </c>
      <c r="Z30" s="70">
        <f t="shared" si="34"/>
        <v>4.5161290322580641</v>
      </c>
      <c r="AA30" s="70">
        <f t="shared" si="34"/>
        <v>0</v>
      </c>
      <c r="AB30" s="70">
        <f t="shared" si="34"/>
        <v>1.3801035077630823</v>
      </c>
      <c r="AC30" s="70">
        <f t="shared" si="34"/>
        <v>0.2682305873795236</v>
      </c>
      <c r="AD30" s="70">
        <f t="shared" si="34"/>
        <v>-2.4793388429752068</v>
      </c>
      <c r="AE30" s="70">
        <f t="shared" si="34"/>
        <v>-0.96618357487922713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0.32092402940891807</v>
      </c>
      <c r="K31" s="70">
        <f t="shared" ref="K31:AF31" si="35">NORMDIST(K30,0,1,FALSE)</f>
        <v>6.7791438513267678E-4</v>
      </c>
      <c r="L31" s="70">
        <f t="shared" si="35"/>
        <v>0.38404771597918042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0.23189438328624271</v>
      </c>
      <c r="P31" s="70">
        <f t="shared" si="35"/>
        <v>0.24412679853247579</v>
      </c>
      <c r="Q31" s="70">
        <f t="shared" si="35"/>
        <v>4.2617845032360525E-2</v>
      </c>
      <c r="R31" s="70">
        <f t="shared" si="35"/>
        <v>1.7152656034891543E-2</v>
      </c>
      <c r="S31" s="70">
        <f t="shared" si="35"/>
        <v>0.25691459379413667</v>
      </c>
      <c r="T31" s="70">
        <f t="shared" si="35"/>
        <v>3.8896330009954717E-2</v>
      </c>
      <c r="U31" s="70">
        <f t="shared" si="35"/>
        <v>0.262688112980761</v>
      </c>
      <c r="V31" s="70">
        <f t="shared" si="35"/>
        <v>0.39281828444180655</v>
      </c>
      <c r="W31" s="70">
        <f t="shared" si="35"/>
        <v>4.0361702578177006E-2</v>
      </c>
      <c r="X31" s="70">
        <f t="shared" si="35"/>
        <v>0.1251223293178855</v>
      </c>
      <c r="Y31" s="70">
        <f t="shared" si="35"/>
        <v>0.18528934454325996</v>
      </c>
      <c r="Z31" s="70">
        <f t="shared" si="35"/>
        <v>1.4862797917943318E-5</v>
      </c>
      <c r="AA31" s="70">
        <f t="shared" si="35"/>
        <v>0.3989422804014327</v>
      </c>
      <c r="AB31" s="70">
        <f t="shared" si="35"/>
        <v>0.15392629742547176</v>
      </c>
      <c r="AC31" s="70">
        <f t="shared" si="35"/>
        <v>0.38484587204181958</v>
      </c>
      <c r="AD31" s="70">
        <f t="shared" si="35"/>
        <v>1.8453539531909157E-2</v>
      </c>
      <c r="AE31" s="70">
        <f t="shared" si="35"/>
        <v>0.2501501645137153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0.74528181469528409</v>
      </c>
      <c r="K32" s="70">
        <f t="shared" ref="K32:AF32" si="36">NORMDIST(K30,0,1,TRUE)</f>
        <v>0.9998224803096265</v>
      </c>
      <c r="L32" s="70">
        <f t="shared" si="36"/>
        <v>0.60867299579262324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0.85121687581824801</v>
      </c>
      <c r="P32" s="70">
        <f t="shared" si="36"/>
        <v>0.83917900865888984</v>
      </c>
      <c r="Q32" s="70">
        <f t="shared" si="36"/>
        <v>0.98278363969249205</v>
      </c>
      <c r="R32" s="70">
        <f t="shared" si="36"/>
        <v>0.99394033388049419</v>
      </c>
      <c r="S32" s="70">
        <f t="shared" si="36"/>
        <v>0.82591916269481458</v>
      </c>
      <c r="T32" s="70">
        <f t="shared" si="36"/>
        <v>0.98452589984490002</v>
      </c>
      <c r="U32" s="70">
        <f t="shared" si="36"/>
        <v>0.81968506073047842</v>
      </c>
      <c r="V32" s="70">
        <f t="shared" si="36"/>
        <v>0.56981199736182153</v>
      </c>
      <c r="W32" s="70">
        <f t="shared" si="36"/>
        <v>0.98384403983506508</v>
      </c>
      <c r="X32" s="70">
        <f t="shared" si="36"/>
        <v>6.389903965475742E-2</v>
      </c>
      <c r="Y32" s="70">
        <f t="shared" si="36"/>
        <v>0.8922282048162371</v>
      </c>
      <c r="Z32" s="70">
        <f t="shared" si="36"/>
        <v>0.99999685098513735</v>
      </c>
      <c r="AA32" s="70">
        <f t="shared" si="36"/>
        <v>0.5</v>
      </c>
      <c r="AB32" s="70">
        <f t="shared" si="36"/>
        <v>0.91622261128973248</v>
      </c>
      <c r="AC32" s="70">
        <f t="shared" si="36"/>
        <v>0.60573908397805565</v>
      </c>
      <c r="AD32" s="70">
        <f t="shared" si="36"/>
        <v>6.5813098275342924E-3</v>
      </c>
      <c r="AE32" s="70">
        <f t="shared" si="36"/>
        <v>0.16697616515893529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0.15288247562993612</v>
      </c>
      <c r="K33" s="70">
        <f t="shared" ref="K33:AF33" si="37">K31-(K30*(1-K32))</f>
        <v>4.3915490941621505E-5</v>
      </c>
      <c r="L33" s="70">
        <f t="shared" si="37"/>
        <v>0.27609543895645577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7.6911962263584377E-2</v>
      </c>
      <c r="P33" s="70">
        <f t="shared" si="37"/>
        <v>8.4738836574110549E-2</v>
      </c>
      <c r="Q33" s="70">
        <f t="shared" si="37"/>
        <v>6.2058031672406824E-3</v>
      </c>
      <c r="R33" s="70">
        <f t="shared" si="37"/>
        <v>1.9510714790378601E-3</v>
      </c>
      <c r="S33" s="70">
        <f t="shared" si="37"/>
        <v>9.359874045568975E-2</v>
      </c>
      <c r="T33" s="70">
        <f t="shared" si="37"/>
        <v>5.5072746157657712E-3</v>
      </c>
      <c r="U33" s="70">
        <f t="shared" si="37"/>
        <v>9.7850412653474106E-2</v>
      </c>
      <c r="V33" s="70">
        <f t="shared" si="37"/>
        <v>0.31715013121924707</v>
      </c>
      <c r="W33" s="70">
        <f t="shared" si="37"/>
        <v>5.7793774228951725E-3</v>
      </c>
      <c r="X33" s="70">
        <f t="shared" si="37"/>
        <v>1.5506567866964278</v>
      </c>
      <c r="Y33" s="70">
        <f t="shared" si="37"/>
        <v>5.1817718647876071E-2</v>
      </c>
      <c r="Z33" s="70">
        <f t="shared" si="37"/>
        <v>6.4144047373224736E-7</v>
      </c>
      <c r="AA33" s="70">
        <f t="shared" si="37"/>
        <v>0.3989422804014327</v>
      </c>
      <c r="AB33" s="70">
        <f t="shared" si="37"/>
        <v>3.8304829395200302E-2</v>
      </c>
      <c r="AC33" s="70">
        <f t="shared" si="37"/>
        <v>0.27909303495646443</v>
      </c>
      <c r="AD33" s="70">
        <f t="shared" si="37"/>
        <v>2.4814750854140555</v>
      </c>
      <c r="AE33" s="70">
        <f t="shared" si="37"/>
        <v>1.0550041112200579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3.0286018422290342</v>
      </c>
      <c r="K34" s="74">
        <f t="shared" si="38"/>
        <v>3.6889012390962061E-5</v>
      </c>
      <c r="L34" s="74">
        <f t="shared" si="38"/>
        <v>2.0016919324343045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0.369177418865205</v>
      </c>
      <c r="P34" s="74">
        <f t="shared" si="38"/>
        <v>1.3219258505561244</v>
      </c>
      <c r="Q34" s="74">
        <f t="shared" si="38"/>
        <v>5.7217505201959097E-2</v>
      </c>
      <c r="R34" s="74">
        <f t="shared" si="38"/>
        <v>5.6385965744194157E-3</v>
      </c>
      <c r="S34" s="74">
        <f t="shared" si="38"/>
        <v>0.80026923089614743</v>
      </c>
      <c r="T34" s="74">
        <f t="shared" si="38"/>
        <v>1.8504442708972991E-2</v>
      </c>
      <c r="U34" s="74">
        <f t="shared" si="38"/>
        <v>0.77203975583591067</v>
      </c>
      <c r="V34" s="74">
        <f t="shared" si="38"/>
        <v>1.9948743253690642</v>
      </c>
      <c r="W34" s="74">
        <f t="shared" si="38"/>
        <v>1.7742688688288179E-2</v>
      </c>
      <c r="X34" s="74">
        <f t="shared" si="38"/>
        <v>3.0547938697919625</v>
      </c>
      <c r="Y34" s="74">
        <f t="shared" si="38"/>
        <v>7.3581160479984017E-2</v>
      </c>
      <c r="Z34" s="74">
        <f t="shared" si="38"/>
        <v>9.9423273428498349E-7</v>
      </c>
      <c r="AA34" s="74">
        <f t="shared" si="38"/>
        <v>1.3723614445809285</v>
      </c>
      <c r="AB34" s="74">
        <f t="shared" si="38"/>
        <v>0.29762852440070631</v>
      </c>
      <c r="AC34" s="74">
        <f t="shared" si="38"/>
        <v>0.43538513453208449</v>
      </c>
      <c r="AD34" s="74">
        <f t="shared" si="38"/>
        <v>3.0025848533510069</v>
      </c>
      <c r="AE34" s="74">
        <f t="shared" si="38"/>
        <v>2.1838585102255195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45.971398157770963</v>
      </c>
      <c r="K35" s="74">
        <f t="shared" si="39"/>
        <v>0.99996311098760904</v>
      </c>
      <c r="L35" s="74">
        <f t="shared" si="39"/>
        <v>15.998308067565695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10.630822581134796</v>
      </c>
      <c r="P35" s="74">
        <f t="shared" si="39"/>
        <v>18.678074149443876</v>
      </c>
      <c r="Q35" s="74">
        <f t="shared" si="39"/>
        <v>2.942782494798041</v>
      </c>
      <c r="R35" s="74">
        <f t="shared" si="39"/>
        <v>3.9943614034255805</v>
      </c>
      <c r="S35" s="74">
        <f t="shared" si="39"/>
        <v>8.1997307691038532</v>
      </c>
      <c r="T35" s="74">
        <f t="shared" si="39"/>
        <v>3.9814955572910269</v>
      </c>
      <c r="U35" s="74">
        <f t="shared" si="39"/>
        <v>2.2279602441640893</v>
      </c>
      <c r="V35" s="74">
        <f t="shared" si="39"/>
        <v>2.0051256746309356</v>
      </c>
      <c r="W35" s="74">
        <f t="shared" si="39"/>
        <v>1.9822573113117119</v>
      </c>
      <c r="X35" s="74">
        <f t="shared" si="39"/>
        <v>-5.4793869791962546E-2</v>
      </c>
      <c r="Y35" s="74">
        <f t="shared" si="39"/>
        <v>0.92641883952001602</v>
      </c>
      <c r="Z35" s="74">
        <f t="shared" si="39"/>
        <v>0.99999900576726575</v>
      </c>
      <c r="AA35" s="74">
        <f t="shared" si="39"/>
        <v>3.6276385554190718</v>
      </c>
      <c r="AB35" s="74">
        <f t="shared" si="39"/>
        <v>7.7023714755992936</v>
      </c>
      <c r="AC35" s="74">
        <f t="shared" si="39"/>
        <v>0.56461486546791551</v>
      </c>
      <c r="AD35" s="74">
        <f t="shared" si="39"/>
        <v>-2.5848533510068883E-3</v>
      </c>
      <c r="AE35" s="74">
        <f t="shared" si="39"/>
        <v>-0.18385851022551947</v>
      </c>
      <c r="AF35" s="74">
        <f t="shared" si="39"/>
        <v>0.69099903829292908</v>
      </c>
      <c r="AG35" s="187">
        <f>SUM(J35:AF35)</f>
        <v>147.82566281664762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16.097567359470418</v>
      </c>
      <c r="K36" s="74">
        <f t="shared" ref="K36:AF36" si="40">K29-K35</f>
        <v>3.000036889012391</v>
      </c>
      <c r="L36" s="74">
        <f t="shared" si="40"/>
        <v>4.001691932434305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5.3691774188652044</v>
      </c>
      <c r="P36" s="74">
        <f t="shared" si="40"/>
        <v>16.782918758357543</v>
      </c>
      <c r="Q36" s="74">
        <f t="shared" si="40"/>
        <v>19.557217505201958</v>
      </c>
      <c r="R36" s="74">
        <f t="shared" si="40"/>
        <v>7.2556385965744195</v>
      </c>
      <c r="S36" s="74">
        <f t="shared" si="40"/>
        <v>8.8215458266408273</v>
      </c>
      <c r="T36" s="74">
        <f t="shared" si="40"/>
        <v>7.2685044427089736</v>
      </c>
      <c r="U36" s="74">
        <f t="shared" si="40"/>
        <v>7.9848057132827179</v>
      </c>
      <c r="V36" s="74">
        <f t="shared" si="40"/>
        <v>3.101257304092468</v>
      </c>
      <c r="W36" s="74">
        <f t="shared" si="40"/>
        <v>6.5891712601168591</v>
      </c>
      <c r="X36" s="74">
        <f t="shared" si="40"/>
        <v>5.4793869791962546E-2</v>
      </c>
      <c r="Y36" s="74">
        <f t="shared" si="40"/>
        <v>1.8322018501351565</v>
      </c>
      <c r="Z36" s="74">
        <f t="shared" si="40"/>
        <v>7.0000009942327344</v>
      </c>
      <c r="AA36" s="74">
        <f t="shared" si="40"/>
        <v>1.3723614445809282</v>
      </c>
      <c r="AB36" s="74">
        <f t="shared" si="40"/>
        <v>11.021032779719857</v>
      </c>
      <c r="AC36" s="74">
        <f t="shared" si="40"/>
        <v>0.85382485084414128</v>
      </c>
      <c r="AD36" s="74">
        <f t="shared" si="40"/>
        <v>2.5848533510068883E-3</v>
      </c>
      <c r="AE36" s="74">
        <f t="shared" si="40"/>
        <v>0.18385851022551947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2298.5699078885482</v>
      </c>
      <c r="K37" s="70">
        <f t="shared" ref="K37:AF37" si="41">K20*K35</f>
        <v>199.9926221975218</v>
      </c>
      <c r="L37" s="70">
        <f t="shared" si="41"/>
        <v>959.89848405394173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637.84935486808774</v>
      </c>
      <c r="P37" s="70">
        <f t="shared" si="41"/>
        <v>933.90370747219379</v>
      </c>
      <c r="Q37" s="70">
        <f t="shared" si="41"/>
        <v>147.13912473990206</v>
      </c>
      <c r="R37" s="70">
        <f t="shared" si="41"/>
        <v>199.71807017127904</v>
      </c>
      <c r="S37" s="70">
        <f t="shared" si="41"/>
        <v>409.98653845519266</v>
      </c>
      <c r="T37" s="70">
        <f t="shared" si="41"/>
        <v>278.70468901037191</v>
      </c>
      <c r="U37" s="70">
        <f t="shared" si="41"/>
        <v>155.95721709148626</v>
      </c>
      <c r="V37" s="70">
        <f t="shared" si="41"/>
        <v>100.25628373154677</v>
      </c>
      <c r="W37" s="70">
        <f t="shared" si="41"/>
        <v>158.58058490493696</v>
      </c>
      <c r="X37" s="70">
        <f t="shared" si="41"/>
        <v>-3.2876321875177528</v>
      </c>
      <c r="Y37" s="70">
        <f t="shared" si="41"/>
        <v>55.585130371200961</v>
      </c>
      <c r="Z37" s="70">
        <f t="shared" si="41"/>
        <v>59.999940346035942</v>
      </c>
      <c r="AA37" s="70">
        <f t="shared" si="41"/>
        <v>181.38192777095358</v>
      </c>
      <c r="AB37" s="70">
        <f t="shared" si="41"/>
        <v>385.11857377996466</v>
      </c>
      <c r="AC37" s="70">
        <f t="shared" si="41"/>
        <v>28.230743273395774</v>
      </c>
      <c r="AD37" s="70">
        <f t="shared" si="41"/>
        <v>-0.1550912010604133</v>
      </c>
      <c r="AE37" s="70">
        <f t="shared" si="41"/>
        <v>-22.063021227062336</v>
      </c>
      <c r="AF37" s="70">
        <f t="shared" si="41"/>
        <v>69.099903829292913</v>
      </c>
      <c r="AG37" s="288">
        <f>SUM(J37:AF37)</f>
        <v>7949.2595268694358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802.75348908207081</v>
      </c>
      <c r="K38" s="70">
        <f t="shared" ref="K38:AF38" si="42">(K20-K22)*K36</f>
        <v>596.03532896142576</v>
      </c>
      <c r="L38" s="70">
        <f t="shared" si="42"/>
        <v>239.26116064024708</v>
      </c>
      <c r="M38" s="70">
        <f t="shared" si="42"/>
        <v>25.962909533292716</v>
      </c>
      <c r="N38" s="70">
        <f t="shared" si="42"/>
        <v>382.0263140452181</v>
      </c>
      <c r="O38" s="70">
        <f t="shared" si="42"/>
        <v>321.06607129330149</v>
      </c>
      <c r="P38" s="70">
        <f t="shared" si="42"/>
        <v>836.37675632274818</v>
      </c>
      <c r="Q38" s="70">
        <f t="shared" si="42"/>
        <v>971.48522235340204</v>
      </c>
      <c r="R38" s="70">
        <f t="shared" si="42"/>
        <v>360.41659164623769</v>
      </c>
      <c r="S38" s="70">
        <f t="shared" si="42"/>
        <v>440.28335220764365</v>
      </c>
      <c r="T38" s="70">
        <f t="shared" si="42"/>
        <v>506.42577854130508</v>
      </c>
      <c r="U38" s="70">
        <f t="shared" si="42"/>
        <v>557.97822324419633</v>
      </c>
      <c r="V38" s="70">
        <f t="shared" si="42"/>
        <v>154.07046286731381</v>
      </c>
      <c r="W38" s="70">
        <f t="shared" si="42"/>
        <v>524.8274908683079</v>
      </c>
      <c r="X38" s="70">
        <f t="shared" si="42"/>
        <v>3.2753035668145611</v>
      </c>
      <c r="Y38" s="70">
        <f t="shared" si="42"/>
        <v>109.08929815704721</v>
      </c>
      <c r="Z38" s="70">
        <f t="shared" si="42"/>
        <v>416.22005911707839</v>
      </c>
      <c r="AA38" s="70">
        <f t="shared" si="42"/>
        <v>68.37104716902185</v>
      </c>
      <c r="AB38" s="70">
        <f t="shared" si="42"/>
        <v>549.72911505242644</v>
      </c>
      <c r="AC38" s="70">
        <f t="shared" si="42"/>
        <v>42.614398305631092</v>
      </c>
      <c r="AD38" s="70">
        <f>(AD20-AD22)*AD36</f>
        <v>0.15372639849108166</v>
      </c>
      <c r="AE38" s="70">
        <f t="shared" si="42"/>
        <v>22.021653062261596</v>
      </c>
      <c r="AF38" s="70">
        <f t="shared" si="42"/>
        <v>68.584026894419779</v>
      </c>
      <c r="AG38" s="288">
        <f>SUM(J38:AF38)</f>
        <v>7999.0277793299019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1.8171611053374204</v>
      </c>
      <c r="K39" s="70">
        <f t="shared" ref="K39:AF39" si="43">K23*K34</f>
        <v>1.3648934584655964E-4</v>
      </c>
      <c r="L39" s="70">
        <f t="shared" si="43"/>
        <v>3.0025378986514566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1.181367740368656</v>
      </c>
      <c r="P39" s="70">
        <f t="shared" si="43"/>
        <v>0.7931555103336746</v>
      </c>
      <c r="Q39" s="70">
        <f t="shared" si="43"/>
        <v>5.1495754681763185E-2</v>
      </c>
      <c r="R39" s="70">
        <f t="shared" si="43"/>
        <v>5.0747369169774738E-3</v>
      </c>
      <c r="S39" s="70">
        <f t="shared" si="43"/>
        <v>0.24008076926884422</v>
      </c>
      <c r="T39" s="70">
        <f t="shared" si="43"/>
        <v>1.665399843807569E-2</v>
      </c>
      <c r="U39" s="70">
        <f t="shared" si="43"/>
        <v>0.38601987791795533</v>
      </c>
      <c r="V39" s="70">
        <f t="shared" si="43"/>
        <v>2.5933366229797836</v>
      </c>
      <c r="W39" s="70">
        <f t="shared" si="43"/>
        <v>1.2419882081801727E-2</v>
      </c>
      <c r="X39" s="70">
        <f t="shared" si="43"/>
        <v>7.6369846744799066</v>
      </c>
      <c r="Y39" s="70">
        <f t="shared" si="43"/>
        <v>0.13980420491196965</v>
      </c>
      <c r="Z39" s="70">
        <f t="shared" si="43"/>
        <v>1.4913491014274752E-6</v>
      </c>
      <c r="AA39" s="70">
        <f t="shared" si="43"/>
        <v>0.68618072229046423</v>
      </c>
      <c r="AB39" s="70">
        <f t="shared" si="43"/>
        <v>0.14881426220035315</v>
      </c>
      <c r="AC39" s="70">
        <f t="shared" si="43"/>
        <v>0.13061554035962533</v>
      </c>
      <c r="AD39" s="70">
        <f t="shared" si="43"/>
        <v>2.4020678826808055</v>
      </c>
      <c r="AE39" s="70">
        <f t="shared" si="43"/>
        <v>5.4596462755637987</v>
      </c>
      <c r="AF39" s="70">
        <f t="shared" si="43"/>
        <v>0.46350144256060638</v>
      </c>
      <c r="AG39" s="288">
        <f t="shared" ref="AG39" si="44">SUM(J39:AF39)</f>
        <v>44.357494662276444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409.65517241379308</v>
      </c>
      <c r="K40" s="70">
        <f t="shared" ref="K40:AF40" si="45">K21*K29</f>
        <v>264.8</v>
      </c>
      <c r="L40" s="70">
        <f t="shared" si="45"/>
        <v>210</v>
      </c>
      <c r="M40" s="70">
        <f t="shared" si="45"/>
        <v>0</v>
      </c>
      <c r="N40" s="70">
        <f t="shared" si="45"/>
        <v>285</v>
      </c>
      <c r="O40" s="70">
        <f t="shared" si="45"/>
        <v>161.6</v>
      </c>
      <c r="P40" s="70">
        <f t="shared" si="45"/>
        <v>292.55319148936172</v>
      </c>
      <c r="Q40" s="70">
        <f t="shared" si="45"/>
        <v>366.75</v>
      </c>
      <c r="R40" s="70">
        <f t="shared" si="45"/>
        <v>183.375</v>
      </c>
      <c r="S40" s="70">
        <f t="shared" si="45"/>
        <v>76.595744680851055</v>
      </c>
      <c r="T40" s="70">
        <f t="shared" si="45"/>
        <v>183.375</v>
      </c>
      <c r="U40" s="70">
        <f t="shared" si="45"/>
        <v>61.276595744680847</v>
      </c>
      <c r="V40" s="70">
        <f t="shared" si="45"/>
        <v>81.702127659574458</v>
      </c>
      <c r="W40" s="70">
        <f t="shared" si="45"/>
        <v>150</v>
      </c>
      <c r="X40" s="70">
        <f t="shared" si="45"/>
        <v>0</v>
      </c>
      <c r="Y40" s="70">
        <f t="shared" si="45"/>
        <v>63.448275862068968</v>
      </c>
      <c r="Z40" s="70">
        <f t="shared" si="45"/>
        <v>216</v>
      </c>
      <c r="AA40" s="70">
        <f t="shared" si="45"/>
        <v>45</v>
      </c>
      <c r="AB40" s="70">
        <f t="shared" si="45"/>
        <v>112.34042553191489</v>
      </c>
      <c r="AC40" s="70">
        <f t="shared" si="45"/>
        <v>6.3829787234042552</v>
      </c>
      <c r="AD40" s="70">
        <f t="shared" si="45"/>
        <v>0</v>
      </c>
      <c r="AE40" s="70">
        <f t="shared" si="45"/>
        <v>0</v>
      </c>
      <c r="AF40" s="70">
        <f t="shared" si="45"/>
        <v>24.758620689655174</v>
      </c>
      <c r="AG40" s="289">
        <f>SUM(J40:AF40)</f>
        <v>3194.6131327953049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2689.8510634514882</v>
      </c>
      <c r="K41" s="76">
        <f t="shared" ref="K41:AF41" si="46">K37+K38-K40-K39</f>
        <v>531.22781466960157</v>
      </c>
      <c r="L41" s="76">
        <f t="shared" si="46"/>
        <v>986.15710679553729</v>
      </c>
      <c r="M41" s="76">
        <f t="shared" si="46"/>
        <v>-10.37171283529675</v>
      </c>
      <c r="N41" s="76">
        <f t="shared" si="46"/>
        <v>830.96296616347456</v>
      </c>
      <c r="O41" s="76">
        <f t="shared" si="46"/>
        <v>796.13405842102054</v>
      </c>
      <c r="P41" s="76">
        <f t="shared" si="46"/>
        <v>1476.9341167952466</v>
      </c>
      <c r="Q41" s="76">
        <f t="shared" si="46"/>
        <v>751.82285133862229</v>
      </c>
      <c r="R41" s="76">
        <f t="shared" si="46"/>
        <v>376.75458708059978</v>
      </c>
      <c r="S41" s="76">
        <f t="shared" si="46"/>
        <v>773.4340652127164</v>
      </c>
      <c r="T41" s="76">
        <f t="shared" si="46"/>
        <v>601.73881355323886</v>
      </c>
      <c r="U41" s="76">
        <f t="shared" si="46"/>
        <v>652.27282471308376</v>
      </c>
      <c r="V41" s="76">
        <f t="shared" si="46"/>
        <v>170.03128231630632</v>
      </c>
      <c r="W41" s="76">
        <f t="shared" si="46"/>
        <v>533.39565589116307</v>
      </c>
      <c r="X41" s="76">
        <f t="shared" si="46"/>
        <v>-7.6493132951830987</v>
      </c>
      <c r="Y41" s="76">
        <f t="shared" si="46"/>
        <v>101.08634846126724</v>
      </c>
      <c r="Z41" s="76">
        <f t="shared" si="46"/>
        <v>260.21999797176522</v>
      </c>
      <c r="AA41" s="76">
        <f t="shared" si="46"/>
        <v>204.06679421768499</v>
      </c>
      <c r="AB41" s="76">
        <f t="shared" si="46"/>
        <v>822.35844903827581</v>
      </c>
      <c r="AC41" s="76">
        <f t="shared" si="46"/>
        <v>64.331547315262981</v>
      </c>
      <c r="AD41" s="76">
        <f t="shared" si="46"/>
        <v>-2.4034326852501371</v>
      </c>
      <c r="AE41" s="76">
        <f t="shared" si="46"/>
        <v>-5.5010144403645391</v>
      </c>
      <c r="AF41" s="76">
        <f t="shared" si="46"/>
        <v>112.46180859149692</v>
      </c>
      <c r="AG41" s="290">
        <f>SUM(J41:AF41)</f>
        <v>12709.316678741758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1.4193252520052115</v>
      </c>
      <c r="K43" s="70">
        <f t="shared" si="47"/>
        <v>27.292227040115183</v>
      </c>
      <c r="L43" s="70">
        <f t="shared" si="47"/>
        <v>1.8956965307002629</v>
      </c>
      <c r="M43" s="70">
        <f t="shared" si="47"/>
        <v>1.8521702541250882</v>
      </c>
      <c r="N43" s="70">
        <f t="shared" si="47"/>
        <v>1.1341627537572978</v>
      </c>
      <c r="O43" s="70">
        <f t="shared" si="47"/>
        <v>2.4205095889877879</v>
      </c>
      <c r="P43" s="70">
        <f t="shared" si="47"/>
        <v>1.3540396190464234</v>
      </c>
      <c r="Q43" s="70">
        <f t="shared" si="47"/>
        <v>1.0907402291500827</v>
      </c>
      <c r="R43" s="70">
        <f t="shared" si="47"/>
        <v>2.4285082496492518</v>
      </c>
      <c r="S43" s="70">
        <f t="shared" si="47"/>
        <v>2.012494542976992</v>
      </c>
      <c r="T43" s="70">
        <f t="shared" si="47"/>
        <v>3.0952872324582272</v>
      </c>
      <c r="U43" s="70">
        <f t="shared" si="47"/>
        <v>2.3803688829812066</v>
      </c>
      <c r="V43" s="70">
        <f t="shared" si="47"/>
        <v>1.4005378358046612</v>
      </c>
      <c r="W43" s="70">
        <f t="shared" si="47"/>
        <v>3.7249849151986845</v>
      </c>
      <c r="X43" s="70">
        <f t="shared" si="47"/>
        <v>4.3681002112974605</v>
      </c>
      <c r="Y43" s="70">
        <f t="shared" si="47"/>
        <v>5.1198477959418351</v>
      </c>
      <c r="Z43" s="70">
        <f t="shared" si="47"/>
        <v>4.5401693706825776</v>
      </c>
      <c r="AA43" s="70">
        <f t="shared" si="47"/>
        <v>2.5688173598133965</v>
      </c>
      <c r="AB43" s="70">
        <f t="shared" si="47"/>
        <v>1.9159566804152148</v>
      </c>
      <c r="AC43" s="70">
        <f t="shared" si="47"/>
        <v>4.9618523840643807</v>
      </c>
      <c r="AD43" s="70">
        <f t="shared" si="47"/>
        <v>5.7594054290898633</v>
      </c>
      <c r="AE43" s="70">
        <f t="shared" si="47"/>
        <v>7.8713558210516945</v>
      </c>
      <c r="AF43" s="70">
        <f t="shared" si="47"/>
        <v>10.399489550648829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0.14570363483583876</v>
      </c>
      <c r="K44" s="70">
        <f t="shared" ref="K44:AF44" si="48">NORMDIST(K43,0,1,FALSE)</f>
        <v>7.1678318733418791E-163</v>
      </c>
      <c r="L44" s="70">
        <f t="shared" si="48"/>
        <v>6.6153915333403063E-2</v>
      </c>
      <c r="M44" s="70">
        <f t="shared" si="48"/>
        <v>7.1775947051350222E-2</v>
      </c>
      <c r="N44" s="70">
        <f t="shared" si="48"/>
        <v>0.20969501588120104</v>
      </c>
      <c r="O44" s="70">
        <f t="shared" si="48"/>
        <v>2.1314410869414956E-2</v>
      </c>
      <c r="P44" s="70">
        <f t="shared" si="48"/>
        <v>0.15950975828182617</v>
      </c>
      <c r="Q44" s="70">
        <f t="shared" si="48"/>
        <v>0.22007306878153263</v>
      </c>
      <c r="R44" s="70">
        <f t="shared" si="48"/>
        <v>2.0905046443889425E-2</v>
      </c>
      <c r="S44" s="70">
        <f t="shared" si="48"/>
        <v>5.2654389320793478E-2</v>
      </c>
      <c r="T44" s="70">
        <f t="shared" si="48"/>
        <v>3.314859435146303E-3</v>
      </c>
      <c r="U44" s="70">
        <f t="shared" si="48"/>
        <v>2.3470369101086287E-2</v>
      </c>
      <c r="V44" s="70">
        <f t="shared" si="48"/>
        <v>0.14961474612205941</v>
      </c>
      <c r="W44" s="70">
        <f t="shared" si="48"/>
        <v>3.8715135529760028E-4</v>
      </c>
      <c r="X44" s="70">
        <f t="shared" si="48"/>
        <v>2.8686375729368506E-5</v>
      </c>
      <c r="Y44" s="70">
        <f t="shared" si="48"/>
        <v>8.1070689498648437E-7</v>
      </c>
      <c r="Z44" s="70">
        <f t="shared" si="48"/>
        <v>1.3329812492565942E-5</v>
      </c>
      <c r="AA44" s="70">
        <f t="shared" si="48"/>
        <v>1.4722919536887948E-2</v>
      </c>
      <c r="AB44" s="70">
        <f t="shared" si="48"/>
        <v>6.364824456740438E-2</v>
      </c>
      <c r="AC44" s="70">
        <f t="shared" si="48"/>
        <v>1.7978337791451315E-6</v>
      </c>
      <c r="AD44" s="70">
        <f t="shared" si="48"/>
        <v>2.5001900836225964E-8</v>
      </c>
      <c r="AE44" s="70">
        <f t="shared" si="48"/>
        <v>1.4023249501669482E-14</v>
      </c>
      <c r="AF44" s="70">
        <f t="shared" si="48"/>
        <v>1.3078861940274336E-24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0.92209789330709202</v>
      </c>
      <c r="K45" s="70">
        <f t="shared" ref="K45:AF45" si="49">NORMDIST(K43,0,1,TRUE)</f>
        <v>1</v>
      </c>
      <c r="L45" s="70">
        <f t="shared" si="49"/>
        <v>0.97099990782842882</v>
      </c>
      <c r="M45" s="70">
        <f t="shared" si="49"/>
        <v>0.96799931062371558</v>
      </c>
      <c r="N45" s="70">
        <f t="shared" si="49"/>
        <v>0.87163685779784528</v>
      </c>
      <c r="O45" s="70">
        <f t="shared" si="49"/>
        <v>0.99225061473948628</v>
      </c>
      <c r="P45" s="70">
        <f t="shared" si="49"/>
        <v>0.91213813093587015</v>
      </c>
      <c r="Q45" s="70">
        <f t="shared" si="49"/>
        <v>0.86230639823580235</v>
      </c>
      <c r="R45" s="70">
        <f t="shared" si="49"/>
        <v>0.99241945990429592</v>
      </c>
      <c r="S45" s="70">
        <f t="shared" si="49"/>
        <v>0.97791608432510868</v>
      </c>
      <c r="T45" s="70">
        <f t="shared" si="49"/>
        <v>0.99901688807312272</v>
      </c>
      <c r="U45" s="70">
        <f t="shared" si="49"/>
        <v>0.9913523425962425</v>
      </c>
      <c r="V45" s="70">
        <f t="shared" si="49"/>
        <v>0.91932383924402961</v>
      </c>
      <c r="W45" s="70">
        <f t="shared" si="49"/>
        <v>0.9999023365490709</v>
      </c>
      <c r="X45" s="70">
        <f t="shared" si="49"/>
        <v>0.99999373340065412</v>
      </c>
      <c r="Y45" s="70">
        <f t="shared" si="49"/>
        <v>0.99999984710882694</v>
      </c>
      <c r="Z45" s="70">
        <f t="shared" si="49"/>
        <v>0.99999718954713601</v>
      </c>
      <c r="AA45" s="70">
        <f t="shared" si="49"/>
        <v>0.9948976887605715</v>
      </c>
      <c r="AB45" s="70">
        <f t="shared" si="49"/>
        <v>0.97231469505389989</v>
      </c>
      <c r="AC45" s="70">
        <f t="shared" si="49"/>
        <v>0.99999965087973031</v>
      </c>
      <c r="AD45" s="70">
        <f t="shared" si="49"/>
        <v>0.99999999577946319</v>
      </c>
      <c r="AE45" s="70">
        <f t="shared" si="49"/>
        <v>0.99999999999999822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3.5135207622190259E-2</v>
      </c>
      <c r="K46" s="70">
        <f t="shared" ref="K46:AF46" si="50">K44-(K43*(1-K45))</f>
        <v>7.1678318733418791E-163</v>
      </c>
      <c r="L46" s="70">
        <f t="shared" si="50"/>
        <v>1.1178541213767726E-2</v>
      </c>
      <c r="M46" s="70">
        <f t="shared" si="50"/>
        <v>1.2505222077099504E-2</v>
      </c>
      <c r="N46" s="70">
        <f t="shared" si="50"/>
        <v>6.4110321040265622E-2</v>
      </c>
      <c r="O46" s="70">
        <f t="shared" si="50"/>
        <v>2.5569495375808715E-3</v>
      </c>
      <c r="P46" s="70">
        <f t="shared" si="50"/>
        <v>4.0541306565525057E-2</v>
      </c>
      <c r="Q46" s="70">
        <f t="shared" si="50"/>
        <v>6.9885118040751454E-2</v>
      </c>
      <c r="R46" s="70">
        <f t="shared" si="50"/>
        <v>2.4956422846751369E-3</v>
      </c>
      <c r="S46" s="70">
        <f t="shared" si="50"/>
        <v>8.2106295375106442E-3</v>
      </c>
      <c r="T46" s="70">
        <f t="shared" si="50"/>
        <v>2.7184563980565783E-4</v>
      </c>
      <c r="U46" s="70">
        <f t="shared" si="50"/>
        <v>2.8857545064998776E-3</v>
      </c>
      <c r="V46" s="70">
        <f t="shared" si="50"/>
        <v>3.6624730535863695E-2</v>
      </c>
      <c r="W46" s="70">
        <f t="shared" si="50"/>
        <v>2.3356473820465324E-5</v>
      </c>
      <c r="X46" s="70">
        <f t="shared" si="50"/>
        <v>1.3132418024993515E-6</v>
      </c>
      <c r="Y46" s="70">
        <f t="shared" si="50"/>
        <v>2.7927359600443989E-8</v>
      </c>
      <c r="Z46" s="70">
        <f t="shared" si="50"/>
        <v>5.6988048173918539E-7</v>
      </c>
      <c r="AA46" s="70">
        <f t="shared" si="50"/>
        <v>1.6160138498730013E-3</v>
      </c>
      <c r="AB46" s="70">
        <f t="shared" si="50"/>
        <v>1.0604399606591486E-2</v>
      </c>
      <c r="AC46" s="70">
        <f t="shared" si="50"/>
        <v>6.5550536640284474E-8</v>
      </c>
      <c r="AD46" s="70">
        <f t="shared" si="50"/>
        <v>6.9411822520169593E-10</v>
      </c>
      <c r="AE46" s="70">
        <f t="shared" si="50"/>
        <v>4.0912753591330692E-17</v>
      </c>
      <c r="AF46" s="70">
        <f t="shared" si="50"/>
        <v>1.3078861940274336E-24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0.69602846299558896</v>
      </c>
      <c r="K47" s="74">
        <f t="shared" si="51"/>
        <v>6.0209787736071787E-163</v>
      </c>
      <c r="L47" s="74">
        <f t="shared" si="51"/>
        <v>8.1044423799816009E-2</v>
      </c>
      <c r="M47" s="74">
        <f t="shared" si="51"/>
        <v>4.0266815088260403E-2</v>
      </c>
      <c r="N47" s="74">
        <f t="shared" si="51"/>
        <v>0.7981734969513069</v>
      </c>
      <c r="O47" s="74">
        <f t="shared" si="51"/>
        <v>1.2273357780388183E-2</v>
      </c>
      <c r="P47" s="74">
        <f t="shared" si="51"/>
        <v>0.63244438242219092</v>
      </c>
      <c r="Q47" s="74">
        <f t="shared" si="51"/>
        <v>0.6443407883357285</v>
      </c>
      <c r="R47" s="74">
        <f t="shared" si="51"/>
        <v>7.2124062027111458E-3</v>
      </c>
      <c r="S47" s="74">
        <f t="shared" si="51"/>
        <v>7.020088254571602E-2</v>
      </c>
      <c r="T47" s="74">
        <f t="shared" si="51"/>
        <v>9.1340134974701032E-4</v>
      </c>
      <c r="U47" s="74">
        <f t="shared" si="51"/>
        <v>2.2768603056284031E-2</v>
      </c>
      <c r="V47" s="74">
        <f t="shared" si="51"/>
        <v>0.23036955507058265</v>
      </c>
      <c r="W47" s="74">
        <f t="shared" si="51"/>
        <v>7.1704374628828545E-5</v>
      </c>
      <c r="X47" s="74">
        <f t="shared" si="51"/>
        <v>2.5870863509237225E-6</v>
      </c>
      <c r="Y47" s="74">
        <f t="shared" si="51"/>
        <v>3.965685063263046E-8</v>
      </c>
      <c r="Z47" s="74">
        <f t="shared" si="51"/>
        <v>8.833147466957374E-7</v>
      </c>
      <c r="AA47" s="74">
        <f t="shared" si="51"/>
        <v>5.5590876435631245E-3</v>
      </c>
      <c r="AB47" s="74">
        <f t="shared" si="51"/>
        <v>8.2396184943215836E-2</v>
      </c>
      <c r="AC47" s="74">
        <f t="shared" si="51"/>
        <v>1.0225883715884378E-7</v>
      </c>
      <c r="AD47" s="74">
        <f t="shared" si="51"/>
        <v>8.3988305249405205E-10</v>
      </c>
      <c r="AE47" s="74">
        <f t="shared" si="51"/>
        <v>8.468939993405453E-17</v>
      </c>
      <c r="AF47" s="74">
        <f t="shared" si="51"/>
        <v>1.5563845708926459E-24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48.303971537004408</v>
      </c>
      <c r="K48" s="74">
        <f t="shared" si="52"/>
        <v>1</v>
      </c>
      <c r="L48" s="74">
        <f t="shared" si="52"/>
        <v>17.918955576200183</v>
      </c>
      <c r="M48" s="74">
        <f t="shared" si="52"/>
        <v>1.9597331849117396</v>
      </c>
      <c r="N48" s="74">
        <f t="shared" si="52"/>
        <v>18.201826503048693</v>
      </c>
      <c r="O48" s="74">
        <f t="shared" si="52"/>
        <v>10.987726642219611</v>
      </c>
      <c r="P48" s="74">
        <f t="shared" si="52"/>
        <v>19.367555617577811</v>
      </c>
      <c r="Q48" s="74">
        <f t="shared" si="52"/>
        <v>2.3556592116642716</v>
      </c>
      <c r="R48" s="74">
        <f t="shared" si="52"/>
        <v>3.992787593797289</v>
      </c>
      <c r="S48" s="74">
        <f t="shared" si="52"/>
        <v>8.9297991174542837</v>
      </c>
      <c r="T48" s="74">
        <f t="shared" si="52"/>
        <v>3.9990865986502531</v>
      </c>
      <c r="U48" s="74">
        <f t="shared" si="52"/>
        <v>2.9772313969437159</v>
      </c>
      <c r="V48" s="74">
        <f t="shared" si="52"/>
        <v>3.7696304449294171</v>
      </c>
      <c r="W48" s="74">
        <f t="shared" si="52"/>
        <v>1.9999282956253712</v>
      </c>
      <c r="X48" s="74">
        <f t="shared" si="52"/>
        <v>2.9999974129136491</v>
      </c>
      <c r="Y48" s="74">
        <f t="shared" si="52"/>
        <v>0.99999996034314942</v>
      </c>
      <c r="Z48" s="74">
        <f t="shared" si="52"/>
        <v>0.99999911668525332</v>
      </c>
      <c r="AA48" s="74">
        <f t="shared" si="52"/>
        <v>4.9944409123564366</v>
      </c>
      <c r="AB48" s="74">
        <f t="shared" si="52"/>
        <v>7.9176038150567845</v>
      </c>
      <c r="AC48" s="74">
        <f t="shared" si="52"/>
        <v>0.99999989774116282</v>
      </c>
      <c r="AD48" s="74">
        <f t="shared" si="52"/>
        <v>2.9999999991601167</v>
      </c>
      <c r="AE48" s="74">
        <f t="shared" si="52"/>
        <v>2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28.812861705218829</v>
      </c>
      <c r="K49" s="74">
        <f t="shared" ref="K49:AF49" si="53">K28-K48</f>
        <v>22.925470713696754</v>
      </c>
      <c r="L49" s="74">
        <f t="shared" si="53"/>
        <v>13.824844271376723</v>
      </c>
      <c r="M49" s="74">
        <f t="shared" si="53"/>
        <v>6.0042550333710452</v>
      </c>
      <c r="N49" s="74">
        <f t="shared" si="53"/>
        <v>14.918499781229663</v>
      </c>
      <c r="O49" s="74">
        <f t="shared" si="53"/>
        <v>11.63071938492177</v>
      </c>
      <c r="P49" s="74">
        <f t="shared" si="53"/>
        <v>21.755462439546395</v>
      </c>
      <c r="Q49" s="74">
        <f t="shared" si="53"/>
        <v>10.700965701099493</v>
      </c>
      <c r="R49" s="74">
        <f t="shared" si="53"/>
        <v>7.0256012476890497</v>
      </c>
      <c r="S49" s="74">
        <f t="shared" si="53"/>
        <v>17.277029224998998</v>
      </c>
      <c r="T49" s="74">
        <f t="shared" si="53"/>
        <v>10.401078502409391</v>
      </c>
      <c r="U49" s="74">
        <f t="shared" si="53"/>
        <v>18.803879089778004</v>
      </c>
      <c r="V49" s="74">
        <f t="shared" si="53"/>
        <v>9.0397525422819012</v>
      </c>
      <c r="W49" s="74">
        <f t="shared" si="53"/>
        <v>11.435775394034589</v>
      </c>
      <c r="X49" s="74">
        <f t="shared" si="53"/>
        <v>8.6051600033423483</v>
      </c>
      <c r="Y49" s="74">
        <f t="shared" si="53"/>
        <v>7.2701839098942553</v>
      </c>
      <c r="Z49" s="74">
        <f t="shared" si="53"/>
        <v>7.0372634078727421</v>
      </c>
      <c r="AA49" s="74">
        <f t="shared" si="53"/>
        <v>8.8422908054016478</v>
      </c>
      <c r="AB49" s="74">
        <f t="shared" si="53"/>
        <v>14.969379591769433</v>
      </c>
      <c r="AC49" s="74">
        <f t="shared" si="53"/>
        <v>7.7404898213992714</v>
      </c>
      <c r="AD49" s="74">
        <f t="shared" si="53"/>
        <v>6.9688805700386176</v>
      </c>
      <c r="AE49" s="74">
        <f t="shared" si="53"/>
        <v>16.293706549577006</v>
      </c>
      <c r="AF49" s="74">
        <f t="shared" si="53"/>
        <v>12.375392565272106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2415.1985768502204</v>
      </c>
      <c r="K50" s="70">
        <f t="shared" ref="K50:AF50" si="54">K48*K20</f>
        <v>200</v>
      </c>
      <c r="L50" s="70">
        <f t="shared" si="54"/>
        <v>1075.137334572011</v>
      </c>
      <c r="M50" s="70">
        <f t="shared" si="54"/>
        <v>97.986659245586978</v>
      </c>
      <c r="N50" s="70">
        <f t="shared" si="54"/>
        <v>819.08219263719116</v>
      </c>
      <c r="O50" s="70">
        <f t="shared" si="54"/>
        <v>659.26359853317672</v>
      </c>
      <c r="P50" s="70">
        <f t="shared" si="54"/>
        <v>968.37778087889058</v>
      </c>
      <c r="Q50" s="70">
        <f t="shared" si="54"/>
        <v>117.78296058321358</v>
      </c>
      <c r="R50" s="70">
        <f t="shared" si="54"/>
        <v>199.63937968986446</v>
      </c>
      <c r="S50" s="70">
        <f t="shared" si="54"/>
        <v>446.48995587271418</v>
      </c>
      <c r="T50" s="70">
        <f t="shared" si="54"/>
        <v>279.9360619055177</v>
      </c>
      <c r="U50" s="70">
        <f t="shared" si="54"/>
        <v>208.40619778606012</v>
      </c>
      <c r="V50" s="70">
        <f t="shared" si="54"/>
        <v>188.48152224647086</v>
      </c>
      <c r="W50" s="70">
        <f t="shared" si="54"/>
        <v>159.99426365002969</v>
      </c>
      <c r="X50" s="70">
        <f t="shared" si="54"/>
        <v>179.99984477481894</v>
      </c>
      <c r="Y50" s="70">
        <f t="shared" si="54"/>
        <v>59.999997620588964</v>
      </c>
      <c r="Z50" s="70">
        <f t="shared" si="54"/>
        <v>59.999947001115203</v>
      </c>
      <c r="AA50" s="70">
        <f t="shared" si="54"/>
        <v>249.72204561782183</v>
      </c>
      <c r="AB50" s="70">
        <f t="shared" si="54"/>
        <v>395.88019075283921</v>
      </c>
      <c r="AC50" s="70">
        <f t="shared" si="54"/>
        <v>49.999994887058143</v>
      </c>
      <c r="AD50" s="70">
        <f t="shared" si="54"/>
        <v>179.999999949607</v>
      </c>
      <c r="AE50" s="70">
        <f t="shared" si="54"/>
        <v>240</v>
      </c>
      <c r="AF50" s="70">
        <f t="shared" si="54"/>
        <v>100</v>
      </c>
      <c r="AG50" s="186">
        <f>SUM(J50:AF50)</f>
        <v>9351.3785050547976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1436.8397875158525</v>
      </c>
      <c r="K51" s="70">
        <f t="shared" ref="K51:AF51" si="55">(K20-K22)*K49</f>
        <v>4554.7408195144162</v>
      </c>
      <c r="L51" s="70">
        <f t="shared" si="55"/>
        <v>826.5874389856142</v>
      </c>
      <c r="M51" s="70">
        <f t="shared" si="55"/>
        <v>297.0905390511993</v>
      </c>
      <c r="N51" s="70">
        <f t="shared" si="55"/>
        <v>667.93107220521449</v>
      </c>
      <c r="O51" s="70">
        <f t="shared" si="55"/>
        <v>695.49375777955197</v>
      </c>
      <c r="P51" s="70">
        <f t="shared" si="55"/>
        <v>1084.1834706747945</v>
      </c>
      <c r="Q51" s="70">
        <f t="shared" si="55"/>
        <v>531.55977023641617</v>
      </c>
      <c r="R51" s="70">
        <f t="shared" si="55"/>
        <v>348.98971637770586</v>
      </c>
      <c r="S51" s="70">
        <f t="shared" si="55"/>
        <v>862.29652861969987</v>
      </c>
      <c r="T51" s="70">
        <f t="shared" si="55"/>
        <v>724.68474357687194</v>
      </c>
      <c r="U51" s="70">
        <f t="shared" si="55"/>
        <v>1314.0150707936868</v>
      </c>
      <c r="V51" s="70">
        <f t="shared" si="55"/>
        <v>449.09490630056484</v>
      </c>
      <c r="W51" s="70">
        <f t="shared" si="55"/>
        <v>910.8595101348551</v>
      </c>
      <c r="X51" s="70">
        <f t="shared" si="55"/>
        <v>514.37343919978889</v>
      </c>
      <c r="Y51" s="70">
        <f t="shared" si="55"/>
        <v>432.86674999510393</v>
      </c>
      <c r="Z51" s="70">
        <f t="shared" si="55"/>
        <v>418.43568223211327</v>
      </c>
      <c r="AA51" s="70">
        <f t="shared" si="55"/>
        <v>440.52292792511008</v>
      </c>
      <c r="AB51" s="70">
        <f t="shared" si="55"/>
        <v>746.67265403745932</v>
      </c>
      <c r="AC51" s="70">
        <f t="shared" si="55"/>
        <v>386.32784698603763</v>
      </c>
      <c r="AD51" s="70">
        <f t="shared" si="55"/>
        <v>414.4532652613367</v>
      </c>
      <c r="AE51" s="70">
        <f t="shared" si="55"/>
        <v>1951.578701975586</v>
      </c>
      <c r="AF51" s="70">
        <f t="shared" si="55"/>
        <v>1233.096490596278</v>
      </c>
      <c r="AG51" s="51">
        <f>SUM(J51:AF51)</f>
        <v>21242.694889975257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0.41761707779735335</v>
      </c>
      <c r="K52" s="70">
        <f t="shared" ref="K52:AF52" si="56">K47*K23</f>
        <v>2.227762146234656E-162</v>
      </c>
      <c r="L52" s="70">
        <f t="shared" si="56"/>
        <v>0.12156663569972401</v>
      </c>
      <c r="M52" s="70">
        <f t="shared" si="56"/>
        <v>0.16106726035304161</v>
      </c>
      <c r="N52" s="70">
        <f t="shared" si="56"/>
        <v>2.2348857914636593</v>
      </c>
      <c r="O52" s="70">
        <f t="shared" si="56"/>
        <v>3.9274744897242191E-2</v>
      </c>
      <c r="P52" s="70">
        <f t="shared" si="56"/>
        <v>0.37946662945331455</v>
      </c>
      <c r="Q52" s="70">
        <f t="shared" si="56"/>
        <v>0.57990670950215562</v>
      </c>
      <c r="R52" s="70">
        <f t="shared" si="56"/>
        <v>6.4911655824400304E-3</v>
      </c>
      <c r="S52" s="70">
        <f t="shared" si="56"/>
        <v>2.1060264763714805E-2</v>
      </c>
      <c r="T52" s="70">
        <f t="shared" si="56"/>
        <v>8.2206121477230922E-4</v>
      </c>
      <c r="U52" s="70">
        <f t="shared" si="56"/>
        <v>1.1384301528142016E-2</v>
      </c>
      <c r="V52" s="70">
        <f t="shared" si="56"/>
        <v>0.29948042159175747</v>
      </c>
      <c r="W52" s="70">
        <f t="shared" si="56"/>
        <v>5.0193062240179989E-5</v>
      </c>
      <c r="X52" s="70">
        <f t="shared" si="56"/>
        <v>6.4677158773093066E-6</v>
      </c>
      <c r="Y52" s="70">
        <f t="shared" si="56"/>
        <v>7.5348016201997875E-8</v>
      </c>
      <c r="Z52" s="70">
        <f t="shared" si="56"/>
        <v>1.3249721200436062E-6</v>
      </c>
      <c r="AA52" s="70">
        <f t="shared" si="56"/>
        <v>2.7795438217815623E-3</v>
      </c>
      <c r="AB52" s="70">
        <f t="shared" si="56"/>
        <v>4.1198092471607918E-2</v>
      </c>
      <c r="AC52" s="70">
        <f t="shared" si="56"/>
        <v>3.0677651147653132E-8</v>
      </c>
      <c r="AD52" s="70">
        <f t="shared" si="56"/>
        <v>6.7190644199524171E-10</v>
      </c>
      <c r="AE52" s="70">
        <f t="shared" si="56"/>
        <v>2.1172349983513633E-16</v>
      </c>
      <c r="AF52" s="70">
        <f t="shared" si="56"/>
        <v>2.3345768563389687E-24</v>
      </c>
      <c r="AG52" s="51">
        <f>SUM(J52:AF52)</f>
        <v>4.3170587925885187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508.97109939867335</v>
      </c>
      <c r="K53" s="70">
        <f t="shared" ref="K53:AF53" si="57">K21*K28</f>
        <v>1583.8661612467251</v>
      </c>
      <c r="L53" s="70">
        <f t="shared" si="57"/>
        <v>333.30989839955748</v>
      </c>
      <c r="M53" s="70">
        <f t="shared" si="57"/>
        <v>207.0636936753524</v>
      </c>
      <c r="N53" s="70">
        <f t="shared" si="57"/>
        <v>377.57171964077327</v>
      </c>
      <c r="O53" s="70">
        <f t="shared" si="57"/>
        <v>228.44630487412795</v>
      </c>
      <c r="P53" s="70">
        <f t="shared" si="57"/>
        <v>339.2648989712747</v>
      </c>
      <c r="Q53" s="70">
        <f t="shared" si="57"/>
        <v>212.82298607804938</v>
      </c>
      <c r="R53" s="70">
        <f t="shared" si="57"/>
        <v>179.59973811622731</v>
      </c>
      <c r="S53" s="70">
        <f t="shared" si="57"/>
        <v>117.93072754103977</v>
      </c>
      <c r="T53" s="70">
        <f t="shared" si="57"/>
        <v>234.7226911472722</v>
      </c>
      <c r="U53" s="70">
        <f t="shared" si="57"/>
        <v>130.68666292033032</v>
      </c>
      <c r="V53" s="70">
        <f t="shared" si="57"/>
        <v>204.95012779538109</v>
      </c>
      <c r="W53" s="70">
        <f t="shared" si="57"/>
        <v>235.12481456904933</v>
      </c>
      <c r="X53" s="70">
        <f t="shared" si="57"/>
        <v>130.55802093287997</v>
      </c>
      <c r="Y53" s="70">
        <f t="shared" si="57"/>
        <v>190.21422901546032</v>
      </c>
      <c r="Z53" s="70">
        <f t="shared" si="57"/>
        <v>217.00608816306587</v>
      </c>
      <c r="AA53" s="70">
        <f t="shared" si="57"/>
        <v>124.53058545982276</v>
      </c>
      <c r="AB53" s="70">
        <f t="shared" si="57"/>
        <v>137.32190044095731</v>
      </c>
      <c r="AC53" s="70">
        <f t="shared" si="57"/>
        <v>39.332203736131959</v>
      </c>
      <c r="AD53" s="70">
        <f t="shared" si="57"/>
        <v>263.17844702684664</v>
      </c>
      <c r="AE53" s="70">
        <f t="shared" si="57"/>
        <v>205.80419868274132</v>
      </c>
      <c r="AF53" s="70">
        <f t="shared" si="57"/>
        <v>240.0882965466343</v>
      </c>
      <c r="AG53" s="67">
        <f>SUM(J53:AF53)</f>
        <v>6442.3654943783758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3342.6496478896024</v>
      </c>
      <c r="K54" s="79">
        <f t="shared" ref="K54:AF54" si="58">K50+K51-K53-K52</f>
        <v>3170.8746582676913</v>
      </c>
      <c r="L54" s="79">
        <f t="shared" si="58"/>
        <v>1568.2933085223681</v>
      </c>
      <c r="M54" s="79">
        <f t="shared" si="58"/>
        <v>187.85243736108083</v>
      </c>
      <c r="N54" s="79">
        <f t="shared" si="58"/>
        <v>1107.2066594101686</v>
      </c>
      <c r="O54" s="79">
        <f t="shared" si="58"/>
        <v>1126.2717766937035</v>
      </c>
      <c r="P54" s="79">
        <f t="shared" si="58"/>
        <v>1712.9168859529568</v>
      </c>
      <c r="Q54" s="79">
        <f t="shared" si="58"/>
        <v>435.93983803207823</v>
      </c>
      <c r="R54" s="79">
        <f t="shared" si="58"/>
        <v>369.02286678576064</v>
      </c>
      <c r="S54" s="79">
        <f t="shared" si="58"/>
        <v>1190.8346966866106</v>
      </c>
      <c r="T54" s="79">
        <f t="shared" si="58"/>
        <v>769.89729227390274</v>
      </c>
      <c r="U54" s="79">
        <f t="shared" si="58"/>
        <v>1391.7232213578886</v>
      </c>
      <c r="V54" s="79">
        <f t="shared" si="58"/>
        <v>432.32682033006284</v>
      </c>
      <c r="W54" s="79">
        <f t="shared" si="58"/>
        <v>835.72890902277322</v>
      </c>
      <c r="X54" s="79">
        <f t="shared" si="58"/>
        <v>563.81525657401198</v>
      </c>
      <c r="Y54" s="79">
        <f t="shared" si="58"/>
        <v>302.65251852488456</v>
      </c>
      <c r="Z54" s="79">
        <f t="shared" si="58"/>
        <v>261.42953974519048</v>
      </c>
      <c r="AA54" s="79">
        <f t="shared" si="58"/>
        <v>565.71160853928734</v>
      </c>
      <c r="AB54" s="79">
        <f>AB50+AB51-AB53-AB52</f>
        <v>1005.1897462568695</v>
      </c>
      <c r="AC54" s="79">
        <f t="shared" si="58"/>
        <v>396.99563810628621</v>
      </c>
      <c r="AD54" s="79">
        <f t="shared" si="58"/>
        <v>331.27481818342523</v>
      </c>
      <c r="AE54" s="79">
        <f t="shared" si="58"/>
        <v>1985.7745032928449</v>
      </c>
      <c r="AF54" s="79">
        <f t="shared" si="58"/>
        <v>1093.0081940496439</v>
      </c>
      <c r="AG54" s="68">
        <f>SUM(J54:AF54)</f>
        <v>24147.390841859095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11438.074163117337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7D467-2E1C-E643-9ADC-7F225B0F2CA3}">
  <dimension ref="A1:BJ75"/>
  <sheetViews>
    <sheetView topLeftCell="AM3" zoomScale="90" zoomScaleNormal="90" workbookViewId="0">
      <selection activeCell="A2" sqref="A2:D2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2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54</v>
      </c>
      <c r="K2" s="262">
        <f>_xlfn.XLOOKUP($B$1,daily_demand!$E$1:$AH$1,daily_demand!$E$3:$AH$3)</f>
        <v>1</v>
      </c>
      <c r="L2" s="263">
        <f>_xlfn.XLOOKUP($B$1,daily_demand!$E$1:$AH$1,daily_demand!$E$4:$AH$4)</f>
        <v>17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11</v>
      </c>
      <c r="P2" s="262">
        <f>_xlfn.XLOOKUP($B$1,daily_demand!$E$1:$AH$1,daily_demand!$E$8:$AH$8)</f>
        <v>25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8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2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2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2.4633202279088358</v>
      </c>
      <c r="AJ4" s="45">
        <f t="shared" ref="AJ4:AJ18" si="1">K4*K$28</f>
        <v>0.71724508526758424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1.3948802973708656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1.0311878527884404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0.33206492868183879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0.53525967405450692</v>
      </c>
      <c r="BF4" s="44">
        <f>SUM(AI4:BE4)</f>
        <v>6.4739580660720719</v>
      </c>
      <c r="BG4" s="54">
        <f>ROUNDUP(BF4*2, 0)</f>
        <v>13</v>
      </c>
      <c r="BH4" s="86">
        <f>CEILING($BG$1*BG4, 0.5)</f>
        <v>6.5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2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2.4633202279088358</v>
      </c>
      <c r="AJ5" s="45">
        <f t="shared" si="1"/>
        <v>0.95632678035677898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0.33206492868183879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0.66907459256813373</v>
      </c>
      <c r="BF5" s="44">
        <f t="shared" ref="BF5:BF19" si="23">SUM(AI5:BE5)</f>
        <v>4.4207865295155875</v>
      </c>
      <c r="BG5" s="54">
        <f t="shared" ref="BG5:BG18" si="24">ROUNDUP(BF5*2, 0)</f>
        <v>9</v>
      </c>
      <c r="BH5" s="86">
        <f t="shared" ref="BH5:BH18" si="25">CEILING($BG$1*BG5, 0.5)</f>
        <v>4.5</v>
      </c>
      <c r="BI5" s="6"/>
    </row>
    <row r="6" spans="1:61" ht="24" x14ac:dyDescent="0.2">
      <c r="A6" s="286" t="s">
        <v>20</v>
      </c>
      <c r="B6" s="295">
        <f>_xlfn.XLOOKUP($B$1,cost!$A$16:$A$45,cost!$D$16:$D$45)</f>
        <v>140</v>
      </c>
      <c r="C6" s="7">
        <f>B6*0.02</f>
        <v>2.8000000000000003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2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0.47816339017838949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1.3948802973708656</v>
      </c>
      <c r="AP6" s="45">
        <f t="shared" si="7"/>
        <v>0</v>
      </c>
      <c r="AQ6" s="45">
        <f t="shared" si="8"/>
        <v>0</v>
      </c>
      <c r="AR6" s="45">
        <f t="shared" si="9"/>
        <v>0.79571137076512832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0.33206492868183879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0.26380871111461185</v>
      </c>
      <c r="BC6" s="45">
        <f t="shared" si="20"/>
        <v>0</v>
      </c>
      <c r="BD6" s="45">
        <f t="shared" si="21"/>
        <v>0</v>
      </c>
      <c r="BE6" s="45">
        <f t="shared" si="22"/>
        <v>0.53525967405450692</v>
      </c>
      <c r="BF6" s="44">
        <f t="shared" si="23"/>
        <v>3.7998883721653409</v>
      </c>
      <c r="BG6" s="54">
        <f t="shared" si="24"/>
        <v>8</v>
      </c>
      <c r="BH6" s="86">
        <f t="shared" si="25"/>
        <v>4</v>
      </c>
      <c r="BI6" s="6"/>
    </row>
    <row r="7" spans="1:61" ht="24" x14ac:dyDescent="0.2">
      <c r="A7" s="286" t="s">
        <v>47</v>
      </c>
      <c r="B7" s="295">
        <f>_xlfn.XLOOKUP($B$1,cost!$A$16:$A$45,cost!$E$16:$E$45)</f>
        <v>115</v>
      </c>
      <c r="C7" s="7">
        <f>B7*0.02</f>
        <v>2.3000000000000003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5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0.71724508526758424</v>
      </c>
      <c r="AK7" s="45">
        <f t="shared" si="2"/>
        <v>0</v>
      </c>
      <c r="AL7" s="45">
        <f t="shared" si="3"/>
        <v>0</v>
      </c>
      <c r="AM7" s="45">
        <f t="shared" si="4"/>
        <v>1.3313012190691951</v>
      </c>
      <c r="AN7" s="45">
        <f t="shared" si="5"/>
        <v>0.90693670156863693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1.0977394249533061</v>
      </c>
      <c r="AU7" s="45">
        <f t="shared" si="12"/>
        <v>0.64449240799277518</v>
      </c>
      <c r="AV7" s="45">
        <f t="shared" si="13"/>
        <v>0</v>
      </c>
      <c r="AW7" s="45">
        <f t="shared" si="14"/>
        <v>0</v>
      </c>
      <c r="AX7" s="45">
        <f t="shared" si="15"/>
        <v>0.41508116085229851</v>
      </c>
      <c r="AY7" s="45">
        <f t="shared" si="16"/>
        <v>0.40229560800571251</v>
      </c>
      <c r="AZ7" s="45">
        <f t="shared" si="17"/>
        <v>0</v>
      </c>
      <c r="BA7" s="45">
        <f t="shared" si="18"/>
        <v>1.1538530480370235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6.6689446557465324</v>
      </c>
      <c r="BG7" s="54">
        <f t="shared" si="24"/>
        <v>14</v>
      </c>
      <c r="BH7" s="86">
        <f t="shared" si="25"/>
        <v>7</v>
      </c>
      <c r="BI7" s="6"/>
    </row>
    <row r="8" spans="1:61" ht="24" x14ac:dyDescent="0.2">
      <c r="A8" s="286" t="s">
        <v>46</v>
      </c>
      <c r="B8" s="295">
        <f>_xlfn.XLOOKUP($B$1,cost!$A$16:$A$45,cost!$F$16:$F$45)</f>
        <v>110</v>
      </c>
      <c r="C8" s="7">
        <f t="shared" ref="C8:C19" si="26">B8*0.02</f>
        <v>2.2000000000000002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0.23908169508919475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0.6802025261764777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0.16603246434091939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0.26762983702725346</v>
      </c>
      <c r="BF8" s="44">
        <f t="shared" si="23"/>
        <v>1.3529465226338453</v>
      </c>
      <c r="BG8" s="54">
        <f t="shared" si="24"/>
        <v>3</v>
      </c>
      <c r="BH8" s="86">
        <f t="shared" si="25"/>
        <v>1.5</v>
      </c>
      <c r="BI8" s="6"/>
    </row>
    <row r="9" spans="1:61" ht="24" x14ac:dyDescent="0.2">
      <c r="A9" s="286" t="s">
        <v>48</v>
      </c>
      <c r="B9" s="295">
        <f>_xlfn.XLOOKUP($B$1,cost!$A$16:$A$45,cost!$G$16:$G$45)</f>
        <v>8</v>
      </c>
      <c r="C9" s="7">
        <f t="shared" si="26"/>
        <v>0.16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0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5.6683543848039806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5.6683543848039806</v>
      </c>
      <c r="BG9" s="54">
        <f t="shared" si="24"/>
        <v>12</v>
      </c>
      <c r="BH9" s="86">
        <f t="shared" si="25"/>
        <v>6</v>
      </c>
      <c r="BI9" s="6"/>
    </row>
    <row r="10" spans="1:61" ht="24" x14ac:dyDescent="0.2">
      <c r="A10" s="286" t="s">
        <v>49</v>
      </c>
      <c r="B10" s="295">
        <f>_xlfn.XLOOKUP($B$1,cost!$A$16:$A$45,cost!$H$16:$H$45)</f>
        <v>8</v>
      </c>
      <c r="C10" s="7">
        <f t="shared" si="26"/>
        <v>0.16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4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6.6565060953459749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6.6565060953459749</v>
      </c>
      <c r="BG10" s="54">
        <f t="shared" si="24"/>
        <v>14</v>
      </c>
      <c r="BH10" s="86">
        <f t="shared" si="25"/>
        <v>7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125</v>
      </c>
      <c r="C11" s="7">
        <f t="shared" si="26"/>
        <v>2.5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1.3313012190691951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1.3313012190691951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4.6104771598944581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4.6104771598944581</v>
      </c>
      <c r="BG12" s="54">
        <f t="shared" si="24"/>
        <v>10</v>
      </c>
      <c r="BH12" s="86">
        <f t="shared" si="25"/>
        <v>5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245</v>
      </c>
      <c r="C13" s="7">
        <f t="shared" si="26"/>
        <v>4.9000000000000004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2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1.1954084754459737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0.26202215363516024</v>
      </c>
      <c r="AQ13" s="45">
        <f t="shared" si="8"/>
        <v>0.22056469364330636</v>
      </c>
      <c r="AR13" s="45">
        <f t="shared" si="9"/>
        <v>0</v>
      </c>
      <c r="AS13" s="45">
        <f t="shared" si="10"/>
        <v>0.28814602531678896</v>
      </c>
      <c r="AT13" s="45">
        <f t="shared" si="11"/>
        <v>0</v>
      </c>
      <c r="AU13" s="45">
        <f t="shared" si="12"/>
        <v>0</v>
      </c>
      <c r="AV13" s="45">
        <f t="shared" si="13"/>
        <v>0.9430191836115186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2.9091605316527476</v>
      </c>
      <c r="BG13" s="54">
        <f t="shared" si="24"/>
        <v>6</v>
      </c>
      <c r="BH13" s="86">
        <f t="shared" si="25"/>
        <v>3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0.95632678035677898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0.71694179418239035</v>
      </c>
      <c r="BD14" s="45">
        <f t="shared" si="21"/>
        <v>0</v>
      </c>
      <c r="BE14" s="45">
        <f t="shared" si="22"/>
        <v>0</v>
      </c>
      <c r="BF14" s="44">
        <f t="shared" si="23"/>
        <v>1.6732685745391693</v>
      </c>
      <c r="BG14" s="54">
        <f t="shared" si="24"/>
        <v>4</v>
      </c>
      <c r="BH14" s="86">
        <f t="shared" si="25"/>
        <v>2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2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1.1954084754459737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0.65505538408790065</v>
      </c>
      <c r="AQ15" s="45">
        <f t="shared" si="8"/>
        <v>0.55141173410826594</v>
      </c>
      <c r="AR15" s="45">
        <f t="shared" si="9"/>
        <v>0</v>
      </c>
      <c r="AS15" s="45">
        <f t="shared" si="10"/>
        <v>0.72036506329197247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0.6915310036411263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3.8137716605752394</v>
      </c>
      <c r="BG15" s="54">
        <f t="shared" si="24"/>
        <v>8</v>
      </c>
      <c r="BH15" s="86">
        <f t="shared" si="25"/>
        <v>4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1.1954084754459737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0.80459121601142503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1.9999996914573988</v>
      </c>
      <c r="BG16" s="54">
        <f t="shared" si="24"/>
        <v>4</v>
      </c>
      <c r="BH16" s="86">
        <f t="shared" si="25"/>
        <v>2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1.1954084754459737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0.26202215363516024</v>
      </c>
      <c r="AQ17" s="45">
        <f t="shared" si="8"/>
        <v>0.22056469364330636</v>
      </c>
      <c r="AR17" s="45">
        <f t="shared" si="9"/>
        <v>0</v>
      </c>
      <c r="AS17" s="45">
        <f t="shared" si="10"/>
        <v>0.28814602531678896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1.9661413480412291</v>
      </c>
      <c r="BG17" s="54">
        <f t="shared" si="24"/>
        <v>4</v>
      </c>
      <c r="BH17" s="86">
        <f t="shared" si="25"/>
        <v>2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0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3.1835333656275764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3.1835333656275764</v>
      </c>
      <c r="BG18" s="54">
        <f t="shared" si="24"/>
        <v>7</v>
      </c>
      <c r="BH18" s="86">
        <f t="shared" si="25"/>
        <v>3.5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0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2.899493324017524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4.5697479243104668</v>
      </c>
      <c r="BE19" s="45">
        <f t="shared" si="27"/>
        <v>0</v>
      </c>
      <c r="BF19" s="44">
        <f t="shared" si="23"/>
        <v>7.4692412483279913</v>
      </c>
      <c r="BG19" s="54">
        <f>ROUNDUP(BF19*2, 0)</f>
        <v>15</v>
      </c>
      <c r="BH19" s="86">
        <f>CEILING($BG$1*BG19, 0.5)</f>
        <v>7.5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23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63.998279425468333</v>
      </c>
      <c r="BG20" s="54">
        <f>SUM(BG4:BG19)</f>
        <v>134</v>
      </c>
      <c r="BH20" s="86">
        <f>SUM(BH4:BH19)</f>
        <v>67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65.599999999999994</v>
      </c>
      <c r="L21" s="4">
        <f t="shared" si="28"/>
        <v>10.5</v>
      </c>
      <c r="M21" s="4">
        <f t="shared" si="28"/>
        <v>26</v>
      </c>
      <c r="N21" s="4">
        <f t="shared" si="28"/>
        <v>11.200000000000001</v>
      </c>
      <c r="O21" s="4">
        <f t="shared" si="28"/>
        <v>9.9</v>
      </c>
      <c r="P21" s="4">
        <f t="shared" si="28"/>
        <v>7.95</v>
      </c>
      <c r="Q21" s="4">
        <f t="shared" si="28"/>
        <v>16.2</v>
      </c>
      <c r="R21" s="4">
        <f t="shared" si="28"/>
        <v>16.2</v>
      </c>
      <c r="S21" s="4">
        <f t="shared" si="28"/>
        <v>4.2</v>
      </c>
      <c r="T21" s="4">
        <f t="shared" si="28"/>
        <v>16.2</v>
      </c>
      <c r="U21" s="4">
        <f t="shared" si="28"/>
        <v>5.75</v>
      </c>
      <c r="V21" s="4">
        <f t="shared" si="28"/>
        <v>15.75</v>
      </c>
      <c r="W21" s="4">
        <f t="shared" si="28"/>
        <v>17.150000000000002</v>
      </c>
      <c r="X21" s="4">
        <f t="shared" si="28"/>
        <v>11.25</v>
      </c>
      <c r="Y21" s="4">
        <f t="shared" si="28"/>
        <v>22.35</v>
      </c>
      <c r="Z21" s="4">
        <f t="shared" si="28"/>
        <v>26.75</v>
      </c>
      <c r="AA21" s="4">
        <f t="shared" si="28"/>
        <v>9</v>
      </c>
      <c r="AB21" s="4">
        <f t="shared" si="28"/>
        <v>5.75</v>
      </c>
      <c r="AC21" s="4">
        <f t="shared" si="28"/>
        <v>4.2</v>
      </c>
      <c r="AD21" s="4">
        <f t="shared" si="28"/>
        <v>26.400000000000002</v>
      </c>
      <c r="AE21" s="4">
        <f t="shared" si="28"/>
        <v>11.25</v>
      </c>
      <c r="AF21" s="4">
        <f t="shared" si="28"/>
        <v>17.55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2512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1.3120000000000001</v>
      </c>
      <c r="L22" s="4">
        <f t="shared" si="29"/>
        <v>0.21000000000000002</v>
      </c>
      <c r="M22" s="4">
        <f t="shared" si="29"/>
        <v>0.52</v>
      </c>
      <c r="N22" s="4">
        <f t="shared" si="29"/>
        <v>0.22400000000000003</v>
      </c>
      <c r="O22" s="4">
        <f t="shared" si="29"/>
        <v>0.19800000000000004</v>
      </c>
      <c r="P22" s="4">
        <f t="shared" si="29"/>
        <v>0.159</v>
      </c>
      <c r="Q22" s="4">
        <f t="shared" si="29"/>
        <v>0.32400000000000001</v>
      </c>
      <c r="R22" s="4">
        <f t="shared" si="29"/>
        <v>0.32400000000000001</v>
      </c>
      <c r="S22" s="4">
        <f t="shared" si="29"/>
        <v>8.4000000000000005E-2</v>
      </c>
      <c r="T22" s="4">
        <f t="shared" si="29"/>
        <v>0.32400000000000001</v>
      </c>
      <c r="U22" s="4">
        <f t="shared" si="29"/>
        <v>0.11500000000000002</v>
      </c>
      <c r="V22" s="4">
        <f t="shared" si="29"/>
        <v>0.31500000000000006</v>
      </c>
      <c r="W22" s="4">
        <f t="shared" si="29"/>
        <v>0.34300000000000008</v>
      </c>
      <c r="X22" s="4">
        <f t="shared" si="29"/>
        <v>0.22500000000000001</v>
      </c>
      <c r="Y22" s="4">
        <f t="shared" si="29"/>
        <v>0.44700000000000001</v>
      </c>
      <c r="Z22" s="4">
        <f t="shared" si="29"/>
        <v>0.53500000000000003</v>
      </c>
      <c r="AA22" s="4">
        <f t="shared" si="29"/>
        <v>0.18000000000000002</v>
      </c>
      <c r="AB22" s="4">
        <f t="shared" si="29"/>
        <v>0.11500000000000002</v>
      </c>
      <c r="AC22" s="4">
        <f t="shared" si="29"/>
        <v>8.4000000000000005E-2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0.35100000000000003</v>
      </c>
      <c r="AG22" s="9"/>
      <c r="BF22" s="432" t="s">
        <v>131</v>
      </c>
      <c r="BG22" s="432"/>
      <c r="BH22" s="41">
        <f>SUMPRODUCT(B4:B19,BH4:BH19)</f>
        <v>6741.5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64.287999999999997</v>
      </c>
      <c r="L25" s="69">
        <f t="shared" si="31"/>
        <v>10.29</v>
      </c>
      <c r="M25" s="69">
        <f t="shared" si="31"/>
        <v>25.48</v>
      </c>
      <c r="N25" s="69">
        <f t="shared" si="31"/>
        <v>10.976000000000001</v>
      </c>
      <c r="O25" s="69">
        <f t="shared" si="31"/>
        <v>9.702</v>
      </c>
      <c r="P25" s="69">
        <f t="shared" si="31"/>
        <v>7.7910000000000004</v>
      </c>
      <c r="Q25" s="69">
        <f t="shared" si="31"/>
        <v>15.875999999999999</v>
      </c>
      <c r="R25" s="69">
        <f t="shared" si="31"/>
        <v>15.875999999999999</v>
      </c>
      <c r="S25" s="69">
        <f t="shared" si="31"/>
        <v>4.1160000000000005</v>
      </c>
      <c r="T25" s="69">
        <f t="shared" si="31"/>
        <v>15.875999999999999</v>
      </c>
      <c r="U25" s="69">
        <f t="shared" si="31"/>
        <v>5.6349999999999998</v>
      </c>
      <c r="V25" s="69">
        <f t="shared" si="31"/>
        <v>15.435</v>
      </c>
      <c r="W25" s="69">
        <f t="shared" si="31"/>
        <v>16.807000000000002</v>
      </c>
      <c r="X25" s="69">
        <f t="shared" si="31"/>
        <v>11.025</v>
      </c>
      <c r="Y25" s="69">
        <f t="shared" si="31"/>
        <v>21.903000000000002</v>
      </c>
      <c r="Z25" s="69">
        <f t="shared" si="31"/>
        <v>26.215</v>
      </c>
      <c r="AA25" s="69">
        <f t="shared" si="31"/>
        <v>8.82</v>
      </c>
      <c r="AB25" s="69">
        <f t="shared" si="31"/>
        <v>5.6349999999999998</v>
      </c>
      <c r="AC25" s="69">
        <f t="shared" si="31"/>
        <v>4.1160000000000005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17.199000000000002</v>
      </c>
      <c r="AG25" s="16"/>
      <c r="BF25" s="434" t="s">
        <v>42</v>
      </c>
      <c r="BG25" s="434"/>
      <c r="BH25" s="39">
        <f>AG50+AG51-AG52-BH22</f>
        <v>24304.539866747848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138.1</v>
      </c>
      <c r="L26" s="4">
        <f t="shared" si="32"/>
        <v>51</v>
      </c>
      <c r="M26" s="4">
        <f t="shared" si="32"/>
        <v>28</v>
      </c>
      <c r="N26" s="4">
        <f t="shared" si="32"/>
        <v>36.599999999999994</v>
      </c>
      <c r="O26" s="4">
        <f t="shared" si="32"/>
        <v>53.300000000000004</v>
      </c>
      <c r="P26" s="4">
        <f t="shared" si="32"/>
        <v>42.65</v>
      </c>
      <c r="Q26" s="4">
        <f t="shared" si="32"/>
        <v>34.699999999999996</v>
      </c>
      <c r="R26" s="4">
        <f t="shared" si="32"/>
        <v>34.699999999999996</v>
      </c>
      <c r="S26" s="4">
        <f t="shared" si="32"/>
        <v>46.099999999999994</v>
      </c>
      <c r="T26" s="4">
        <f t="shared" si="32"/>
        <v>54.699999999999996</v>
      </c>
      <c r="U26" s="4">
        <f t="shared" si="32"/>
        <v>64.75</v>
      </c>
      <c r="V26" s="4">
        <f t="shared" si="32"/>
        <v>35.549999999999997</v>
      </c>
      <c r="W26" s="4">
        <f t="shared" si="32"/>
        <v>63.55</v>
      </c>
      <c r="X26" s="4">
        <f t="shared" si="32"/>
        <v>51.25</v>
      </c>
      <c r="Y26" s="4">
        <f t="shared" si="32"/>
        <v>39.549999999999997</v>
      </c>
      <c r="Z26" s="4">
        <f t="shared" si="32"/>
        <v>34.75</v>
      </c>
      <c r="AA26" s="4">
        <f t="shared" si="32"/>
        <v>41.5</v>
      </c>
      <c r="AB26" s="4">
        <f t="shared" si="32"/>
        <v>44.75</v>
      </c>
      <c r="AC26" s="4">
        <f t="shared" si="32"/>
        <v>46.099999999999994</v>
      </c>
      <c r="AD26" s="4">
        <f t="shared" si="32"/>
        <v>34.399999999999991</v>
      </c>
      <c r="AE26" s="4">
        <f t="shared" si="32"/>
        <v>111.25</v>
      </c>
      <c r="AF26" s="4">
        <f t="shared" si="32"/>
        <v>83.95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0.68235270865861619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0.76929544308054476</v>
      </c>
      <c r="O27" s="70">
        <f t="shared" si="33"/>
        <v>0.84600488873369106</v>
      </c>
      <c r="P27" s="70">
        <f t="shared" si="33"/>
        <v>0.84554231676612268</v>
      </c>
      <c r="Q27" s="70">
        <f t="shared" si="33"/>
        <v>0.68609617209743756</v>
      </c>
      <c r="R27" s="70">
        <f t="shared" si="33"/>
        <v>0.68609617209743756</v>
      </c>
      <c r="S27" s="70">
        <f t="shared" si="33"/>
        <v>0.91803409271945191</v>
      </c>
      <c r="T27" s="70">
        <f t="shared" si="33"/>
        <v>0.77505100884153255</v>
      </c>
      <c r="U27" s="70">
        <f t="shared" si="33"/>
        <v>0.91994032819492788</v>
      </c>
      <c r="V27" s="70">
        <f t="shared" si="33"/>
        <v>0.69726390114739623</v>
      </c>
      <c r="W27" s="70">
        <f t="shared" si="33"/>
        <v>0.7908458503926229</v>
      </c>
      <c r="X27" s="70">
        <f t="shared" si="33"/>
        <v>0.82296266559614617</v>
      </c>
      <c r="Y27" s="70">
        <f t="shared" si="33"/>
        <v>0.64358127349356409</v>
      </c>
      <c r="Z27" s="70">
        <f t="shared" si="33"/>
        <v>0.56999917985729509</v>
      </c>
      <c r="AA27" s="70">
        <f t="shared" si="33"/>
        <v>0.82472178060413359</v>
      </c>
      <c r="AB27" s="70">
        <f t="shared" si="33"/>
        <v>0.88816115907512161</v>
      </c>
      <c r="AC27" s="70">
        <f t="shared" si="33"/>
        <v>0.91803409271945191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0.8299637168929006</v>
      </c>
      <c r="AG27" s="9"/>
      <c r="BF27" s="430" t="s">
        <v>130</v>
      </c>
      <c r="BG27" s="430"/>
      <c r="BH27" s="40">
        <f>BH25-AG41</f>
        <v>11781.849934369957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82.110674263627857</v>
      </c>
      <c r="K28" s="72">
        <v>23.908169508919475</v>
      </c>
      <c r="L28" s="72">
        <v>30.736514399296386</v>
      </c>
      <c r="M28" s="72">
        <v>7.9588334140689403</v>
      </c>
      <c r="N28" s="72">
        <v>33.282530476729875</v>
      </c>
      <c r="O28" s="72">
        <v>22.673417539215922</v>
      </c>
      <c r="P28" s="72">
        <v>46.49600991236219</v>
      </c>
      <c r="Q28" s="72">
        <v>13.101107681758013</v>
      </c>
      <c r="R28" s="72">
        <v>11.028234682165317</v>
      </c>
      <c r="S28" s="72">
        <v>26.52371235883761</v>
      </c>
      <c r="T28" s="72">
        <v>14.407301265839449</v>
      </c>
      <c r="U28" s="72">
        <v>21.954788499066122</v>
      </c>
      <c r="V28" s="72">
        <v>12.889848159855504</v>
      </c>
      <c r="W28" s="72">
        <v>13.471702623021693</v>
      </c>
      <c r="X28" s="72">
        <v>11.597973296070096</v>
      </c>
      <c r="Y28" s="72">
        <v>8.3016232170459698</v>
      </c>
      <c r="Z28" s="72">
        <v>8.0459121601142503</v>
      </c>
      <c r="AA28" s="72">
        <v>13.830620072822525</v>
      </c>
      <c r="AB28" s="72">
        <v>23.077060960740468</v>
      </c>
      <c r="AC28" s="72">
        <v>8.7936237038203959</v>
      </c>
      <c r="AD28" s="72">
        <v>8.9617724272798789</v>
      </c>
      <c r="AE28" s="72">
        <v>18.278991697241867</v>
      </c>
      <c r="AF28" s="72">
        <v>13.381491851362673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62.068965517241381</v>
      </c>
      <c r="K29" s="74">
        <f>(F16/K16)*(1/5)</f>
        <v>0</v>
      </c>
      <c r="L29" s="74">
        <f>F12/L12</f>
        <v>20</v>
      </c>
      <c r="M29" s="74">
        <f>F18/M18</f>
        <v>0</v>
      </c>
      <c r="N29" s="74">
        <f>F11/N11</f>
        <v>25</v>
      </c>
      <c r="O29" s="74">
        <f>F9/O9</f>
        <v>0</v>
      </c>
      <c r="P29" s="74">
        <f>(F6/P6)*(25/47)</f>
        <v>35.460992907801419</v>
      </c>
      <c r="Q29" s="74">
        <f>(F13/Q13)*(6/20)</f>
        <v>30</v>
      </c>
      <c r="R29" s="74">
        <f>(F13/R13)*(3/20)</f>
        <v>15</v>
      </c>
      <c r="S29" s="74">
        <f>(F6/S6)*(12/47)</f>
        <v>17.021276595744681</v>
      </c>
      <c r="T29" s="74">
        <f>(F13/T13)*(3/20)</f>
        <v>15</v>
      </c>
      <c r="U29" s="74">
        <f>(F7/U7)*(6/47)</f>
        <v>12.76595744680851</v>
      </c>
      <c r="V29" s="74">
        <f>(F7/V7)*(3/47)</f>
        <v>6.3829787234042552</v>
      </c>
      <c r="W29" s="74">
        <f>(F13/W13)*(8/20)</f>
        <v>11.428571428571429</v>
      </c>
      <c r="X29" s="74">
        <f>(F19/X19)*(3/4)</f>
        <v>0</v>
      </c>
      <c r="Y29" s="74">
        <f>(F7/Y7)*(1/29)</f>
        <v>3.4482758620689653</v>
      </c>
      <c r="Z29" s="74">
        <f>(F16/Z16)*(4/5)</f>
        <v>0</v>
      </c>
      <c r="AA29" s="74">
        <f>(F15/AA15)*(4/16)</f>
        <v>10</v>
      </c>
      <c r="AB29" s="74">
        <f>(F7/AB7)*(11/47)</f>
        <v>23.404255319148938</v>
      </c>
      <c r="AC29" s="74">
        <f>(F6/AC6)*(1/47)</f>
        <v>1.4184397163120568</v>
      </c>
      <c r="AD29" s="74">
        <f>(F14/AD14)</f>
        <v>0</v>
      </c>
      <c r="AE29" s="74">
        <f>(F19/AE19)*(1/4)</f>
        <v>0</v>
      </c>
      <c r="AF29" s="74">
        <f>(F5/AF5)*(1/29)</f>
        <v>1.3793103448275863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0.4073177949137497</v>
      </c>
      <c r="K30" s="70">
        <f t="shared" si="34"/>
        <v>-1.1904761904761905</v>
      </c>
      <c r="L30" s="70">
        <f t="shared" si="34"/>
        <v>0.41379310344827586</v>
      </c>
      <c r="M30" s="70">
        <f t="shared" si="34"/>
        <v>-0.6211180124223602</v>
      </c>
      <c r="N30" s="70">
        <f t="shared" si="34"/>
        <v>0.48192771084337355</v>
      </c>
      <c r="O30" s="70">
        <f t="shared" si="34"/>
        <v>-2.291666666666667</v>
      </c>
      <c r="P30" s="70">
        <f t="shared" si="34"/>
        <v>0.67057646844880892</v>
      </c>
      <c r="Q30" s="70">
        <f t="shared" si="34"/>
        <v>2.9284164859002169</v>
      </c>
      <c r="R30" s="70">
        <f t="shared" si="34"/>
        <v>3.8062283737024218</v>
      </c>
      <c r="S30" s="70">
        <f t="shared" si="34"/>
        <v>0.93816100535025493</v>
      </c>
      <c r="T30" s="70">
        <f t="shared" si="34"/>
        <v>3.2738095238095237</v>
      </c>
      <c r="U30" s="70">
        <f t="shared" si="34"/>
        <v>1.2377639349567187</v>
      </c>
      <c r="V30" s="70">
        <f t="shared" si="34"/>
        <v>0.37885194330751276</v>
      </c>
      <c r="W30" s="70">
        <f t="shared" si="34"/>
        <v>3.0711959050721269</v>
      </c>
      <c r="X30" s="70">
        <f t="shared" si="34"/>
        <v>-1.5228426395939088</v>
      </c>
      <c r="Y30" s="70">
        <f t="shared" si="34"/>
        <v>1.7241379310344827</v>
      </c>
      <c r="Z30" s="70">
        <f t="shared" si="34"/>
        <v>-0.64516129032258063</v>
      </c>
      <c r="AA30" s="70">
        <f t="shared" si="34"/>
        <v>1.4534883720930232</v>
      </c>
      <c r="AB30" s="70">
        <f t="shared" si="34"/>
        <v>1.9825296421041105</v>
      </c>
      <c r="AC30" s="70">
        <f t="shared" si="34"/>
        <v>0.2682305873795236</v>
      </c>
      <c r="AD30" s="70">
        <f t="shared" si="34"/>
        <v>-1.6528925619834711</v>
      </c>
      <c r="AE30" s="70">
        <f t="shared" si="34"/>
        <v>-0.96618357487922713</v>
      </c>
      <c r="AF30" s="70">
        <f t="shared" si="34"/>
        <v>0.3187481889307448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0.3671839147907433</v>
      </c>
      <c r="K31" s="70">
        <f t="shared" ref="K31:AF31" si="35">NORMDIST(K30,0,1,FALSE)</f>
        <v>0.19640914652400149</v>
      </c>
      <c r="L31" s="70">
        <f t="shared" si="35"/>
        <v>0.36620906257573171</v>
      </c>
      <c r="M31" s="70">
        <f t="shared" si="35"/>
        <v>0.3289556545568964</v>
      </c>
      <c r="N31" s="70">
        <f t="shared" si="35"/>
        <v>0.35520304600227354</v>
      </c>
      <c r="O31" s="70">
        <f t="shared" si="35"/>
        <v>2.8874206565747358E-2</v>
      </c>
      <c r="P31" s="70">
        <f t="shared" si="35"/>
        <v>0.31861400223060971</v>
      </c>
      <c r="Q31" s="70">
        <f t="shared" si="35"/>
        <v>5.4794525061467939E-3</v>
      </c>
      <c r="R31" s="70">
        <f t="shared" si="35"/>
        <v>2.8511277631641297E-4</v>
      </c>
      <c r="S31" s="70">
        <f t="shared" si="35"/>
        <v>0.25691459379413667</v>
      </c>
      <c r="T31" s="70">
        <f t="shared" si="35"/>
        <v>1.8774272333183636E-3</v>
      </c>
      <c r="U31" s="70">
        <f t="shared" si="35"/>
        <v>0.18545030831126971</v>
      </c>
      <c r="V31" s="70">
        <f t="shared" si="35"/>
        <v>0.37131559014512849</v>
      </c>
      <c r="W31" s="70">
        <f t="shared" si="35"/>
        <v>3.5704605822708328E-3</v>
      </c>
      <c r="X31" s="70">
        <f t="shared" si="35"/>
        <v>0.1251223293178855</v>
      </c>
      <c r="Y31" s="70">
        <f t="shared" si="35"/>
        <v>9.0241638359231741E-2</v>
      </c>
      <c r="Z31" s="70">
        <f t="shared" si="35"/>
        <v>0.32398596615315295</v>
      </c>
      <c r="AA31" s="70">
        <f t="shared" si="35"/>
        <v>0.13872624376685427</v>
      </c>
      <c r="AB31" s="70">
        <f t="shared" si="35"/>
        <v>5.5902262581836122E-2</v>
      </c>
      <c r="AC31" s="70">
        <f t="shared" si="35"/>
        <v>0.38484587204181958</v>
      </c>
      <c r="AD31" s="70">
        <f t="shared" si="35"/>
        <v>0.10177757907817411</v>
      </c>
      <c r="AE31" s="70">
        <f t="shared" si="35"/>
        <v>0.2501501645137153</v>
      </c>
      <c r="AF31" s="70">
        <f t="shared" si="35"/>
        <v>0.37918209134661224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0.65811270263392163</v>
      </c>
      <c r="K32" s="70">
        <f t="shared" ref="K32:AF32" si="36">NORMDIST(K30,0,1,TRUE)</f>
        <v>0.11692964134637239</v>
      </c>
      <c r="L32" s="70">
        <f t="shared" si="36"/>
        <v>0.66048718243495286</v>
      </c>
      <c r="M32" s="70">
        <f t="shared" si="36"/>
        <v>0.26726098931262676</v>
      </c>
      <c r="N32" s="70">
        <f t="shared" si="36"/>
        <v>0.68507134998371932</v>
      </c>
      <c r="O32" s="70">
        <f t="shared" si="36"/>
        <v>1.0962442649170874E-2</v>
      </c>
      <c r="P32" s="70">
        <f t="shared" si="36"/>
        <v>0.74875481131920629</v>
      </c>
      <c r="Q32" s="70">
        <f t="shared" si="36"/>
        <v>0.99829653328093026</v>
      </c>
      <c r="R32" s="70">
        <f t="shared" si="36"/>
        <v>0.99992944894959968</v>
      </c>
      <c r="S32" s="70">
        <f t="shared" si="36"/>
        <v>0.82591916269481458</v>
      </c>
      <c r="T32" s="70">
        <f t="shared" si="36"/>
        <v>0.99946945944972954</v>
      </c>
      <c r="U32" s="70">
        <f t="shared" si="36"/>
        <v>0.89209819764727305</v>
      </c>
      <c r="V32" s="70">
        <f t="shared" si="36"/>
        <v>0.64760109386237397</v>
      </c>
      <c r="W32" s="70">
        <f t="shared" si="36"/>
        <v>0.99893398392725807</v>
      </c>
      <c r="X32" s="70">
        <f t="shared" si="36"/>
        <v>6.389903965475742E-2</v>
      </c>
      <c r="Y32" s="70">
        <f t="shared" si="36"/>
        <v>0.95765852702121079</v>
      </c>
      <c r="Z32" s="70">
        <f t="shared" si="36"/>
        <v>0.25941133433509533</v>
      </c>
      <c r="AA32" s="70">
        <f t="shared" si="36"/>
        <v>0.92695589707257042</v>
      </c>
      <c r="AB32" s="70">
        <f t="shared" si="36"/>
        <v>0.97629000341655614</v>
      </c>
      <c r="AC32" s="70">
        <f t="shared" si="36"/>
        <v>0.60573908397805565</v>
      </c>
      <c r="AD32" s="70">
        <f t="shared" si="36"/>
        <v>4.9176365594524589E-2</v>
      </c>
      <c r="AE32" s="70">
        <f t="shared" si="36"/>
        <v>0.16697616515893529</v>
      </c>
      <c r="AF32" s="70">
        <f t="shared" si="36"/>
        <v>0.62504126519395176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0.22792713471857085</v>
      </c>
      <c r="K33" s="70">
        <f t="shared" ref="K33:AF33" si="37">K31-(K30*(1-K32))</f>
        <v>1.2476833830164151</v>
      </c>
      <c r="L33" s="70">
        <f t="shared" si="37"/>
        <v>0.22572100013502255</v>
      </c>
      <c r="M33" s="70">
        <f t="shared" si="37"/>
        <v>0.78407305249936421</v>
      </c>
      <c r="N33" s="70">
        <f t="shared" si="37"/>
        <v>0.20343020262093345</v>
      </c>
      <c r="O33" s="70">
        <f t="shared" si="37"/>
        <v>2.2954186088280641</v>
      </c>
      <c r="P33" s="70">
        <f t="shared" si="37"/>
        <v>0.15013489089028839</v>
      </c>
      <c r="Q33" s="70">
        <f t="shared" si="37"/>
        <v>4.9099248284062858E-4</v>
      </c>
      <c r="R33" s="70">
        <f t="shared" si="37"/>
        <v>1.6579366488186985E-5</v>
      </c>
      <c r="S33" s="70">
        <f t="shared" si="37"/>
        <v>9.359874045568975E-2</v>
      </c>
      <c r="T33" s="70">
        <f t="shared" si="37"/>
        <v>1.4053852707577295E-4</v>
      </c>
      <c r="U33" s="70">
        <f t="shared" si="37"/>
        <v>5.1893348842236287E-2</v>
      </c>
      <c r="V33" s="70">
        <f t="shared" si="37"/>
        <v>0.23780857973544708</v>
      </c>
      <c r="W33" s="70">
        <f t="shared" si="37"/>
        <v>2.9651638492475757E-4</v>
      </c>
      <c r="X33" s="70">
        <f t="shared" si="37"/>
        <v>1.5506567866964278</v>
      </c>
      <c r="Y33" s="70">
        <f t="shared" si="37"/>
        <v>1.7239098740629663E-2</v>
      </c>
      <c r="Z33" s="70">
        <f t="shared" si="37"/>
        <v>0.80178510529180103</v>
      </c>
      <c r="AA33" s="70">
        <f t="shared" si="37"/>
        <v>3.2557489511869431E-2</v>
      </c>
      <c r="AB33" s="70">
        <f t="shared" si="37"/>
        <v>8.8964915409714823E-3</v>
      </c>
      <c r="AC33" s="70">
        <f t="shared" si="37"/>
        <v>0.27909303495646443</v>
      </c>
      <c r="AD33" s="70">
        <f t="shared" si="37"/>
        <v>1.6733868921450756</v>
      </c>
      <c r="AE33" s="70">
        <f t="shared" si="37"/>
        <v>1.0550041112200579</v>
      </c>
      <c r="AF33" s="70">
        <f t="shared" si="37"/>
        <v>0.25966467370342095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4.5152365387748885</v>
      </c>
      <c r="K34" s="74">
        <f t="shared" si="38"/>
        <v>1.0480540417337887</v>
      </c>
      <c r="L34" s="74">
        <f t="shared" si="38"/>
        <v>1.6364772509789136</v>
      </c>
      <c r="M34" s="74">
        <f t="shared" si="38"/>
        <v>2.5247152290479531</v>
      </c>
      <c r="N34" s="74">
        <f t="shared" si="38"/>
        <v>2.5327060226306215</v>
      </c>
      <c r="O34" s="74">
        <f t="shared" si="38"/>
        <v>11.018009322374708</v>
      </c>
      <c r="P34" s="74">
        <f t="shared" si="38"/>
        <v>2.3421042978884987</v>
      </c>
      <c r="Q34" s="74">
        <f t="shared" si="38"/>
        <v>4.5269506917905962E-3</v>
      </c>
      <c r="R34" s="74">
        <f t="shared" si="38"/>
        <v>4.7914369150860388E-5</v>
      </c>
      <c r="S34" s="74">
        <f t="shared" si="38"/>
        <v>0.80026923089614743</v>
      </c>
      <c r="T34" s="74">
        <f t="shared" si="38"/>
        <v>4.7220945097459709E-4</v>
      </c>
      <c r="U34" s="74">
        <f t="shared" si="38"/>
        <v>0.40943852236524431</v>
      </c>
      <c r="V34" s="74">
        <f t="shared" si="38"/>
        <v>1.4958159665359623</v>
      </c>
      <c r="W34" s="74">
        <f t="shared" si="38"/>
        <v>9.1030530171900572E-4</v>
      </c>
      <c r="X34" s="74">
        <f t="shared" si="38"/>
        <v>3.0547938697919625</v>
      </c>
      <c r="Y34" s="74">
        <f t="shared" si="38"/>
        <v>2.4479520211694122E-2</v>
      </c>
      <c r="Z34" s="74">
        <f t="shared" si="38"/>
        <v>1.2427669132022916</v>
      </c>
      <c r="AA34" s="74">
        <f t="shared" si="38"/>
        <v>0.11199776392083084</v>
      </c>
      <c r="AB34" s="74">
        <f t="shared" si="38"/>
        <v>6.9125739273348419E-2</v>
      </c>
      <c r="AC34" s="74">
        <f t="shared" si="38"/>
        <v>0.43538513453208449</v>
      </c>
      <c r="AD34" s="74">
        <f t="shared" si="38"/>
        <v>2.0247981394955414</v>
      </c>
      <c r="AE34" s="74">
        <f t="shared" si="38"/>
        <v>2.1838585102255195</v>
      </c>
      <c r="AF34" s="74">
        <f t="shared" si="38"/>
        <v>0.30900096170707092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49.484763461225114</v>
      </c>
      <c r="K35" s="74">
        <f t="shared" si="39"/>
        <v>-4.8054041733788688E-2</v>
      </c>
      <c r="L35" s="74">
        <f t="shared" si="39"/>
        <v>15.363522749021087</v>
      </c>
      <c r="M35" s="74">
        <f t="shared" si="39"/>
        <v>-0.52471522904795309</v>
      </c>
      <c r="N35" s="74">
        <f t="shared" si="39"/>
        <v>16.46729397736938</v>
      </c>
      <c r="O35" s="74">
        <f t="shared" si="39"/>
        <v>-1.8009322374707537E-2</v>
      </c>
      <c r="P35" s="74">
        <f t="shared" si="39"/>
        <v>22.657895702111503</v>
      </c>
      <c r="Q35" s="74">
        <f t="shared" si="39"/>
        <v>2.9954730493082096</v>
      </c>
      <c r="R35" s="74">
        <f t="shared" si="39"/>
        <v>3.999952085630849</v>
      </c>
      <c r="S35" s="74">
        <f t="shared" si="39"/>
        <v>8.1997307691038532</v>
      </c>
      <c r="T35" s="74">
        <f t="shared" si="39"/>
        <v>3.9995277905490254</v>
      </c>
      <c r="U35" s="74">
        <f t="shared" si="39"/>
        <v>2.5905614776347559</v>
      </c>
      <c r="V35" s="74">
        <f t="shared" si="39"/>
        <v>2.5041840334640377</v>
      </c>
      <c r="W35" s="74">
        <f t="shared" si="39"/>
        <v>1.999089694698281</v>
      </c>
      <c r="X35" s="74">
        <f t="shared" si="39"/>
        <v>-5.4793869791962546E-2</v>
      </c>
      <c r="Y35" s="74">
        <f t="shared" si="39"/>
        <v>0.97552047978830592</v>
      </c>
      <c r="Z35" s="74">
        <f t="shared" si="39"/>
        <v>-0.2427669132022916</v>
      </c>
      <c r="AA35" s="74">
        <f t="shared" si="39"/>
        <v>4.8880022360791688</v>
      </c>
      <c r="AB35" s="74">
        <f t="shared" si="39"/>
        <v>7.930874260726652</v>
      </c>
      <c r="AC35" s="74">
        <f t="shared" si="39"/>
        <v>0.56461486546791551</v>
      </c>
      <c r="AD35" s="74">
        <f t="shared" si="39"/>
        <v>-2.4798139495541438E-2</v>
      </c>
      <c r="AE35" s="74">
        <f t="shared" si="39"/>
        <v>-0.18385851022551947</v>
      </c>
      <c r="AF35" s="74">
        <f t="shared" si="39"/>
        <v>0.69099903829292908</v>
      </c>
      <c r="AG35" s="187">
        <f>SUM(J35:AF35)</f>
        <v>144.21500964459926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12.584202056016267</v>
      </c>
      <c r="K36" s="74">
        <f t="shared" ref="K36:AF36" si="40">K29-K35</f>
        <v>4.8054041733788688E-2</v>
      </c>
      <c r="L36" s="74">
        <f t="shared" si="40"/>
        <v>4.6364772509789134</v>
      </c>
      <c r="M36" s="74">
        <f t="shared" si="40"/>
        <v>0.52471522904795309</v>
      </c>
      <c r="N36" s="74">
        <f t="shared" si="40"/>
        <v>8.5327060226306202</v>
      </c>
      <c r="O36" s="74">
        <f t="shared" si="40"/>
        <v>1.8009322374707537E-2</v>
      </c>
      <c r="P36" s="74">
        <f t="shared" si="40"/>
        <v>12.803097205689916</v>
      </c>
      <c r="Q36" s="74">
        <f t="shared" si="40"/>
        <v>27.00452695069179</v>
      </c>
      <c r="R36" s="74">
        <f t="shared" si="40"/>
        <v>11.000047914369151</v>
      </c>
      <c r="S36" s="74">
        <f t="shared" si="40"/>
        <v>8.8215458266408273</v>
      </c>
      <c r="T36" s="74">
        <f t="shared" si="40"/>
        <v>11.000472209450974</v>
      </c>
      <c r="U36" s="74">
        <f t="shared" si="40"/>
        <v>10.175395969173755</v>
      </c>
      <c r="V36" s="74">
        <f t="shared" si="40"/>
        <v>3.8787946899402175</v>
      </c>
      <c r="W36" s="74">
        <f t="shared" si="40"/>
        <v>9.429481733873148</v>
      </c>
      <c r="X36" s="74">
        <f t="shared" si="40"/>
        <v>5.4793869791962546E-2</v>
      </c>
      <c r="Y36" s="74">
        <f t="shared" si="40"/>
        <v>2.4727553822806594</v>
      </c>
      <c r="Z36" s="74">
        <f t="shared" si="40"/>
        <v>0.2427669132022916</v>
      </c>
      <c r="AA36" s="74">
        <f t="shared" si="40"/>
        <v>5.1119977639208312</v>
      </c>
      <c r="AB36" s="74">
        <f t="shared" si="40"/>
        <v>15.473381058422286</v>
      </c>
      <c r="AC36" s="74">
        <f t="shared" si="40"/>
        <v>0.85382485084414128</v>
      </c>
      <c r="AD36" s="74">
        <f t="shared" si="40"/>
        <v>2.4798139495541438E-2</v>
      </c>
      <c r="AE36" s="74">
        <f t="shared" si="40"/>
        <v>0.18385851022551947</v>
      </c>
      <c r="AF36" s="74">
        <f t="shared" si="40"/>
        <v>0.68831130653465722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2474.2381730612556</v>
      </c>
      <c r="K37" s="70">
        <f t="shared" ref="K37:AF37" si="41">K20*K35</f>
        <v>-9.6108083467577377</v>
      </c>
      <c r="L37" s="70">
        <f t="shared" si="41"/>
        <v>921.8113649412652</v>
      </c>
      <c r="M37" s="70">
        <f t="shared" si="41"/>
        <v>-26.235761452397654</v>
      </c>
      <c r="N37" s="70">
        <f t="shared" si="41"/>
        <v>741.02822898162208</v>
      </c>
      <c r="O37" s="70">
        <f t="shared" si="41"/>
        <v>-1.0805593424824522</v>
      </c>
      <c r="P37" s="70">
        <f t="shared" si="41"/>
        <v>1132.8947851055752</v>
      </c>
      <c r="Q37" s="70">
        <f t="shared" si="41"/>
        <v>149.77365246541046</v>
      </c>
      <c r="R37" s="70">
        <f t="shared" si="41"/>
        <v>199.99760428154246</v>
      </c>
      <c r="S37" s="70">
        <f t="shared" si="41"/>
        <v>409.98653845519266</v>
      </c>
      <c r="T37" s="70">
        <f t="shared" si="41"/>
        <v>279.9669453384318</v>
      </c>
      <c r="U37" s="70">
        <f t="shared" si="41"/>
        <v>181.33930343443291</v>
      </c>
      <c r="V37" s="70">
        <f t="shared" si="41"/>
        <v>125.20920167320189</v>
      </c>
      <c r="W37" s="70">
        <f t="shared" si="41"/>
        <v>159.92717557586249</v>
      </c>
      <c r="X37" s="70">
        <f t="shared" si="41"/>
        <v>-3.2876321875177528</v>
      </c>
      <c r="Y37" s="70">
        <f t="shared" si="41"/>
        <v>58.531228787298353</v>
      </c>
      <c r="Z37" s="70">
        <f t="shared" si="41"/>
        <v>-14.566014792137496</v>
      </c>
      <c r="AA37" s="70">
        <f t="shared" si="41"/>
        <v>244.40011180395845</v>
      </c>
      <c r="AB37" s="70">
        <f t="shared" si="41"/>
        <v>396.54371303633258</v>
      </c>
      <c r="AC37" s="70">
        <f t="shared" si="41"/>
        <v>28.230743273395774</v>
      </c>
      <c r="AD37" s="70">
        <f t="shared" si="41"/>
        <v>-1.4878883697324863</v>
      </c>
      <c r="AE37" s="70">
        <f t="shared" si="41"/>
        <v>-22.063021227062336</v>
      </c>
      <c r="AF37" s="70">
        <f t="shared" si="41"/>
        <v>69.099903829292913</v>
      </c>
      <c r="AG37" s="288">
        <f>SUM(J37:AF37)</f>
        <v>7494.6469883259842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627.54898812941917</v>
      </c>
      <c r="K38" s="70">
        <f t="shared" ref="K38:AF38" si="42">(K20-K22)*K36</f>
        <v>9.5477614440030063</v>
      </c>
      <c r="L38" s="70">
        <f t="shared" si="42"/>
        <v>277.21497483602923</v>
      </c>
      <c r="M38" s="70">
        <f t="shared" si="42"/>
        <v>25.962909533292716</v>
      </c>
      <c r="N38" s="70">
        <f t="shared" si="42"/>
        <v>382.0604448693087</v>
      </c>
      <c r="O38" s="70">
        <f t="shared" si="42"/>
        <v>1.0769934966522601</v>
      </c>
      <c r="P38" s="70">
        <f t="shared" si="42"/>
        <v>638.11916782879109</v>
      </c>
      <c r="Q38" s="70">
        <f t="shared" si="42"/>
        <v>1341.4768808025653</v>
      </c>
      <c r="R38" s="70">
        <f t="shared" si="42"/>
        <v>546.43838019420195</v>
      </c>
      <c r="S38" s="70">
        <f t="shared" si="42"/>
        <v>440.33628148260351</v>
      </c>
      <c r="T38" s="70">
        <f t="shared" si="42"/>
        <v>766.46890166570608</v>
      </c>
      <c r="U38" s="70">
        <f t="shared" si="42"/>
        <v>711.10754730570784</v>
      </c>
      <c r="V38" s="70">
        <f t="shared" si="42"/>
        <v>192.71791416967972</v>
      </c>
      <c r="W38" s="70">
        <f t="shared" si="42"/>
        <v>751.12422647513336</v>
      </c>
      <c r="X38" s="70">
        <f t="shared" si="42"/>
        <v>3.2753035668145611</v>
      </c>
      <c r="Y38" s="70">
        <f t="shared" si="42"/>
        <v>147.2600012809601</v>
      </c>
      <c r="Z38" s="70">
        <f t="shared" si="42"/>
        <v>14.43613449357427</v>
      </c>
      <c r="AA38" s="70">
        <f t="shared" si="42"/>
        <v>254.6797285985358</v>
      </c>
      <c r="AB38" s="70">
        <f t="shared" si="42"/>
        <v>771.88961409939566</v>
      </c>
      <c r="AC38" s="70">
        <f t="shared" si="42"/>
        <v>42.619521254736156</v>
      </c>
      <c r="AD38" s="70">
        <f>(AD20-AD22)*AD36</f>
        <v>1.4747949520788404</v>
      </c>
      <c r="AE38" s="70">
        <f t="shared" si="42"/>
        <v>22.021653062261596</v>
      </c>
      <c r="AF38" s="70">
        <f t="shared" si="42"/>
        <v>68.589533384872055</v>
      </c>
      <c r="AG38" s="288">
        <f>SUM(J38:AF38)</f>
        <v>8037.4476569263234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2.7091419232649332</v>
      </c>
      <c r="K39" s="70">
        <f t="shared" ref="K39:AF39" si="43">K23*K34</f>
        <v>3.8777999544150181</v>
      </c>
      <c r="L39" s="70">
        <f t="shared" si="43"/>
        <v>2.4547158764683705</v>
      </c>
      <c r="M39" s="70">
        <f t="shared" si="43"/>
        <v>10.098860916191812</v>
      </c>
      <c r="N39" s="70">
        <f t="shared" si="43"/>
        <v>7.0915768633657397</v>
      </c>
      <c r="O39" s="70">
        <f t="shared" si="43"/>
        <v>35.257629831599068</v>
      </c>
      <c r="P39" s="70">
        <f t="shared" si="43"/>
        <v>1.4052625787330992</v>
      </c>
      <c r="Q39" s="70">
        <f t="shared" si="43"/>
        <v>4.0742556226115358E-3</v>
      </c>
      <c r="R39" s="70">
        <f t="shared" si="43"/>
        <v>4.3122932235774346E-5</v>
      </c>
      <c r="S39" s="70">
        <f t="shared" si="43"/>
        <v>0.24008076926884422</v>
      </c>
      <c r="T39" s="70">
        <f t="shared" si="43"/>
        <v>4.2498850587713733E-4</v>
      </c>
      <c r="U39" s="70">
        <f t="shared" si="43"/>
        <v>0.20471926118262215</v>
      </c>
      <c r="V39" s="70">
        <f t="shared" si="43"/>
        <v>1.9445607564967511</v>
      </c>
      <c r="W39" s="70">
        <f t="shared" si="43"/>
        <v>6.3721371120330401E-4</v>
      </c>
      <c r="X39" s="70">
        <f t="shared" si="43"/>
        <v>7.6369846744799066</v>
      </c>
      <c r="Y39" s="70">
        <f t="shared" si="43"/>
        <v>4.6511088402218834E-2</v>
      </c>
      <c r="Z39" s="70">
        <f t="shared" si="43"/>
        <v>1.8641503698034374</v>
      </c>
      <c r="AA39" s="70">
        <f t="shared" si="43"/>
        <v>5.5998881960415421E-2</v>
      </c>
      <c r="AB39" s="70">
        <f t="shared" si="43"/>
        <v>3.4562869636674209E-2</v>
      </c>
      <c r="AC39" s="70">
        <f t="shared" si="43"/>
        <v>0.13061554035962533</v>
      </c>
      <c r="AD39" s="70">
        <f t="shared" si="43"/>
        <v>1.6198385115964333</v>
      </c>
      <c r="AE39" s="70">
        <f t="shared" si="43"/>
        <v>5.4596462755637987</v>
      </c>
      <c r="AF39" s="70">
        <f t="shared" si="43"/>
        <v>0.46350144256060638</v>
      </c>
      <c r="AG39" s="288">
        <f t="shared" ref="AG39" si="44">SUM(J39:AF39)</f>
        <v>82.601337966121307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409.65517241379308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0</v>
      </c>
      <c r="N40" s="70">
        <f t="shared" si="45"/>
        <v>280</v>
      </c>
      <c r="O40" s="70">
        <f t="shared" si="45"/>
        <v>0</v>
      </c>
      <c r="P40" s="70">
        <f t="shared" si="45"/>
        <v>281.91489361702128</v>
      </c>
      <c r="Q40" s="70">
        <f t="shared" si="45"/>
        <v>486</v>
      </c>
      <c r="R40" s="70">
        <f t="shared" si="45"/>
        <v>243</v>
      </c>
      <c r="S40" s="70">
        <f t="shared" si="45"/>
        <v>71.489361702127667</v>
      </c>
      <c r="T40" s="70">
        <f t="shared" si="45"/>
        <v>243</v>
      </c>
      <c r="U40" s="70">
        <f t="shared" si="45"/>
        <v>73.40425531914893</v>
      </c>
      <c r="V40" s="70">
        <f t="shared" si="45"/>
        <v>100.53191489361701</v>
      </c>
      <c r="W40" s="70">
        <f t="shared" si="45"/>
        <v>196.00000000000003</v>
      </c>
      <c r="X40" s="70">
        <f t="shared" si="45"/>
        <v>0</v>
      </c>
      <c r="Y40" s="70">
        <f t="shared" si="45"/>
        <v>77.068965517241381</v>
      </c>
      <c r="Z40" s="70">
        <f t="shared" si="45"/>
        <v>0</v>
      </c>
      <c r="AA40" s="70">
        <f t="shared" si="45"/>
        <v>90</v>
      </c>
      <c r="AB40" s="70">
        <f t="shared" si="45"/>
        <v>134.57446808510639</v>
      </c>
      <c r="AC40" s="70">
        <f t="shared" si="45"/>
        <v>5.9574468085106389</v>
      </c>
      <c r="AD40" s="70">
        <f t="shared" si="45"/>
        <v>0</v>
      </c>
      <c r="AE40" s="70">
        <f t="shared" si="45"/>
        <v>0</v>
      </c>
      <c r="AF40" s="70">
        <f t="shared" si="45"/>
        <v>24.206896551724139</v>
      </c>
      <c r="AG40" s="289">
        <f>SUM(J40:AF40)</f>
        <v>2926.8033749082902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2689.4228468536171</v>
      </c>
      <c r="K41" s="76">
        <f t="shared" ref="K41:AF41" si="46">K37+K38-K40-K39</f>
        <v>-3.9408468571697495</v>
      </c>
      <c r="L41" s="76">
        <f t="shared" si="46"/>
        <v>986.57162390082601</v>
      </c>
      <c r="M41" s="76">
        <f t="shared" si="46"/>
        <v>-10.37171283529675</v>
      </c>
      <c r="N41" s="76">
        <f t="shared" si="46"/>
        <v>835.99709698756499</v>
      </c>
      <c r="O41" s="76">
        <f t="shared" si="46"/>
        <v>-35.261195677429264</v>
      </c>
      <c r="P41" s="76">
        <f t="shared" si="46"/>
        <v>1487.693796738612</v>
      </c>
      <c r="Q41" s="76">
        <f t="shared" si="46"/>
        <v>1005.2464590123531</v>
      </c>
      <c r="R41" s="76">
        <f t="shared" si="46"/>
        <v>503.43594135281211</v>
      </c>
      <c r="S41" s="76">
        <f t="shared" si="46"/>
        <v>778.5933774663996</v>
      </c>
      <c r="T41" s="76">
        <f t="shared" si="46"/>
        <v>803.43542201563207</v>
      </c>
      <c r="U41" s="76">
        <f t="shared" si="46"/>
        <v>818.83787615980918</v>
      </c>
      <c r="V41" s="76">
        <f t="shared" si="46"/>
        <v>215.45064019276788</v>
      </c>
      <c r="W41" s="76">
        <f t="shared" si="46"/>
        <v>715.05076483728465</v>
      </c>
      <c r="X41" s="76">
        <f t="shared" si="46"/>
        <v>-7.6493132951830987</v>
      </c>
      <c r="Y41" s="76">
        <f t="shared" si="46"/>
        <v>128.67575346261486</v>
      </c>
      <c r="Z41" s="76">
        <f t="shared" si="46"/>
        <v>-1.9940306683666631</v>
      </c>
      <c r="AA41" s="76">
        <f t="shared" si="46"/>
        <v>409.02384152053384</v>
      </c>
      <c r="AB41" s="76">
        <f t="shared" si="46"/>
        <v>1033.8242961809851</v>
      </c>
      <c r="AC41" s="76">
        <f t="shared" si="46"/>
        <v>64.762202179261664</v>
      </c>
      <c r="AD41" s="76">
        <f t="shared" si="46"/>
        <v>-1.6329319292500792</v>
      </c>
      <c r="AE41" s="76">
        <f t="shared" si="46"/>
        <v>-5.5010144403645391</v>
      </c>
      <c r="AF41" s="76">
        <f t="shared" si="46"/>
        <v>113.01903921988021</v>
      </c>
      <c r="AG41" s="290">
        <f>SUM(J41:AF41)</f>
        <v>12522.689932377891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1.4190143495016587</v>
      </c>
      <c r="K43" s="70">
        <f t="shared" si="47"/>
        <v>27.271630367761279</v>
      </c>
      <c r="L43" s="70">
        <f t="shared" si="47"/>
        <v>1.8946916412822601</v>
      </c>
      <c r="M43" s="70">
        <f t="shared" si="47"/>
        <v>1.8505693832512236</v>
      </c>
      <c r="N43" s="70">
        <f t="shared" si="47"/>
        <v>1.1471912029501907</v>
      </c>
      <c r="O43" s="70">
        <f t="shared" si="47"/>
        <v>2.4319619873366505</v>
      </c>
      <c r="P43" s="70">
        <f t="shared" si="47"/>
        <v>1.3779493533565508</v>
      </c>
      <c r="Q43" s="70">
        <f t="shared" si="47"/>
        <v>1.0955648244856846</v>
      </c>
      <c r="R43" s="70">
        <f t="shared" si="47"/>
        <v>2.4319151149360958</v>
      </c>
      <c r="S43" s="70">
        <f t="shared" si="47"/>
        <v>2.0495570010336386</v>
      </c>
      <c r="T43" s="70">
        <f t="shared" si="47"/>
        <v>3.0974110910236456</v>
      </c>
      <c r="U43" s="70">
        <f t="shared" si="47"/>
        <v>2.4023813053315743</v>
      </c>
      <c r="V43" s="70">
        <f t="shared" si="47"/>
        <v>1.4133303910740069</v>
      </c>
      <c r="W43" s="70">
        <f t="shared" si="47"/>
        <v>3.7367109521243305</v>
      </c>
      <c r="X43" s="70">
        <f t="shared" si="47"/>
        <v>4.3644534497817746</v>
      </c>
      <c r="Y43" s="70">
        <f t="shared" si="47"/>
        <v>5.1419881810182888</v>
      </c>
      <c r="Z43" s="70">
        <f t="shared" si="47"/>
        <v>4.5457497807188707</v>
      </c>
      <c r="AA43" s="70">
        <f t="shared" si="47"/>
        <v>2.5670407188437574</v>
      </c>
      <c r="AB43" s="70">
        <f t="shared" si="47"/>
        <v>1.9404196860669845</v>
      </c>
      <c r="AC43" s="70">
        <f t="shared" si="47"/>
        <v>4.9959126306541002</v>
      </c>
      <c r="AD43" s="70">
        <f t="shared" si="47"/>
        <v>5.7535309316362637</v>
      </c>
      <c r="AE43" s="70">
        <f t="shared" si="47"/>
        <v>7.8642471967352021</v>
      </c>
      <c r="AF43" s="70">
        <f t="shared" si="47"/>
        <v>10.404615001145103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0.14576793688014891</v>
      </c>
      <c r="K44" s="70">
        <f t="shared" ref="K44:AF44" si="48">NORMDIST(K43,0,1,FALSE)</f>
        <v>1.2572604073840819E-162</v>
      </c>
      <c r="L44" s="70">
        <f t="shared" si="48"/>
        <v>6.628002289620924E-2</v>
      </c>
      <c r="M44" s="70">
        <f t="shared" si="48"/>
        <v>7.1988992448173847E-2</v>
      </c>
      <c r="N44" s="70">
        <f t="shared" si="48"/>
        <v>0.20660172739576596</v>
      </c>
      <c r="O44" s="70">
        <f t="shared" si="48"/>
        <v>2.073031645425194E-2</v>
      </c>
      <c r="P44" s="70">
        <f t="shared" si="48"/>
        <v>0.15438423625271422</v>
      </c>
      <c r="Q44" s="70">
        <f t="shared" si="48"/>
        <v>0.21891545464988257</v>
      </c>
      <c r="R44" s="70">
        <f t="shared" si="48"/>
        <v>2.0732679654254113E-2</v>
      </c>
      <c r="S44" s="70">
        <f t="shared" si="48"/>
        <v>4.8836344281723024E-2</v>
      </c>
      <c r="T44" s="70">
        <f t="shared" si="48"/>
        <v>3.2931317522235247E-3</v>
      </c>
      <c r="U44" s="70">
        <f t="shared" si="48"/>
        <v>2.2266844484515651E-2</v>
      </c>
      <c r="V44" s="70">
        <f t="shared" si="48"/>
        <v>0.146946025900589</v>
      </c>
      <c r="W44" s="70">
        <f t="shared" si="48"/>
        <v>3.7057937336545238E-4</v>
      </c>
      <c r="X44" s="70">
        <f t="shared" si="48"/>
        <v>2.9146798173908086E-5</v>
      </c>
      <c r="Y44" s="70">
        <f t="shared" si="48"/>
        <v>7.236487168193419E-7</v>
      </c>
      <c r="Z44" s="70">
        <f t="shared" si="48"/>
        <v>1.2996128303642259E-5</v>
      </c>
      <c r="AA44" s="70">
        <f t="shared" si="48"/>
        <v>1.4790243193286376E-2</v>
      </c>
      <c r="AB44" s="70">
        <f t="shared" si="48"/>
        <v>6.0715709290952109E-2</v>
      </c>
      <c r="AC44" s="70">
        <f t="shared" si="48"/>
        <v>1.5174032992457074E-6</v>
      </c>
      <c r="AD44" s="70">
        <f t="shared" si="48"/>
        <v>2.5861831980833146E-8</v>
      </c>
      <c r="AE44" s="70">
        <f t="shared" si="48"/>
        <v>1.482990686607474E-14</v>
      </c>
      <c r="AF44" s="70">
        <f t="shared" si="48"/>
        <v>1.2399822160582167E-24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0.92205258368678178</v>
      </c>
      <c r="K45" s="70">
        <f t="shared" ref="K45:AF45" si="49">NORMDIST(K43,0,1,TRUE)</f>
        <v>1</v>
      </c>
      <c r="L45" s="70">
        <f t="shared" si="49"/>
        <v>0.97093336711138545</v>
      </c>
      <c r="M45" s="70">
        <f t="shared" si="49"/>
        <v>0.96788423613121155</v>
      </c>
      <c r="N45" s="70">
        <f t="shared" si="49"/>
        <v>0.87434869673124882</v>
      </c>
      <c r="O45" s="70">
        <f t="shared" si="49"/>
        <v>0.99249135836465219</v>
      </c>
      <c r="P45" s="70">
        <f t="shared" si="49"/>
        <v>0.91589053715817226</v>
      </c>
      <c r="Q45" s="70">
        <f t="shared" si="49"/>
        <v>0.86336536882655457</v>
      </c>
      <c r="R45" s="70">
        <f t="shared" si="49"/>
        <v>0.99249038662957223</v>
      </c>
      <c r="S45" s="70">
        <f t="shared" si="49"/>
        <v>0.97979615996351044</v>
      </c>
      <c r="T45" s="70">
        <f t="shared" si="49"/>
        <v>0.99902390526981311</v>
      </c>
      <c r="U45" s="70">
        <f t="shared" si="49"/>
        <v>0.9918556401405878</v>
      </c>
      <c r="V45" s="70">
        <f t="shared" si="49"/>
        <v>0.92122069894103553</v>
      </c>
      <c r="W45" s="70">
        <f t="shared" si="49"/>
        <v>0.99990677848080045</v>
      </c>
      <c r="X45" s="70">
        <f t="shared" si="49"/>
        <v>0.99999362795086866</v>
      </c>
      <c r="Y45" s="70">
        <f t="shared" si="49"/>
        <v>0.99999986407688879</v>
      </c>
      <c r="Z45" s="70">
        <f t="shared" si="49"/>
        <v>0.99999726299816483</v>
      </c>
      <c r="AA45" s="70">
        <f t="shared" si="49"/>
        <v>0.99487147165212497</v>
      </c>
      <c r="AB45" s="70">
        <f t="shared" si="49"/>
        <v>0.9738356469745153</v>
      </c>
      <c r="AC45" s="70">
        <f t="shared" si="49"/>
        <v>0.99999970720915332</v>
      </c>
      <c r="AD45" s="70">
        <f t="shared" si="49"/>
        <v>0.99999999563007758</v>
      </c>
      <c r="AE45" s="70">
        <f t="shared" si="49"/>
        <v>0.99999999999999811</v>
      </c>
      <c r="AF45" s="70">
        <f t="shared" si="49"/>
        <v>1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3.5159434625112576E-2</v>
      </c>
      <c r="K46" s="70">
        <f t="shared" ref="K46:AF46" si="50">K44-(K43*(1-K45))</f>
        <v>1.2572604073840819E-162</v>
      </c>
      <c r="L46" s="70">
        <f t="shared" si="50"/>
        <v>1.1207716521931213E-2</v>
      </c>
      <c r="M46" s="70">
        <f t="shared" si="50"/>
        <v>1.2556543112868079E-2</v>
      </c>
      <c r="N46" s="70">
        <f t="shared" si="50"/>
        <v>6.2455657646628054E-2</v>
      </c>
      <c r="O46" s="70">
        <f t="shared" si="50"/>
        <v>2.4695854205527557E-3</v>
      </c>
      <c r="P46" s="70">
        <f t="shared" si="50"/>
        <v>3.8485656318650849E-2</v>
      </c>
      <c r="Q46" s="70">
        <f t="shared" si="50"/>
        <v>6.9223358929680567E-2</v>
      </c>
      <c r="R46" s="70">
        <f t="shared" si="50"/>
        <v>2.4699373913846211E-3</v>
      </c>
      <c r="S46" s="70">
        <f t="shared" si="50"/>
        <v>7.4274224871721181E-3</v>
      </c>
      <c r="T46" s="70">
        <f t="shared" si="50"/>
        <v>2.6976510905290683E-4</v>
      </c>
      <c r="U46" s="70">
        <f t="shared" si="50"/>
        <v>2.7009866143708969E-3</v>
      </c>
      <c r="V46" s="70">
        <f t="shared" si="50"/>
        <v>3.560484552638582E-2</v>
      </c>
      <c r="W46" s="70">
        <f t="shared" si="50"/>
        <v>2.2237501598829405E-5</v>
      </c>
      <c r="X46" s="70">
        <f t="shared" si="50"/>
        <v>1.3362863604419088E-6</v>
      </c>
      <c r="Y46" s="70">
        <f t="shared" si="50"/>
        <v>2.4733685446170857E-8</v>
      </c>
      <c r="Z46" s="70">
        <f t="shared" si="50"/>
        <v>5.5440281157491119E-7</v>
      </c>
      <c r="AA46" s="70">
        <f t="shared" si="50"/>
        <v>1.6251020965466784E-3</v>
      </c>
      <c r="AB46" s="70">
        <f t="shared" si="50"/>
        <v>9.9458836070953349E-3</v>
      </c>
      <c r="AC46" s="70">
        <f t="shared" si="50"/>
        <v>5.4645810183332894E-8</v>
      </c>
      <c r="AD46" s="70">
        <f t="shared" si="50"/>
        <v>7.1934814596372819E-10</v>
      </c>
      <c r="AE46" s="70">
        <f t="shared" si="50"/>
        <v>-1.2909259496010752E-17</v>
      </c>
      <c r="AF46" s="70">
        <f t="shared" si="50"/>
        <v>1.2399822160582167E-24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0.69650839992348013</v>
      </c>
      <c r="K47" s="74">
        <f t="shared" si="51"/>
        <v>1.0560987422026288E-162</v>
      </c>
      <c r="L47" s="74">
        <f t="shared" si="51"/>
        <v>8.1255944784001291E-2</v>
      </c>
      <c r="M47" s="74">
        <f t="shared" si="51"/>
        <v>4.0432068823435217E-2</v>
      </c>
      <c r="N47" s="74">
        <f t="shared" si="51"/>
        <v>0.77757293770051927</v>
      </c>
      <c r="O47" s="74">
        <f t="shared" si="51"/>
        <v>1.1854010018653226E-2</v>
      </c>
      <c r="P47" s="74">
        <f t="shared" si="51"/>
        <v>0.60037623857095324</v>
      </c>
      <c r="Q47" s="74">
        <f t="shared" si="51"/>
        <v>0.63823936933165493</v>
      </c>
      <c r="R47" s="74">
        <f t="shared" si="51"/>
        <v>7.1381190611015553E-3</v>
      </c>
      <c r="S47" s="74">
        <f t="shared" si="51"/>
        <v>6.350446226532161E-2</v>
      </c>
      <c r="T47" s="74">
        <f t="shared" si="51"/>
        <v>9.0641076641776689E-4</v>
      </c>
      <c r="U47" s="74">
        <f t="shared" si="51"/>
        <v>2.1310784387386376E-2</v>
      </c>
      <c r="V47" s="74">
        <f t="shared" si="51"/>
        <v>0.2239544783609668</v>
      </c>
      <c r="W47" s="74">
        <f t="shared" si="51"/>
        <v>6.8269129908406264E-5</v>
      </c>
      <c r="X47" s="74">
        <f t="shared" si="51"/>
        <v>2.6324841300705604E-6</v>
      </c>
      <c r="Y47" s="74">
        <f t="shared" si="51"/>
        <v>3.5121833333562612E-8</v>
      </c>
      <c r="Z47" s="74">
        <f t="shared" si="51"/>
        <v>8.5932435794111239E-7</v>
      </c>
      <c r="AA47" s="74">
        <f t="shared" si="51"/>
        <v>5.5903512121205741E-3</v>
      </c>
      <c r="AB47" s="74">
        <f t="shared" si="51"/>
        <v>7.7279515627130743E-2</v>
      </c>
      <c r="AC47" s="74">
        <f t="shared" si="51"/>
        <v>8.5247463885999316E-8</v>
      </c>
      <c r="AD47" s="74">
        <f t="shared" si="51"/>
        <v>8.7041125661611105E-10</v>
      </c>
      <c r="AE47" s="74">
        <f t="shared" si="51"/>
        <v>-2.6722167156742255E-17</v>
      </c>
      <c r="AF47" s="74">
        <f t="shared" si="51"/>
        <v>1.4755788371092779E-24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53.303491600076519</v>
      </c>
      <c r="K48" s="74">
        <f t="shared" si="52"/>
        <v>1</v>
      </c>
      <c r="L48" s="74">
        <f t="shared" si="52"/>
        <v>16.918744055215999</v>
      </c>
      <c r="M48" s="74">
        <f t="shared" si="52"/>
        <v>1.9595679311765648</v>
      </c>
      <c r="N48" s="74">
        <f t="shared" si="52"/>
        <v>18.222427062299481</v>
      </c>
      <c r="O48" s="74">
        <f t="shared" si="52"/>
        <v>10.988145989981346</v>
      </c>
      <c r="P48" s="74">
        <f t="shared" si="52"/>
        <v>24.399623761429048</v>
      </c>
      <c r="Q48" s="74">
        <f t="shared" si="52"/>
        <v>2.361760630668345</v>
      </c>
      <c r="R48" s="74">
        <f t="shared" si="52"/>
        <v>3.9928618809388983</v>
      </c>
      <c r="S48" s="74">
        <f t="shared" si="52"/>
        <v>8.9364955377346789</v>
      </c>
      <c r="T48" s="74">
        <f t="shared" si="52"/>
        <v>3.9990935892335822</v>
      </c>
      <c r="U48" s="74">
        <f t="shared" si="52"/>
        <v>2.9786892156126137</v>
      </c>
      <c r="V48" s="74">
        <f t="shared" si="52"/>
        <v>3.7760455216390332</v>
      </c>
      <c r="W48" s="74">
        <f t="shared" si="52"/>
        <v>1.9999317308700917</v>
      </c>
      <c r="X48" s="74">
        <f t="shared" si="52"/>
        <v>2.9999973675158698</v>
      </c>
      <c r="Y48" s="74">
        <f t="shared" si="52"/>
        <v>0.99999996487816667</v>
      </c>
      <c r="Z48" s="74">
        <f t="shared" si="52"/>
        <v>0.99999914067564211</v>
      </c>
      <c r="AA48" s="74">
        <f t="shared" si="52"/>
        <v>4.9944096487878795</v>
      </c>
      <c r="AB48" s="74">
        <f t="shared" si="52"/>
        <v>7.9227204843728689</v>
      </c>
      <c r="AC48" s="74">
        <f t="shared" si="52"/>
        <v>0.99999991475253613</v>
      </c>
      <c r="AD48" s="74">
        <f t="shared" si="52"/>
        <v>1.9999999991295887</v>
      </c>
      <c r="AE48" s="74">
        <f t="shared" si="52"/>
        <v>2</v>
      </c>
      <c r="AF48" s="74">
        <f t="shared" si="52"/>
        <v>1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28.807182663551337</v>
      </c>
      <c r="K49" s="74">
        <f t="shared" ref="K49:AF49" si="53">K28-K48</f>
        <v>22.908169508919475</v>
      </c>
      <c r="L49" s="74">
        <f t="shared" si="53"/>
        <v>13.817770344080387</v>
      </c>
      <c r="M49" s="74">
        <f t="shared" si="53"/>
        <v>5.9992654828923753</v>
      </c>
      <c r="N49" s="74">
        <f t="shared" si="53"/>
        <v>15.060103414430394</v>
      </c>
      <c r="O49" s="74">
        <f t="shared" si="53"/>
        <v>11.685271549234576</v>
      </c>
      <c r="P49" s="74">
        <f t="shared" si="53"/>
        <v>22.096386150933142</v>
      </c>
      <c r="Q49" s="74">
        <f t="shared" si="53"/>
        <v>10.739347051089668</v>
      </c>
      <c r="R49" s="74">
        <f t="shared" si="53"/>
        <v>7.0353728012264192</v>
      </c>
      <c r="S49" s="74">
        <f t="shared" si="53"/>
        <v>17.587216821102931</v>
      </c>
      <c r="T49" s="74">
        <f t="shared" si="53"/>
        <v>10.408207676605866</v>
      </c>
      <c r="U49" s="74">
        <f t="shared" si="53"/>
        <v>18.976099283453507</v>
      </c>
      <c r="V49" s="74">
        <f t="shared" si="53"/>
        <v>9.1138026382164696</v>
      </c>
      <c r="W49" s="74">
        <f t="shared" si="53"/>
        <v>11.471770892151602</v>
      </c>
      <c r="X49" s="74">
        <f t="shared" si="53"/>
        <v>8.5979759285542272</v>
      </c>
      <c r="Y49" s="74">
        <f t="shared" si="53"/>
        <v>7.3016232521678033</v>
      </c>
      <c r="Z49" s="74">
        <f t="shared" si="53"/>
        <v>7.0459130194386077</v>
      </c>
      <c r="AA49" s="74">
        <f t="shared" si="53"/>
        <v>8.8362104240346451</v>
      </c>
      <c r="AB49" s="74">
        <f t="shared" si="53"/>
        <v>15.154340476367599</v>
      </c>
      <c r="AC49" s="74">
        <f t="shared" si="53"/>
        <v>7.7936237890678601</v>
      </c>
      <c r="AD49" s="74">
        <f t="shared" si="53"/>
        <v>6.9617724281502902</v>
      </c>
      <c r="AE49" s="74">
        <f t="shared" si="53"/>
        <v>16.278991697241867</v>
      </c>
      <c r="AF49" s="74">
        <f t="shared" si="53"/>
        <v>12.381491851362673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2665.1745800038261</v>
      </c>
      <c r="K50" s="70">
        <f t="shared" ref="K50:AF50" si="54">K48*K20</f>
        <v>200</v>
      </c>
      <c r="L50" s="70">
        <f t="shared" si="54"/>
        <v>1015.12464331296</v>
      </c>
      <c r="M50" s="70">
        <f t="shared" si="54"/>
        <v>97.978396558828237</v>
      </c>
      <c r="N50" s="70">
        <f t="shared" si="54"/>
        <v>820.00921780347664</v>
      </c>
      <c r="O50" s="70">
        <f t="shared" si="54"/>
        <v>659.28875939888076</v>
      </c>
      <c r="P50" s="70">
        <f t="shared" si="54"/>
        <v>1219.9811880714524</v>
      </c>
      <c r="Q50" s="70">
        <f t="shared" si="54"/>
        <v>118.08803153341725</v>
      </c>
      <c r="R50" s="70">
        <f t="shared" si="54"/>
        <v>199.64309404694492</v>
      </c>
      <c r="S50" s="70">
        <f t="shared" si="54"/>
        <v>446.82477688673396</v>
      </c>
      <c r="T50" s="70">
        <f t="shared" si="54"/>
        <v>279.93655124635075</v>
      </c>
      <c r="U50" s="70">
        <f t="shared" si="54"/>
        <v>208.50824509288296</v>
      </c>
      <c r="V50" s="70">
        <f t="shared" si="54"/>
        <v>188.80227608195165</v>
      </c>
      <c r="W50" s="70">
        <f t="shared" si="54"/>
        <v>159.99453846960733</v>
      </c>
      <c r="X50" s="70">
        <f t="shared" si="54"/>
        <v>179.9998420509522</v>
      </c>
      <c r="Y50" s="70">
        <f t="shared" si="54"/>
        <v>59.999997892689997</v>
      </c>
      <c r="Z50" s="70">
        <f t="shared" si="54"/>
        <v>59.999948440538525</v>
      </c>
      <c r="AA50" s="70">
        <f t="shared" si="54"/>
        <v>249.72048243939398</v>
      </c>
      <c r="AB50" s="70">
        <f t="shared" si="54"/>
        <v>396.13602421864346</v>
      </c>
      <c r="AC50" s="70">
        <f t="shared" si="54"/>
        <v>49.999995737626804</v>
      </c>
      <c r="AD50" s="70">
        <f t="shared" si="54"/>
        <v>119.99999994777532</v>
      </c>
      <c r="AE50" s="70">
        <f t="shared" si="54"/>
        <v>240</v>
      </c>
      <c r="AF50" s="70">
        <f t="shared" si="54"/>
        <v>100</v>
      </c>
      <c r="AG50" s="186">
        <f>SUM(J50:AF50)</f>
        <v>9735.2105892349337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1436.5565850659782</v>
      </c>
      <c r="K51" s="70">
        <f t="shared" ref="K51:AF51" si="55">(K20-K22)*K49</f>
        <v>4551.5783833881924</v>
      </c>
      <c r="L51" s="70">
        <f t="shared" si="55"/>
        <v>826.16448887256627</v>
      </c>
      <c r="M51" s="70">
        <f t="shared" si="55"/>
        <v>296.84365609351471</v>
      </c>
      <c r="N51" s="70">
        <f t="shared" si="55"/>
        <v>674.33119048453534</v>
      </c>
      <c r="O51" s="70">
        <f t="shared" si="55"/>
        <v>698.80260918732608</v>
      </c>
      <c r="P51" s="70">
        <f t="shared" si="55"/>
        <v>1101.3059821486588</v>
      </c>
      <c r="Q51" s="70">
        <f t="shared" si="55"/>
        <v>533.48780410993038</v>
      </c>
      <c r="R51" s="70">
        <f t="shared" si="55"/>
        <v>349.48917927372361</v>
      </c>
      <c r="S51" s="70">
        <f t="shared" si="55"/>
        <v>877.88351484217389</v>
      </c>
      <c r="T51" s="70">
        <f t="shared" si="55"/>
        <v>725.20227807519029</v>
      </c>
      <c r="U51" s="70">
        <f t="shared" si="55"/>
        <v>1326.1446984241484</v>
      </c>
      <c r="V51" s="70">
        <f t="shared" si="55"/>
        <v>452.81928407978529</v>
      </c>
      <c r="W51" s="70">
        <f t="shared" si="55"/>
        <v>913.80685395612011</v>
      </c>
      <c r="X51" s="70">
        <f t="shared" si="55"/>
        <v>513.94401112932894</v>
      </c>
      <c r="Y51" s="70">
        <f t="shared" si="55"/>
        <v>434.83356953634916</v>
      </c>
      <c r="Z51" s="70">
        <f t="shared" si="55"/>
        <v>418.98521770091685</v>
      </c>
      <c r="AA51" s="70">
        <f t="shared" si="55"/>
        <v>440.22000332540603</v>
      </c>
      <c r="AB51" s="70">
        <f t="shared" si="55"/>
        <v>755.97427466359761</v>
      </c>
      <c r="AC51" s="70">
        <f t="shared" si="55"/>
        <v>389.02652505511128</v>
      </c>
      <c r="AD51" s="70">
        <f t="shared" si="55"/>
        <v>414.03052984695404</v>
      </c>
      <c r="AE51" s="70">
        <f t="shared" si="55"/>
        <v>1949.8162305371447</v>
      </c>
      <c r="AF51" s="70">
        <f t="shared" si="55"/>
        <v>1233.803281496439</v>
      </c>
      <c r="AG51" s="51">
        <f>SUM(J51:AF51)</f>
        <v>21315.050151293093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0.41790503995408806</v>
      </c>
      <c r="K52" s="70">
        <f t="shared" ref="K52:AF52" si="56">K47*K23</f>
        <v>3.907565346149727E-162</v>
      </c>
      <c r="L52" s="70">
        <f t="shared" si="56"/>
        <v>0.12188391717600194</v>
      </c>
      <c r="M52" s="70">
        <f t="shared" si="56"/>
        <v>0.16172827529374087</v>
      </c>
      <c r="N52" s="70">
        <f t="shared" si="56"/>
        <v>2.1772042255614537</v>
      </c>
      <c r="O52" s="70">
        <f t="shared" si="56"/>
        <v>3.7932832059690329E-2</v>
      </c>
      <c r="P52" s="70">
        <f t="shared" si="56"/>
        <v>0.36022574314257194</v>
      </c>
      <c r="Q52" s="70">
        <f t="shared" si="56"/>
        <v>0.57441543239848936</v>
      </c>
      <c r="R52" s="70">
        <f t="shared" si="56"/>
        <v>6.4243071549913988E-3</v>
      </c>
      <c r="S52" s="70">
        <f t="shared" si="56"/>
        <v>1.9051338679596481E-2</v>
      </c>
      <c r="T52" s="70">
        <f t="shared" si="56"/>
        <v>8.1576968977599017E-4</v>
      </c>
      <c r="U52" s="70">
        <f t="shared" si="56"/>
        <v>1.0655392193693188E-2</v>
      </c>
      <c r="V52" s="70">
        <f t="shared" si="56"/>
        <v>0.29114082186925683</v>
      </c>
      <c r="W52" s="70">
        <f t="shared" si="56"/>
        <v>4.778839093588439E-5</v>
      </c>
      <c r="X52" s="70">
        <f t="shared" si="56"/>
        <v>6.5812103251764012E-6</v>
      </c>
      <c r="Y52" s="70">
        <f t="shared" si="56"/>
        <v>6.6731483333768961E-8</v>
      </c>
      <c r="Z52" s="70">
        <f t="shared" si="56"/>
        <v>1.2889865369116685E-6</v>
      </c>
      <c r="AA52" s="70">
        <f t="shared" si="56"/>
        <v>2.795175606060287E-3</v>
      </c>
      <c r="AB52" s="70">
        <f t="shared" si="56"/>
        <v>3.8639757813565372E-2</v>
      </c>
      <c r="AC52" s="70">
        <f t="shared" si="56"/>
        <v>2.5574239165799795E-8</v>
      </c>
      <c r="AD52" s="70">
        <f t="shared" si="56"/>
        <v>6.9632900529288886E-10</v>
      </c>
      <c r="AE52" s="70">
        <f t="shared" si="56"/>
        <v>-6.6805417891855642E-17</v>
      </c>
      <c r="AF52" s="70">
        <f t="shared" si="56"/>
        <v>2.2133682556639169E-24</v>
      </c>
      <c r="AG52" s="51">
        <f>SUM(J52:AF52)</f>
        <v>4.2208737801828251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541.93045013994379</v>
      </c>
      <c r="K53" s="70">
        <f t="shared" ref="K53:AF53" si="57">K21*K28</f>
        <v>1568.3759197851175</v>
      </c>
      <c r="L53" s="70">
        <f t="shared" si="57"/>
        <v>322.73340119261206</v>
      </c>
      <c r="M53" s="70">
        <f t="shared" si="57"/>
        <v>206.92966876579246</v>
      </c>
      <c r="N53" s="70">
        <f t="shared" si="57"/>
        <v>372.76434133937465</v>
      </c>
      <c r="O53" s="70">
        <f t="shared" si="57"/>
        <v>224.46683363823763</v>
      </c>
      <c r="P53" s="70">
        <f t="shared" si="57"/>
        <v>369.64327880327943</v>
      </c>
      <c r="Q53" s="70">
        <f t="shared" si="57"/>
        <v>212.23794444447978</v>
      </c>
      <c r="R53" s="70">
        <f t="shared" si="57"/>
        <v>178.65740185107813</v>
      </c>
      <c r="S53" s="70">
        <f t="shared" si="57"/>
        <v>111.39959190711797</v>
      </c>
      <c r="T53" s="70">
        <f t="shared" si="57"/>
        <v>233.39828050659906</v>
      </c>
      <c r="U53" s="70">
        <f t="shared" si="57"/>
        <v>126.24003386963021</v>
      </c>
      <c r="V53" s="70">
        <f t="shared" si="57"/>
        <v>203.01510851772417</v>
      </c>
      <c r="W53" s="70">
        <f t="shared" si="57"/>
        <v>231.03969998482208</v>
      </c>
      <c r="X53" s="70">
        <f t="shared" si="57"/>
        <v>130.47719958078858</v>
      </c>
      <c r="Y53" s="70">
        <f t="shared" si="57"/>
        <v>185.54127890097743</v>
      </c>
      <c r="Z53" s="70">
        <f t="shared" si="57"/>
        <v>215.22815028305618</v>
      </c>
      <c r="AA53" s="70">
        <f t="shared" si="57"/>
        <v>124.47558065540272</v>
      </c>
      <c r="AB53" s="70">
        <f t="shared" si="57"/>
        <v>132.69310052425769</v>
      </c>
      <c r="AC53" s="70">
        <f t="shared" si="57"/>
        <v>36.933219556045664</v>
      </c>
      <c r="AD53" s="70">
        <f t="shared" si="57"/>
        <v>236.59079208018883</v>
      </c>
      <c r="AE53" s="70">
        <f t="shared" si="57"/>
        <v>205.63865659397101</v>
      </c>
      <c r="AF53" s="70">
        <f t="shared" si="57"/>
        <v>234.84518199141493</v>
      </c>
      <c r="AG53" s="67">
        <f>SUM(J53:AF53)</f>
        <v>6405.2551149119136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3559.3828098899071</v>
      </c>
      <c r="K54" s="79">
        <f t="shared" ref="K54:AF54" si="58">K50+K51-K53-K52</f>
        <v>3183.2024636030746</v>
      </c>
      <c r="L54" s="79">
        <f t="shared" si="58"/>
        <v>1518.4338470757382</v>
      </c>
      <c r="M54" s="79">
        <f t="shared" si="58"/>
        <v>187.73065561125676</v>
      </c>
      <c r="N54" s="79">
        <f t="shared" si="58"/>
        <v>1119.398862723076</v>
      </c>
      <c r="O54" s="79">
        <f t="shared" si="58"/>
        <v>1133.5866021159097</v>
      </c>
      <c r="P54" s="79">
        <f t="shared" si="58"/>
        <v>1951.283665673689</v>
      </c>
      <c r="Q54" s="79">
        <f t="shared" si="58"/>
        <v>438.76347576646936</v>
      </c>
      <c r="R54" s="79">
        <f t="shared" si="58"/>
        <v>370.46844716243544</v>
      </c>
      <c r="S54" s="79">
        <f t="shared" si="58"/>
        <v>1213.2896484831101</v>
      </c>
      <c r="T54" s="79">
        <f t="shared" si="58"/>
        <v>771.73973304525225</v>
      </c>
      <c r="U54" s="79">
        <f t="shared" si="58"/>
        <v>1408.4022542552075</v>
      </c>
      <c r="V54" s="79">
        <f t="shared" si="58"/>
        <v>438.31531082214354</v>
      </c>
      <c r="W54" s="79">
        <f t="shared" si="58"/>
        <v>842.76164465251452</v>
      </c>
      <c r="X54" s="79">
        <f t="shared" si="58"/>
        <v>563.46664701828229</v>
      </c>
      <c r="Y54" s="79">
        <f t="shared" si="58"/>
        <v>309.2922884613302</v>
      </c>
      <c r="Z54" s="79">
        <f t="shared" si="58"/>
        <v>263.75701456941266</v>
      </c>
      <c r="AA54" s="79">
        <f t="shared" si="58"/>
        <v>565.46210993379123</v>
      </c>
      <c r="AB54" s="79">
        <f>AB50+AB51-AB53-AB52</f>
        <v>1019.3785586001698</v>
      </c>
      <c r="AC54" s="79">
        <f t="shared" si="58"/>
        <v>402.09330121111816</v>
      </c>
      <c r="AD54" s="79">
        <f t="shared" si="58"/>
        <v>297.43973771384412</v>
      </c>
      <c r="AE54" s="79">
        <f t="shared" si="58"/>
        <v>1984.1775739431737</v>
      </c>
      <c r="AF54" s="79">
        <f t="shared" si="58"/>
        <v>1098.9580995050242</v>
      </c>
      <c r="AG54" s="68">
        <f>SUM(J54:AF54)</f>
        <v>24640.784751835927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12118.094819458036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C03C6-4511-1546-B965-4A434641C7D9}">
  <dimension ref="A1:T29"/>
  <sheetViews>
    <sheetView tabSelected="1" zoomScale="110" zoomScaleNormal="110" workbookViewId="0">
      <selection activeCell="I25" sqref="I25"/>
    </sheetView>
  </sheetViews>
  <sheetFormatPr baseColWidth="10" defaultRowHeight="21" x14ac:dyDescent="0.35"/>
  <cols>
    <col min="1" max="1" width="10.83203125" style="111" bestFit="1" customWidth="1"/>
    <col min="2" max="2" width="9.6640625" style="111" bestFit="1" customWidth="1"/>
    <col min="3" max="3" width="9.1640625" style="111" bestFit="1" customWidth="1"/>
    <col min="4" max="4" width="10.1640625" style="111" bestFit="1" customWidth="1"/>
    <col min="5" max="6" width="8.83203125" style="111" customWidth="1"/>
    <col min="7" max="7" width="10.1640625" style="111" bestFit="1" customWidth="1"/>
    <col min="8" max="14" width="8.83203125" style="111" customWidth="1"/>
    <col min="15" max="15" width="13.1640625" style="111" bestFit="1" customWidth="1"/>
    <col min="16" max="16" width="10.1640625" style="111" bestFit="1" customWidth="1"/>
    <col min="17" max="239" width="8.83203125" style="111" customWidth="1"/>
    <col min="240" max="240" width="30.33203125" style="111" bestFit="1" customWidth="1"/>
    <col min="241" max="241" width="6.83203125" style="111" bestFit="1" customWidth="1"/>
    <col min="242" max="242" width="1.5" style="111" customWidth="1"/>
    <col min="243" max="243" width="4.33203125" style="111" customWidth="1"/>
    <col min="244" max="244" width="8" style="111" bestFit="1" customWidth="1"/>
    <col min="245" max="259" width="5.83203125" style="111" customWidth="1"/>
    <col min="260" max="495" width="8.83203125" style="111" customWidth="1"/>
    <col min="496" max="496" width="30.33203125" style="111" bestFit="1" customWidth="1"/>
    <col min="497" max="497" width="6.83203125" style="111" bestFit="1" customWidth="1"/>
    <col min="498" max="498" width="1.5" style="111" customWidth="1"/>
    <col min="499" max="499" width="4.33203125" style="111" customWidth="1"/>
    <col min="500" max="500" width="8" style="111" bestFit="1" customWidth="1"/>
    <col min="501" max="515" width="5.83203125" style="111" customWidth="1"/>
    <col min="516" max="751" width="8.83203125" style="111" customWidth="1"/>
    <col min="752" max="752" width="30.33203125" style="111" bestFit="1" customWidth="1"/>
    <col min="753" max="753" width="6.83203125" style="111" bestFit="1" customWidth="1"/>
    <col min="754" max="754" width="1.5" style="111" customWidth="1"/>
    <col min="755" max="755" width="4.33203125" style="111" customWidth="1"/>
    <col min="756" max="756" width="8" style="111" bestFit="1" customWidth="1"/>
    <col min="757" max="771" width="5.83203125" style="111" customWidth="1"/>
    <col min="772" max="1007" width="8.83203125" style="111" customWidth="1"/>
    <col min="1008" max="1008" width="30.33203125" style="111" bestFit="1" customWidth="1"/>
    <col min="1009" max="1009" width="6.83203125" style="111" bestFit="1" customWidth="1"/>
    <col min="1010" max="1010" width="1.5" style="111" customWidth="1"/>
    <col min="1011" max="1011" width="4.33203125" style="111" customWidth="1"/>
    <col min="1012" max="1012" width="8" style="111" bestFit="1" customWidth="1"/>
    <col min="1013" max="1027" width="5.83203125" style="111" customWidth="1"/>
    <col min="1028" max="1263" width="8.83203125" style="111" customWidth="1"/>
    <col min="1264" max="1264" width="30.33203125" style="111" bestFit="1" customWidth="1"/>
    <col min="1265" max="1265" width="6.83203125" style="111" bestFit="1" customWidth="1"/>
    <col min="1266" max="1266" width="1.5" style="111" customWidth="1"/>
    <col min="1267" max="1267" width="4.33203125" style="111" customWidth="1"/>
    <col min="1268" max="1268" width="8" style="111" bestFit="1" customWidth="1"/>
    <col min="1269" max="1283" width="5.83203125" style="111" customWidth="1"/>
    <col min="1284" max="1519" width="8.83203125" style="111" customWidth="1"/>
    <col min="1520" max="1520" width="30.33203125" style="111" bestFit="1" customWidth="1"/>
    <col min="1521" max="1521" width="6.83203125" style="111" bestFit="1" customWidth="1"/>
    <col min="1522" max="1522" width="1.5" style="111" customWidth="1"/>
    <col min="1523" max="1523" width="4.33203125" style="111" customWidth="1"/>
    <col min="1524" max="1524" width="8" style="111" bestFit="1" customWidth="1"/>
    <col min="1525" max="1539" width="5.83203125" style="111" customWidth="1"/>
    <col min="1540" max="1775" width="8.83203125" style="111" customWidth="1"/>
    <col min="1776" max="1776" width="30.33203125" style="111" bestFit="1" customWidth="1"/>
    <col min="1777" max="1777" width="6.83203125" style="111" bestFit="1" customWidth="1"/>
    <col min="1778" max="1778" width="1.5" style="111" customWidth="1"/>
    <col min="1779" max="1779" width="4.33203125" style="111" customWidth="1"/>
    <col min="1780" max="1780" width="8" style="111" bestFit="1" customWidth="1"/>
    <col min="1781" max="1795" width="5.83203125" style="111" customWidth="1"/>
    <col min="1796" max="2031" width="8.83203125" style="111" customWidth="1"/>
    <col min="2032" max="2032" width="30.33203125" style="111" bestFit="1" customWidth="1"/>
    <col min="2033" max="2033" width="6.83203125" style="111" bestFit="1" customWidth="1"/>
    <col min="2034" max="2034" width="1.5" style="111" customWidth="1"/>
    <col min="2035" max="2035" width="4.33203125" style="111" customWidth="1"/>
    <col min="2036" max="2036" width="8" style="111" bestFit="1" customWidth="1"/>
    <col min="2037" max="2051" width="5.83203125" style="111" customWidth="1"/>
    <col min="2052" max="2287" width="8.83203125" style="111" customWidth="1"/>
    <col min="2288" max="2288" width="30.33203125" style="111" bestFit="1" customWidth="1"/>
    <col min="2289" max="2289" width="6.83203125" style="111" bestFit="1" customWidth="1"/>
    <col min="2290" max="2290" width="1.5" style="111" customWidth="1"/>
    <col min="2291" max="2291" width="4.33203125" style="111" customWidth="1"/>
    <col min="2292" max="2292" width="8" style="111" bestFit="1" customWidth="1"/>
    <col min="2293" max="2307" width="5.83203125" style="111" customWidth="1"/>
    <col min="2308" max="2543" width="8.83203125" style="111" customWidth="1"/>
    <col min="2544" max="2544" width="30.33203125" style="111" bestFit="1" customWidth="1"/>
    <col min="2545" max="2545" width="6.83203125" style="111" bestFit="1" customWidth="1"/>
    <col min="2546" max="2546" width="1.5" style="111" customWidth="1"/>
    <col min="2547" max="2547" width="4.33203125" style="111" customWidth="1"/>
    <col min="2548" max="2548" width="8" style="111" bestFit="1" customWidth="1"/>
    <col min="2549" max="2563" width="5.83203125" style="111" customWidth="1"/>
    <col min="2564" max="2799" width="8.83203125" style="111" customWidth="1"/>
    <col min="2800" max="2800" width="30.33203125" style="111" bestFit="1" customWidth="1"/>
    <col min="2801" max="2801" width="6.83203125" style="111" bestFit="1" customWidth="1"/>
    <col min="2802" max="2802" width="1.5" style="111" customWidth="1"/>
    <col min="2803" max="2803" width="4.33203125" style="111" customWidth="1"/>
    <col min="2804" max="2804" width="8" style="111" bestFit="1" customWidth="1"/>
    <col min="2805" max="2819" width="5.83203125" style="111" customWidth="1"/>
    <col min="2820" max="3055" width="8.83203125" style="111" customWidth="1"/>
    <col min="3056" max="3056" width="30.33203125" style="111" bestFit="1" customWidth="1"/>
    <col min="3057" max="3057" width="6.83203125" style="111" bestFit="1" customWidth="1"/>
    <col min="3058" max="3058" width="1.5" style="111" customWidth="1"/>
    <col min="3059" max="3059" width="4.33203125" style="111" customWidth="1"/>
    <col min="3060" max="3060" width="8" style="111" bestFit="1" customWidth="1"/>
    <col min="3061" max="3075" width="5.83203125" style="111" customWidth="1"/>
    <col min="3076" max="3311" width="8.83203125" style="111" customWidth="1"/>
    <col min="3312" max="3312" width="30.33203125" style="111" bestFit="1" customWidth="1"/>
    <col min="3313" max="3313" width="6.83203125" style="111" bestFit="1" customWidth="1"/>
    <col min="3314" max="3314" width="1.5" style="111" customWidth="1"/>
    <col min="3315" max="3315" width="4.33203125" style="111" customWidth="1"/>
    <col min="3316" max="3316" width="8" style="111" bestFit="1" customWidth="1"/>
    <col min="3317" max="3331" width="5.83203125" style="111" customWidth="1"/>
    <col min="3332" max="3567" width="8.83203125" style="111" customWidth="1"/>
    <col min="3568" max="3568" width="30.33203125" style="111" bestFit="1" customWidth="1"/>
    <col min="3569" max="3569" width="6.83203125" style="111" bestFit="1" customWidth="1"/>
    <col min="3570" max="3570" width="1.5" style="111" customWidth="1"/>
    <col min="3571" max="3571" width="4.33203125" style="111" customWidth="1"/>
    <col min="3572" max="3572" width="8" style="111" bestFit="1" customWidth="1"/>
    <col min="3573" max="3587" width="5.83203125" style="111" customWidth="1"/>
    <col min="3588" max="3823" width="8.83203125" style="111" customWidth="1"/>
    <col min="3824" max="3824" width="30.33203125" style="111" bestFit="1" customWidth="1"/>
    <col min="3825" max="3825" width="6.83203125" style="111" bestFit="1" customWidth="1"/>
    <col min="3826" max="3826" width="1.5" style="111" customWidth="1"/>
    <col min="3827" max="3827" width="4.33203125" style="111" customWidth="1"/>
    <col min="3828" max="3828" width="8" style="111" bestFit="1" customWidth="1"/>
    <col min="3829" max="3843" width="5.83203125" style="111" customWidth="1"/>
    <col min="3844" max="4079" width="8.83203125" style="111" customWidth="1"/>
    <col min="4080" max="4080" width="30.33203125" style="111" bestFit="1" customWidth="1"/>
    <col min="4081" max="4081" width="6.83203125" style="111" bestFit="1" customWidth="1"/>
    <col min="4082" max="4082" width="1.5" style="111" customWidth="1"/>
    <col min="4083" max="4083" width="4.33203125" style="111" customWidth="1"/>
    <col min="4084" max="4084" width="8" style="111" bestFit="1" customWidth="1"/>
    <col min="4085" max="4099" width="5.83203125" style="111" customWidth="1"/>
    <col min="4100" max="4335" width="8.83203125" style="111" customWidth="1"/>
    <col min="4336" max="4336" width="30.33203125" style="111" bestFit="1" customWidth="1"/>
    <col min="4337" max="4337" width="6.83203125" style="111" bestFit="1" customWidth="1"/>
    <col min="4338" max="4338" width="1.5" style="111" customWidth="1"/>
    <col min="4339" max="4339" width="4.33203125" style="111" customWidth="1"/>
    <col min="4340" max="4340" width="8" style="111" bestFit="1" customWidth="1"/>
    <col min="4341" max="4355" width="5.83203125" style="111" customWidth="1"/>
    <col min="4356" max="4591" width="8.83203125" style="111" customWidth="1"/>
    <col min="4592" max="4592" width="30.33203125" style="111" bestFit="1" customWidth="1"/>
    <col min="4593" max="4593" width="6.83203125" style="111" bestFit="1" customWidth="1"/>
    <col min="4594" max="4594" width="1.5" style="111" customWidth="1"/>
    <col min="4595" max="4595" width="4.33203125" style="111" customWidth="1"/>
    <col min="4596" max="4596" width="8" style="111" bestFit="1" customWidth="1"/>
    <col min="4597" max="4611" width="5.83203125" style="111" customWidth="1"/>
    <col min="4612" max="4847" width="8.83203125" style="111" customWidth="1"/>
    <col min="4848" max="4848" width="30.33203125" style="111" bestFit="1" customWidth="1"/>
    <col min="4849" max="4849" width="6.83203125" style="111" bestFit="1" customWidth="1"/>
    <col min="4850" max="4850" width="1.5" style="111" customWidth="1"/>
    <col min="4851" max="4851" width="4.33203125" style="111" customWidth="1"/>
    <col min="4852" max="4852" width="8" style="111" bestFit="1" customWidth="1"/>
    <col min="4853" max="4867" width="5.83203125" style="111" customWidth="1"/>
    <col min="4868" max="5103" width="8.83203125" style="111" customWidth="1"/>
    <col min="5104" max="5104" width="30.33203125" style="111" bestFit="1" customWidth="1"/>
    <col min="5105" max="5105" width="6.83203125" style="111" bestFit="1" customWidth="1"/>
    <col min="5106" max="5106" width="1.5" style="111" customWidth="1"/>
    <col min="5107" max="5107" width="4.33203125" style="111" customWidth="1"/>
    <col min="5108" max="5108" width="8" style="111" bestFit="1" customWidth="1"/>
    <col min="5109" max="5123" width="5.83203125" style="111" customWidth="1"/>
    <col min="5124" max="5359" width="8.83203125" style="111" customWidth="1"/>
    <col min="5360" max="5360" width="30.33203125" style="111" bestFit="1" customWidth="1"/>
    <col min="5361" max="5361" width="6.83203125" style="111" bestFit="1" customWidth="1"/>
    <col min="5362" max="5362" width="1.5" style="111" customWidth="1"/>
    <col min="5363" max="5363" width="4.33203125" style="111" customWidth="1"/>
    <col min="5364" max="5364" width="8" style="111" bestFit="1" customWidth="1"/>
    <col min="5365" max="5379" width="5.83203125" style="111" customWidth="1"/>
    <col min="5380" max="5615" width="8.83203125" style="111" customWidth="1"/>
    <col min="5616" max="5616" width="30.33203125" style="111" bestFit="1" customWidth="1"/>
    <col min="5617" max="5617" width="6.83203125" style="111" bestFit="1" customWidth="1"/>
    <col min="5618" max="5618" width="1.5" style="111" customWidth="1"/>
    <col min="5619" max="5619" width="4.33203125" style="111" customWidth="1"/>
    <col min="5620" max="5620" width="8" style="111" bestFit="1" customWidth="1"/>
    <col min="5621" max="5635" width="5.83203125" style="111" customWidth="1"/>
    <col min="5636" max="5871" width="8.83203125" style="111" customWidth="1"/>
    <col min="5872" max="5872" width="30.33203125" style="111" bestFit="1" customWidth="1"/>
    <col min="5873" max="5873" width="6.83203125" style="111" bestFit="1" customWidth="1"/>
    <col min="5874" max="5874" width="1.5" style="111" customWidth="1"/>
    <col min="5875" max="5875" width="4.33203125" style="111" customWidth="1"/>
    <col min="5876" max="5876" width="8" style="111" bestFit="1" customWidth="1"/>
    <col min="5877" max="5891" width="5.83203125" style="111" customWidth="1"/>
    <col min="5892" max="6127" width="8.83203125" style="111" customWidth="1"/>
    <col min="6128" max="6128" width="30.33203125" style="111" bestFit="1" customWidth="1"/>
    <col min="6129" max="6129" width="6.83203125" style="111" bestFit="1" customWidth="1"/>
    <col min="6130" max="6130" width="1.5" style="111" customWidth="1"/>
    <col min="6131" max="6131" width="4.33203125" style="111" customWidth="1"/>
    <col min="6132" max="6132" width="8" style="111" bestFit="1" customWidth="1"/>
    <col min="6133" max="6147" width="5.83203125" style="111" customWidth="1"/>
    <col min="6148" max="6383" width="8.83203125" style="111" customWidth="1"/>
    <col min="6384" max="6384" width="30.33203125" style="111" bestFit="1" customWidth="1"/>
    <col min="6385" max="6385" width="6.83203125" style="111" bestFit="1" customWidth="1"/>
    <col min="6386" max="6386" width="1.5" style="111" customWidth="1"/>
    <col min="6387" max="6387" width="4.33203125" style="111" customWidth="1"/>
    <col min="6388" max="6388" width="8" style="111" bestFit="1" customWidth="1"/>
    <col min="6389" max="6403" width="5.83203125" style="111" customWidth="1"/>
    <col min="6404" max="6639" width="8.83203125" style="111" customWidth="1"/>
    <col min="6640" max="6640" width="30.33203125" style="111" bestFit="1" customWidth="1"/>
    <col min="6641" max="6641" width="6.83203125" style="111" bestFit="1" customWidth="1"/>
    <col min="6642" max="6642" width="1.5" style="111" customWidth="1"/>
    <col min="6643" max="6643" width="4.33203125" style="111" customWidth="1"/>
    <col min="6644" max="6644" width="8" style="111" bestFit="1" customWidth="1"/>
    <col min="6645" max="6659" width="5.83203125" style="111" customWidth="1"/>
    <col min="6660" max="6895" width="8.83203125" style="111" customWidth="1"/>
    <col min="6896" max="6896" width="30.33203125" style="111" bestFit="1" customWidth="1"/>
    <col min="6897" max="6897" width="6.83203125" style="111" bestFit="1" customWidth="1"/>
    <col min="6898" max="6898" width="1.5" style="111" customWidth="1"/>
    <col min="6899" max="6899" width="4.33203125" style="111" customWidth="1"/>
    <col min="6900" max="6900" width="8" style="111" bestFit="1" customWidth="1"/>
    <col min="6901" max="6915" width="5.83203125" style="111" customWidth="1"/>
    <col min="6916" max="7151" width="8.83203125" style="111" customWidth="1"/>
    <col min="7152" max="7152" width="30.33203125" style="111" bestFit="1" customWidth="1"/>
    <col min="7153" max="7153" width="6.83203125" style="111" bestFit="1" customWidth="1"/>
    <col min="7154" max="7154" width="1.5" style="111" customWidth="1"/>
    <col min="7155" max="7155" width="4.33203125" style="111" customWidth="1"/>
    <col min="7156" max="7156" width="8" style="111" bestFit="1" customWidth="1"/>
    <col min="7157" max="7171" width="5.83203125" style="111" customWidth="1"/>
    <col min="7172" max="7407" width="8.83203125" style="111" customWidth="1"/>
    <col min="7408" max="7408" width="30.33203125" style="111" bestFit="1" customWidth="1"/>
    <col min="7409" max="7409" width="6.83203125" style="111" bestFit="1" customWidth="1"/>
    <col min="7410" max="7410" width="1.5" style="111" customWidth="1"/>
    <col min="7411" max="7411" width="4.33203125" style="111" customWidth="1"/>
    <col min="7412" max="7412" width="8" style="111" bestFit="1" customWidth="1"/>
    <col min="7413" max="7427" width="5.83203125" style="111" customWidth="1"/>
    <col min="7428" max="7663" width="8.83203125" style="111" customWidth="1"/>
    <col min="7664" max="7664" width="30.33203125" style="111" bestFit="1" customWidth="1"/>
    <col min="7665" max="7665" width="6.83203125" style="111" bestFit="1" customWidth="1"/>
    <col min="7666" max="7666" width="1.5" style="111" customWidth="1"/>
    <col min="7667" max="7667" width="4.33203125" style="111" customWidth="1"/>
    <col min="7668" max="7668" width="8" style="111" bestFit="1" customWidth="1"/>
    <col min="7669" max="7683" width="5.83203125" style="111" customWidth="1"/>
    <col min="7684" max="7919" width="8.83203125" style="111" customWidth="1"/>
    <col min="7920" max="7920" width="30.33203125" style="111" bestFit="1" customWidth="1"/>
    <col min="7921" max="7921" width="6.83203125" style="111" bestFit="1" customWidth="1"/>
    <col min="7922" max="7922" width="1.5" style="111" customWidth="1"/>
    <col min="7923" max="7923" width="4.33203125" style="111" customWidth="1"/>
    <col min="7924" max="7924" width="8" style="111" bestFit="1" customWidth="1"/>
    <col min="7925" max="7939" width="5.83203125" style="111" customWidth="1"/>
    <col min="7940" max="8175" width="8.83203125" style="111" customWidth="1"/>
    <col min="8176" max="8176" width="30.33203125" style="111" bestFit="1" customWidth="1"/>
    <col min="8177" max="8177" width="6.83203125" style="111" bestFit="1" customWidth="1"/>
    <col min="8178" max="8178" width="1.5" style="111" customWidth="1"/>
    <col min="8179" max="8179" width="4.33203125" style="111" customWidth="1"/>
    <col min="8180" max="8180" width="8" style="111" bestFit="1" customWidth="1"/>
    <col min="8181" max="8195" width="5.83203125" style="111" customWidth="1"/>
    <col min="8196" max="8431" width="8.83203125" style="111" customWidth="1"/>
    <col min="8432" max="8432" width="30.33203125" style="111" bestFit="1" customWidth="1"/>
    <col min="8433" max="8433" width="6.83203125" style="111" bestFit="1" customWidth="1"/>
    <col min="8434" max="8434" width="1.5" style="111" customWidth="1"/>
    <col min="8435" max="8435" width="4.33203125" style="111" customWidth="1"/>
    <col min="8436" max="8436" width="8" style="111" bestFit="1" customWidth="1"/>
    <col min="8437" max="8451" width="5.83203125" style="111" customWidth="1"/>
    <col min="8452" max="8687" width="8.83203125" style="111" customWidth="1"/>
    <col min="8688" max="8688" width="30.33203125" style="111" bestFit="1" customWidth="1"/>
    <col min="8689" max="8689" width="6.83203125" style="111" bestFit="1" customWidth="1"/>
    <col min="8690" max="8690" width="1.5" style="111" customWidth="1"/>
    <col min="8691" max="8691" width="4.33203125" style="111" customWidth="1"/>
    <col min="8692" max="8692" width="8" style="111" bestFit="1" customWidth="1"/>
    <col min="8693" max="8707" width="5.83203125" style="111" customWidth="1"/>
    <col min="8708" max="8943" width="8.83203125" style="111" customWidth="1"/>
    <col min="8944" max="8944" width="30.33203125" style="111" bestFit="1" customWidth="1"/>
    <col min="8945" max="8945" width="6.83203125" style="111" bestFit="1" customWidth="1"/>
    <col min="8946" max="8946" width="1.5" style="111" customWidth="1"/>
    <col min="8947" max="8947" width="4.33203125" style="111" customWidth="1"/>
    <col min="8948" max="8948" width="8" style="111" bestFit="1" customWidth="1"/>
    <col min="8949" max="8963" width="5.83203125" style="111" customWidth="1"/>
    <col min="8964" max="9199" width="8.83203125" style="111" customWidth="1"/>
    <col min="9200" max="9200" width="30.33203125" style="111" bestFit="1" customWidth="1"/>
    <col min="9201" max="9201" width="6.83203125" style="111" bestFit="1" customWidth="1"/>
    <col min="9202" max="9202" width="1.5" style="111" customWidth="1"/>
    <col min="9203" max="9203" width="4.33203125" style="111" customWidth="1"/>
    <col min="9204" max="9204" width="8" style="111" bestFit="1" customWidth="1"/>
    <col min="9205" max="9219" width="5.83203125" style="111" customWidth="1"/>
    <col min="9220" max="9455" width="8.83203125" style="111" customWidth="1"/>
    <col min="9456" max="9456" width="30.33203125" style="111" bestFit="1" customWidth="1"/>
    <col min="9457" max="9457" width="6.83203125" style="111" bestFit="1" customWidth="1"/>
    <col min="9458" max="9458" width="1.5" style="111" customWidth="1"/>
    <col min="9459" max="9459" width="4.33203125" style="111" customWidth="1"/>
    <col min="9460" max="9460" width="8" style="111" bestFit="1" customWidth="1"/>
    <col min="9461" max="9475" width="5.83203125" style="111" customWidth="1"/>
    <col min="9476" max="9711" width="8.83203125" style="111" customWidth="1"/>
    <col min="9712" max="9712" width="30.33203125" style="111" bestFit="1" customWidth="1"/>
    <col min="9713" max="9713" width="6.83203125" style="111" bestFit="1" customWidth="1"/>
    <col min="9714" max="9714" width="1.5" style="111" customWidth="1"/>
    <col min="9715" max="9715" width="4.33203125" style="111" customWidth="1"/>
    <col min="9716" max="9716" width="8" style="111" bestFit="1" customWidth="1"/>
    <col min="9717" max="9731" width="5.83203125" style="111" customWidth="1"/>
    <col min="9732" max="9967" width="8.83203125" style="111" customWidth="1"/>
    <col min="9968" max="9968" width="30.33203125" style="111" bestFit="1" customWidth="1"/>
    <col min="9969" max="9969" width="6.83203125" style="111" bestFit="1" customWidth="1"/>
    <col min="9970" max="9970" width="1.5" style="111" customWidth="1"/>
    <col min="9971" max="9971" width="4.33203125" style="111" customWidth="1"/>
    <col min="9972" max="9972" width="8" style="111" bestFit="1" customWidth="1"/>
    <col min="9973" max="9987" width="5.83203125" style="111" customWidth="1"/>
    <col min="9988" max="10223" width="8.83203125" style="111" customWidth="1"/>
    <col min="10224" max="10224" width="30.33203125" style="111" bestFit="1" customWidth="1"/>
    <col min="10225" max="10225" width="6.83203125" style="111" bestFit="1" customWidth="1"/>
    <col min="10226" max="10226" width="1.5" style="111" customWidth="1"/>
    <col min="10227" max="10227" width="4.33203125" style="111" customWidth="1"/>
    <col min="10228" max="10228" width="8" style="111" bestFit="1" customWidth="1"/>
    <col min="10229" max="10243" width="5.83203125" style="111" customWidth="1"/>
    <col min="10244" max="10479" width="8.83203125" style="111" customWidth="1"/>
    <col min="10480" max="10480" width="30.33203125" style="111" bestFit="1" customWidth="1"/>
    <col min="10481" max="10481" width="6.83203125" style="111" bestFit="1" customWidth="1"/>
    <col min="10482" max="10482" width="1.5" style="111" customWidth="1"/>
    <col min="10483" max="10483" width="4.33203125" style="111" customWidth="1"/>
    <col min="10484" max="10484" width="8" style="111" bestFit="1" customWidth="1"/>
    <col min="10485" max="10499" width="5.83203125" style="111" customWidth="1"/>
    <col min="10500" max="10735" width="8.83203125" style="111" customWidth="1"/>
    <col min="10736" max="10736" width="30.33203125" style="111" bestFit="1" customWidth="1"/>
    <col min="10737" max="10737" width="6.83203125" style="111" bestFit="1" customWidth="1"/>
    <col min="10738" max="10738" width="1.5" style="111" customWidth="1"/>
    <col min="10739" max="10739" width="4.33203125" style="111" customWidth="1"/>
    <col min="10740" max="10740" width="8" style="111" bestFit="1" customWidth="1"/>
    <col min="10741" max="10755" width="5.83203125" style="111" customWidth="1"/>
    <col min="10756" max="10991" width="8.83203125" style="111" customWidth="1"/>
    <col min="10992" max="10992" width="30.33203125" style="111" bestFit="1" customWidth="1"/>
    <col min="10993" max="10993" width="6.83203125" style="111" bestFit="1" customWidth="1"/>
    <col min="10994" max="10994" width="1.5" style="111" customWidth="1"/>
    <col min="10995" max="10995" width="4.33203125" style="111" customWidth="1"/>
    <col min="10996" max="10996" width="8" style="111" bestFit="1" customWidth="1"/>
    <col min="10997" max="11011" width="5.83203125" style="111" customWidth="1"/>
    <col min="11012" max="11247" width="8.83203125" style="111" customWidth="1"/>
    <col min="11248" max="11248" width="30.33203125" style="111" bestFit="1" customWidth="1"/>
    <col min="11249" max="11249" width="6.83203125" style="111" bestFit="1" customWidth="1"/>
    <col min="11250" max="11250" width="1.5" style="111" customWidth="1"/>
    <col min="11251" max="11251" width="4.33203125" style="111" customWidth="1"/>
    <col min="11252" max="11252" width="8" style="111" bestFit="1" customWidth="1"/>
    <col min="11253" max="11267" width="5.83203125" style="111" customWidth="1"/>
    <col min="11268" max="11503" width="8.83203125" style="111" customWidth="1"/>
    <col min="11504" max="11504" width="30.33203125" style="111" bestFit="1" customWidth="1"/>
    <col min="11505" max="11505" width="6.83203125" style="111" bestFit="1" customWidth="1"/>
    <col min="11506" max="11506" width="1.5" style="111" customWidth="1"/>
    <col min="11507" max="11507" width="4.33203125" style="111" customWidth="1"/>
    <col min="11508" max="11508" width="8" style="111" bestFit="1" customWidth="1"/>
    <col min="11509" max="11523" width="5.83203125" style="111" customWidth="1"/>
    <col min="11524" max="11759" width="8.83203125" style="111" customWidth="1"/>
    <col min="11760" max="11760" width="30.33203125" style="111" bestFit="1" customWidth="1"/>
    <col min="11761" max="11761" width="6.83203125" style="111" bestFit="1" customWidth="1"/>
    <col min="11762" max="11762" width="1.5" style="111" customWidth="1"/>
    <col min="11763" max="11763" width="4.33203125" style="111" customWidth="1"/>
    <col min="11764" max="11764" width="8" style="111" bestFit="1" customWidth="1"/>
    <col min="11765" max="11779" width="5.83203125" style="111" customWidth="1"/>
    <col min="11780" max="12015" width="8.83203125" style="111" customWidth="1"/>
    <col min="12016" max="12016" width="30.33203125" style="111" bestFit="1" customWidth="1"/>
    <col min="12017" max="12017" width="6.83203125" style="111" bestFit="1" customWidth="1"/>
    <col min="12018" max="12018" width="1.5" style="111" customWidth="1"/>
    <col min="12019" max="12019" width="4.33203125" style="111" customWidth="1"/>
    <col min="12020" max="12020" width="8" style="111" bestFit="1" customWidth="1"/>
    <col min="12021" max="12035" width="5.83203125" style="111" customWidth="1"/>
    <col min="12036" max="12271" width="8.83203125" style="111" customWidth="1"/>
    <col min="12272" max="12272" width="30.33203125" style="111" bestFit="1" customWidth="1"/>
    <col min="12273" max="12273" width="6.83203125" style="111" bestFit="1" customWidth="1"/>
    <col min="12274" max="12274" width="1.5" style="111" customWidth="1"/>
    <col min="12275" max="12275" width="4.33203125" style="111" customWidth="1"/>
    <col min="12276" max="12276" width="8" style="111" bestFit="1" customWidth="1"/>
    <col min="12277" max="12291" width="5.83203125" style="111" customWidth="1"/>
    <col min="12292" max="12527" width="8.83203125" style="111" customWidth="1"/>
    <col min="12528" max="12528" width="30.33203125" style="111" bestFit="1" customWidth="1"/>
    <col min="12529" max="12529" width="6.83203125" style="111" bestFit="1" customWidth="1"/>
    <col min="12530" max="12530" width="1.5" style="111" customWidth="1"/>
    <col min="12531" max="12531" width="4.33203125" style="111" customWidth="1"/>
    <col min="12532" max="12532" width="8" style="111" bestFit="1" customWidth="1"/>
    <col min="12533" max="12547" width="5.83203125" style="111" customWidth="1"/>
    <col min="12548" max="12783" width="8.83203125" style="111" customWidth="1"/>
    <col min="12784" max="12784" width="30.33203125" style="111" bestFit="1" customWidth="1"/>
    <col min="12785" max="12785" width="6.83203125" style="111" bestFit="1" customWidth="1"/>
    <col min="12786" max="12786" width="1.5" style="111" customWidth="1"/>
    <col min="12787" max="12787" width="4.33203125" style="111" customWidth="1"/>
    <col min="12788" max="12788" width="8" style="111" bestFit="1" customWidth="1"/>
    <col min="12789" max="12803" width="5.83203125" style="111" customWidth="1"/>
    <col min="12804" max="13039" width="8.83203125" style="111" customWidth="1"/>
    <col min="13040" max="13040" width="30.33203125" style="111" bestFit="1" customWidth="1"/>
    <col min="13041" max="13041" width="6.83203125" style="111" bestFit="1" customWidth="1"/>
    <col min="13042" max="13042" width="1.5" style="111" customWidth="1"/>
    <col min="13043" max="13043" width="4.33203125" style="111" customWidth="1"/>
    <col min="13044" max="13044" width="8" style="111" bestFit="1" customWidth="1"/>
    <col min="13045" max="13059" width="5.83203125" style="111" customWidth="1"/>
    <col min="13060" max="13295" width="8.83203125" style="111" customWidth="1"/>
    <col min="13296" max="13296" width="30.33203125" style="111" bestFit="1" customWidth="1"/>
    <col min="13297" max="13297" width="6.83203125" style="111" bestFit="1" customWidth="1"/>
    <col min="13298" max="13298" width="1.5" style="111" customWidth="1"/>
    <col min="13299" max="13299" width="4.33203125" style="111" customWidth="1"/>
    <col min="13300" max="13300" width="8" style="111" bestFit="1" customWidth="1"/>
    <col min="13301" max="13315" width="5.83203125" style="111" customWidth="1"/>
    <col min="13316" max="13551" width="8.83203125" style="111" customWidth="1"/>
    <col min="13552" max="13552" width="30.33203125" style="111" bestFit="1" customWidth="1"/>
    <col min="13553" max="13553" width="6.83203125" style="111" bestFit="1" customWidth="1"/>
    <col min="13554" max="13554" width="1.5" style="111" customWidth="1"/>
    <col min="13555" max="13555" width="4.33203125" style="111" customWidth="1"/>
    <col min="13556" max="13556" width="8" style="111" bestFit="1" customWidth="1"/>
    <col min="13557" max="13571" width="5.83203125" style="111" customWidth="1"/>
    <col min="13572" max="13807" width="8.83203125" style="111" customWidth="1"/>
    <col min="13808" max="13808" width="30.33203125" style="111" bestFit="1" customWidth="1"/>
    <col min="13809" max="13809" width="6.83203125" style="111" bestFit="1" customWidth="1"/>
    <col min="13810" max="13810" width="1.5" style="111" customWidth="1"/>
    <col min="13811" max="13811" width="4.33203125" style="111" customWidth="1"/>
    <col min="13812" max="13812" width="8" style="111" bestFit="1" customWidth="1"/>
    <col min="13813" max="13827" width="5.83203125" style="111" customWidth="1"/>
    <col min="13828" max="14063" width="8.83203125" style="111" customWidth="1"/>
    <col min="14064" max="14064" width="30.33203125" style="111" bestFit="1" customWidth="1"/>
    <col min="14065" max="14065" width="6.83203125" style="111" bestFit="1" customWidth="1"/>
    <col min="14066" max="14066" width="1.5" style="111" customWidth="1"/>
    <col min="14067" max="14067" width="4.33203125" style="111" customWidth="1"/>
    <col min="14068" max="14068" width="8" style="111" bestFit="1" customWidth="1"/>
    <col min="14069" max="14083" width="5.83203125" style="111" customWidth="1"/>
    <col min="14084" max="14319" width="8.83203125" style="111" customWidth="1"/>
    <col min="14320" max="14320" width="30.33203125" style="111" bestFit="1" customWidth="1"/>
    <col min="14321" max="14321" width="6.83203125" style="111" bestFit="1" customWidth="1"/>
    <col min="14322" max="14322" width="1.5" style="111" customWidth="1"/>
    <col min="14323" max="14323" width="4.33203125" style="111" customWidth="1"/>
    <col min="14324" max="14324" width="8" style="111" bestFit="1" customWidth="1"/>
    <col min="14325" max="14339" width="5.83203125" style="111" customWidth="1"/>
    <col min="14340" max="14575" width="8.83203125" style="111" customWidth="1"/>
    <col min="14576" max="14576" width="30.33203125" style="111" bestFit="1" customWidth="1"/>
    <col min="14577" max="14577" width="6.83203125" style="111" bestFit="1" customWidth="1"/>
    <col min="14578" max="14578" width="1.5" style="111" customWidth="1"/>
    <col min="14579" max="14579" width="4.33203125" style="111" customWidth="1"/>
    <col min="14580" max="14580" width="8" style="111" bestFit="1" customWidth="1"/>
    <col min="14581" max="14595" width="5.83203125" style="111" customWidth="1"/>
    <col min="14596" max="14831" width="8.83203125" style="111" customWidth="1"/>
    <col min="14832" max="14832" width="30.33203125" style="111" bestFit="1" customWidth="1"/>
    <col min="14833" max="14833" width="6.83203125" style="111" bestFit="1" customWidth="1"/>
    <col min="14834" max="14834" width="1.5" style="111" customWidth="1"/>
    <col min="14835" max="14835" width="4.33203125" style="111" customWidth="1"/>
    <col min="14836" max="14836" width="8" style="111" bestFit="1" customWidth="1"/>
    <col min="14837" max="14851" width="5.83203125" style="111" customWidth="1"/>
    <col min="14852" max="15087" width="8.83203125" style="111" customWidth="1"/>
    <col min="15088" max="15088" width="30.33203125" style="111" bestFit="1" customWidth="1"/>
    <col min="15089" max="15089" width="6.83203125" style="111" bestFit="1" customWidth="1"/>
    <col min="15090" max="15090" width="1.5" style="111" customWidth="1"/>
    <col min="15091" max="15091" width="4.33203125" style="111" customWidth="1"/>
    <col min="15092" max="15092" width="8" style="111" bestFit="1" customWidth="1"/>
    <col min="15093" max="15107" width="5.83203125" style="111" customWidth="1"/>
    <col min="15108" max="15343" width="8.83203125" style="111" customWidth="1"/>
    <col min="15344" max="15344" width="30.33203125" style="111" bestFit="1" customWidth="1"/>
    <col min="15345" max="15345" width="6.83203125" style="111" bestFit="1" customWidth="1"/>
    <col min="15346" max="15346" width="1.5" style="111" customWidth="1"/>
    <col min="15347" max="15347" width="4.33203125" style="111" customWidth="1"/>
    <col min="15348" max="15348" width="8" style="111" bestFit="1" customWidth="1"/>
    <col min="15349" max="15363" width="5.83203125" style="111" customWidth="1"/>
    <col min="15364" max="15599" width="8.83203125" style="111" customWidth="1"/>
    <col min="15600" max="15600" width="30.33203125" style="111" bestFit="1" customWidth="1"/>
    <col min="15601" max="15601" width="6.83203125" style="111" bestFit="1" customWidth="1"/>
    <col min="15602" max="15602" width="1.5" style="111" customWidth="1"/>
    <col min="15603" max="15603" width="4.33203125" style="111" customWidth="1"/>
    <col min="15604" max="15604" width="8" style="111" bestFit="1" customWidth="1"/>
    <col min="15605" max="15619" width="5.83203125" style="111" customWidth="1"/>
    <col min="15620" max="15855" width="8.83203125" style="111" customWidth="1"/>
    <col min="15856" max="15856" width="30.33203125" style="111" bestFit="1" customWidth="1"/>
    <col min="15857" max="15857" width="6.83203125" style="111" bestFit="1" customWidth="1"/>
    <col min="15858" max="15858" width="1.5" style="111" customWidth="1"/>
    <col min="15859" max="15859" width="4.33203125" style="111" customWidth="1"/>
    <col min="15860" max="15860" width="8" style="111" bestFit="1" customWidth="1"/>
    <col min="15861" max="15875" width="5.83203125" style="111" customWidth="1"/>
    <col min="15876" max="16111" width="8.83203125" style="111" customWidth="1"/>
    <col min="16112" max="16112" width="30.33203125" style="111" bestFit="1" customWidth="1"/>
    <col min="16113" max="16113" width="6.83203125" style="111" bestFit="1" customWidth="1"/>
    <col min="16114" max="16114" width="1.5" style="111" customWidth="1"/>
    <col min="16115" max="16115" width="4.33203125" style="111" customWidth="1"/>
    <col min="16116" max="16116" width="8" style="111" bestFit="1" customWidth="1"/>
    <col min="16117" max="16131" width="5.83203125" style="111" customWidth="1"/>
    <col min="16132" max="16384" width="8.83203125" style="111" customWidth="1"/>
  </cols>
  <sheetData>
    <row r="1" spans="1:20" ht="22" thickBot="1" x14ac:dyDescent="0.4">
      <c r="A1" s="127" t="s">
        <v>209</v>
      </c>
      <c r="B1" s="128"/>
      <c r="C1" s="129"/>
      <c r="D1" s="109"/>
      <c r="O1" s="329"/>
      <c r="P1" s="110"/>
    </row>
    <row r="2" spans="1:20" ht="22" thickBot="1" x14ac:dyDescent="0.4">
      <c r="F2" s="112"/>
      <c r="G2" s="112"/>
      <c r="H2" s="112"/>
      <c r="I2" s="110"/>
      <c r="L2" s="184"/>
      <c r="M2" s="110"/>
      <c r="N2" s="112"/>
      <c r="O2" s="334"/>
      <c r="P2" s="112"/>
      <c r="R2" s="112"/>
      <c r="S2" s="112"/>
      <c r="T2" s="112"/>
    </row>
    <row r="3" spans="1:20" s="278" customFormat="1" ht="17" customHeight="1" thickBot="1" x14ac:dyDescent="0.4">
      <c r="A3" s="276"/>
      <c r="B3" s="443" t="s">
        <v>145</v>
      </c>
      <c r="C3" s="444"/>
      <c r="D3" s="445"/>
      <c r="E3" s="338"/>
      <c r="F3" s="443" t="s">
        <v>146</v>
      </c>
      <c r="G3" s="444"/>
      <c r="H3" s="445"/>
      <c r="I3" s="339"/>
      <c r="J3" s="443" t="s">
        <v>183</v>
      </c>
      <c r="K3" s="444"/>
      <c r="L3" s="445"/>
      <c r="M3" s="340"/>
      <c r="N3" s="440" t="s">
        <v>200</v>
      </c>
      <c r="O3" s="441"/>
      <c r="P3" s="442"/>
      <c r="R3" s="440" t="s">
        <v>201</v>
      </c>
      <c r="S3" s="441"/>
      <c r="T3" s="442"/>
    </row>
    <row r="4" spans="1:20" s="113" customFormat="1" ht="22" x14ac:dyDescent="0.35">
      <c r="A4" s="114" t="s">
        <v>44</v>
      </c>
      <c r="B4" s="115" t="s">
        <v>135</v>
      </c>
      <c r="C4" s="115" t="s">
        <v>136</v>
      </c>
      <c r="D4" s="116" t="s">
        <v>134</v>
      </c>
      <c r="E4" s="130"/>
      <c r="F4" s="131" t="s">
        <v>147</v>
      </c>
      <c r="G4" s="132" t="s">
        <v>136</v>
      </c>
      <c r="H4" s="133" t="s">
        <v>130</v>
      </c>
      <c r="I4" s="195"/>
      <c r="J4" s="250" t="s">
        <v>135</v>
      </c>
      <c r="K4" s="115" t="s">
        <v>136</v>
      </c>
      <c r="L4" s="116" t="s">
        <v>134</v>
      </c>
      <c r="M4" s="130"/>
      <c r="N4" s="115" t="s">
        <v>135</v>
      </c>
      <c r="O4" s="132" t="s">
        <v>136</v>
      </c>
      <c r="P4" s="133" t="s">
        <v>134</v>
      </c>
      <c r="R4" s="131" t="s">
        <v>135</v>
      </c>
      <c r="S4" s="132" t="s">
        <v>136</v>
      </c>
      <c r="T4" s="133" t="s">
        <v>134</v>
      </c>
    </row>
    <row r="5" spans="1:20" x14ac:dyDescent="0.35">
      <c r="A5" s="117">
        <v>1</v>
      </c>
      <c r="B5" s="196">
        <f>'1'!$AG$41</f>
        <v>8537.5599603920182</v>
      </c>
      <c r="C5" s="118">
        <f>'1'!$BH$25</f>
        <v>12558.031501776424</v>
      </c>
      <c r="D5" s="137">
        <f>C5-B5</f>
        <v>4020.471541384406</v>
      </c>
      <c r="E5" s="321"/>
      <c r="F5" s="136">
        <f>'1'!AG37</f>
        <v>6394.8116990179033</v>
      </c>
      <c r="G5" s="136">
        <f>'1'!AG50</f>
        <v>8471.2005665364686</v>
      </c>
      <c r="H5" s="135">
        <f>G5-F5</f>
        <v>2076.3888675185653</v>
      </c>
      <c r="I5" s="119"/>
      <c r="J5" s="134">
        <f>'1'!$AG$40</f>
        <v>2109.6484225972117</v>
      </c>
      <c r="K5" s="118">
        <f>'1'!$AG$53</f>
        <v>2785.1584034663942</v>
      </c>
      <c r="L5" s="135">
        <f>K5-J5</f>
        <v>675.50998086918253</v>
      </c>
      <c r="M5" s="330"/>
      <c r="N5" s="119">
        <f>'1'!AG38</f>
        <v>4300.5949526100212</v>
      </c>
      <c r="O5" s="136">
        <f>'1'!AG51</f>
        <v>7383.4954813583163</v>
      </c>
      <c r="P5" s="321">
        <f>O5-N5</f>
        <v>3082.9005287482951</v>
      </c>
      <c r="R5" s="253">
        <f>'1'!AG39</f>
        <v>48.198268638691694</v>
      </c>
      <c r="S5" s="118">
        <f>'1'!AG52</f>
        <v>21.664546118359837</v>
      </c>
      <c r="T5" s="321">
        <f>S5-R5</f>
        <v>-26.533722520331857</v>
      </c>
    </row>
    <row r="6" spans="1:20" x14ac:dyDescent="0.35">
      <c r="A6" s="117">
        <v>2</v>
      </c>
      <c r="B6" s="196">
        <f>'2'!$AG$41</f>
        <v>12522.689932377891</v>
      </c>
      <c r="C6" s="118">
        <f>'2'!$BH$25</f>
        <v>24304.539866747848</v>
      </c>
      <c r="D6" s="137">
        <f t="shared" ref="D6:D20" si="0">C6-B6</f>
        <v>11781.849934369957</v>
      </c>
      <c r="E6" s="121"/>
      <c r="F6" s="136">
        <f>'2'!$AG$37</f>
        <v>7494.6469883259842</v>
      </c>
      <c r="G6" s="136">
        <f>'2'!$AG$50</f>
        <v>9735.2105892349337</v>
      </c>
      <c r="H6" s="135">
        <f t="shared" ref="H6:H20" si="1">G6-F6</f>
        <v>2240.5636009089494</v>
      </c>
      <c r="I6" s="119"/>
      <c r="J6" s="134">
        <f>'2'!$AG$40</f>
        <v>2926.8033749082902</v>
      </c>
      <c r="K6" s="118">
        <f>'2'!$AG$53</f>
        <v>6405.2551149119136</v>
      </c>
      <c r="L6" s="135">
        <f t="shared" ref="L6:L18" si="2">K6-J6</f>
        <v>3478.4517400036234</v>
      </c>
      <c r="M6" s="330"/>
      <c r="N6" s="119">
        <f>'2'!$AG$38</f>
        <v>8037.4476569263234</v>
      </c>
      <c r="O6" s="136">
        <f>'2'!$AG$51</f>
        <v>21315.050151293093</v>
      </c>
      <c r="P6" s="332">
        <f t="shared" ref="P6:P20" si="3">O6-N6</f>
        <v>13277.602494366769</v>
      </c>
      <c r="R6" s="253">
        <f>'2'!$AG$39</f>
        <v>82.601337966121307</v>
      </c>
      <c r="S6" s="118">
        <f>'2'!$AG$52</f>
        <v>4.2208737801828251</v>
      </c>
      <c r="T6" s="321">
        <f t="shared" ref="T6:T20" si="4">S6-R6</f>
        <v>-78.380464185938479</v>
      </c>
    </row>
    <row r="7" spans="1:20" x14ac:dyDescent="0.35">
      <c r="A7" s="117">
        <v>3</v>
      </c>
      <c r="B7" s="196">
        <f>'3'!$AG$41</f>
        <v>12709.316678741758</v>
      </c>
      <c r="C7" s="118">
        <f>'3'!$BH$25</f>
        <v>23758.256336237468</v>
      </c>
      <c r="D7" s="137">
        <f t="shared" si="0"/>
        <v>11048.93965749571</v>
      </c>
      <c r="E7" s="121"/>
      <c r="F7" s="136">
        <f>'3'!$AG$37</f>
        <v>7949.2595268694358</v>
      </c>
      <c r="G7" s="136">
        <f>'3'!$AG$50</f>
        <v>9351.3785050547976</v>
      </c>
      <c r="H7" s="135">
        <f t="shared" si="1"/>
        <v>1402.1189781853618</v>
      </c>
      <c r="I7" s="119"/>
      <c r="J7" s="134">
        <f>'3'!$AG$40</f>
        <v>3194.6131327953049</v>
      </c>
      <c r="K7" s="118">
        <f>'3'!$AG$53</f>
        <v>6442.3654943783758</v>
      </c>
      <c r="L7" s="135">
        <f t="shared" si="2"/>
        <v>3247.752361583071</v>
      </c>
      <c r="M7" s="330"/>
      <c r="N7" s="119">
        <f>'3'!$AG$38</f>
        <v>7999.0277793299019</v>
      </c>
      <c r="O7" s="136">
        <f>'3'!$AG$51</f>
        <v>21242.694889975257</v>
      </c>
      <c r="P7" s="321">
        <f t="shared" si="3"/>
        <v>13243.667110645354</v>
      </c>
      <c r="R7" s="253">
        <f>'3'!$AG$39</f>
        <v>44.357494662276444</v>
      </c>
      <c r="S7" s="118">
        <f>'3'!$AG$52</f>
        <v>4.3170587925885187</v>
      </c>
      <c r="T7" s="321">
        <f t="shared" si="4"/>
        <v>-40.040435869687926</v>
      </c>
    </row>
    <row r="8" spans="1:20" x14ac:dyDescent="0.35">
      <c r="A8" s="117">
        <v>4</v>
      </c>
      <c r="B8" s="196">
        <f>'4'!$AG$41</f>
        <v>10525.407280397421</v>
      </c>
      <c r="C8" s="118">
        <f>'4'!$BH$25</f>
        <v>23194.683429167948</v>
      </c>
      <c r="D8" s="137">
        <f t="shared" si="0"/>
        <v>12669.276148770527</v>
      </c>
      <c r="E8" s="121"/>
      <c r="F8" s="136">
        <f>'4'!$AG$37</f>
        <v>6223.6211549709833</v>
      </c>
      <c r="G8" s="136">
        <f>'4'!$AG$50</f>
        <v>8779.3403533621822</v>
      </c>
      <c r="H8" s="135">
        <f t="shared" si="1"/>
        <v>2555.7191983911989</v>
      </c>
      <c r="I8" s="119"/>
      <c r="J8" s="134">
        <f>'4'!$AG$40</f>
        <v>2232.6118855465884</v>
      </c>
      <c r="K8" s="118">
        <f>'4'!$AG$53</f>
        <v>6356.9571624074852</v>
      </c>
      <c r="L8" s="135">
        <f t="shared" si="2"/>
        <v>4124.3452768608968</v>
      </c>
      <c r="M8" s="330"/>
      <c r="N8" s="119">
        <f>'4'!$AG$38</f>
        <v>6624.7643009835865</v>
      </c>
      <c r="O8" s="136">
        <f>'4'!$AG$51</f>
        <v>21217.286304244117</v>
      </c>
      <c r="P8" s="321">
        <f t="shared" si="3"/>
        <v>14592.52200326053</v>
      </c>
      <c r="R8" s="253">
        <f>'4'!$AG$39</f>
        <v>90.366290010561826</v>
      </c>
      <c r="S8" s="118">
        <f>'4'!$AG$52</f>
        <v>4.443228438350598</v>
      </c>
      <c r="T8" s="321">
        <f t="shared" si="4"/>
        <v>-85.923061572211225</v>
      </c>
    </row>
    <row r="9" spans="1:20" x14ac:dyDescent="0.35">
      <c r="A9" s="117">
        <v>5</v>
      </c>
      <c r="B9" s="196">
        <f>'5'!$AG$41</f>
        <v>12166.024069042478</v>
      </c>
      <c r="C9" s="118">
        <f>'5'!$BH$25</f>
        <v>23507.18344354942</v>
      </c>
      <c r="D9" s="137">
        <f t="shared" si="0"/>
        <v>11341.159374506942</v>
      </c>
      <c r="E9" s="121"/>
      <c r="F9" s="136">
        <f>'5'!$AG$37</f>
        <v>6719.4646877304149</v>
      </c>
      <c r="G9" s="136">
        <f>'5'!$AG$50</f>
        <v>9189.3403533903656</v>
      </c>
      <c r="H9" s="135">
        <f t="shared" si="1"/>
        <v>2469.8756656599508</v>
      </c>
      <c r="I9" s="119"/>
      <c r="J9" s="134">
        <f>'5'!$AG$40</f>
        <v>3039.1269258987536</v>
      </c>
      <c r="K9" s="118">
        <f>'5'!$AG$53</f>
        <v>6433.0571637266485</v>
      </c>
      <c r="L9" s="135">
        <f t="shared" si="2"/>
        <v>3393.9302378278949</v>
      </c>
      <c r="M9" s="330"/>
      <c r="N9" s="119">
        <f>'5'!$AG$38</f>
        <v>8551.2443666084873</v>
      </c>
      <c r="O9" s="136">
        <f>'5'!$AG$51</f>
        <v>21217.286318597202</v>
      </c>
      <c r="P9" s="321">
        <f t="shared" si="3"/>
        <v>12666.041951988715</v>
      </c>
      <c r="R9" s="253">
        <f>'5'!$AG$39</f>
        <v>65.558059397666511</v>
      </c>
      <c r="S9" s="118">
        <f>'5'!$AG$52</f>
        <v>4.4432284381468685</v>
      </c>
      <c r="T9" s="321">
        <f t="shared" si="4"/>
        <v>-61.114830959519644</v>
      </c>
    </row>
    <row r="10" spans="1:20" x14ac:dyDescent="0.35">
      <c r="A10" s="117">
        <v>6</v>
      </c>
      <c r="B10" s="196">
        <f>'6'!$AG$41</f>
        <v>8509.5876099479192</v>
      </c>
      <c r="C10" s="118">
        <f>'6'!$BH$25</f>
        <v>23010.236020177224</v>
      </c>
      <c r="D10" s="137">
        <f t="shared" si="0"/>
        <v>14500.648410229305</v>
      </c>
      <c r="E10" s="121"/>
      <c r="F10" s="136">
        <f>'6'!$AG$37</f>
        <v>4829.1442738954556</v>
      </c>
      <c r="G10" s="136">
        <f>'6'!$AG$50</f>
        <v>8772.2531990193002</v>
      </c>
      <c r="H10" s="135">
        <f t="shared" si="1"/>
        <v>3943.1089251238445</v>
      </c>
      <c r="I10" s="119"/>
      <c r="J10" s="134">
        <f>'6'!$AG$40</f>
        <v>2284.676595744681</v>
      </c>
      <c r="K10" s="118">
        <f>'6'!$AG$53</f>
        <v>6426.2307275165113</v>
      </c>
      <c r="L10" s="135">
        <f t="shared" si="2"/>
        <v>4141.5541317718307</v>
      </c>
      <c r="M10" s="330"/>
      <c r="N10" s="119">
        <f>'6'!$AG$38</f>
        <v>6099.4034068928149</v>
      </c>
      <c r="O10" s="136">
        <f>'6'!$AG$51</f>
        <v>21132.711658137272</v>
      </c>
      <c r="P10" s="321">
        <f t="shared" si="3"/>
        <v>15033.308251244456</v>
      </c>
      <c r="R10" s="253">
        <f>'6'!$AG$39</f>
        <v>134.28347509566962</v>
      </c>
      <c r="S10" s="118">
        <f>'6'!$AG$52</f>
        <v>4.7288369793451448</v>
      </c>
      <c r="T10" s="321">
        <f t="shared" si="4"/>
        <v>-129.55463811632447</v>
      </c>
    </row>
    <row r="11" spans="1:20" x14ac:dyDescent="0.35">
      <c r="A11" s="117">
        <v>7</v>
      </c>
      <c r="B11" s="196">
        <f>'7'!$AG$41</f>
        <v>12835.52831816284</v>
      </c>
      <c r="C11" s="118">
        <f>'7'!$BH$25</f>
        <v>23322.736024381837</v>
      </c>
      <c r="D11" s="137">
        <f t="shared" si="0"/>
        <v>10487.207706218996</v>
      </c>
      <c r="E11" s="121"/>
      <c r="F11" s="136">
        <f>'7'!$AG$37</f>
        <v>7683.2145402559754</v>
      </c>
      <c r="G11" s="136">
        <f>'7'!$AG$50</f>
        <v>9182.2531990914813</v>
      </c>
      <c r="H11" s="135">
        <f t="shared" si="1"/>
        <v>1499.0386588355059</v>
      </c>
      <c r="I11" s="119"/>
      <c r="J11" s="134">
        <f>'7'!$AG$40</f>
        <v>2810.6531181217902</v>
      </c>
      <c r="K11" s="118">
        <f>'7'!$AG$53</f>
        <v>6502.7807280346533</v>
      </c>
      <c r="L11" s="135">
        <f t="shared" si="2"/>
        <v>3692.1276099128631</v>
      </c>
      <c r="M11" s="330"/>
      <c r="N11" s="119">
        <f>'7'!$AG$38</f>
        <v>8009.9791318561456</v>
      </c>
      <c r="O11" s="136">
        <f>'7'!$AG$51</f>
        <v>21132.71166226521</v>
      </c>
      <c r="P11" s="321">
        <f t="shared" si="3"/>
        <v>13122.732530409065</v>
      </c>
      <c r="R11" s="253">
        <f>'7'!$AG$39</f>
        <v>47.012235827489206</v>
      </c>
      <c r="S11" s="118">
        <f>'7'!$AG$52</f>
        <v>4.728836974853948</v>
      </c>
      <c r="T11" s="321">
        <f>S11-R11</f>
        <v>-42.283398852635258</v>
      </c>
    </row>
    <row r="12" spans="1:20" x14ac:dyDescent="0.35">
      <c r="A12" s="117">
        <v>8</v>
      </c>
      <c r="B12" s="196">
        <f>'8'!$AG$41</f>
        <v>8050.5358123783581</v>
      </c>
      <c r="C12" s="118">
        <f>'8'!$BH$25</f>
        <v>11427.244735558063</v>
      </c>
      <c r="D12" s="137">
        <f t="shared" si="0"/>
        <v>3376.7089231797045</v>
      </c>
      <c r="E12" s="121"/>
      <c r="F12" s="136">
        <f>'8'!$AG$37</f>
        <v>6348.1256560344282</v>
      </c>
      <c r="G12" s="136">
        <f>'8'!$AG$50</f>
        <v>8287.8620431890449</v>
      </c>
      <c r="H12" s="135">
        <f t="shared" si="1"/>
        <v>1939.7363871546168</v>
      </c>
      <c r="I12" s="119"/>
      <c r="J12" s="134">
        <f>'8'!$AG$40</f>
        <v>2335.7741746148199</v>
      </c>
      <c r="K12" s="118">
        <f>'8'!$AG$53</f>
        <v>3028.9024554491602</v>
      </c>
      <c r="L12" s="135">
        <f t="shared" si="2"/>
        <v>693.12828083434033</v>
      </c>
      <c r="M12" s="330"/>
      <c r="N12" s="119">
        <f>'8'!$AG$38</f>
        <v>4095.7385184926356</v>
      </c>
      <c r="O12" s="136">
        <f>'8'!$AG$51</f>
        <v>6691.0582179086186</v>
      </c>
      <c r="P12" s="321">
        <f t="shared" si="3"/>
        <v>2595.319699415983</v>
      </c>
      <c r="R12" s="253">
        <f>'8'!$AG$39</f>
        <v>57.554187533884438</v>
      </c>
      <c r="S12" s="118">
        <f>'8'!$AG$52</f>
        <v>31.675525539602841</v>
      </c>
      <c r="T12" s="321">
        <f t="shared" si="4"/>
        <v>-25.878661994281597</v>
      </c>
    </row>
    <row r="13" spans="1:20" x14ac:dyDescent="0.35">
      <c r="A13" s="117">
        <v>9</v>
      </c>
      <c r="B13" s="196">
        <f>'9'!$AG$41</f>
        <v>12584.601749697258</v>
      </c>
      <c r="C13" s="118">
        <f>'9'!$BH$25</f>
        <v>21914.449687882243</v>
      </c>
      <c r="D13" s="137">
        <f t="shared" si="0"/>
        <v>9329.8479381849847</v>
      </c>
      <c r="E13" s="121"/>
      <c r="F13" s="136">
        <f>'9'!$AG$37</f>
        <v>7057.5135736598204</v>
      </c>
      <c r="G13" s="136">
        <f>'9'!$AG$50</f>
        <v>9046.7454050462693</v>
      </c>
      <c r="H13" s="135">
        <f t="shared" si="1"/>
        <v>1989.2318313864489</v>
      </c>
      <c r="I13" s="119"/>
      <c r="J13" s="134">
        <f>'9'!$AG$40</f>
        <v>3747.3743213499638</v>
      </c>
      <c r="K13" s="118">
        <f>'9'!$AG$53</f>
        <v>7270.8138245643022</v>
      </c>
      <c r="L13" s="135">
        <f t="shared" si="2"/>
        <v>3523.4395032143384</v>
      </c>
      <c r="M13" s="330"/>
      <c r="N13" s="119">
        <f>'9'!$AG$38</f>
        <v>9322.4212768263005</v>
      </c>
      <c r="O13" s="136">
        <f>'9'!$AG$51</f>
        <v>20696.938249714916</v>
      </c>
      <c r="P13" s="321">
        <f t="shared" si="3"/>
        <v>11374.516972888616</v>
      </c>
      <c r="R13" s="253">
        <f>'9'!$AG$39</f>
        <v>47.958779438900002</v>
      </c>
      <c r="S13" s="118">
        <f>'9'!$AG$52</f>
        <v>6.7339668789414855</v>
      </c>
      <c r="T13" s="321">
        <f t="shared" si="4"/>
        <v>-41.224812559958515</v>
      </c>
    </row>
    <row r="14" spans="1:20" x14ac:dyDescent="0.35">
      <c r="A14" s="117">
        <v>10</v>
      </c>
      <c r="B14" s="196">
        <f>'10'!$AG$41</f>
        <v>8879.5593946854369</v>
      </c>
      <c r="C14" s="118">
        <f>'10'!$BH$25</f>
        <v>11991.589863129208</v>
      </c>
      <c r="D14" s="137">
        <f t="shared" si="0"/>
        <v>3112.0304684437706</v>
      </c>
      <c r="E14" s="121"/>
      <c r="F14" s="136">
        <f>'10'!$AG$37</f>
        <v>6159.3744945085091</v>
      </c>
      <c r="G14" s="136">
        <f>'10'!$AG$50</f>
        <v>8937.1517273779828</v>
      </c>
      <c r="H14" s="135">
        <f t="shared" si="1"/>
        <v>2777.7772328694737</v>
      </c>
      <c r="I14" s="119"/>
      <c r="J14" s="134">
        <f>'10'!$AG$40</f>
        <v>2771.747028613353</v>
      </c>
      <c r="K14" s="118">
        <f>'10'!$AG$53</f>
        <v>3139.7498579344551</v>
      </c>
      <c r="L14" s="135">
        <f t="shared" si="2"/>
        <v>368.00282932110213</v>
      </c>
      <c r="M14" s="330"/>
      <c r="N14" s="119">
        <f>'10'!$AG$38</f>
        <v>5564.5109797247524</v>
      </c>
      <c r="O14" s="136">
        <f>'10'!$AG$51</f>
        <v>6698.4154858186439</v>
      </c>
      <c r="P14" s="321">
        <f t="shared" si="3"/>
        <v>1133.9045060938915</v>
      </c>
      <c r="R14" s="253">
        <f>'10'!$AG$39</f>
        <v>72.579050934467929</v>
      </c>
      <c r="S14" s="118">
        <f>'10'!$AG$52</f>
        <v>31.477350067420467</v>
      </c>
      <c r="T14" s="321">
        <f t="shared" si="4"/>
        <v>-41.101700867047462</v>
      </c>
    </row>
    <row r="15" spans="1:20" x14ac:dyDescent="0.35">
      <c r="A15" s="117">
        <v>11</v>
      </c>
      <c r="B15" s="196">
        <f>'11'!$AG$41</f>
        <v>8231.7803950308844</v>
      </c>
      <c r="C15" s="118">
        <f>'11'!$BH$25</f>
        <v>22217.466989913868</v>
      </c>
      <c r="D15" s="137">
        <f t="shared" si="0"/>
        <v>13985.686594882984</v>
      </c>
      <c r="E15" s="121"/>
      <c r="F15" s="136">
        <f>'11'!$AG$37</f>
        <v>4597.694533992988</v>
      </c>
      <c r="G15" s="136">
        <f>'11'!$AG$50</f>
        <v>9193.3699199948351</v>
      </c>
      <c r="H15" s="135">
        <f t="shared" si="1"/>
        <v>4595.6753860018471</v>
      </c>
      <c r="I15" s="119"/>
      <c r="J15" s="134">
        <f>'11'!$AG$40</f>
        <v>2424.1936903888477</v>
      </c>
      <c r="K15" s="118">
        <f>'11'!$AG$53</f>
        <v>7130.8723419151738</v>
      </c>
      <c r="L15" s="135">
        <f t="shared" si="2"/>
        <v>4706.6786515263266</v>
      </c>
      <c r="M15" s="330"/>
      <c r="N15" s="119">
        <f>'11'!$AG$38</f>
        <v>6171.0179620290028</v>
      </c>
      <c r="O15" s="136">
        <f>'11'!$AG$51</f>
        <v>20535.956401711715</v>
      </c>
      <c r="P15" s="321">
        <f t="shared" si="3"/>
        <v>14364.938439682712</v>
      </c>
      <c r="R15" s="253">
        <f>'11'!$AG$39</f>
        <v>112.738410602256</v>
      </c>
      <c r="S15" s="118">
        <f>'11'!$AG$52</f>
        <v>6.8593317926841753</v>
      </c>
      <c r="T15" s="321">
        <f t="shared" si="4"/>
        <v>-105.87907880957182</v>
      </c>
    </row>
    <row r="16" spans="1:20" x14ac:dyDescent="0.35">
      <c r="A16" s="117">
        <v>12</v>
      </c>
      <c r="B16" s="196">
        <f>'12'!$AG$41</f>
        <v>13898.96961866803</v>
      </c>
      <c r="C16" s="118">
        <f>'12'!$BH$25</f>
        <v>21904.966990821951</v>
      </c>
      <c r="D16" s="137">
        <f t="shared" si="0"/>
        <v>8005.9973721539209</v>
      </c>
      <c r="E16" s="121"/>
      <c r="F16" s="136">
        <f>'12'!$AG$37</f>
        <v>7833.2686571698177</v>
      </c>
      <c r="G16" s="136">
        <f>'12'!$AG$50</f>
        <v>8823.3699200829778</v>
      </c>
      <c r="H16" s="135">
        <f t="shared" si="1"/>
        <v>990.1012629131601</v>
      </c>
      <c r="I16" s="119"/>
      <c r="J16" s="134">
        <f>'12'!$AG$40</f>
        <v>3963.4286133528981</v>
      </c>
      <c r="K16" s="118">
        <f>'12'!$AG$53</f>
        <v>7080.2223422129227</v>
      </c>
      <c r="L16" s="135">
        <f>K16-J16</f>
        <v>3116.7937288600247</v>
      </c>
      <c r="M16" s="330"/>
      <c r="N16" s="119">
        <f>'12'!$AG$38</f>
        <v>10056.95094991214</v>
      </c>
      <c r="O16" s="136">
        <f>'12'!$AG$51</f>
        <v>20535.95640252946</v>
      </c>
      <c r="P16" s="321">
        <f>O16-N16</f>
        <v>10479.005452617321</v>
      </c>
      <c r="R16" s="253">
        <f>'12'!$AG$39</f>
        <v>27.821375061025602</v>
      </c>
      <c r="S16" s="118">
        <f>'12'!$AG$52</f>
        <v>6.8593317904884508</v>
      </c>
      <c r="T16" s="321">
        <f>S16-R16</f>
        <v>-20.962043270537151</v>
      </c>
    </row>
    <row r="17" spans="1:20" x14ac:dyDescent="0.35">
      <c r="A17" s="117">
        <v>13</v>
      </c>
      <c r="B17" s="196">
        <f>'13'!$AG$41</f>
        <v>9912.9050052404818</v>
      </c>
      <c r="C17" s="118">
        <f>'13'!$BH$25</f>
        <v>11094.089863180032</v>
      </c>
      <c r="D17" s="137">
        <f t="shared" si="0"/>
        <v>1181.1848579395501</v>
      </c>
      <c r="E17" s="121"/>
      <c r="F17" s="136">
        <f>'13'!$AG$37</f>
        <v>6223.006437820085</v>
      </c>
      <c r="G17" s="136">
        <f>'13'!$AG$50</f>
        <v>7977.1517273965756</v>
      </c>
      <c r="H17" s="135">
        <f>G17-F17</f>
        <v>1754.1452895764905</v>
      </c>
      <c r="I17" s="119"/>
      <c r="J17" s="134">
        <f>'13'!$AG$40</f>
        <v>3032.8013206162877</v>
      </c>
      <c r="K17" s="118">
        <f>'13'!$AG$53</f>
        <v>2989.8998579538229</v>
      </c>
      <c r="L17" s="135">
        <f t="shared" si="2"/>
        <v>-42.901462662464837</v>
      </c>
      <c r="M17" s="330"/>
      <c r="N17" s="119">
        <f>'13'!$AG$38</f>
        <v>6782.1453448667771</v>
      </c>
      <c r="O17" s="136">
        <f>'13'!$AG$51</f>
        <v>6698.4154858505563</v>
      </c>
      <c r="P17" s="321">
        <f t="shared" si="3"/>
        <v>-83.729859016220871</v>
      </c>
      <c r="R17" s="253">
        <f>'13'!$AG$39</f>
        <v>59.445456830093569</v>
      </c>
      <c r="S17" s="118">
        <f>'13'!$AG$52</f>
        <v>31.477350067099781</v>
      </c>
      <c r="T17" s="321">
        <f t="shared" si="4"/>
        <v>-27.968106762993788</v>
      </c>
    </row>
    <row r="18" spans="1:20" x14ac:dyDescent="0.35">
      <c r="A18" s="117">
        <v>14</v>
      </c>
      <c r="B18" s="196">
        <f>'14'!$AG$41</f>
        <v>11642.376883498671</v>
      </c>
      <c r="C18" s="118">
        <f>'14'!$BH$25</f>
        <v>21659.62261500406</v>
      </c>
      <c r="D18" s="137">
        <f>C18-B18</f>
        <v>10017.245731505389</v>
      </c>
      <c r="E18" s="121"/>
      <c r="F18" s="136">
        <f>'14'!$AG$37</f>
        <v>7108.5158222484724</v>
      </c>
      <c r="G18" s="136">
        <f>'14'!$AG$50</f>
        <v>9018.9831938252846</v>
      </c>
      <c r="H18" s="135">
        <f t="shared" si="1"/>
        <v>1910.4673715768122</v>
      </c>
      <c r="I18" s="119"/>
      <c r="J18" s="134">
        <f>'14'!$AG$40</f>
        <v>3544.4358033749077</v>
      </c>
      <c r="K18" s="118">
        <f>'14'!$AG$53</f>
        <v>7255.3571843660902</v>
      </c>
      <c r="L18" s="135">
        <f t="shared" si="2"/>
        <v>3710.9213809911826</v>
      </c>
      <c r="M18" s="330"/>
      <c r="N18" s="119">
        <f>'14'!$AG$38</f>
        <v>8148.2585472003202</v>
      </c>
      <c r="O18" s="136">
        <f>'14'!$AG$51</f>
        <v>20423.152635456179</v>
      </c>
      <c r="P18" s="321">
        <f>O18-N18</f>
        <v>12274.89408825586</v>
      </c>
      <c r="R18" s="253">
        <f>'14'!$AG$39</f>
        <v>69.961682575207732</v>
      </c>
      <c r="S18" s="118">
        <f>'14'!$AG$52</f>
        <v>7.5132142774003849</v>
      </c>
      <c r="T18" s="321">
        <f>S18-R18</f>
        <v>-62.448468297807345</v>
      </c>
    </row>
    <row r="19" spans="1:20" x14ac:dyDescent="0.35">
      <c r="A19" s="117">
        <v>15</v>
      </c>
      <c r="B19" s="196">
        <f>'15'!$AG$41</f>
        <v>11258.137766681093</v>
      </c>
      <c r="C19" s="118">
        <f>'15'!$BH$25</f>
        <v>21623.575540736645</v>
      </c>
      <c r="D19" s="137">
        <f>C19-B19</f>
        <v>10365.437774055552</v>
      </c>
      <c r="E19" s="121"/>
      <c r="F19" s="136">
        <f>'15'!$AG$37</f>
        <v>6259.8174451759205</v>
      </c>
      <c r="G19" s="136">
        <f>'15'!$AG$50</f>
        <v>8928.4645814079704</v>
      </c>
      <c r="H19" s="135">
        <f>G19-F19</f>
        <v>2668.6471362320499</v>
      </c>
      <c r="I19" s="119"/>
      <c r="J19" s="134">
        <f>'15'!$AG$40</f>
        <v>4085.8289068231834</v>
      </c>
      <c r="K19" s="118">
        <f>'15'!$AG$53</f>
        <v>7236.7504631054326</v>
      </c>
      <c r="L19" s="135">
        <f>K19-J19</f>
        <v>3150.9215562822492</v>
      </c>
      <c r="M19" s="330"/>
      <c r="N19" s="119">
        <f>'15'!$AG$38</f>
        <v>9154.8689484506085</v>
      </c>
      <c r="O19" s="136">
        <f>'15'!$AG$51</f>
        <v>20395.141070591701</v>
      </c>
      <c r="P19" s="321">
        <f>O19-N19</f>
        <v>11240.272122141092</v>
      </c>
      <c r="R19" s="253">
        <f>'15'!$AG$39</f>
        <v>70.719720122246898</v>
      </c>
      <c r="S19" s="118">
        <f>'15'!$AG$52</f>
        <v>7.5301112630245317</v>
      </c>
      <c r="T19" s="321">
        <f>S19-R19</f>
        <v>-63.189608859222368</v>
      </c>
    </row>
    <row r="20" spans="1:20" ht="22" thickBot="1" x14ac:dyDescent="0.4">
      <c r="A20" s="117">
        <v>16</v>
      </c>
      <c r="B20" s="196">
        <f>'16'!$AG$41</f>
        <v>10920.32656738504</v>
      </c>
      <c r="C20" s="138">
        <f>'16'!$BH$25</f>
        <v>11799.659868463255</v>
      </c>
      <c r="D20" s="139">
        <f t="shared" si="0"/>
        <v>879.3333010782153</v>
      </c>
      <c r="E20" s="121"/>
      <c r="F20" s="136">
        <f>'16'!$AG$37</f>
        <v>8264.7934174728362</v>
      </c>
      <c r="G20" s="136">
        <f>'16'!$AG$50</f>
        <v>8849.2926949360863</v>
      </c>
      <c r="H20" s="135">
        <f t="shared" si="1"/>
        <v>584.49927746325011</v>
      </c>
      <c r="I20" s="119"/>
      <c r="J20" s="134">
        <f>'16'!$AG$40</f>
        <v>2994.8324284666173</v>
      </c>
      <c r="K20" s="118">
        <f>'16'!$AG$53</f>
        <v>3181.1297847371548</v>
      </c>
      <c r="L20" s="135">
        <f>K20-J20</f>
        <v>186.29735627053742</v>
      </c>
      <c r="M20" s="330"/>
      <c r="N20" s="119">
        <f>'16'!$AG$38</f>
        <v>5691.2651819762696</v>
      </c>
      <c r="O20" s="136">
        <f>'16'!$AG$51</f>
        <v>6556.0275259849668</v>
      </c>
      <c r="P20" s="333">
        <f t="shared" si="3"/>
        <v>864.76234400869726</v>
      </c>
      <c r="R20" s="335">
        <f>'16'!$AG$39</f>
        <v>40.899603597447552</v>
      </c>
      <c r="S20" s="138">
        <f>'16'!$AG$52</f>
        <v>33.160352457799377</v>
      </c>
      <c r="T20" s="333">
        <f t="shared" si="4"/>
        <v>-7.7392511396481751</v>
      </c>
    </row>
    <row r="21" spans="1:20" ht="22" thickBot="1" x14ac:dyDescent="0.4">
      <c r="A21" s="122" t="s">
        <v>144</v>
      </c>
      <c r="B21" s="123">
        <f>AVERAGE(B5:B20)</f>
        <v>10824.081690145475</v>
      </c>
      <c r="C21" s="322">
        <f>AVERAGE(C5:C20)</f>
        <v>19330.520798545469</v>
      </c>
      <c r="D21" s="323">
        <f>AVERAGE(D5:D20)</f>
        <v>8506.4391083999944</v>
      </c>
      <c r="E21" s="117"/>
      <c r="F21" s="140">
        <f>AVERAGE(F5:F20)</f>
        <v>6696.6420568218164</v>
      </c>
      <c r="G21" s="123">
        <f>AVERAGE(G5:G20)</f>
        <v>8908.9604986841587</v>
      </c>
      <c r="H21" s="258">
        <f>AVERAGE(H5:H20)</f>
        <v>2212.318441862345</v>
      </c>
      <c r="I21" s="255"/>
      <c r="J21" s="140">
        <f>AVERAGE(J5:J20)</f>
        <v>2968.6593589508434</v>
      </c>
      <c r="K21" s="123">
        <f>AVERAGE(K5:K20)</f>
        <v>5604.0939316675313</v>
      </c>
      <c r="L21" s="259">
        <f>AVERAGE(L5:L20)</f>
        <v>2635.4345727166874</v>
      </c>
      <c r="M21" s="331"/>
      <c r="N21" s="140">
        <f>AVERAGE(N5:N20)</f>
        <v>7163.1024565428806</v>
      </c>
      <c r="O21" s="123">
        <f>AVERAGE(O5:O20)</f>
        <v>16492.018621339823</v>
      </c>
      <c r="P21" s="258">
        <f>AVERAGE(P5:P20)</f>
        <v>9328.9161647969449</v>
      </c>
      <c r="R21" s="140">
        <f>AVERAGE(R5:R20)</f>
        <v>67.003464268375396</v>
      </c>
      <c r="S21" s="123">
        <f>AVERAGE(S5:S20)</f>
        <v>13.239571478518078</v>
      </c>
      <c r="T21" s="258">
        <f>AVERAGE(T5:T20)</f>
        <v>-53.763892789857323</v>
      </c>
    </row>
    <row r="22" spans="1:20" x14ac:dyDescent="0.35">
      <c r="B22" s="124"/>
      <c r="C22" s="124"/>
      <c r="D22" s="125"/>
      <c r="M22" s="110"/>
    </row>
    <row r="23" spans="1:20" s="336" customFormat="1" x14ac:dyDescent="0.35">
      <c r="B23" s="337"/>
      <c r="C23" s="337" t="s">
        <v>202</v>
      </c>
      <c r="D23" s="337">
        <f>(D21/B21)*100</f>
        <v>78.588090444148051</v>
      </c>
      <c r="H23" s="337">
        <f>(H21/F21)*100</f>
        <v>33.03623552058712</v>
      </c>
      <c r="L23" s="337">
        <f>(L21/J21)*100</f>
        <v>88.775243436757208</v>
      </c>
      <c r="P23" s="337">
        <f>(P21/N21)*100</f>
        <v>130.23569356146481</v>
      </c>
      <c r="T23" s="337">
        <f>(T21/R21)*100</f>
        <v>-80.240467230935479</v>
      </c>
    </row>
    <row r="29" spans="1:20" x14ac:dyDescent="0.35">
      <c r="B29" s="110"/>
    </row>
  </sheetData>
  <mergeCells count="5">
    <mergeCell ref="R3:T3"/>
    <mergeCell ref="F3:H3"/>
    <mergeCell ref="B3:D3"/>
    <mergeCell ref="J3:L3"/>
    <mergeCell ref="N3:P3"/>
  </mergeCells>
  <pageMargins left="0.75" right="0.75" top="1" bottom="1" header="0.5" footer="0.5"/>
  <pageSetup orientation="portrait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F3D50-07CD-4E4A-8DFE-0742E7B5707F}">
  <dimension ref="A1:BJ75"/>
  <sheetViews>
    <sheetView topLeftCell="AF1" zoomScale="90" zoomScaleNormal="90" workbookViewId="0">
      <selection activeCell="F27" sqref="F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6" width="9.5" style="3" bestFit="1" customWidth="1"/>
    <col min="7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/>
      <c r="F2" s="436" t="s">
        <v>203</v>
      </c>
      <c r="G2" s="437"/>
      <c r="H2" s="58"/>
      <c r="I2" s="62" t="s">
        <v>1</v>
      </c>
      <c r="J2" s="262">
        <f>_xlfn.XLOOKUP($B$1,daily_demand!$E$1:$AH$1,daily_demand!$E$2:$AH$2)</f>
        <v>47</v>
      </c>
      <c r="K2" s="262">
        <f>_xlfn.XLOOKUP($B$1,daily_demand!$E$1:$AH$1,daily_demand!$E$3:$AH$3)</f>
        <v>1</v>
      </c>
      <c r="L2" s="263">
        <f>_xlfn.XLOOKUP($B$1,daily_demand!$E$1:$AH$1,daily_demand!$E$4:$AH$4)</f>
        <v>17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23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8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204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s">
        <v>205</v>
      </c>
      <c r="F4" s="7">
        <f>_xlfn.XLOOKUP($B$1,order!$A$3:$A$32,order!$B$3:$B$32)</f>
        <v>1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2.0847494526378356</v>
      </c>
      <c r="AJ4" s="45">
        <f t="shared" ref="AJ4:AJ18" si="1">K4*K$28</f>
        <v>4.2314107133814519E-2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1.1549611279159306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0.57336129220595167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5.9550527486968083E-2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8.506349252280751E-2</v>
      </c>
      <c r="BF4" s="44">
        <f>SUM(AI4:BE4)</f>
        <v>3.9999999999033076</v>
      </c>
      <c r="BG4" s="54">
        <f>ROUNDUP(BF4*2, 0)</f>
        <v>8</v>
      </c>
      <c r="BH4" s="86">
        <f>CEILING($BG$1*BG4, 0.5)</f>
        <v>4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s">
        <v>206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2.0847494526378356</v>
      </c>
      <c r="AJ5" s="45">
        <f t="shared" si="1"/>
        <v>5.6418809511752696E-2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5.9550527486968083E-2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0.10632936565350939</v>
      </c>
      <c r="BF5" s="44">
        <f t="shared" ref="BF5:BF19" si="23">SUM(AI5:BE5)</f>
        <v>2.3070481552900657</v>
      </c>
      <c r="BG5" s="54">
        <f t="shared" ref="BG5:BG18" si="24">ROUNDUP(BF5*2, 0)</f>
        <v>5</v>
      </c>
      <c r="BH5" s="86">
        <f t="shared" ref="BH5:BH18" si="25">CEILING($BG$1*BG5, 0.5)</f>
        <v>2.5</v>
      </c>
      <c r="BI5" s="6"/>
    </row>
    <row r="6" spans="1:61" ht="24" x14ac:dyDescent="0.2">
      <c r="A6" s="286" t="s">
        <v>20</v>
      </c>
      <c r="B6" s="295">
        <f>_xlfn.XLOOKUP($B$1,cost!$A$16:$A$45,cost!$D$16:$D$45)</f>
        <v>150</v>
      </c>
      <c r="C6" s="7">
        <f>B6*0.02</f>
        <v>3</v>
      </c>
      <c r="D6" s="61">
        <v>10</v>
      </c>
      <c r="E6" s="61" t="s">
        <v>206</v>
      </c>
      <c r="F6" s="7">
        <f>_xlfn.XLOOKUP($B$1,order!$A$3:$A$32,order!$D$3:$D$32)</f>
        <v>1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2.8209404755876348E-2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1.1549611279159306</v>
      </c>
      <c r="AP6" s="45">
        <f t="shared" si="7"/>
        <v>0</v>
      </c>
      <c r="AQ6" s="45">
        <f t="shared" si="8"/>
        <v>0</v>
      </c>
      <c r="AR6" s="45">
        <f t="shared" si="9"/>
        <v>0.61750238501415211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5.9550527486968083E-2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9.3519833136202143E-2</v>
      </c>
      <c r="BC6" s="45">
        <f t="shared" si="20"/>
        <v>0</v>
      </c>
      <c r="BD6" s="45">
        <f t="shared" si="21"/>
        <v>0</v>
      </c>
      <c r="BE6" s="45">
        <f t="shared" si="22"/>
        <v>8.506349252280751E-2</v>
      </c>
      <c r="BF6" s="44">
        <f t="shared" si="23"/>
        <v>2.0388067708319366</v>
      </c>
      <c r="BG6" s="54">
        <f t="shared" si="24"/>
        <v>5</v>
      </c>
      <c r="BH6" s="86">
        <f t="shared" si="25"/>
        <v>2.5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s">
        <v>206</v>
      </c>
      <c r="F7" s="7">
        <f>_xlfn.XLOOKUP($B$1,order!$A$3:$A$32,order!$E$3:$E$32)</f>
        <v>3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4.2314107133814519E-2</v>
      </c>
      <c r="AK7" s="45">
        <f t="shared" si="2"/>
        <v>0</v>
      </c>
      <c r="AL7" s="45">
        <f t="shared" si="3"/>
        <v>0</v>
      </c>
      <c r="AM7" s="45">
        <f t="shared" si="4"/>
        <v>1.1202195009299734</v>
      </c>
      <c r="AN7" s="45">
        <f t="shared" si="5"/>
        <v>0.5934535200289911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0.69537409653268512</v>
      </c>
      <c r="AU7" s="45">
        <f t="shared" si="12"/>
        <v>0.35835080762871979</v>
      </c>
      <c r="AV7" s="45">
        <f t="shared" si="13"/>
        <v>0</v>
      </c>
      <c r="AW7" s="45">
        <f t="shared" si="14"/>
        <v>0</v>
      </c>
      <c r="AX7" s="45">
        <f t="shared" si="15"/>
        <v>7.4438159358710107E-2</v>
      </c>
      <c r="AY7" s="45">
        <f t="shared" si="16"/>
        <v>6.3155053358063012E-2</v>
      </c>
      <c r="AZ7" s="45">
        <f t="shared" si="17"/>
        <v>0</v>
      </c>
      <c r="BA7" s="45">
        <f t="shared" si="18"/>
        <v>0.86316513156141661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3.8104703765323729</v>
      </c>
      <c r="BG7" s="54">
        <f t="shared" si="24"/>
        <v>8</v>
      </c>
      <c r="BH7" s="86">
        <f t="shared" si="25"/>
        <v>4</v>
      </c>
      <c r="BI7" s="6"/>
    </row>
    <row r="8" spans="1:61" ht="24" x14ac:dyDescent="0.2">
      <c r="A8" s="286" t="s">
        <v>46</v>
      </c>
      <c r="B8" s="295">
        <f>_xlfn.XLOOKUP($B$1,cost!$A$16:$A$45,cost!$F$16:$F$45)</f>
        <v>110</v>
      </c>
      <c r="C8" s="7">
        <f t="shared" ref="C8:C19" si="26">B8*0.02</f>
        <v>2.2000000000000002</v>
      </c>
      <c r="D8" s="61">
        <v>10</v>
      </c>
      <c r="E8" s="61" t="s">
        <v>206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1.4104702377938174E-2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0.44509014002174335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2.9775263743484041E-2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4.2531746261403755E-2</v>
      </c>
      <c r="BF8" s="44">
        <f t="shared" si="23"/>
        <v>0.53150185240456926</v>
      </c>
      <c r="BG8" s="54">
        <f t="shared" si="24"/>
        <v>2</v>
      </c>
      <c r="BH8" s="86">
        <f t="shared" si="25"/>
        <v>1</v>
      </c>
      <c r="BI8" s="6"/>
    </row>
    <row r="9" spans="1:61" ht="24" x14ac:dyDescent="0.2">
      <c r="A9" s="286" t="s">
        <v>48</v>
      </c>
      <c r="B9" s="295">
        <f>_xlfn.XLOOKUP($B$1,cost!$A$16:$A$45,cost!$G$16:$G$45)</f>
        <v>8</v>
      </c>
      <c r="C9" s="7">
        <f t="shared" si="26"/>
        <v>0.16</v>
      </c>
      <c r="D9" s="61">
        <v>10</v>
      </c>
      <c r="E9" s="61" t="s">
        <v>208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3.7090845001811945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3.7090845001811945</v>
      </c>
      <c r="BG9" s="54">
        <f t="shared" si="24"/>
        <v>8</v>
      </c>
      <c r="BH9" s="86">
        <f t="shared" si="25"/>
        <v>4</v>
      </c>
      <c r="BI9" s="6"/>
    </row>
    <row r="10" spans="1:61" ht="24" x14ac:dyDescent="0.2">
      <c r="A10" s="286" t="s">
        <v>49</v>
      </c>
      <c r="B10" s="295">
        <f>_xlfn.XLOOKUP($B$1,cost!$A$16:$A$45,cost!$H$16:$H$45)</f>
        <v>8</v>
      </c>
      <c r="C10" s="7">
        <f t="shared" si="26"/>
        <v>0.16</v>
      </c>
      <c r="D10" s="61">
        <v>10</v>
      </c>
      <c r="E10" s="61" t="s">
        <v>208</v>
      </c>
      <c r="F10" s="7">
        <f>_xlfn.XLOOKUP($B$1,order!$A$3:$A$32,order!$H$3:$H$32)</f>
        <v>0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5.6010975046498679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5.6010975046498679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125</v>
      </c>
      <c r="C11" s="7">
        <f t="shared" si="26"/>
        <v>2.5</v>
      </c>
      <c r="D11" s="61">
        <v>10</v>
      </c>
      <c r="E11" s="61" t="s">
        <v>206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1.1202195009299734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1.1202195009299734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s">
        <v>206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3.5976098408199491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3.5976098408199491</v>
      </c>
      <c r="BG12" s="54">
        <f t="shared" si="24"/>
        <v>8</v>
      </c>
      <c r="BH12" s="86">
        <f t="shared" si="25"/>
        <v>4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s">
        <v>206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7.0523511889690874E-2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0.14848211002046194</v>
      </c>
      <c r="AQ13" s="45">
        <f t="shared" si="8"/>
        <v>0.10779966311702704</v>
      </c>
      <c r="AR13" s="45">
        <f t="shared" si="9"/>
        <v>0</v>
      </c>
      <c r="AS13" s="45">
        <f t="shared" si="10"/>
        <v>0.13059561651223689</v>
      </c>
      <c r="AT13" s="45">
        <f t="shared" si="11"/>
        <v>0</v>
      </c>
      <c r="AU13" s="45">
        <f t="shared" si="12"/>
        <v>0</v>
      </c>
      <c r="AV13" s="45">
        <f t="shared" si="13"/>
        <v>0.31127514872047884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0.7686760502598956</v>
      </c>
      <c r="BG13" s="54">
        <f t="shared" si="24"/>
        <v>2</v>
      </c>
      <c r="BH13" s="86">
        <f t="shared" si="25"/>
        <v>1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s">
        <v>206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5.6418809511752696E-2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0.17771131553723596</v>
      </c>
      <c r="BD14" s="45">
        <f t="shared" si="21"/>
        <v>0</v>
      </c>
      <c r="BE14" s="45">
        <f t="shared" si="22"/>
        <v>0</v>
      </c>
      <c r="BF14" s="44">
        <f t="shared" si="23"/>
        <v>0.23413012504898867</v>
      </c>
      <c r="BG14" s="54">
        <f t="shared" si="24"/>
        <v>1</v>
      </c>
      <c r="BH14" s="86">
        <f t="shared" si="25"/>
        <v>0.5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s">
        <v>206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7.0523511889690874E-2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0.37120527505115486</v>
      </c>
      <c r="AQ15" s="45">
        <f t="shared" si="8"/>
        <v>0.26949915779256761</v>
      </c>
      <c r="AR15" s="45">
        <f t="shared" si="9"/>
        <v>0</v>
      </c>
      <c r="AS15" s="45">
        <f t="shared" si="10"/>
        <v>0.32648904128059225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0.41080004113061969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1.4485170271446253</v>
      </c>
      <c r="BG15" s="54">
        <f t="shared" si="24"/>
        <v>3</v>
      </c>
      <c r="BH15" s="86">
        <f t="shared" si="25"/>
        <v>1.5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s">
        <v>206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7.0523511889690874E-2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0.12631010671612602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0.19683361860581688</v>
      </c>
      <c r="BG16" s="54">
        <f t="shared" si="24"/>
        <v>1</v>
      </c>
      <c r="BH16" s="86">
        <f t="shared" si="25"/>
        <v>0.5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s">
        <v>205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7.0523511889690874E-2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0.14848211002046194</v>
      </c>
      <c r="AQ17" s="45">
        <f t="shared" si="8"/>
        <v>0.10779966311702704</v>
      </c>
      <c r="AR17" s="45">
        <f t="shared" si="9"/>
        <v>0</v>
      </c>
      <c r="AS17" s="45">
        <f t="shared" si="10"/>
        <v>0.13059561651223689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0.45740090153941676</v>
      </c>
      <c r="BG17" s="54">
        <f t="shared" si="24"/>
        <v>1</v>
      </c>
      <c r="BH17" s="86">
        <f t="shared" si="25"/>
        <v>0.5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s">
        <v>206</v>
      </c>
      <c r="F18" s="7">
        <f>_xlfn.XLOOKUP($B$1,order!$A$3:$A$32,order!$Q$3:$Q$32)</f>
        <v>2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0.87806322137818127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0.87806322137818127</v>
      </c>
      <c r="BG18" s="54">
        <f t="shared" si="24"/>
        <v>2</v>
      </c>
      <c r="BH18" s="86">
        <f t="shared" si="25"/>
        <v>1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s">
        <v>207</v>
      </c>
      <c r="F19" s="294">
        <f>_xlfn.XLOOKUP($B$1,order!$A$3:$A$32,order!$R$3:$R$32)</f>
        <v>1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BE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1.2078321915867267</v>
      </c>
      <c r="AX19" s="45">
        <f t="shared" si="27"/>
        <v>0</v>
      </c>
      <c r="AY19" s="45">
        <f t="shared" si="27"/>
        <v>0</v>
      </c>
      <c r="AZ19" s="45">
        <f t="shared" si="27"/>
        <v>0</v>
      </c>
      <c r="BA19" s="45">
        <f t="shared" si="27"/>
        <v>0</v>
      </c>
      <c r="BB19" s="45">
        <f t="shared" si="27"/>
        <v>0</v>
      </c>
      <c r="BC19" s="45">
        <f t="shared" si="27"/>
        <v>0</v>
      </c>
      <c r="BD19" s="45">
        <f t="shared" si="27"/>
        <v>0.9461520295120659</v>
      </c>
      <c r="BE19" s="45">
        <f t="shared" si="27"/>
        <v>0</v>
      </c>
      <c r="BF19" s="44">
        <f t="shared" si="23"/>
        <v>2.1539842210987925</v>
      </c>
      <c r="BG19" s="54">
        <f>ROUNDUP(BF19*2, 0)</f>
        <v>5</v>
      </c>
      <c r="BH19" s="86">
        <f>CEILING($BG$1*BG19, 0.5)</f>
        <v>2.5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19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32.853443666618951</v>
      </c>
      <c r="BG20" s="54">
        <f>SUM(BG4:BG19)</f>
        <v>74</v>
      </c>
      <c r="BH20" s="86">
        <f>SUM(BH4:BH19)</f>
        <v>37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8">SUMPRODUCT($B$4:$B$19,J4:J19)</f>
        <v>6.6</v>
      </c>
      <c r="K21" s="4">
        <f t="shared" si="28"/>
        <v>66.2</v>
      </c>
      <c r="L21" s="4">
        <f t="shared" si="28"/>
        <v>10.5</v>
      </c>
      <c r="M21" s="4">
        <f t="shared" si="28"/>
        <v>26</v>
      </c>
      <c r="N21" s="4">
        <f t="shared" si="28"/>
        <v>11.4</v>
      </c>
      <c r="O21" s="4">
        <f t="shared" si="28"/>
        <v>10.1</v>
      </c>
      <c r="P21" s="4">
        <f t="shared" si="28"/>
        <v>8.25</v>
      </c>
      <c r="Q21" s="4">
        <f t="shared" si="28"/>
        <v>16.3</v>
      </c>
      <c r="R21" s="4">
        <f t="shared" si="28"/>
        <v>16.3</v>
      </c>
      <c r="S21" s="4">
        <f t="shared" si="28"/>
        <v>4.5</v>
      </c>
      <c r="T21" s="4">
        <f t="shared" si="28"/>
        <v>16.3</v>
      </c>
      <c r="U21" s="4">
        <f t="shared" si="28"/>
        <v>6</v>
      </c>
      <c r="V21" s="4">
        <f t="shared" si="28"/>
        <v>16</v>
      </c>
      <c r="W21" s="4">
        <f t="shared" si="28"/>
        <v>17.5</v>
      </c>
      <c r="X21" s="4">
        <f t="shared" si="28"/>
        <v>11.25</v>
      </c>
      <c r="Y21" s="4">
        <f t="shared" si="28"/>
        <v>23</v>
      </c>
      <c r="Z21" s="4">
        <f t="shared" si="28"/>
        <v>27</v>
      </c>
      <c r="AA21" s="4">
        <f t="shared" si="28"/>
        <v>9</v>
      </c>
      <c r="AB21" s="4">
        <f t="shared" si="28"/>
        <v>6</v>
      </c>
      <c r="AC21" s="4">
        <f t="shared" si="28"/>
        <v>4.5</v>
      </c>
      <c r="AD21" s="4">
        <f t="shared" si="28"/>
        <v>26.400000000000002</v>
      </c>
      <c r="AE21" s="4">
        <f t="shared" si="28"/>
        <v>11.25</v>
      </c>
      <c r="AF21" s="4">
        <f t="shared" si="28"/>
        <v>17.95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1702</v>
      </c>
      <c r="H22" s="17" t="s">
        <v>186</v>
      </c>
      <c r="I22" s="4" t="s">
        <v>32</v>
      </c>
      <c r="J22" s="4">
        <f t="shared" ref="J22:AF22" si="29">SUMPRODUCT($C$4:$C$19,J4:J19)</f>
        <v>0.13200000000000001</v>
      </c>
      <c r="K22" s="4">
        <f t="shared" si="29"/>
        <v>1.3240000000000001</v>
      </c>
      <c r="L22" s="4">
        <f t="shared" si="29"/>
        <v>0.21000000000000002</v>
      </c>
      <c r="M22" s="4">
        <f t="shared" si="29"/>
        <v>0.52</v>
      </c>
      <c r="N22" s="4">
        <f t="shared" si="29"/>
        <v>0.22800000000000001</v>
      </c>
      <c r="O22" s="4">
        <f t="shared" si="29"/>
        <v>0.20200000000000001</v>
      </c>
      <c r="P22" s="4">
        <f t="shared" si="29"/>
        <v>0.16499999999999998</v>
      </c>
      <c r="Q22" s="4">
        <f t="shared" si="29"/>
        <v>0.32600000000000001</v>
      </c>
      <c r="R22" s="4">
        <f t="shared" si="29"/>
        <v>0.32600000000000001</v>
      </c>
      <c r="S22" s="4">
        <f t="shared" si="29"/>
        <v>0.09</v>
      </c>
      <c r="T22" s="4">
        <f t="shared" si="29"/>
        <v>0.32600000000000001</v>
      </c>
      <c r="U22" s="4">
        <f t="shared" si="29"/>
        <v>0.12</v>
      </c>
      <c r="V22" s="4">
        <f t="shared" si="29"/>
        <v>0.32</v>
      </c>
      <c r="W22" s="4">
        <f t="shared" si="29"/>
        <v>0.35000000000000003</v>
      </c>
      <c r="X22" s="4">
        <f t="shared" si="29"/>
        <v>0.22500000000000001</v>
      </c>
      <c r="Y22" s="4">
        <f t="shared" si="29"/>
        <v>0.46</v>
      </c>
      <c r="Z22" s="4">
        <f t="shared" si="29"/>
        <v>0.54</v>
      </c>
      <c r="AA22" s="4">
        <f t="shared" si="29"/>
        <v>0.18000000000000002</v>
      </c>
      <c r="AB22" s="4">
        <f t="shared" si="29"/>
        <v>0.12</v>
      </c>
      <c r="AC22" s="4">
        <f t="shared" si="29"/>
        <v>0.09</v>
      </c>
      <c r="AD22" s="4">
        <f t="shared" si="29"/>
        <v>0.52800000000000002</v>
      </c>
      <c r="AE22" s="4">
        <f t="shared" si="29"/>
        <v>0.22500000000000001</v>
      </c>
      <c r="AF22" s="4">
        <f t="shared" si="29"/>
        <v>0.35899999999999999</v>
      </c>
      <c r="AG22" s="9"/>
      <c r="BF22" s="432" t="s">
        <v>131</v>
      </c>
      <c r="BG22" s="432"/>
      <c r="BH22" s="41">
        <f>SUMPRODUCT(B4:B19,BH4:BH19)</f>
        <v>3275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0">SUMPRODUCT($D$4:$D$19,J4:J19)</f>
        <v>0.6</v>
      </c>
      <c r="K23" s="66">
        <f t="shared" si="30"/>
        <v>3.7</v>
      </c>
      <c r="L23" s="66">
        <f t="shared" si="30"/>
        <v>1.5</v>
      </c>
      <c r="M23" s="66">
        <f t="shared" si="30"/>
        <v>4</v>
      </c>
      <c r="N23" s="66">
        <f t="shared" si="30"/>
        <v>2.8</v>
      </c>
      <c r="O23" s="66">
        <f t="shared" si="30"/>
        <v>3.2</v>
      </c>
      <c r="P23" s="66">
        <f t="shared" si="30"/>
        <v>0.6</v>
      </c>
      <c r="Q23" s="66">
        <f t="shared" si="30"/>
        <v>0.89999999999999991</v>
      </c>
      <c r="R23" s="66">
        <f t="shared" si="30"/>
        <v>0.89999999999999991</v>
      </c>
      <c r="S23" s="66">
        <f t="shared" si="30"/>
        <v>0.3</v>
      </c>
      <c r="T23" s="66">
        <f t="shared" si="30"/>
        <v>0.89999999999999991</v>
      </c>
      <c r="U23" s="66">
        <f t="shared" si="30"/>
        <v>0.5</v>
      </c>
      <c r="V23" s="66">
        <f t="shared" si="30"/>
        <v>1.3</v>
      </c>
      <c r="W23" s="66">
        <f t="shared" si="30"/>
        <v>0.70000000000000007</v>
      </c>
      <c r="X23" s="66">
        <f t="shared" si="30"/>
        <v>2.5</v>
      </c>
      <c r="Y23" s="66">
        <f t="shared" si="30"/>
        <v>1.9000000000000001</v>
      </c>
      <c r="Z23" s="66">
        <f t="shared" si="30"/>
        <v>1.5</v>
      </c>
      <c r="AA23" s="66">
        <f t="shared" si="30"/>
        <v>0.5</v>
      </c>
      <c r="AB23" s="66">
        <f t="shared" si="30"/>
        <v>0.5</v>
      </c>
      <c r="AC23" s="66">
        <f t="shared" si="30"/>
        <v>0.3</v>
      </c>
      <c r="AD23" s="66">
        <f t="shared" si="30"/>
        <v>0.8</v>
      </c>
      <c r="AE23" s="66">
        <f t="shared" si="30"/>
        <v>2.5</v>
      </c>
      <c r="AF23" s="66">
        <f t="shared" si="30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1">K21-K22</f>
        <v>64.876000000000005</v>
      </c>
      <c r="L25" s="69">
        <f t="shared" si="31"/>
        <v>10.29</v>
      </c>
      <c r="M25" s="69">
        <f t="shared" si="31"/>
        <v>25.48</v>
      </c>
      <c r="N25" s="69">
        <f t="shared" si="31"/>
        <v>11.172000000000001</v>
      </c>
      <c r="O25" s="69">
        <f t="shared" si="31"/>
        <v>9.8979999999999997</v>
      </c>
      <c r="P25" s="69">
        <f t="shared" si="31"/>
        <v>8.0850000000000009</v>
      </c>
      <c r="Q25" s="69">
        <f t="shared" si="31"/>
        <v>15.974</v>
      </c>
      <c r="R25" s="69">
        <f t="shared" si="31"/>
        <v>15.974</v>
      </c>
      <c r="S25" s="69">
        <f t="shared" si="31"/>
        <v>4.41</v>
      </c>
      <c r="T25" s="69">
        <f t="shared" si="31"/>
        <v>15.974</v>
      </c>
      <c r="U25" s="69">
        <f t="shared" si="31"/>
        <v>5.88</v>
      </c>
      <c r="V25" s="69">
        <f t="shared" si="31"/>
        <v>15.68</v>
      </c>
      <c r="W25" s="69">
        <f t="shared" si="31"/>
        <v>17.149999999999999</v>
      </c>
      <c r="X25" s="69">
        <f t="shared" si="31"/>
        <v>11.025</v>
      </c>
      <c r="Y25" s="69">
        <f t="shared" si="31"/>
        <v>22.54</v>
      </c>
      <c r="Z25" s="69">
        <f t="shared" si="31"/>
        <v>26.46</v>
      </c>
      <c r="AA25" s="69">
        <f t="shared" si="31"/>
        <v>8.82</v>
      </c>
      <c r="AB25" s="69">
        <f t="shared" si="31"/>
        <v>5.88</v>
      </c>
      <c r="AC25" s="69">
        <f t="shared" si="31"/>
        <v>4.41</v>
      </c>
      <c r="AD25" s="69">
        <f t="shared" si="31"/>
        <v>25.872000000000003</v>
      </c>
      <c r="AE25" s="69">
        <f t="shared" si="31"/>
        <v>11.025</v>
      </c>
      <c r="AF25" s="69">
        <f t="shared" si="31"/>
        <v>17.591000000000001</v>
      </c>
      <c r="AG25" s="16"/>
      <c r="BF25" s="434" t="s">
        <v>42</v>
      </c>
      <c r="BG25" s="434"/>
      <c r="BH25" s="39">
        <f>AG50+AG51-AG52-BH22</f>
        <v>12558.031501776424</v>
      </c>
      <c r="BJ25" s="19"/>
    </row>
    <row r="26" spans="1:62" ht="24" x14ac:dyDescent="0.2">
      <c r="A26" s="14"/>
      <c r="B26" s="15"/>
      <c r="C26" s="15"/>
      <c r="D26" s="304"/>
      <c r="E26" s="305"/>
      <c r="H26" s="17" t="s">
        <v>187</v>
      </c>
      <c r="I26" s="4" t="s">
        <v>4</v>
      </c>
      <c r="J26" s="4">
        <f>J20-J21+J23</f>
        <v>44</v>
      </c>
      <c r="K26" s="4">
        <f t="shared" ref="K26:AF26" si="32">K20-K21+K23</f>
        <v>137.5</v>
      </c>
      <c r="L26" s="4">
        <f t="shared" si="32"/>
        <v>51</v>
      </c>
      <c r="M26" s="4">
        <f t="shared" si="32"/>
        <v>28</v>
      </c>
      <c r="N26" s="4">
        <f t="shared" si="32"/>
        <v>36.4</v>
      </c>
      <c r="O26" s="4">
        <f t="shared" si="32"/>
        <v>53.1</v>
      </c>
      <c r="P26" s="4">
        <f t="shared" si="32"/>
        <v>42.35</v>
      </c>
      <c r="Q26" s="4">
        <f t="shared" si="32"/>
        <v>34.6</v>
      </c>
      <c r="R26" s="4">
        <f t="shared" si="32"/>
        <v>34.6</v>
      </c>
      <c r="S26" s="4">
        <f t="shared" si="32"/>
        <v>45.8</v>
      </c>
      <c r="T26" s="4">
        <f t="shared" si="32"/>
        <v>54.6</v>
      </c>
      <c r="U26" s="4">
        <f t="shared" si="32"/>
        <v>64.5</v>
      </c>
      <c r="V26" s="4">
        <f t="shared" si="32"/>
        <v>35.299999999999997</v>
      </c>
      <c r="W26" s="4">
        <f t="shared" si="32"/>
        <v>63.2</v>
      </c>
      <c r="X26" s="4">
        <f t="shared" si="32"/>
        <v>51.25</v>
      </c>
      <c r="Y26" s="4">
        <f t="shared" si="32"/>
        <v>38.9</v>
      </c>
      <c r="Z26" s="4">
        <f t="shared" si="32"/>
        <v>34.5</v>
      </c>
      <c r="AA26" s="4">
        <f t="shared" si="32"/>
        <v>41.5</v>
      </c>
      <c r="AB26" s="4">
        <f t="shared" si="32"/>
        <v>44.5</v>
      </c>
      <c r="AC26" s="4">
        <f t="shared" si="32"/>
        <v>45.8</v>
      </c>
      <c r="AD26" s="4">
        <f t="shared" si="32"/>
        <v>34.399999999999991</v>
      </c>
      <c r="AE26" s="4">
        <f t="shared" si="32"/>
        <v>111.25</v>
      </c>
      <c r="AF26" s="4">
        <f t="shared" si="32"/>
        <v>83.55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3">K26/(K26+K25)</f>
        <v>0.67942839071826699</v>
      </c>
      <c r="L27" s="70">
        <f t="shared" si="33"/>
        <v>0.8321096426823299</v>
      </c>
      <c r="M27" s="70">
        <f t="shared" si="33"/>
        <v>0.52356020942408377</v>
      </c>
      <c r="N27" s="70">
        <f t="shared" si="33"/>
        <v>0.76515597410241309</v>
      </c>
      <c r="O27" s="70">
        <f t="shared" si="33"/>
        <v>0.84288390107622457</v>
      </c>
      <c r="P27" s="70">
        <f t="shared" si="33"/>
        <v>0.83969465648854957</v>
      </c>
      <c r="Q27" s="70">
        <f t="shared" si="33"/>
        <v>0.68414600387550917</v>
      </c>
      <c r="R27" s="70">
        <f t="shared" si="33"/>
        <v>0.68414600387550917</v>
      </c>
      <c r="S27" s="70">
        <f t="shared" si="33"/>
        <v>0.91216889065923124</v>
      </c>
      <c r="T27" s="70">
        <f t="shared" si="33"/>
        <v>0.77365602063082728</v>
      </c>
      <c r="U27" s="70">
        <f t="shared" si="33"/>
        <v>0.91645353793691398</v>
      </c>
      <c r="V27" s="70">
        <f t="shared" si="33"/>
        <v>0.69242840329541</v>
      </c>
      <c r="W27" s="70">
        <f t="shared" si="33"/>
        <v>0.7865588052271314</v>
      </c>
      <c r="X27" s="70">
        <f t="shared" si="33"/>
        <v>0.82296266559614617</v>
      </c>
      <c r="Y27" s="70">
        <f t="shared" si="33"/>
        <v>0.63313802083333337</v>
      </c>
      <c r="Z27" s="70">
        <f t="shared" si="33"/>
        <v>0.56594488188976377</v>
      </c>
      <c r="AA27" s="70">
        <f t="shared" si="33"/>
        <v>0.82472178060413359</v>
      </c>
      <c r="AB27" s="70">
        <f t="shared" si="33"/>
        <v>0.8832870186581977</v>
      </c>
      <c r="AC27" s="70">
        <f t="shared" si="33"/>
        <v>0.91216889065923124</v>
      </c>
      <c r="AD27" s="70">
        <f t="shared" si="33"/>
        <v>0.57074595168569142</v>
      </c>
      <c r="AE27" s="70">
        <f t="shared" si="33"/>
        <v>0.90983438969535879</v>
      </c>
      <c r="AF27" s="70">
        <f t="shared" si="33"/>
        <v>0.82607449006832046</v>
      </c>
      <c r="AG27" s="9"/>
      <c r="BF27" s="430" t="s">
        <v>130</v>
      </c>
      <c r="BG27" s="430"/>
      <c r="BH27" s="40">
        <f>BH25-AG41</f>
        <v>4020.471541384406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v>69.491648421261189</v>
      </c>
      <c r="K28" s="72">
        <v>1.4104702377938174</v>
      </c>
      <c r="L28" s="72">
        <v>23.984065605466327</v>
      </c>
      <c r="M28" s="72">
        <v>2.1951580534454531</v>
      </c>
      <c r="N28" s="72">
        <v>28.005487523249336</v>
      </c>
      <c r="O28" s="72">
        <v>14.836338000724778</v>
      </c>
      <c r="P28" s="72">
        <v>38.498704263864354</v>
      </c>
      <c r="Q28" s="72">
        <v>7.4241055010230967</v>
      </c>
      <c r="R28" s="72">
        <v>5.3899831558513522</v>
      </c>
      <c r="S28" s="72">
        <v>20.58341283380507</v>
      </c>
      <c r="T28" s="72">
        <v>6.5297808256118444</v>
      </c>
      <c r="U28" s="72">
        <v>13.907481930653701</v>
      </c>
      <c r="V28" s="72">
        <v>7.1670161525743952</v>
      </c>
      <c r="W28" s="72">
        <v>4.4467878388639832</v>
      </c>
      <c r="X28" s="72">
        <v>4.8313287663469069</v>
      </c>
      <c r="Y28" s="72">
        <v>1.488763187174202</v>
      </c>
      <c r="Z28" s="72">
        <v>1.2631010671612601</v>
      </c>
      <c r="AA28" s="72">
        <v>8.2160008226123935</v>
      </c>
      <c r="AB28" s="72">
        <v>17.263302631228331</v>
      </c>
      <c r="AC28" s="72">
        <v>3.1173277712067384</v>
      </c>
      <c r="AD28" s="72">
        <v>2.2213914442154494</v>
      </c>
      <c r="AE28" s="72">
        <v>3.7846081180482636</v>
      </c>
      <c r="AF28" s="72">
        <v>2.1265873130701878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0</v>
      </c>
      <c r="L29" s="74">
        <f>F12/L12</f>
        <v>20</v>
      </c>
      <c r="M29" s="74">
        <f>F18/M18</f>
        <v>5</v>
      </c>
      <c r="N29" s="74">
        <f>F11/N11</f>
        <v>25</v>
      </c>
      <c r="O29" s="74">
        <f>F9/O9</f>
        <v>16</v>
      </c>
      <c r="P29" s="74">
        <f>(F6/P6)*(25/47)</f>
        <v>17.730496453900709</v>
      </c>
      <c r="Q29" s="74">
        <f>(F13/Q13)*(6/20)</f>
        <v>15</v>
      </c>
      <c r="R29" s="74">
        <f>(F13/R13)*(3/20)</f>
        <v>7.5</v>
      </c>
      <c r="S29" s="74">
        <f>(F6/S6)*(12/47)</f>
        <v>8.5106382978723403</v>
      </c>
      <c r="T29" s="74">
        <f>(F13/T13)*(3/20)</f>
        <v>7.5</v>
      </c>
      <c r="U29" s="74">
        <f>(F7/U7)*(6/47)</f>
        <v>7.6595744680851059</v>
      </c>
      <c r="V29" s="74">
        <f>(F7/V7)*(3/47)</f>
        <v>3.8297872340425529</v>
      </c>
      <c r="W29" s="74">
        <f>(F13/W13)*(8/20)</f>
        <v>5.7142857142857144</v>
      </c>
      <c r="X29" s="74">
        <f>(F19/X19)*(3/4)</f>
        <v>3</v>
      </c>
      <c r="Y29" s="74">
        <f>(F7/Y7)*(1/29)</f>
        <v>2.0689655172413794</v>
      </c>
      <c r="Z29" s="74">
        <f>(F16/Z16)*(4/5)</f>
        <v>0</v>
      </c>
      <c r="AA29" s="74">
        <f>(F15/AA15)*(4/16)</f>
        <v>5</v>
      </c>
      <c r="AB29" s="74">
        <f>(F7/AB7)*(11/47)</f>
        <v>14.042553191489361</v>
      </c>
      <c r="AC29" s="74">
        <f>(F6/AC6)*(1/47)</f>
        <v>0.70921985815602839</v>
      </c>
      <c r="AD29" s="74">
        <f>(F14/AD14)</f>
        <v>0</v>
      </c>
      <c r="AE29" s="74">
        <f>(F19/AE19)*(1/4)</f>
        <v>1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4">(J29-J2)/J3</f>
        <v>-0.805932218141308</v>
      </c>
      <c r="K30" s="70">
        <f t="shared" si="34"/>
        <v>-1.1904761904761905</v>
      </c>
      <c r="L30" s="70">
        <f t="shared" si="34"/>
        <v>0.41379310344827586</v>
      </c>
      <c r="M30" s="70">
        <f t="shared" si="34"/>
        <v>0.93167701863354035</v>
      </c>
      <c r="N30" s="70">
        <f t="shared" si="34"/>
        <v>0.48192771084337355</v>
      </c>
      <c r="O30" s="70">
        <f t="shared" si="34"/>
        <v>1.25</v>
      </c>
      <c r="P30" s="70">
        <f t="shared" si="34"/>
        <v>-0.33778868885251861</v>
      </c>
      <c r="Q30" s="70">
        <f t="shared" si="34"/>
        <v>1.3015184381778742</v>
      </c>
      <c r="R30" s="70">
        <f t="shared" si="34"/>
        <v>1.2110726643598615</v>
      </c>
      <c r="S30" s="70">
        <f t="shared" si="34"/>
        <v>-5.7235286798556689E-2</v>
      </c>
      <c r="T30" s="70">
        <f t="shared" si="34"/>
        <v>1.0416666666666667</v>
      </c>
      <c r="U30" s="70">
        <f t="shared" si="34"/>
        <v>0.59056710622117947</v>
      </c>
      <c r="V30" s="70">
        <f t="shared" si="34"/>
        <v>-2.7060853093393809E-2</v>
      </c>
      <c r="W30" s="70">
        <f t="shared" si="34"/>
        <v>1.209865053513262</v>
      </c>
      <c r="X30" s="70">
        <f t="shared" si="34"/>
        <v>0</v>
      </c>
      <c r="Y30" s="70">
        <f t="shared" si="34"/>
        <v>0.75279261777561934</v>
      </c>
      <c r="Z30" s="70">
        <f t="shared" si="34"/>
        <v>-0.64516129032258063</v>
      </c>
      <c r="AA30" s="70">
        <f t="shared" si="34"/>
        <v>0</v>
      </c>
      <c r="AB30" s="70">
        <f t="shared" si="34"/>
        <v>0.77767737342205423</v>
      </c>
      <c r="AC30" s="70">
        <f t="shared" si="34"/>
        <v>-0.18639752682305871</v>
      </c>
      <c r="AD30" s="70">
        <f t="shared" si="34"/>
        <v>-1.6528925619834711</v>
      </c>
      <c r="AE30" s="70">
        <f t="shared" si="34"/>
        <v>0</v>
      </c>
      <c r="AF30" s="70">
        <f t="shared" si="34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0.28831492596970593</v>
      </c>
      <c r="K31" s="70">
        <f t="shared" ref="K31:AF31" si="35">NORMDIST(K30,0,1,FALSE)</f>
        <v>0.19640914652400149</v>
      </c>
      <c r="L31" s="70">
        <f t="shared" si="35"/>
        <v>0.36620906257573171</v>
      </c>
      <c r="M31" s="70">
        <f t="shared" si="35"/>
        <v>0.25847674077806199</v>
      </c>
      <c r="N31" s="70">
        <f t="shared" si="35"/>
        <v>0.35520304600227354</v>
      </c>
      <c r="O31" s="70">
        <f t="shared" si="35"/>
        <v>0.18264908538902191</v>
      </c>
      <c r="P31" s="70">
        <f t="shared" si="35"/>
        <v>0.37681944485760072</v>
      </c>
      <c r="Q31" s="70">
        <f t="shared" si="35"/>
        <v>0.17103045213676746</v>
      </c>
      <c r="R31" s="70">
        <f t="shared" si="35"/>
        <v>0.19161118613778638</v>
      </c>
      <c r="S31" s="70">
        <f t="shared" si="35"/>
        <v>0.39828937212860233</v>
      </c>
      <c r="T31" s="70">
        <f t="shared" si="35"/>
        <v>0.23189438328624271</v>
      </c>
      <c r="U31" s="70">
        <f t="shared" si="35"/>
        <v>0.3351010044835166</v>
      </c>
      <c r="V31" s="70">
        <f t="shared" si="35"/>
        <v>0.39879623646427698</v>
      </c>
      <c r="W31" s="70">
        <f t="shared" si="35"/>
        <v>0.1918914834573347</v>
      </c>
      <c r="X31" s="70">
        <f t="shared" si="35"/>
        <v>0.3989422804014327</v>
      </c>
      <c r="Y31" s="70">
        <f t="shared" si="35"/>
        <v>0.30050619911253779</v>
      </c>
      <c r="Z31" s="70">
        <f t="shared" si="35"/>
        <v>0.32398596615315295</v>
      </c>
      <c r="AA31" s="70">
        <f t="shared" si="35"/>
        <v>0.3989422804014327</v>
      </c>
      <c r="AB31" s="70">
        <f t="shared" si="35"/>
        <v>0.29483789511233988</v>
      </c>
      <c r="AC31" s="70">
        <f t="shared" si="35"/>
        <v>0.39207169825391602</v>
      </c>
      <c r="AD31" s="70">
        <f t="shared" si="35"/>
        <v>0.10177757907817411</v>
      </c>
      <c r="AE31" s="70">
        <f t="shared" si="35"/>
        <v>0.3989422804014327</v>
      </c>
      <c r="AF31" s="70">
        <f t="shared" si="35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0.21014096653784892</v>
      </c>
      <c r="K32" s="70">
        <f t="shared" ref="K32:AF32" si="36">NORMDIST(K30,0,1,TRUE)</f>
        <v>0.11692964134637239</v>
      </c>
      <c r="L32" s="70">
        <f t="shared" si="36"/>
        <v>0.66048718243495286</v>
      </c>
      <c r="M32" s="70">
        <f t="shared" si="36"/>
        <v>0.82424826667399453</v>
      </c>
      <c r="N32" s="70">
        <f t="shared" si="36"/>
        <v>0.68507134998371932</v>
      </c>
      <c r="O32" s="70">
        <f t="shared" si="36"/>
        <v>0.89435022633314476</v>
      </c>
      <c r="P32" s="70">
        <f t="shared" si="36"/>
        <v>0.36776121719561294</v>
      </c>
      <c r="Q32" s="70">
        <f t="shared" si="36"/>
        <v>0.90345947127020609</v>
      </c>
      <c r="R32" s="70">
        <f t="shared" si="36"/>
        <v>0.88706622156702475</v>
      </c>
      <c r="S32" s="70">
        <f t="shared" si="36"/>
        <v>0.47717888470998132</v>
      </c>
      <c r="T32" s="70">
        <f t="shared" si="36"/>
        <v>0.85121687581824801</v>
      </c>
      <c r="U32" s="70">
        <f t="shared" si="36"/>
        <v>0.72259474492746256</v>
      </c>
      <c r="V32" s="70">
        <f t="shared" si="36"/>
        <v>0.48920559901162575</v>
      </c>
      <c r="W32" s="70">
        <f t="shared" si="36"/>
        <v>0.88683466058836546</v>
      </c>
      <c r="X32" s="70">
        <f t="shared" si="36"/>
        <v>0.5</v>
      </c>
      <c r="Y32" s="70">
        <f t="shared" si="36"/>
        <v>0.77421272821047848</v>
      </c>
      <c r="Z32" s="70">
        <f t="shared" si="36"/>
        <v>0.25941133433509533</v>
      </c>
      <c r="AA32" s="70">
        <f t="shared" si="36"/>
        <v>0.5</v>
      </c>
      <c r="AB32" s="70">
        <f t="shared" si="36"/>
        <v>0.78162038278547308</v>
      </c>
      <c r="AC32" s="70">
        <f t="shared" si="36"/>
        <v>0.42606651587719524</v>
      </c>
      <c r="AD32" s="70">
        <f t="shared" si="36"/>
        <v>4.9176365594524589E-2</v>
      </c>
      <c r="AE32" s="70">
        <f t="shared" si="36"/>
        <v>0.5</v>
      </c>
      <c r="AF32" s="70">
        <f t="shared" si="36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0.92488776882680712</v>
      </c>
      <c r="K33" s="70">
        <f t="shared" ref="K33:AF33" si="37">K31-(K30*(1-K32))</f>
        <v>1.2476833830164151</v>
      </c>
      <c r="L33" s="70">
        <f t="shared" si="37"/>
        <v>0.22572100013502255</v>
      </c>
      <c r="M33" s="70">
        <f t="shared" si="37"/>
        <v>9.4732889853212182E-2</v>
      </c>
      <c r="N33" s="70">
        <f t="shared" si="37"/>
        <v>0.20343020262093345</v>
      </c>
      <c r="O33" s="70">
        <f t="shared" si="37"/>
        <v>5.0586868305452865E-2</v>
      </c>
      <c r="P33" s="70">
        <f t="shared" si="37"/>
        <v>0.59038255434280695</v>
      </c>
      <c r="Q33" s="70">
        <f t="shared" si="37"/>
        <v>4.5381173963499916E-2</v>
      </c>
      <c r="R33" s="70">
        <f t="shared" si="37"/>
        <v>5.4840174194736774E-2</v>
      </c>
      <c r="S33" s="70">
        <f t="shared" si="37"/>
        <v>0.42821318860656782</v>
      </c>
      <c r="T33" s="70">
        <f t="shared" si="37"/>
        <v>7.6911962263584377E-2</v>
      </c>
      <c r="U33" s="70">
        <f t="shared" si="37"/>
        <v>0.17127458574477999</v>
      </c>
      <c r="V33" s="70">
        <f t="shared" si="37"/>
        <v>0.41261876871035147</v>
      </c>
      <c r="W33" s="70">
        <f t="shared" si="37"/>
        <v>5.4976694034231027E-2</v>
      </c>
      <c r="X33" s="70">
        <f t="shared" si="37"/>
        <v>0.3989422804014327</v>
      </c>
      <c r="Y33" s="70">
        <f t="shared" si="37"/>
        <v>0.13053520772168864</v>
      </c>
      <c r="Z33" s="70">
        <f t="shared" si="37"/>
        <v>0.80178510529180103</v>
      </c>
      <c r="AA33" s="70">
        <f t="shared" si="37"/>
        <v>0.3989422804014327</v>
      </c>
      <c r="AB33" s="70">
        <f t="shared" si="37"/>
        <v>0.12500900798803297</v>
      </c>
      <c r="AC33" s="70">
        <f t="shared" si="37"/>
        <v>0.49905148025534807</v>
      </c>
      <c r="AD33" s="70">
        <f t="shared" si="37"/>
        <v>1.6733868921450756</v>
      </c>
      <c r="AE33" s="70">
        <f t="shared" si="37"/>
        <v>0.3989422804014327</v>
      </c>
      <c r="AF33" s="70">
        <f t="shared" si="37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38">J33*J3</f>
        <v>18.322026700459048</v>
      </c>
      <c r="K34" s="74">
        <f t="shared" si="38"/>
        <v>1.0480540417337887</v>
      </c>
      <c r="L34" s="74">
        <f t="shared" si="38"/>
        <v>1.6364772509789136</v>
      </c>
      <c r="M34" s="74">
        <f t="shared" si="38"/>
        <v>0.30503990532734326</v>
      </c>
      <c r="N34" s="74">
        <f t="shared" si="38"/>
        <v>2.5327060226306215</v>
      </c>
      <c r="O34" s="74">
        <f t="shared" si="38"/>
        <v>0.24281696786617374</v>
      </c>
      <c r="P34" s="74">
        <f t="shared" si="38"/>
        <v>9.2099678477477891</v>
      </c>
      <c r="Q34" s="74">
        <f t="shared" si="38"/>
        <v>0.41841442394346923</v>
      </c>
      <c r="R34" s="74">
        <f t="shared" si="38"/>
        <v>0.15848810342278929</v>
      </c>
      <c r="S34" s="74">
        <f t="shared" si="38"/>
        <v>3.6612227625861551</v>
      </c>
      <c r="T34" s="74">
        <f t="shared" si="38"/>
        <v>0.25842419320564347</v>
      </c>
      <c r="U34" s="74">
        <f t="shared" si="38"/>
        <v>1.3513564815263142</v>
      </c>
      <c r="V34" s="74">
        <f t="shared" si="38"/>
        <v>2.5953720551881108</v>
      </c>
      <c r="W34" s="74">
        <f t="shared" si="38"/>
        <v>0.16877845068508923</v>
      </c>
      <c r="X34" s="74">
        <f t="shared" si="38"/>
        <v>0.78591629239082239</v>
      </c>
      <c r="Y34" s="74">
        <f t="shared" si="38"/>
        <v>0.18535999496479785</v>
      </c>
      <c r="Z34" s="74">
        <f t="shared" si="38"/>
        <v>1.2427669132022916</v>
      </c>
      <c r="AA34" s="74">
        <f t="shared" si="38"/>
        <v>1.3723614445809285</v>
      </c>
      <c r="AB34" s="74">
        <f t="shared" si="38"/>
        <v>0.97131999206701614</v>
      </c>
      <c r="AC34" s="74">
        <f t="shared" si="38"/>
        <v>0.77852030919834303</v>
      </c>
      <c r="AD34" s="74">
        <f t="shared" si="38"/>
        <v>2.0247981394955414</v>
      </c>
      <c r="AE34" s="74">
        <f t="shared" si="38"/>
        <v>0.82581052043096559</v>
      </c>
      <c r="AF34" s="74">
        <f t="shared" si="38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39">J2-J34</f>
        <v>28.677973299540952</v>
      </c>
      <c r="K35" s="74">
        <f t="shared" si="39"/>
        <v>-4.8054041733788688E-2</v>
      </c>
      <c r="L35" s="74">
        <f t="shared" si="39"/>
        <v>15.363522749021087</v>
      </c>
      <c r="M35" s="74">
        <f t="shared" si="39"/>
        <v>1.6949600946726568</v>
      </c>
      <c r="N35" s="74">
        <f t="shared" si="39"/>
        <v>16.46729397736938</v>
      </c>
      <c r="O35" s="74">
        <f t="shared" si="39"/>
        <v>9.7571830321338258</v>
      </c>
      <c r="P35" s="74">
        <f t="shared" si="39"/>
        <v>13.790032152252211</v>
      </c>
      <c r="Q35" s="74">
        <f t="shared" si="39"/>
        <v>2.5815855760565309</v>
      </c>
      <c r="R35" s="74">
        <f t="shared" si="39"/>
        <v>3.8415118965772108</v>
      </c>
      <c r="S35" s="74">
        <f t="shared" si="39"/>
        <v>5.3387772374138454</v>
      </c>
      <c r="T35" s="74">
        <f t="shared" si="39"/>
        <v>3.7415758067943568</v>
      </c>
      <c r="U35" s="74">
        <f t="shared" si="39"/>
        <v>1.6486435184736858</v>
      </c>
      <c r="V35" s="74">
        <f t="shared" si="39"/>
        <v>1.4046279448118892</v>
      </c>
      <c r="W35" s="74">
        <f t="shared" si="39"/>
        <v>1.8312215493149107</v>
      </c>
      <c r="X35" s="74">
        <f t="shared" si="39"/>
        <v>2.2140837076091775</v>
      </c>
      <c r="Y35" s="74">
        <f t="shared" si="39"/>
        <v>0.81464000503520217</v>
      </c>
      <c r="Z35" s="74">
        <f t="shared" si="39"/>
        <v>-0.2427669132022916</v>
      </c>
      <c r="AA35" s="74">
        <f t="shared" si="39"/>
        <v>3.6276385554190718</v>
      </c>
      <c r="AB35" s="74">
        <f t="shared" si="39"/>
        <v>7.0286800079329836</v>
      </c>
      <c r="AC35" s="74">
        <f t="shared" si="39"/>
        <v>0.22147969080165697</v>
      </c>
      <c r="AD35" s="74">
        <f t="shared" si="39"/>
        <v>-2.4798139495541438E-2</v>
      </c>
      <c r="AE35" s="74">
        <f t="shared" si="39"/>
        <v>0.17418947956903441</v>
      </c>
      <c r="AF35" s="74">
        <f t="shared" si="39"/>
        <v>0.35403274880761504</v>
      </c>
      <c r="AG35" s="187">
        <f>SUM(J35:AF35)</f>
        <v>120.25803393517566</v>
      </c>
      <c r="AH35" s="313" t="s">
        <v>10</v>
      </c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2.3565094590797386</v>
      </c>
      <c r="K36" s="74">
        <f t="shared" ref="K36:AF36" si="40">K29-K35</f>
        <v>4.8054041733788688E-2</v>
      </c>
      <c r="L36" s="74">
        <f t="shared" si="40"/>
        <v>4.6364772509789134</v>
      </c>
      <c r="M36" s="74">
        <f t="shared" si="40"/>
        <v>3.3050399053273432</v>
      </c>
      <c r="N36" s="74">
        <f t="shared" si="40"/>
        <v>8.5327060226306202</v>
      </c>
      <c r="O36" s="74">
        <f t="shared" si="40"/>
        <v>6.2428169678661742</v>
      </c>
      <c r="P36" s="74">
        <f t="shared" si="40"/>
        <v>3.9404643016484986</v>
      </c>
      <c r="Q36" s="74">
        <f t="shared" si="40"/>
        <v>12.418414423943469</v>
      </c>
      <c r="R36" s="74">
        <f t="shared" si="40"/>
        <v>3.6584881034227892</v>
      </c>
      <c r="S36" s="74">
        <f t="shared" si="40"/>
        <v>3.1718610604584949</v>
      </c>
      <c r="T36" s="74">
        <f t="shared" si="40"/>
        <v>3.7584241932056432</v>
      </c>
      <c r="U36" s="74">
        <f t="shared" si="40"/>
        <v>6.0109309496114198</v>
      </c>
      <c r="V36" s="74">
        <f t="shared" si="40"/>
        <v>2.4251592892306637</v>
      </c>
      <c r="W36" s="74">
        <f t="shared" si="40"/>
        <v>3.8830641649708038</v>
      </c>
      <c r="X36" s="74">
        <f t="shared" si="40"/>
        <v>0.7859162923908225</v>
      </c>
      <c r="Y36" s="74">
        <f t="shared" si="40"/>
        <v>1.2543255122061772</v>
      </c>
      <c r="Z36" s="74">
        <f t="shared" si="40"/>
        <v>0.2427669132022916</v>
      </c>
      <c r="AA36" s="74">
        <f t="shared" si="40"/>
        <v>1.3723614445809282</v>
      </c>
      <c r="AB36" s="74">
        <f t="shared" si="40"/>
        <v>7.0138731835563775</v>
      </c>
      <c r="AC36" s="74">
        <f t="shared" si="40"/>
        <v>0.48774016735437142</v>
      </c>
      <c r="AD36" s="74">
        <f t="shared" si="40"/>
        <v>2.4798139495541438E-2</v>
      </c>
      <c r="AE36" s="74">
        <f t="shared" si="40"/>
        <v>0.82581052043096559</v>
      </c>
      <c r="AF36" s="74">
        <f t="shared" si="40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1433.8986649770477</v>
      </c>
      <c r="K37" s="70">
        <f t="shared" ref="K37:AF37" si="41">K20*K35</f>
        <v>-9.6108083467577377</v>
      </c>
      <c r="L37" s="70">
        <f t="shared" si="41"/>
        <v>921.8113649412652</v>
      </c>
      <c r="M37" s="70">
        <f t="shared" si="41"/>
        <v>84.74800473363284</v>
      </c>
      <c r="N37" s="70">
        <f t="shared" si="41"/>
        <v>741.02822898162208</v>
      </c>
      <c r="O37" s="70">
        <f t="shared" si="41"/>
        <v>585.4309819280295</v>
      </c>
      <c r="P37" s="70">
        <f t="shared" si="41"/>
        <v>689.50160761261054</v>
      </c>
      <c r="Q37" s="70">
        <f t="shared" si="41"/>
        <v>129.07927880282654</v>
      </c>
      <c r="R37" s="70">
        <f t="shared" si="41"/>
        <v>192.07559482886055</v>
      </c>
      <c r="S37" s="70">
        <f t="shared" si="41"/>
        <v>266.93886187069228</v>
      </c>
      <c r="T37" s="70">
        <f t="shared" si="41"/>
        <v>261.91030647560495</v>
      </c>
      <c r="U37" s="70">
        <f t="shared" si="41"/>
        <v>115.40504629315801</v>
      </c>
      <c r="V37" s="70">
        <f t="shared" si="41"/>
        <v>70.231397240594461</v>
      </c>
      <c r="W37" s="70">
        <f t="shared" si="41"/>
        <v>146.49772394519286</v>
      </c>
      <c r="X37" s="70">
        <f t="shared" si="41"/>
        <v>132.84502245655065</v>
      </c>
      <c r="Y37" s="70">
        <f t="shared" si="41"/>
        <v>48.878400302112134</v>
      </c>
      <c r="Z37" s="70">
        <f t="shared" si="41"/>
        <v>-14.566014792137496</v>
      </c>
      <c r="AA37" s="70">
        <f t="shared" si="41"/>
        <v>181.38192777095358</v>
      </c>
      <c r="AB37" s="70">
        <f t="shared" si="41"/>
        <v>351.4340003966492</v>
      </c>
      <c r="AC37" s="70">
        <f t="shared" si="41"/>
        <v>11.073984540082849</v>
      </c>
      <c r="AD37" s="70">
        <f t="shared" si="41"/>
        <v>-1.4878883697324863</v>
      </c>
      <c r="AE37" s="70">
        <f t="shared" si="41"/>
        <v>20.902737548284129</v>
      </c>
      <c r="AF37" s="70">
        <f t="shared" si="41"/>
        <v>35.403274880761501</v>
      </c>
      <c r="AG37" s="288">
        <f>SUM(J37:AF37)</f>
        <v>6394.8116990179033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117.51441370538841</v>
      </c>
      <c r="K38" s="70">
        <f t="shared" ref="K38:AF38" si="42">(K20-K22)*K36</f>
        <v>9.5471847955022007</v>
      </c>
      <c r="L38" s="70">
        <f t="shared" si="42"/>
        <v>277.21497483602923</v>
      </c>
      <c r="M38" s="70">
        <f t="shared" si="42"/>
        <v>163.53337451559693</v>
      </c>
      <c r="N38" s="70">
        <f t="shared" si="42"/>
        <v>382.0263140452181</v>
      </c>
      <c r="O38" s="70">
        <f t="shared" si="42"/>
        <v>373.30796904446152</v>
      </c>
      <c r="P38" s="70">
        <f t="shared" si="42"/>
        <v>196.37303847265292</v>
      </c>
      <c r="Q38" s="70">
        <f t="shared" si="42"/>
        <v>616.87231809496791</v>
      </c>
      <c r="R38" s="70">
        <f t="shared" si="42"/>
        <v>181.73173804942363</v>
      </c>
      <c r="S38" s="70">
        <f t="shared" si="42"/>
        <v>158.30758552748347</v>
      </c>
      <c r="T38" s="70">
        <f t="shared" si="42"/>
        <v>261.86444723740999</v>
      </c>
      <c r="U38" s="70">
        <f t="shared" si="42"/>
        <v>420.04385475884601</v>
      </c>
      <c r="V38" s="70">
        <f t="shared" si="42"/>
        <v>120.48191348897937</v>
      </c>
      <c r="W38" s="70">
        <f t="shared" si="42"/>
        <v>309.28606073992455</v>
      </c>
      <c r="X38" s="70">
        <f t="shared" si="42"/>
        <v>46.978146377661417</v>
      </c>
      <c r="Y38" s="70">
        <f t="shared" si="42"/>
        <v>74.68254099675579</v>
      </c>
      <c r="Z38" s="70">
        <f t="shared" si="42"/>
        <v>14.434920659008259</v>
      </c>
      <c r="AA38" s="70">
        <f t="shared" si="42"/>
        <v>68.37104716902185</v>
      </c>
      <c r="AB38" s="70">
        <f t="shared" si="42"/>
        <v>349.85199439579213</v>
      </c>
      <c r="AC38" s="70">
        <f t="shared" si="42"/>
        <v>24.343111752656675</v>
      </c>
      <c r="AD38" s="70">
        <f>(AD20-AD22)*AD36</f>
        <v>1.4747949520788404</v>
      </c>
      <c r="AE38" s="70">
        <f t="shared" si="42"/>
        <v>98.911455084618908</v>
      </c>
      <c r="AF38" s="70">
        <f t="shared" si="42"/>
        <v>33.441753910543198</v>
      </c>
      <c r="AG38" s="288">
        <f>SUM(J38:AF38)</f>
        <v>4300.5949526100212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10.993216020275428</v>
      </c>
      <c r="K39" s="70">
        <f t="shared" ref="K39:AF39" si="43">K23*K34</f>
        <v>3.8777999544150181</v>
      </c>
      <c r="L39" s="70">
        <f t="shared" si="43"/>
        <v>2.4547158764683705</v>
      </c>
      <c r="M39" s="70">
        <f t="shared" si="43"/>
        <v>1.2201596213093731</v>
      </c>
      <c r="N39" s="70">
        <f t="shared" si="43"/>
        <v>7.0915768633657397</v>
      </c>
      <c r="O39" s="70">
        <f t="shared" si="43"/>
        <v>0.77701429717175596</v>
      </c>
      <c r="P39" s="70">
        <f t="shared" si="43"/>
        <v>5.5259807086486736</v>
      </c>
      <c r="Q39" s="70">
        <f t="shared" si="43"/>
        <v>0.37657298154912228</v>
      </c>
      <c r="R39" s="70">
        <f t="shared" si="43"/>
        <v>0.14263929308051035</v>
      </c>
      <c r="S39" s="70">
        <f t="shared" si="43"/>
        <v>1.0983668287758466</v>
      </c>
      <c r="T39" s="70">
        <f t="shared" si="43"/>
        <v>0.23258177388507911</v>
      </c>
      <c r="U39" s="70">
        <f t="shared" si="43"/>
        <v>0.67567824076315708</v>
      </c>
      <c r="V39" s="70">
        <f t="shared" si="43"/>
        <v>3.3739836717445439</v>
      </c>
      <c r="W39" s="70">
        <f t="shared" si="43"/>
        <v>0.11814491547956248</v>
      </c>
      <c r="X39" s="70">
        <f t="shared" si="43"/>
        <v>1.964790730977056</v>
      </c>
      <c r="Y39" s="70">
        <f t="shared" si="43"/>
        <v>0.35218399043311593</v>
      </c>
      <c r="Z39" s="70">
        <f t="shared" si="43"/>
        <v>1.8641503698034374</v>
      </c>
      <c r="AA39" s="70">
        <f t="shared" si="43"/>
        <v>0.68618072229046423</v>
      </c>
      <c r="AB39" s="70">
        <f t="shared" si="43"/>
        <v>0.48565999603350807</v>
      </c>
      <c r="AC39" s="70">
        <f t="shared" si="43"/>
        <v>0.2335560927595029</v>
      </c>
      <c r="AD39" s="70">
        <f t="shared" si="43"/>
        <v>1.6198385115964333</v>
      </c>
      <c r="AE39" s="70">
        <f t="shared" si="43"/>
        <v>2.064526301077414</v>
      </c>
      <c r="AF39" s="70">
        <f t="shared" si="43"/>
        <v>0.9689508767885775</v>
      </c>
      <c r="AG39" s="288">
        <f t="shared" ref="AG39" si="44">SUM(J39:AF39)</f>
        <v>48.198268638691694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204.82758620689654</v>
      </c>
      <c r="K40" s="70">
        <f t="shared" ref="K40:AF40" si="45">K21*K29</f>
        <v>0</v>
      </c>
      <c r="L40" s="70">
        <f t="shared" si="45"/>
        <v>210</v>
      </c>
      <c r="M40" s="70">
        <f t="shared" si="45"/>
        <v>130</v>
      </c>
      <c r="N40" s="70">
        <f t="shared" si="45"/>
        <v>285</v>
      </c>
      <c r="O40" s="70">
        <f t="shared" si="45"/>
        <v>161.6</v>
      </c>
      <c r="P40" s="70">
        <f t="shared" si="45"/>
        <v>146.27659574468086</v>
      </c>
      <c r="Q40" s="70">
        <f t="shared" si="45"/>
        <v>244.5</v>
      </c>
      <c r="R40" s="70">
        <f t="shared" si="45"/>
        <v>122.25</v>
      </c>
      <c r="S40" s="70">
        <f t="shared" si="45"/>
        <v>38.297872340425528</v>
      </c>
      <c r="T40" s="70">
        <f t="shared" si="45"/>
        <v>122.25</v>
      </c>
      <c r="U40" s="70">
        <f t="shared" si="45"/>
        <v>45.957446808510639</v>
      </c>
      <c r="V40" s="70">
        <f t="shared" si="45"/>
        <v>61.276595744680847</v>
      </c>
      <c r="W40" s="70">
        <f t="shared" si="45"/>
        <v>100</v>
      </c>
      <c r="X40" s="70">
        <f t="shared" si="45"/>
        <v>33.75</v>
      </c>
      <c r="Y40" s="70">
        <f t="shared" si="45"/>
        <v>47.58620689655173</v>
      </c>
      <c r="Z40" s="70">
        <f t="shared" si="45"/>
        <v>0</v>
      </c>
      <c r="AA40" s="70">
        <f t="shared" si="45"/>
        <v>45</v>
      </c>
      <c r="AB40" s="70">
        <f t="shared" si="45"/>
        <v>84.255319148936167</v>
      </c>
      <c r="AC40" s="70">
        <f t="shared" si="45"/>
        <v>3.1914893617021276</v>
      </c>
      <c r="AD40" s="70">
        <f t="shared" si="45"/>
        <v>0</v>
      </c>
      <c r="AE40" s="70">
        <f t="shared" si="45"/>
        <v>11.25</v>
      </c>
      <c r="AF40" s="70">
        <f t="shared" si="45"/>
        <v>12.379310344827587</v>
      </c>
      <c r="AG40" s="289">
        <f>SUM(J40:AF40)</f>
        <v>2109.6484225972117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1335.5922764552643</v>
      </c>
      <c r="K41" s="76">
        <f t="shared" ref="K41:AF41" si="46">K37+K38-K40-K39</f>
        <v>-3.9414235056705551</v>
      </c>
      <c r="L41" s="76">
        <f t="shared" si="46"/>
        <v>986.57162390082601</v>
      </c>
      <c r="M41" s="76">
        <f t="shared" si="46"/>
        <v>117.06121962792038</v>
      </c>
      <c r="N41" s="76">
        <f t="shared" si="46"/>
        <v>830.96296616347456</v>
      </c>
      <c r="O41" s="76">
        <f t="shared" si="46"/>
        <v>796.36193667531927</v>
      </c>
      <c r="P41" s="76">
        <f t="shared" si="46"/>
        <v>734.07206963193391</v>
      </c>
      <c r="Q41" s="76">
        <f t="shared" si="46"/>
        <v>501.07502391624524</v>
      </c>
      <c r="R41" s="76">
        <f t="shared" si="46"/>
        <v>251.41469358520365</v>
      </c>
      <c r="S41" s="76">
        <f t="shared" si="46"/>
        <v>385.85020822897434</v>
      </c>
      <c r="T41" s="76">
        <f t="shared" si="46"/>
        <v>401.29217193912979</v>
      </c>
      <c r="U41" s="76">
        <f t="shared" si="46"/>
        <v>488.81577600273016</v>
      </c>
      <c r="V41" s="76">
        <f t="shared" si="46"/>
        <v>126.06273131314846</v>
      </c>
      <c r="W41" s="76">
        <f t="shared" si="46"/>
        <v>355.66563976963789</v>
      </c>
      <c r="X41" s="76">
        <f t="shared" si="46"/>
        <v>144.10837810323503</v>
      </c>
      <c r="Y41" s="76">
        <f t="shared" si="46"/>
        <v>75.622550411883083</v>
      </c>
      <c r="Z41" s="76">
        <f t="shared" si="46"/>
        <v>-1.995244502932674</v>
      </c>
      <c r="AA41" s="76">
        <f t="shared" si="46"/>
        <v>204.06679421768499</v>
      </c>
      <c r="AB41" s="76">
        <f t="shared" si="46"/>
        <v>616.5450156474717</v>
      </c>
      <c r="AC41" s="76">
        <f t="shared" si="46"/>
        <v>31.992050838277894</v>
      </c>
      <c r="AD41" s="76">
        <f t="shared" si="46"/>
        <v>-1.6329319292500792</v>
      </c>
      <c r="AE41" s="76">
        <f t="shared" si="46"/>
        <v>106.49966633182562</v>
      </c>
      <c r="AF41" s="76">
        <f t="shared" si="46"/>
        <v>55.496767569688537</v>
      </c>
      <c r="AG41" s="290">
        <f>SUM(J41:AF41)</f>
        <v>8537.5599603920182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7">(J28-J2)/J3</f>
        <v>1.1353684210631596</v>
      </c>
      <c r="K43" s="70">
        <f t="shared" si="47"/>
        <v>0.48865504499263979</v>
      </c>
      <c r="L43" s="70">
        <f t="shared" si="47"/>
        <v>0.96331939385742438</v>
      </c>
      <c r="M43" s="70">
        <f t="shared" si="47"/>
        <v>6.060809113212829E-2</v>
      </c>
      <c r="N43" s="70">
        <f t="shared" si="47"/>
        <v>0.72333233118468565</v>
      </c>
      <c r="O43" s="70">
        <f t="shared" si="47"/>
        <v>1.0075704168176622</v>
      </c>
      <c r="P43" s="70">
        <f t="shared" si="47"/>
        <v>0.99350668358104843</v>
      </c>
      <c r="Q43" s="70">
        <f t="shared" si="47"/>
        <v>0.47983790683547684</v>
      </c>
      <c r="R43" s="70">
        <f t="shared" si="47"/>
        <v>0.48096302970635024</v>
      </c>
      <c r="S43" s="70">
        <f t="shared" si="47"/>
        <v>1.3547851267608269</v>
      </c>
      <c r="T43" s="70">
        <f t="shared" si="47"/>
        <v>0.75291096000352509</v>
      </c>
      <c r="U43" s="70">
        <f t="shared" si="47"/>
        <v>1.3824438441893157</v>
      </c>
      <c r="V43" s="70">
        <f t="shared" si="47"/>
        <v>0.50350018323917256</v>
      </c>
      <c r="W43" s="70">
        <f t="shared" si="47"/>
        <v>0.79699929604690012</v>
      </c>
      <c r="X43" s="70">
        <f t="shared" si="47"/>
        <v>0.92960851083599338</v>
      </c>
      <c r="Y43" s="70">
        <f t="shared" si="47"/>
        <v>0.34419942758746619</v>
      </c>
      <c r="Z43" s="70">
        <f t="shared" si="47"/>
        <v>0.16974262397500653</v>
      </c>
      <c r="AA43" s="70">
        <f t="shared" si="47"/>
        <v>0.93488396006174235</v>
      </c>
      <c r="AB43" s="70">
        <f t="shared" si="47"/>
        <v>1.1921882408273272</v>
      </c>
      <c r="AC43" s="70">
        <f t="shared" si="47"/>
        <v>1.3572613917991914</v>
      </c>
      <c r="AD43" s="70">
        <f t="shared" si="47"/>
        <v>0.18296813571524748</v>
      </c>
      <c r="AE43" s="70">
        <f t="shared" si="47"/>
        <v>1.345221313066794</v>
      </c>
      <c r="AF43" s="70">
        <f t="shared" si="47"/>
        <v>0.9467120277900738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0.20940831786139114</v>
      </c>
      <c r="K44" s="70">
        <f t="shared" ref="K44:AF44" si="48">NORMDIST(K43,0,1,FALSE)</f>
        <v>0.35404529937354473</v>
      </c>
      <c r="L44" s="70">
        <f t="shared" si="48"/>
        <v>0.25084234105341779</v>
      </c>
      <c r="M44" s="70">
        <f t="shared" si="48"/>
        <v>0.39821022741732454</v>
      </c>
      <c r="N44" s="70">
        <f t="shared" si="48"/>
        <v>0.30711181978850338</v>
      </c>
      <c r="O44" s="70">
        <f t="shared" si="48"/>
        <v>0.24013894020492391</v>
      </c>
      <c r="P44" s="70">
        <f t="shared" si="48"/>
        <v>0.24354189487971697</v>
      </c>
      <c r="Q44" s="70">
        <f t="shared" si="48"/>
        <v>0.35556018701958308</v>
      </c>
      <c r="R44" s="70">
        <f t="shared" si="48"/>
        <v>0.35536805527066695</v>
      </c>
      <c r="S44" s="70">
        <f t="shared" si="48"/>
        <v>0.1593487785977579</v>
      </c>
      <c r="T44" s="70">
        <f t="shared" si="48"/>
        <v>0.30047942695839902</v>
      </c>
      <c r="U44" s="70">
        <f t="shared" si="48"/>
        <v>0.15342951173310543</v>
      </c>
      <c r="V44" s="70">
        <f t="shared" si="48"/>
        <v>0.35144756618013784</v>
      </c>
      <c r="W44" s="70">
        <f t="shared" si="48"/>
        <v>0.29038650364756929</v>
      </c>
      <c r="X44" s="70">
        <f t="shared" si="48"/>
        <v>0.25897479854962624</v>
      </c>
      <c r="Y44" s="70">
        <f t="shared" si="48"/>
        <v>0.37599660827413456</v>
      </c>
      <c r="Z44" s="70">
        <f t="shared" si="48"/>
        <v>0.39323620685741356</v>
      </c>
      <c r="AA44" s="70">
        <f t="shared" si="48"/>
        <v>0.25770428268199347</v>
      </c>
      <c r="AB44" s="70">
        <f t="shared" si="48"/>
        <v>0.19600895461418746</v>
      </c>
      <c r="AC44" s="70">
        <f t="shared" si="48"/>
        <v>0.1588146029872505</v>
      </c>
      <c r="AD44" s="70">
        <f t="shared" si="48"/>
        <v>0.39232009538324936</v>
      </c>
      <c r="AE44" s="70">
        <f t="shared" si="48"/>
        <v>0.16141949819711576</v>
      </c>
      <c r="AF44" s="70">
        <f t="shared" si="48"/>
        <v>0.25485249173420482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0.87188950738267601</v>
      </c>
      <c r="K45" s="70">
        <f t="shared" ref="K45:AF45" si="49">NORMDIST(K43,0,1,TRUE)</f>
        <v>0.68745703216923904</v>
      </c>
      <c r="L45" s="70">
        <f t="shared" si="49"/>
        <v>0.83230636819384107</v>
      </c>
      <c r="M45" s="70">
        <f t="shared" si="49"/>
        <v>0.52416433520946681</v>
      </c>
      <c r="N45" s="70">
        <f t="shared" si="49"/>
        <v>0.76526213299999368</v>
      </c>
      <c r="O45" s="70">
        <f t="shared" si="49"/>
        <v>0.84316963155935554</v>
      </c>
      <c r="P45" s="70">
        <f t="shared" si="49"/>
        <v>0.83976845250105137</v>
      </c>
      <c r="Q45" s="70">
        <f t="shared" si="49"/>
        <v>0.68432867184941593</v>
      </c>
      <c r="R45" s="70">
        <f t="shared" si="49"/>
        <v>0.68472861269434471</v>
      </c>
      <c r="S45" s="70">
        <f t="shared" si="49"/>
        <v>0.91225698668080035</v>
      </c>
      <c r="T45" s="70">
        <f t="shared" si="49"/>
        <v>0.77424828919946076</v>
      </c>
      <c r="U45" s="70">
        <f t="shared" si="49"/>
        <v>0.9165822691386839</v>
      </c>
      <c r="V45" s="70">
        <f t="shared" si="49"/>
        <v>0.69269367423276829</v>
      </c>
      <c r="W45" s="70">
        <f t="shared" si="49"/>
        <v>0.78727427992145338</v>
      </c>
      <c r="X45" s="70">
        <f t="shared" si="49"/>
        <v>0.82371309037646656</v>
      </c>
      <c r="Y45" s="70">
        <f t="shared" si="49"/>
        <v>0.63465184362373317</v>
      </c>
      <c r="Z45" s="70">
        <f t="shared" si="49"/>
        <v>0.56739372431512491</v>
      </c>
      <c r="AA45" s="70">
        <f t="shared" si="49"/>
        <v>0.82507594791978567</v>
      </c>
      <c r="AB45" s="70">
        <f t="shared" si="49"/>
        <v>0.88340627839314856</v>
      </c>
      <c r="AC45" s="70">
        <f t="shared" si="49"/>
        <v>0.91265091494110895</v>
      </c>
      <c r="AD45" s="70">
        <f t="shared" si="49"/>
        <v>0.57258848972851994</v>
      </c>
      <c r="AE45" s="70">
        <f t="shared" si="49"/>
        <v>0.91072311227790803</v>
      </c>
      <c r="AF45" s="70">
        <f t="shared" si="49"/>
        <v>0.82810723010177534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6.395571013683643E-2</v>
      </c>
      <c r="K46" s="70">
        <f t="shared" ref="K46:AF46" si="50">K44-(K43*(1-K45))</f>
        <v>0.20131960136607105</v>
      </c>
      <c r="L46" s="70">
        <f t="shared" si="50"/>
        <v>8.9299813308158671E-2</v>
      </c>
      <c r="M46" s="70">
        <f t="shared" si="50"/>
        <v>0.36937073608178306</v>
      </c>
      <c r="N46" s="70">
        <f t="shared" si="50"/>
        <v>0.13731833123406811</v>
      </c>
      <c r="O46" s="70">
        <f t="shared" si="50"/>
        <v>8.212130050551622E-2</v>
      </c>
      <c r="P46" s="70">
        <f t="shared" si="50"/>
        <v>8.4350781518977291E-2</v>
      </c>
      <c r="Q46" s="70">
        <f t="shared" si="50"/>
        <v>0.20408911767183188</v>
      </c>
      <c r="R46" s="70">
        <f t="shared" si="50"/>
        <v>0.20373417365241481</v>
      </c>
      <c r="S46" s="70">
        <f t="shared" si="50"/>
        <v>4.0475849175729078E-2</v>
      </c>
      <c r="T46" s="70">
        <f t="shared" si="50"/>
        <v>0.13050848965712686</v>
      </c>
      <c r="U46" s="70">
        <f t="shared" si="50"/>
        <v>3.8109183207637884E-2</v>
      </c>
      <c r="V46" s="70">
        <f t="shared" si="50"/>
        <v>0.19671877484577982</v>
      </c>
      <c r="W46" s="70">
        <f t="shared" si="50"/>
        <v>0.12084425449389771</v>
      </c>
      <c r="X46" s="70">
        <f t="shared" si="50"/>
        <v>9.5096987014613971E-2</v>
      </c>
      <c r="Y46" s="70">
        <f t="shared" si="50"/>
        <v>0.25024398197928743</v>
      </c>
      <c r="Z46" s="70">
        <f t="shared" si="50"/>
        <v>0.3198044824746078</v>
      </c>
      <c r="AA46" s="70">
        <f t="shared" si="50"/>
        <v>9.4170592163196232E-2</v>
      </c>
      <c r="AB46" s="70">
        <f t="shared" si="50"/>
        <v>5.700729076020411E-2</v>
      </c>
      <c r="AC46" s="70">
        <f t="shared" si="50"/>
        <v>4.0259062227834083E-2</v>
      </c>
      <c r="AD46" s="70">
        <f t="shared" si="50"/>
        <v>0.31411740816563832</v>
      </c>
      <c r="AE46" s="70">
        <f t="shared" si="50"/>
        <v>4.1322326069086465E-2</v>
      </c>
      <c r="AF46" s="70">
        <f t="shared" si="50"/>
        <v>9.2119538981403987E-2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1">J46*J3</f>
        <v>1.2669626178107296</v>
      </c>
      <c r="K47" s="74">
        <f t="shared" si="51"/>
        <v>0.16910846514749966</v>
      </c>
      <c r="L47" s="74">
        <f t="shared" si="51"/>
        <v>0.64742364648415041</v>
      </c>
      <c r="M47" s="74">
        <f t="shared" si="51"/>
        <v>1.1893737701833416</v>
      </c>
      <c r="N47" s="74">
        <f t="shared" si="51"/>
        <v>1.7096132238641479</v>
      </c>
      <c r="O47" s="74">
        <f t="shared" si="51"/>
        <v>0.39418224242647787</v>
      </c>
      <c r="P47" s="74">
        <f t="shared" si="51"/>
        <v>1.3158721916960456</v>
      </c>
      <c r="Q47" s="74">
        <f t="shared" si="51"/>
        <v>1.8817016649342901</v>
      </c>
      <c r="R47" s="74">
        <f t="shared" si="51"/>
        <v>0.58879176185547877</v>
      </c>
      <c r="S47" s="74">
        <f t="shared" si="51"/>
        <v>0.34606851045248366</v>
      </c>
      <c r="T47" s="74">
        <f t="shared" si="51"/>
        <v>0.4385085252479462</v>
      </c>
      <c r="U47" s="74">
        <f t="shared" si="51"/>
        <v>0.30068145550826292</v>
      </c>
      <c r="V47" s="74">
        <f t="shared" si="51"/>
        <v>1.2373610937799551</v>
      </c>
      <c r="W47" s="74">
        <f t="shared" si="51"/>
        <v>0.37099186129626593</v>
      </c>
      <c r="X47" s="74">
        <f t="shared" si="51"/>
        <v>0.18734106441878953</v>
      </c>
      <c r="Y47" s="74">
        <f t="shared" si="51"/>
        <v>0.35534645441058815</v>
      </c>
      <c r="Z47" s="74">
        <f t="shared" si="51"/>
        <v>0.49569694783564211</v>
      </c>
      <c r="AA47" s="74">
        <f t="shared" si="51"/>
        <v>0.32394683704139504</v>
      </c>
      <c r="AB47" s="74">
        <f t="shared" si="51"/>
        <v>0.44294664920678589</v>
      </c>
      <c r="AC47" s="74">
        <f t="shared" si="51"/>
        <v>6.2804137075421165E-2</v>
      </c>
      <c r="AD47" s="74">
        <f t="shared" si="51"/>
        <v>0.38008206388042237</v>
      </c>
      <c r="AE47" s="74">
        <f t="shared" si="51"/>
        <v>8.5537214963008978E-2</v>
      </c>
      <c r="AF47" s="74">
        <f t="shared" si="51"/>
        <v>0.10962225138787074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2">J2-J47</f>
        <v>45.733037382189274</v>
      </c>
      <c r="K48" s="74">
        <f t="shared" si="52"/>
        <v>0.83089153485250034</v>
      </c>
      <c r="L48" s="74">
        <f t="shared" si="52"/>
        <v>16.35257635351585</v>
      </c>
      <c r="M48" s="74">
        <f t="shared" si="52"/>
        <v>0.81062622981665844</v>
      </c>
      <c r="N48" s="74">
        <f t="shared" si="52"/>
        <v>17.290386776135851</v>
      </c>
      <c r="O48" s="74">
        <f t="shared" si="52"/>
        <v>9.6058177575735222</v>
      </c>
      <c r="P48" s="74">
        <f t="shared" si="52"/>
        <v>21.684127808303955</v>
      </c>
      <c r="Q48" s="74">
        <f t="shared" si="52"/>
        <v>1.1182983350657099</v>
      </c>
      <c r="R48" s="74">
        <f t="shared" si="52"/>
        <v>3.4112082381445212</v>
      </c>
      <c r="S48" s="74">
        <f t="shared" si="52"/>
        <v>8.6539314895475172</v>
      </c>
      <c r="T48" s="74">
        <f t="shared" si="52"/>
        <v>3.5614914747520539</v>
      </c>
      <c r="U48" s="74">
        <f t="shared" si="52"/>
        <v>2.6993185444917369</v>
      </c>
      <c r="V48" s="74">
        <f t="shared" si="52"/>
        <v>2.7626389062200447</v>
      </c>
      <c r="W48" s="74">
        <f t="shared" si="52"/>
        <v>1.6290081387037341</v>
      </c>
      <c r="X48" s="74">
        <f t="shared" si="52"/>
        <v>2.8126589355812106</v>
      </c>
      <c r="Y48" s="74">
        <f t="shared" si="52"/>
        <v>0.64465354558941179</v>
      </c>
      <c r="Z48" s="74">
        <f t="shared" si="52"/>
        <v>0.50430305216435789</v>
      </c>
      <c r="AA48" s="74">
        <f t="shared" si="52"/>
        <v>4.6760531629586053</v>
      </c>
      <c r="AB48" s="74">
        <f t="shared" si="52"/>
        <v>7.5570533507932138</v>
      </c>
      <c r="AC48" s="74">
        <f t="shared" si="52"/>
        <v>0.93719586292457879</v>
      </c>
      <c r="AD48" s="74">
        <f t="shared" si="52"/>
        <v>1.6199179361195777</v>
      </c>
      <c r="AE48" s="74">
        <f t="shared" si="52"/>
        <v>0.91446278503699108</v>
      </c>
      <c r="AF48" s="74">
        <f t="shared" si="52"/>
        <v>0.89037774861212926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23.758611039071916</v>
      </c>
      <c r="K49" s="74">
        <f t="shared" ref="K49:AF49" si="53">K28-K48</f>
        <v>0.57957870294131708</v>
      </c>
      <c r="L49" s="74">
        <f t="shared" si="53"/>
        <v>7.6314892519504767</v>
      </c>
      <c r="M49" s="74">
        <f t="shared" si="53"/>
        <v>1.3845318236287947</v>
      </c>
      <c r="N49" s="74">
        <f t="shared" si="53"/>
        <v>10.715100747113485</v>
      </c>
      <c r="O49" s="74">
        <f t="shared" si="53"/>
        <v>5.2305202431512559</v>
      </c>
      <c r="P49" s="74">
        <f t="shared" si="53"/>
        <v>16.814576455560399</v>
      </c>
      <c r="Q49" s="74">
        <f t="shared" si="53"/>
        <v>6.3058071659573871</v>
      </c>
      <c r="R49" s="74">
        <f t="shared" si="53"/>
        <v>1.978774917706831</v>
      </c>
      <c r="S49" s="74">
        <f t="shared" si="53"/>
        <v>11.929481344257553</v>
      </c>
      <c r="T49" s="74">
        <f t="shared" si="53"/>
        <v>2.9682893508597905</v>
      </c>
      <c r="U49" s="74">
        <f t="shared" si="53"/>
        <v>11.208163386161964</v>
      </c>
      <c r="V49" s="74">
        <f t="shared" si="53"/>
        <v>4.4043772463543505</v>
      </c>
      <c r="W49" s="74">
        <f t="shared" si="53"/>
        <v>2.8177797001602491</v>
      </c>
      <c r="X49" s="74">
        <f t="shared" si="53"/>
        <v>2.0186698307656963</v>
      </c>
      <c r="Y49" s="74">
        <f t="shared" si="53"/>
        <v>0.84410964158479018</v>
      </c>
      <c r="Z49" s="74">
        <f t="shared" si="53"/>
        <v>0.75879801499690225</v>
      </c>
      <c r="AA49" s="74">
        <f t="shared" si="53"/>
        <v>3.5399476596537882</v>
      </c>
      <c r="AB49" s="74">
        <f t="shared" si="53"/>
        <v>9.7062492804351166</v>
      </c>
      <c r="AC49" s="74">
        <f t="shared" si="53"/>
        <v>2.1801319082821595</v>
      </c>
      <c r="AD49" s="74">
        <f t="shared" si="53"/>
        <v>0.60147350809587175</v>
      </c>
      <c r="AE49" s="74">
        <f t="shared" si="53"/>
        <v>2.8701453330112727</v>
      </c>
      <c r="AF49" s="74">
        <f t="shared" si="53"/>
        <v>1.2362095644580586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2286.6518691094639</v>
      </c>
      <c r="K50" s="70">
        <f t="shared" ref="K50:AF50" si="54">K48*K20</f>
        <v>166.17830697050007</v>
      </c>
      <c r="L50" s="70">
        <f t="shared" si="54"/>
        <v>981.15458121095105</v>
      </c>
      <c r="M50" s="70">
        <f t="shared" si="54"/>
        <v>40.53131149083292</v>
      </c>
      <c r="N50" s="70">
        <f t="shared" si="54"/>
        <v>778.06740492611323</v>
      </c>
      <c r="O50" s="70">
        <f t="shared" si="54"/>
        <v>576.34906545441129</v>
      </c>
      <c r="P50" s="70">
        <f t="shared" si="54"/>
        <v>1084.2063904151978</v>
      </c>
      <c r="Q50" s="70">
        <f t="shared" si="54"/>
        <v>55.914916753285496</v>
      </c>
      <c r="R50" s="70">
        <f t="shared" si="54"/>
        <v>170.56041190722607</v>
      </c>
      <c r="S50" s="70">
        <f t="shared" si="54"/>
        <v>432.69657447737586</v>
      </c>
      <c r="T50" s="70">
        <f t="shared" si="54"/>
        <v>249.30440323264378</v>
      </c>
      <c r="U50" s="70">
        <f t="shared" si="54"/>
        <v>188.95229811442158</v>
      </c>
      <c r="V50" s="70">
        <f t="shared" si="54"/>
        <v>138.13194531100223</v>
      </c>
      <c r="W50" s="70">
        <f t="shared" si="54"/>
        <v>130.32065109629872</v>
      </c>
      <c r="X50" s="70">
        <f t="shared" si="54"/>
        <v>168.75953613487263</v>
      </c>
      <c r="Y50" s="70">
        <f t="shared" si="54"/>
        <v>38.679212735364707</v>
      </c>
      <c r="Z50" s="70">
        <f t="shared" si="54"/>
        <v>30.258183129861472</v>
      </c>
      <c r="AA50" s="70">
        <f t="shared" si="54"/>
        <v>233.80265814793026</v>
      </c>
      <c r="AB50" s="70">
        <f t="shared" si="54"/>
        <v>377.85266753966067</v>
      </c>
      <c r="AC50" s="70">
        <f t="shared" si="54"/>
        <v>46.859793146228938</v>
      </c>
      <c r="AD50" s="70">
        <f t="shared" si="54"/>
        <v>97.195076167174662</v>
      </c>
      <c r="AE50" s="70">
        <f t="shared" si="54"/>
        <v>109.73553420443893</v>
      </c>
      <c r="AF50" s="70">
        <f t="shared" si="54"/>
        <v>89.037774861212924</v>
      </c>
      <c r="AG50" s="186">
        <f>SUM(J50:AF50)</f>
        <v>8471.2005665364686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1184.7944152964383</v>
      </c>
      <c r="K51" s="70">
        <f t="shared" ref="K51:AF51" si="55">(K20-K22)*K49</f>
        <v>115.1483783855691</v>
      </c>
      <c r="L51" s="70">
        <f t="shared" si="55"/>
        <v>456.286742374119</v>
      </c>
      <c r="M51" s="70">
        <f t="shared" si="55"/>
        <v>68.506634633152757</v>
      </c>
      <c r="N51" s="70">
        <f t="shared" si="55"/>
        <v>479.73649064976496</v>
      </c>
      <c r="O51" s="70">
        <f t="shared" si="55"/>
        <v>312.7746494999588</v>
      </c>
      <c r="P51" s="70">
        <f t="shared" si="55"/>
        <v>837.95441766285251</v>
      </c>
      <c r="Q51" s="70">
        <f t="shared" si="55"/>
        <v>313.23466516176723</v>
      </c>
      <c r="R51" s="70">
        <f t="shared" si="55"/>
        <v>98.293665262169128</v>
      </c>
      <c r="S51" s="70">
        <f t="shared" si="55"/>
        <v>595.40041389189446</v>
      </c>
      <c r="T51" s="70">
        <f t="shared" si="55"/>
        <v>206.81259223180507</v>
      </c>
      <c r="U51" s="70">
        <f t="shared" si="55"/>
        <v>783.22645742499799</v>
      </c>
      <c r="V51" s="70">
        <f t="shared" si="55"/>
        <v>218.80946159888413</v>
      </c>
      <c r="W51" s="70">
        <f t="shared" si="55"/>
        <v>224.43615311776387</v>
      </c>
      <c r="X51" s="70">
        <f t="shared" si="55"/>
        <v>120.6659891340195</v>
      </c>
      <c r="Y51" s="70">
        <f t="shared" si="55"/>
        <v>50.25828805995841</v>
      </c>
      <c r="Z51" s="70">
        <f t="shared" si="55"/>
        <v>45.11812997171581</v>
      </c>
      <c r="AA51" s="70">
        <f t="shared" si="55"/>
        <v>176.36019240395174</v>
      </c>
      <c r="AB51" s="70">
        <f t="shared" si="55"/>
        <v>484.14771410810363</v>
      </c>
      <c r="AC51" s="70">
        <f t="shared" si="55"/>
        <v>108.81038354236257</v>
      </c>
      <c r="AD51" s="70">
        <f t="shared" si="55"/>
        <v>35.770832473477682</v>
      </c>
      <c r="AE51" s="70">
        <f t="shared" si="55"/>
        <v>343.77165726142522</v>
      </c>
      <c r="AF51" s="70">
        <f t="shared" si="55"/>
        <v>123.17715721216543</v>
      </c>
      <c r="AG51" s="51">
        <f>SUM(J51:AF51)</f>
        <v>7383.4954813583163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0.76017757068643776</v>
      </c>
      <c r="K52" s="70">
        <f t="shared" ref="K52:AF52" si="56">K47*K23</f>
        <v>0.62570132104574883</v>
      </c>
      <c r="L52" s="70">
        <f t="shared" si="56"/>
        <v>0.97113546972622555</v>
      </c>
      <c r="M52" s="70">
        <f t="shared" si="56"/>
        <v>4.7574950807333662</v>
      </c>
      <c r="N52" s="70">
        <f t="shared" si="56"/>
        <v>4.786917026819614</v>
      </c>
      <c r="O52" s="70">
        <f t="shared" si="56"/>
        <v>1.2613831757647294</v>
      </c>
      <c r="P52" s="70">
        <f t="shared" si="56"/>
        <v>0.7895233150176274</v>
      </c>
      <c r="Q52" s="70">
        <f t="shared" si="56"/>
        <v>1.6935314984408609</v>
      </c>
      <c r="R52" s="70">
        <f t="shared" si="56"/>
        <v>0.52991258566993082</v>
      </c>
      <c r="S52" s="70">
        <f t="shared" si="56"/>
        <v>0.10382055313574509</v>
      </c>
      <c r="T52" s="70">
        <f t="shared" si="56"/>
        <v>0.39465767272315155</v>
      </c>
      <c r="U52" s="70">
        <f t="shared" si="56"/>
        <v>0.15034072775413146</v>
      </c>
      <c r="V52" s="70">
        <f t="shared" si="56"/>
        <v>1.6085694219139417</v>
      </c>
      <c r="W52" s="70">
        <f t="shared" si="56"/>
        <v>0.25969430290738615</v>
      </c>
      <c r="X52" s="70">
        <f t="shared" si="56"/>
        <v>0.46835266104697382</v>
      </c>
      <c r="Y52" s="70">
        <f t="shared" si="56"/>
        <v>0.67515826338011753</v>
      </c>
      <c r="Z52" s="70">
        <f t="shared" si="56"/>
        <v>0.74354542175346316</v>
      </c>
      <c r="AA52" s="70">
        <f t="shared" si="56"/>
        <v>0.16197341852069752</v>
      </c>
      <c r="AB52" s="70">
        <f t="shared" si="56"/>
        <v>0.22147332460339295</v>
      </c>
      <c r="AC52" s="70">
        <f t="shared" si="56"/>
        <v>1.8841241122626348E-2</v>
      </c>
      <c r="AD52" s="70">
        <f t="shared" si="56"/>
        <v>0.30406565110433792</v>
      </c>
      <c r="AE52" s="70">
        <f t="shared" si="56"/>
        <v>0.21384303740752245</v>
      </c>
      <c r="AF52" s="70">
        <f t="shared" si="56"/>
        <v>0.16443337708180611</v>
      </c>
      <c r="AG52" s="51">
        <f>SUM(J52:AF52)</f>
        <v>21.664546118359837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458.64487958032385</v>
      </c>
      <c r="K53" s="70">
        <f t="shared" ref="K53:AF53" si="57">K21*K28</f>
        <v>93.37312974195072</v>
      </c>
      <c r="L53" s="70">
        <f t="shared" si="57"/>
        <v>251.83268885739642</v>
      </c>
      <c r="M53" s="70">
        <f t="shared" si="57"/>
        <v>57.074109389581778</v>
      </c>
      <c r="N53" s="70">
        <f t="shared" si="57"/>
        <v>319.26255776504246</v>
      </c>
      <c r="O53" s="70">
        <f t="shared" si="57"/>
        <v>149.84701380732025</v>
      </c>
      <c r="P53" s="70">
        <f t="shared" si="57"/>
        <v>317.61431017688091</v>
      </c>
      <c r="Q53" s="70">
        <f t="shared" si="57"/>
        <v>121.01291966667648</v>
      </c>
      <c r="R53" s="70">
        <f t="shared" si="57"/>
        <v>87.856725440377048</v>
      </c>
      <c r="S53" s="70">
        <f t="shared" si="57"/>
        <v>92.625357752122824</v>
      </c>
      <c r="T53" s="70">
        <f t="shared" si="57"/>
        <v>106.43542745747307</v>
      </c>
      <c r="U53" s="70">
        <f t="shared" si="57"/>
        <v>83.4448915839222</v>
      </c>
      <c r="V53" s="70">
        <f t="shared" si="57"/>
        <v>114.67225844119032</v>
      </c>
      <c r="W53" s="70">
        <f t="shared" si="57"/>
        <v>77.818787180119699</v>
      </c>
      <c r="X53" s="70">
        <f t="shared" si="57"/>
        <v>54.352448621402701</v>
      </c>
      <c r="Y53" s="70">
        <f t="shared" si="57"/>
        <v>34.241553305006647</v>
      </c>
      <c r="Z53" s="70">
        <f t="shared" si="57"/>
        <v>34.103728813354024</v>
      </c>
      <c r="AA53" s="70">
        <f t="shared" si="57"/>
        <v>73.944007403511534</v>
      </c>
      <c r="AB53" s="70">
        <f t="shared" si="57"/>
        <v>103.57981578736999</v>
      </c>
      <c r="AC53" s="70">
        <f t="shared" si="57"/>
        <v>14.027974970430323</v>
      </c>
      <c r="AD53" s="70">
        <f t="shared" si="57"/>
        <v>58.644734127287869</v>
      </c>
      <c r="AE53" s="70">
        <f t="shared" si="57"/>
        <v>42.576841328042967</v>
      </c>
      <c r="AF53" s="70">
        <f t="shared" si="57"/>
        <v>38.172242269609868</v>
      </c>
      <c r="AG53" s="67">
        <f>SUM(J53:AF53)</f>
        <v>2785.1584034663942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3012.0412272548915</v>
      </c>
      <c r="K54" s="79">
        <f t="shared" ref="K54:AF54" si="58">K50+K51-K53-K52</f>
        <v>187.3278542930727</v>
      </c>
      <c r="L54" s="79">
        <f t="shared" si="58"/>
        <v>1184.6374992579474</v>
      </c>
      <c r="M54" s="79">
        <f t="shared" si="58"/>
        <v>47.206341653670535</v>
      </c>
      <c r="N54" s="79">
        <f t="shared" si="58"/>
        <v>933.75442078401613</v>
      </c>
      <c r="O54" s="79">
        <f t="shared" si="58"/>
        <v>738.01531797128507</v>
      </c>
      <c r="P54" s="79">
        <f t="shared" si="58"/>
        <v>1603.7569745861515</v>
      </c>
      <c r="Q54" s="79">
        <f t="shared" si="58"/>
        <v>246.44313074993542</v>
      </c>
      <c r="R54" s="79">
        <f t="shared" si="58"/>
        <v>180.4674391433482</v>
      </c>
      <c r="S54" s="79">
        <f t="shared" si="58"/>
        <v>935.36781006401179</v>
      </c>
      <c r="T54" s="79">
        <f t="shared" si="58"/>
        <v>349.28691033425264</v>
      </c>
      <c r="U54" s="79">
        <f t="shared" si="58"/>
        <v>888.58352322774329</v>
      </c>
      <c r="V54" s="79">
        <f t="shared" si="58"/>
        <v>240.66057904678212</v>
      </c>
      <c r="W54" s="79">
        <f t="shared" si="58"/>
        <v>276.67832273103545</v>
      </c>
      <c r="X54" s="79">
        <f t="shared" si="58"/>
        <v>234.60472398644245</v>
      </c>
      <c r="Y54" s="79">
        <f t="shared" si="58"/>
        <v>54.020789226936351</v>
      </c>
      <c r="Z54" s="79">
        <f t="shared" si="58"/>
        <v>40.529038866469797</v>
      </c>
      <c r="AA54" s="79">
        <f t="shared" si="58"/>
        <v>336.05686972984978</v>
      </c>
      <c r="AB54" s="79">
        <f>AB50+AB51-AB53-AB52</f>
        <v>758.1990925357909</v>
      </c>
      <c r="AC54" s="79">
        <f t="shared" si="58"/>
        <v>141.62336047703855</v>
      </c>
      <c r="AD54" s="79">
        <f t="shared" si="58"/>
        <v>74.01710886226013</v>
      </c>
      <c r="AE54" s="79">
        <f t="shared" si="58"/>
        <v>410.71650710041365</v>
      </c>
      <c r="AF54" s="79">
        <f t="shared" si="58"/>
        <v>173.8782564266867</v>
      </c>
      <c r="AG54" s="68">
        <f>SUM(J54:AF54)</f>
        <v>13047.873098310032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4510.313137918014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77EF6-3E28-444A-85F2-A6E16E1053A6}">
  <sheetPr>
    <tabColor theme="7" tint="0.39997558519241921"/>
  </sheetPr>
  <dimension ref="A1:BH66"/>
  <sheetViews>
    <sheetView topLeftCell="A27" zoomScale="90" zoomScaleNormal="90" workbookViewId="0">
      <selection activeCell="AP20" sqref="AP20"/>
    </sheetView>
  </sheetViews>
  <sheetFormatPr baseColWidth="10" defaultRowHeight="15" x14ac:dyDescent="0.2"/>
  <cols>
    <col min="1" max="1" width="10.83203125" style="94"/>
    <col min="2" max="2" width="14.33203125" style="94" bestFit="1" customWidth="1"/>
    <col min="3" max="27" width="12.83203125" style="94" customWidth="1"/>
    <col min="28" max="28" width="12.83203125" style="103" customWidth="1"/>
    <col min="29" max="32" width="10.83203125" style="94"/>
    <col min="33" max="33" width="11.6640625" style="94" bestFit="1" customWidth="1"/>
    <col min="34" max="37" width="11" style="94" bestFit="1" customWidth="1"/>
    <col min="38" max="40" width="11.6640625" style="94" bestFit="1" customWidth="1"/>
    <col min="41" max="41" width="11" style="94" bestFit="1" customWidth="1"/>
    <col min="42" max="42" width="11.6640625" style="94" bestFit="1" customWidth="1"/>
    <col min="43" max="50" width="11" style="94" bestFit="1" customWidth="1"/>
    <col min="51" max="52" width="11.6640625" style="94" bestFit="1" customWidth="1"/>
    <col min="53" max="55" width="11" style="94" bestFit="1" customWidth="1"/>
    <col min="56" max="16384" width="10.83203125" style="94"/>
  </cols>
  <sheetData>
    <row r="1" spans="1:56" s="98" customFormat="1" ht="24" x14ac:dyDescent="0.2"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102"/>
    </row>
    <row r="3" spans="1:56" ht="16" x14ac:dyDescent="0.2">
      <c r="B3" s="95" t="s">
        <v>138</v>
      </c>
      <c r="C3" s="95" t="s">
        <v>139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56" ht="16" x14ac:dyDescent="0.2">
      <c r="A4" s="94" t="s">
        <v>44</v>
      </c>
      <c r="B4" s="95" t="s">
        <v>140</v>
      </c>
      <c r="C4" t="s">
        <v>102</v>
      </c>
      <c r="D4" t="s">
        <v>62</v>
      </c>
      <c r="E4" t="s">
        <v>21</v>
      </c>
      <c r="F4" t="s">
        <v>84</v>
      </c>
      <c r="G4" t="s">
        <v>71</v>
      </c>
      <c r="H4" t="s">
        <v>76</v>
      </c>
      <c r="I4" t="s">
        <v>74</v>
      </c>
      <c r="J4" t="s">
        <v>106</v>
      </c>
      <c r="K4" t="s">
        <v>107</v>
      </c>
      <c r="L4" t="s">
        <v>77</v>
      </c>
      <c r="M4" t="s">
        <v>91</v>
      </c>
      <c r="N4" t="s">
        <v>69</v>
      </c>
      <c r="O4" t="s">
        <v>67</v>
      </c>
      <c r="P4" t="s">
        <v>88</v>
      </c>
      <c r="Q4" t="s">
        <v>80</v>
      </c>
      <c r="R4" t="s">
        <v>92</v>
      </c>
      <c r="S4" t="s">
        <v>82</v>
      </c>
      <c r="T4" t="s">
        <v>65</v>
      </c>
      <c r="U4" t="s">
        <v>112</v>
      </c>
      <c r="V4" t="s">
        <v>114</v>
      </c>
      <c r="W4" t="s">
        <v>117</v>
      </c>
      <c r="X4" t="s">
        <v>86</v>
      </c>
      <c r="Y4" t="s">
        <v>119</v>
      </c>
      <c r="Z4" t="s">
        <v>141</v>
      </c>
      <c r="AA4" s="353" t="s">
        <v>211</v>
      </c>
      <c r="AB4" s="105" t="s">
        <v>212</v>
      </c>
      <c r="AD4" s="355" t="s">
        <v>211</v>
      </c>
      <c r="AE4" s="356" t="s">
        <v>143</v>
      </c>
      <c r="AF4" s="357" t="s">
        <v>213</v>
      </c>
    </row>
    <row r="5" spans="1:56" ht="16" x14ac:dyDescent="0.2">
      <c r="A5" s="94">
        <v>1</v>
      </c>
      <c r="B5" s="96">
        <v>44544</v>
      </c>
      <c r="C5" s="97">
        <v>32</v>
      </c>
      <c r="D5" s="97">
        <v>0</v>
      </c>
      <c r="E5" s="97">
        <v>14</v>
      </c>
      <c r="F5" s="97">
        <v>1</v>
      </c>
      <c r="G5" s="97">
        <v>16</v>
      </c>
      <c r="H5" s="97">
        <v>10</v>
      </c>
      <c r="I5" s="97">
        <v>21</v>
      </c>
      <c r="J5" s="97">
        <v>0</v>
      </c>
      <c r="K5" s="97">
        <v>2</v>
      </c>
      <c r="L5" s="97">
        <v>10</v>
      </c>
      <c r="M5" s="97">
        <v>1</v>
      </c>
      <c r="N5" s="97">
        <v>1</v>
      </c>
      <c r="O5" s="97">
        <v>3</v>
      </c>
      <c r="P5" s="97">
        <v>2</v>
      </c>
      <c r="Q5" s="97">
        <v>2</v>
      </c>
      <c r="R5" s="97">
        <v>0</v>
      </c>
      <c r="S5" s="97">
        <v>2</v>
      </c>
      <c r="T5" s="97">
        <v>4</v>
      </c>
      <c r="U5" s="97">
        <v>8</v>
      </c>
      <c r="V5" s="97">
        <v>1</v>
      </c>
      <c r="W5" s="97">
        <v>1</v>
      </c>
      <c r="X5" s="97">
        <v>1</v>
      </c>
      <c r="Y5" s="97">
        <v>0</v>
      </c>
      <c r="Z5" s="97">
        <v>132</v>
      </c>
      <c r="AA5" s="354">
        <v>1</v>
      </c>
      <c r="AB5" s="104">
        <f>SUMPRODUCT(C5:Y5,$C$37:$Y$37)</f>
        <v>6980</v>
      </c>
      <c r="AD5" s="358">
        <v>1</v>
      </c>
      <c r="AE5" s="359">
        <v>132</v>
      </c>
      <c r="AF5" s="360">
        <v>6980</v>
      </c>
      <c r="AH5" s="97"/>
      <c r="AI5" s="97"/>
      <c r="AJ5" s="97"/>
      <c r="AM5" s="306"/>
      <c r="AP5" s="307"/>
    </row>
    <row r="6" spans="1:56" ht="16" x14ac:dyDescent="0.2">
      <c r="A6" s="94">
        <v>2</v>
      </c>
      <c r="B6" s="96">
        <v>44545</v>
      </c>
      <c r="C6" s="97">
        <v>23</v>
      </c>
      <c r="D6" s="97">
        <v>0</v>
      </c>
      <c r="E6" s="97">
        <v>10</v>
      </c>
      <c r="F6" s="97">
        <v>2</v>
      </c>
      <c r="G6" s="97">
        <v>15</v>
      </c>
      <c r="H6" s="97">
        <v>8</v>
      </c>
      <c r="I6" s="97">
        <v>18</v>
      </c>
      <c r="J6" s="97">
        <v>4</v>
      </c>
      <c r="K6" s="97">
        <v>0</v>
      </c>
      <c r="L6" s="97">
        <v>4</v>
      </c>
      <c r="M6" s="97">
        <v>2</v>
      </c>
      <c r="N6" s="97">
        <v>7</v>
      </c>
      <c r="O6" s="97">
        <v>3</v>
      </c>
      <c r="P6" s="97">
        <v>0</v>
      </c>
      <c r="Q6" s="97">
        <v>1</v>
      </c>
      <c r="R6" s="97">
        <v>0</v>
      </c>
      <c r="S6" s="97">
        <v>2</v>
      </c>
      <c r="T6" s="97">
        <v>3</v>
      </c>
      <c r="U6" s="97">
        <v>11</v>
      </c>
      <c r="V6" s="97">
        <v>0</v>
      </c>
      <c r="W6" s="97">
        <v>1</v>
      </c>
      <c r="X6" s="97">
        <v>2</v>
      </c>
      <c r="Y6" s="97">
        <v>0</v>
      </c>
      <c r="Z6" s="97">
        <v>116</v>
      </c>
      <c r="AA6" s="354">
        <v>2</v>
      </c>
      <c r="AB6" s="104">
        <f>SUMPRODUCT(C6:Y6,$C$37:$Y$37)</f>
        <v>6265</v>
      </c>
      <c r="AD6" s="358">
        <v>2</v>
      </c>
      <c r="AE6" s="359">
        <v>116</v>
      </c>
      <c r="AF6" s="360">
        <v>6265</v>
      </c>
      <c r="AH6" s="97"/>
      <c r="AI6" s="97"/>
      <c r="AJ6" s="97"/>
      <c r="AM6" s="306"/>
    </row>
    <row r="7" spans="1:56" ht="16" x14ac:dyDescent="0.2">
      <c r="A7" s="94">
        <v>3</v>
      </c>
      <c r="B7" s="96">
        <v>44546</v>
      </c>
      <c r="C7" s="97">
        <v>22</v>
      </c>
      <c r="D7" s="97">
        <v>1</v>
      </c>
      <c r="E7" s="97">
        <v>10</v>
      </c>
      <c r="F7" s="97">
        <v>2</v>
      </c>
      <c r="G7" s="97">
        <v>16</v>
      </c>
      <c r="H7" s="97">
        <v>9</v>
      </c>
      <c r="I7" s="97">
        <v>22</v>
      </c>
      <c r="J7" s="97">
        <v>8</v>
      </c>
      <c r="K7" s="97">
        <v>3</v>
      </c>
      <c r="L7" s="97">
        <v>9</v>
      </c>
      <c r="M7" s="97">
        <v>4</v>
      </c>
      <c r="N7" s="97">
        <v>7</v>
      </c>
      <c r="O7" s="97">
        <v>3</v>
      </c>
      <c r="P7" s="97">
        <v>0</v>
      </c>
      <c r="Q7" s="97">
        <v>1</v>
      </c>
      <c r="R7" s="97">
        <v>0</v>
      </c>
      <c r="S7" s="97">
        <v>2</v>
      </c>
      <c r="T7" s="97">
        <v>2</v>
      </c>
      <c r="U7" s="97">
        <v>12</v>
      </c>
      <c r="V7" s="97">
        <v>0</v>
      </c>
      <c r="W7" s="97">
        <v>0</v>
      </c>
      <c r="X7" s="97">
        <v>0</v>
      </c>
      <c r="Y7" s="97">
        <v>1</v>
      </c>
      <c r="Z7" s="97">
        <v>134</v>
      </c>
      <c r="AA7" s="354">
        <v>3</v>
      </c>
      <c r="AB7" s="104">
        <f t="shared" ref="AB7:AB34" si="0">SUMPRODUCT(C7:Y7,$C$37:$Y$37)</f>
        <v>7260</v>
      </c>
      <c r="AD7" s="358">
        <v>3</v>
      </c>
      <c r="AE7" s="359">
        <v>134</v>
      </c>
      <c r="AF7" s="360">
        <v>7260</v>
      </c>
      <c r="AH7" s="97"/>
      <c r="AI7" s="97"/>
      <c r="AJ7" s="97"/>
      <c r="AM7" s="306"/>
      <c r="AP7" s="307"/>
      <c r="AX7" s="270" t="s">
        <v>39</v>
      </c>
    </row>
    <row r="8" spans="1:56" ht="16" x14ac:dyDescent="0.2">
      <c r="A8" s="94">
        <v>4</v>
      </c>
      <c r="B8" s="96">
        <v>44547</v>
      </c>
      <c r="C8" s="97">
        <v>16</v>
      </c>
      <c r="D8" s="97">
        <v>0</v>
      </c>
      <c r="E8" s="97">
        <v>12</v>
      </c>
      <c r="F8" s="97">
        <v>2</v>
      </c>
      <c r="G8" s="97">
        <v>12</v>
      </c>
      <c r="H8" s="97">
        <v>7</v>
      </c>
      <c r="I8" s="97">
        <v>9</v>
      </c>
      <c r="J8" s="97">
        <v>4</v>
      </c>
      <c r="K8" s="97">
        <v>2</v>
      </c>
      <c r="L8" s="97">
        <v>10</v>
      </c>
      <c r="M8" s="97">
        <v>1</v>
      </c>
      <c r="N8" s="97">
        <v>4</v>
      </c>
      <c r="O8" s="97">
        <v>2</v>
      </c>
      <c r="P8" s="97">
        <v>3</v>
      </c>
      <c r="Q8" s="97">
        <v>2</v>
      </c>
      <c r="R8" s="97">
        <v>1</v>
      </c>
      <c r="S8" s="97">
        <v>1</v>
      </c>
      <c r="T8" s="97">
        <v>1</v>
      </c>
      <c r="U8" s="97">
        <v>12</v>
      </c>
      <c r="V8" s="97">
        <v>1</v>
      </c>
      <c r="W8" s="97">
        <v>0</v>
      </c>
      <c r="X8" s="97">
        <v>1</v>
      </c>
      <c r="Y8" s="97">
        <v>0</v>
      </c>
      <c r="Z8" s="97">
        <v>103</v>
      </c>
      <c r="AA8" s="354"/>
      <c r="AB8" s="104">
        <f t="shared" si="0"/>
        <v>5580</v>
      </c>
      <c r="AD8" s="361">
        <v>4</v>
      </c>
      <c r="AE8" s="359">
        <v>169</v>
      </c>
      <c r="AF8" s="360">
        <v>9035</v>
      </c>
      <c r="AH8" s="97"/>
      <c r="AI8" s="97"/>
      <c r="AJ8" s="97"/>
      <c r="AL8" s="366" t="s">
        <v>50</v>
      </c>
      <c r="AM8" s="366" t="s">
        <v>88</v>
      </c>
      <c r="AN8" s="366">
        <v>8</v>
      </c>
      <c r="AO8" s="94" t="s">
        <v>218</v>
      </c>
      <c r="AP8" s="94">
        <v>0</v>
      </c>
      <c r="AQ8" s="94" t="s">
        <v>106</v>
      </c>
      <c r="AR8" s="94">
        <v>6</v>
      </c>
      <c r="AS8" s="94" t="s">
        <v>217</v>
      </c>
      <c r="AT8" s="94">
        <v>3</v>
      </c>
      <c r="AU8" s="94" t="s">
        <v>189</v>
      </c>
      <c r="AV8" s="94">
        <v>3</v>
      </c>
      <c r="AX8" s="267">
        <f>AN8+AP8+AR8+AT8+AV8</f>
        <v>20</v>
      </c>
    </row>
    <row r="9" spans="1:56" ht="16" x14ac:dyDescent="0.2">
      <c r="A9" s="94">
        <v>5</v>
      </c>
      <c r="B9" s="96">
        <v>44548</v>
      </c>
      <c r="C9" s="97">
        <v>24</v>
      </c>
      <c r="D9" s="97">
        <v>0</v>
      </c>
      <c r="E9" s="97">
        <v>11</v>
      </c>
      <c r="F9" s="97">
        <v>2</v>
      </c>
      <c r="G9" s="97">
        <v>15</v>
      </c>
      <c r="H9" s="97">
        <v>8</v>
      </c>
      <c r="I9" s="97">
        <v>10</v>
      </c>
      <c r="J9" s="97">
        <v>4</v>
      </c>
      <c r="K9" s="97">
        <v>1</v>
      </c>
      <c r="L9" s="97">
        <v>9</v>
      </c>
      <c r="M9" s="97">
        <v>3</v>
      </c>
      <c r="N9" s="97">
        <v>6</v>
      </c>
      <c r="O9" s="97">
        <v>3</v>
      </c>
      <c r="P9" s="97">
        <v>1</v>
      </c>
      <c r="Q9" s="97">
        <v>1</v>
      </c>
      <c r="R9" s="97">
        <v>0</v>
      </c>
      <c r="S9" s="97">
        <v>2</v>
      </c>
      <c r="T9" s="97">
        <v>3</v>
      </c>
      <c r="U9" s="97">
        <v>4</v>
      </c>
      <c r="V9" s="97">
        <v>0</v>
      </c>
      <c r="W9" s="97">
        <v>0</v>
      </c>
      <c r="X9" s="97">
        <v>0</v>
      </c>
      <c r="Y9" s="97">
        <v>0</v>
      </c>
      <c r="Z9" s="97">
        <v>107</v>
      </c>
      <c r="AA9" s="354"/>
      <c r="AB9" s="104">
        <f t="shared" si="0"/>
        <v>5705</v>
      </c>
      <c r="AD9" s="361">
        <v>5</v>
      </c>
      <c r="AE9" s="359">
        <v>148</v>
      </c>
      <c r="AF9" s="360">
        <v>8125</v>
      </c>
      <c r="AH9" s="97"/>
      <c r="AI9" s="97"/>
      <c r="AJ9" s="97"/>
      <c r="AL9" s="366" t="s">
        <v>190</v>
      </c>
      <c r="AM9" s="366"/>
      <c r="AO9" s="94" t="s">
        <v>218</v>
      </c>
      <c r="AP9" s="94">
        <v>0</v>
      </c>
      <c r="AQ9" s="94" t="s">
        <v>106</v>
      </c>
      <c r="AR9" s="94">
        <v>6</v>
      </c>
      <c r="AS9" s="94" t="s">
        <v>217</v>
      </c>
      <c r="AT9" s="94">
        <v>3</v>
      </c>
      <c r="AU9" s="94" t="s">
        <v>189</v>
      </c>
      <c r="AV9" s="94">
        <v>3</v>
      </c>
      <c r="AX9" s="267">
        <f>AN9+AP9+AR9+AT9+AV9</f>
        <v>12</v>
      </c>
    </row>
    <row r="10" spans="1:56" ht="16" x14ac:dyDescent="0.2">
      <c r="A10" s="94">
        <v>6</v>
      </c>
      <c r="B10" s="96">
        <v>44549</v>
      </c>
      <c r="C10" s="97">
        <v>37</v>
      </c>
      <c r="D10" s="97">
        <v>0</v>
      </c>
      <c r="E10" s="97">
        <v>11</v>
      </c>
      <c r="F10" s="97">
        <v>2</v>
      </c>
      <c r="G10" s="97">
        <v>23</v>
      </c>
      <c r="H10" s="97">
        <v>6</v>
      </c>
      <c r="I10" s="97">
        <v>24</v>
      </c>
      <c r="J10" s="97">
        <v>15</v>
      </c>
      <c r="K10" s="97">
        <v>1</v>
      </c>
      <c r="L10" s="97">
        <v>9</v>
      </c>
      <c r="M10" s="97">
        <v>4</v>
      </c>
      <c r="N10" s="97">
        <v>12</v>
      </c>
      <c r="O10" s="97">
        <v>3</v>
      </c>
      <c r="P10" s="97">
        <v>3</v>
      </c>
      <c r="Q10" s="97">
        <v>3</v>
      </c>
      <c r="R10" s="97">
        <v>0</v>
      </c>
      <c r="S10" s="97">
        <v>4</v>
      </c>
      <c r="T10" s="97">
        <v>6</v>
      </c>
      <c r="U10" s="97">
        <v>4</v>
      </c>
      <c r="V10" s="97">
        <v>1</v>
      </c>
      <c r="W10" s="97">
        <v>0</v>
      </c>
      <c r="X10" s="97">
        <v>0</v>
      </c>
      <c r="Y10" s="97">
        <v>1</v>
      </c>
      <c r="Z10" s="97">
        <v>169</v>
      </c>
      <c r="AA10" s="354">
        <v>4</v>
      </c>
      <c r="AB10" s="104">
        <f t="shared" si="0"/>
        <v>9035</v>
      </c>
      <c r="AD10" s="361">
        <v>6</v>
      </c>
      <c r="AE10" s="359">
        <v>145</v>
      </c>
      <c r="AF10" s="362">
        <v>7610</v>
      </c>
      <c r="AH10" s="97"/>
      <c r="AI10" s="97"/>
      <c r="AJ10" s="97"/>
      <c r="AL10" s="366" t="s">
        <v>191</v>
      </c>
      <c r="AM10" s="366" t="s">
        <v>65</v>
      </c>
      <c r="AN10" s="94">
        <v>4</v>
      </c>
      <c r="AO10" s="94" t="s">
        <v>218</v>
      </c>
      <c r="AP10" s="94">
        <v>0</v>
      </c>
      <c r="AQ10" s="94" t="s">
        <v>106</v>
      </c>
      <c r="AR10" s="94">
        <v>6</v>
      </c>
      <c r="AS10" s="94" t="s">
        <v>217</v>
      </c>
      <c r="AT10" s="94">
        <v>3</v>
      </c>
      <c r="AU10" s="94" t="s">
        <v>189</v>
      </c>
      <c r="AV10" s="94">
        <v>3</v>
      </c>
      <c r="AX10" s="267">
        <f>AN10+AP10+AR10+AT10+AV10</f>
        <v>16</v>
      </c>
    </row>
    <row r="11" spans="1:56" ht="16" x14ac:dyDescent="0.2">
      <c r="A11" s="94">
        <v>7</v>
      </c>
      <c r="B11" s="96">
        <v>44550</v>
      </c>
      <c r="C11" s="97">
        <v>24</v>
      </c>
      <c r="D11" s="97">
        <v>0</v>
      </c>
      <c r="E11" s="97">
        <v>22</v>
      </c>
      <c r="F11" s="97">
        <v>4</v>
      </c>
      <c r="G11" s="97">
        <v>13</v>
      </c>
      <c r="H11" s="97">
        <v>7</v>
      </c>
      <c r="I11" s="97">
        <v>16</v>
      </c>
      <c r="J11" s="97">
        <v>9</v>
      </c>
      <c r="K11" s="97">
        <v>2</v>
      </c>
      <c r="L11" s="97">
        <v>13</v>
      </c>
      <c r="M11" s="97">
        <v>3</v>
      </c>
      <c r="N11" s="97">
        <v>7</v>
      </c>
      <c r="O11" s="97">
        <v>4</v>
      </c>
      <c r="P11" s="97">
        <v>4</v>
      </c>
      <c r="Q11" s="97">
        <v>3</v>
      </c>
      <c r="R11" s="97">
        <v>0</v>
      </c>
      <c r="S11" s="97">
        <v>2</v>
      </c>
      <c r="T11" s="97">
        <v>3</v>
      </c>
      <c r="U11" s="97">
        <v>9</v>
      </c>
      <c r="V11" s="97">
        <v>0</v>
      </c>
      <c r="W11" s="97">
        <v>1</v>
      </c>
      <c r="X11" s="97">
        <v>1</v>
      </c>
      <c r="Y11" s="97">
        <v>1</v>
      </c>
      <c r="Z11" s="97">
        <v>148</v>
      </c>
      <c r="AA11" s="354">
        <v>5</v>
      </c>
      <c r="AB11" s="104">
        <f t="shared" si="0"/>
        <v>8125</v>
      </c>
      <c r="AD11" s="361">
        <v>7</v>
      </c>
      <c r="AE11" s="359">
        <v>130</v>
      </c>
      <c r="AF11" s="362">
        <v>6900</v>
      </c>
      <c r="AH11" s="97"/>
      <c r="AI11" s="97"/>
      <c r="AJ11" s="97"/>
      <c r="AL11" s="366" t="s">
        <v>19</v>
      </c>
      <c r="AM11" s="366" t="s">
        <v>102</v>
      </c>
      <c r="AN11" s="94">
        <v>27</v>
      </c>
      <c r="AO11" s="94" t="s">
        <v>218</v>
      </c>
      <c r="AP11" s="94">
        <v>0</v>
      </c>
      <c r="AQ11" s="94" t="s">
        <v>92</v>
      </c>
      <c r="AR11" s="366">
        <v>1</v>
      </c>
      <c r="AS11" s="94" t="s">
        <v>197</v>
      </c>
      <c r="AT11" s="94">
        <v>1</v>
      </c>
      <c r="AX11" s="267">
        <f>AN11+AP11+AR11+AT11+AV11</f>
        <v>29</v>
      </c>
      <c r="BD11" s="270" t="s">
        <v>39</v>
      </c>
    </row>
    <row r="12" spans="1:56" ht="16" x14ac:dyDescent="0.2">
      <c r="A12" s="94">
        <v>8</v>
      </c>
      <c r="B12" s="96">
        <v>44551</v>
      </c>
      <c r="C12" s="97">
        <v>12</v>
      </c>
      <c r="D12" s="97">
        <v>0</v>
      </c>
      <c r="E12" s="97">
        <v>8</v>
      </c>
      <c r="F12" s="97">
        <v>3</v>
      </c>
      <c r="G12" s="97">
        <v>19</v>
      </c>
      <c r="H12" s="97">
        <v>10</v>
      </c>
      <c r="I12" s="97">
        <v>18</v>
      </c>
      <c r="J12" s="97">
        <v>6</v>
      </c>
      <c r="K12" s="97">
        <v>0</v>
      </c>
      <c r="L12" s="97">
        <v>6</v>
      </c>
      <c r="M12" s="97">
        <v>4</v>
      </c>
      <c r="N12" s="97">
        <v>1</v>
      </c>
      <c r="O12" s="97">
        <v>0</v>
      </c>
      <c r="P12" s="97">
        <v>3</v>
      </c>
      <c r="Q12" s="97">
        <v>1</v>
      </c>
      <c r="R12" s="97">
        <v>0</v>
      </c>
      <c r="S12" s="97">
        <v>0</v>
      </c>
      <c r="T12" s="97">
        <v>6</v>
      </c>
      <c r="U12" s="97">
        <v>8</v>
      </c>
      <c r="V12" s="97">
        <v>0</v>
      </c>
      <c r="W12" s="97">
        <v>0</v>
      </c>
      <c r="X12" s="97">
        <v>1</v>
      </c>
      <c r="Y12" s="97">
        <v>1</v>
      </c>
      <c r="Z12" s="97">
        <v>107</v>
      </c>
      <c r="AA12" s="354"/>
      <c r="AB12" s="104">
        <f t="shared" si="0"/>
        <v>5755</v>
      </c>
      <c r="AD12" s="361">
        <v>8</v>
      </c>
      <c r="AE12" s="359">
        <v>158</v>
      </c>
      <c r="AF12" s="362">
        <v>8380</v>
      </c>
      <c r="AH12" s="97"/>
      <c r="AI12" s="97"/>
      <c r="AJ12" s="97"/>
      <c r="AL12" s="366" t="s">
        <v>47</v>
      </c>
      <c r="AM12" s="366" t="s">
        <v>194</v>
      </c>
      <c r="AN12" s="94">
        <v>17</v>
      </c>
      <c r="AO12" s="94" t="s">
        <v>218</v>
      </c>
      <c r="AP12" s="94">
        <v>0</v>
      </c>
      <c r="AQ12" s="94" t="s">
        <v>192</v>
      </c>
      <c r="AR12" s="94">
        <v>8</v>
      </c>
      <c r="AS12" s="94" t="s">
        <v>195</v>
      </c>
      <c r="AT12" s="94">
        <v>6</v>
      </c>
      <c r="AU12" s="94" t="s">
        <v>216</v>
      </c>
      <c r="AV12" s="94">
        <v>3</v>
      </c>
      <c r="AW12" s="94" t="s">
        <v>196</v>
      </c>
      <c r="AX12" s="94">
        <v>0</v>
      </c>
      <c r="AY12" s="94" t="s">
        <v>214</v>
      </c>
      <c r="AZ12" s="94">
        <v>2</v>
      </c>
      <c r="BA12" s="94" t="s">
        <v>215</v>
      </c>
      <c r="BB12" s="94">
        <v>11</v>
      </c>
      <c r="BD12" s="267">
        <f>AN12+AP12+AR12+AT12+AV12+AX12+AZ12+BB12</f>
        <v>47</v>
      </c>
    </row>
    <row r="13" spans="1:56" ht="16" x14ac:dyDescent="0.2">
      <c r="A13" s="94">
        <v>9</v>
      </c>
      <c r="B13" s="96">
        <v>44552</v>
      </c>
      <c r="C13" s="97">
        <v>23</v>
      </c>
      <c r="D13" s="97">
        <v>0</v>
      </c>
      <c r="E13" s="97">
        <v>11</v>
      </c>
      <c r="F13" s="97">
        <v>0</v>
      </c>
      <c r="G13" s="97">
        <v>8</v>
      </c>
      <c r="H13" s="97">
        <v>4</v>
      </c>
      <c r="I13" s="97">
        <v>14</v>
      </c>
      <c r="J13" s="97">
        <v>1</v>
      </c>
      <c r="K13" s="97">
        <v>3</v>
      </c>
      <c r="L13" s="97">
        <v>9</v>
      </c>
      <c r="M13" s="97">
        <v>1</v>
      </c>
      <c r="N13" s="97">
        <v>2</v>
      </c>
      <c r="O13" s="97">
        <v>6</v>
      </c>
      <c r="P13" s="97">
        <v>1</v>
      </c>
      <c r="Q13" s="97">
        <v>1</v>
      </c>
      <c r="R13" s="97">
        <v>0</v>
      </c>
      <c r="S13" s="97">
        <v>1</v>
      </c>
      <c r="T13" s="97">
        <v>1</v>
      </c>
      <c r="U13" s="97">
        <v>8</v>
      </c>
      <c r="V13" s="97">
        <v>0</v>
      </c>
      <c r="W13" s="97">
        <v>0</v>
      </c>
      <c r="X13" s="97">
        <v>0</v>
      </c>
      <c r="Y13" s="97">
        <v>1</v>
      </c>
      <c r="Z13" s="97">
        <v>95</v>
      </c>
      <c r="AA13" s="354"/>
      <c r="AB13" s="104">
        <f t="shared" si="0"/>
        <v>5020</v>
      </c>
      <c r="AD13" s="361">
        <v>9</v>
      </c>
      <c r="AE13" s="359">
        <v>213</v>
      </c>
      <c r="AF13" s="362">
        <v>11125</v>
      </c>
      <c r="AH13" s="97"/>
      <c r="AI13" s="97"/>
      <c r="AJ13" s="97"/>
      <c r="AL13" s="366" t="s">
        <v>20</v>
      </c>
      <c r="AM13" s="366" t="s">
        <v>74</v>
      </c>
      <c r="AN13" s="94">
        <v>25</v>
      </c>
      <c r="AO13" s="94" t="s">
        <v>218</v>
      </c>
      <c r="AP13" s="94">
        <v>0</v>
      </c>
      <c r="AQ13" s="94" t="s">
        <v>192</v>
      </c>
      <c r="AR13" s="94">
        <v>8</v>
      </c>
      <c r="AS13" s="94" t="s">
        <v>193</v>
      </c>
      <c r="AT13" s="94">
        <v>12</v>
      </c>
      <c r="AU13" s="94" t="s">
        <v>196</v>
      </c>
      <c r="AV13" s="94">
        <v>0</v>
      </c>
      <c r="AW13" s="94" t="s">
        <v>197</v>
      </c>
      <c r="AX13" s="94">
        <v>1</v>
      </c>
      <c r="AY13" s="94" t="s">
        <v>198</v>
      </c>
      <c r="AZ13" s="94">
        <v>1</v>
      </c>
      <c r="BD13" s="267">
        <f>AN13+AP13+AR13+AT13+AV13+AX13+AZ13+BB13</f>
        <v>47</v>
      </c>
    </row>
    <row r="14" spans="1:56" ht="16" x14ac:dyDescent="0.2">
      <c r="A14" s="94">
        <v>10</v>
      </c>
      <c r="B14" s="96">
        <v>44553</v>
      </c>
      <c r="C14" s="97">
        <v>22</v>
      </c>
      <c r="D14" s="97">
        <v>0</v>
      </c>
      <c r="E14" s="97">
        <v>11</v>
      </c>
      <c r="F14" s="97">
        <v>1</v>
      </c>
      <c r="G14" s="97">
        <v>14</v>
      </c>
      <c r="H14" s="97">
        <v>10</v>
      </c>
      <c r="I14" s="97">
        <v>23</v>
      </c>
      <c r="J14" s="97">
        <v>4</v>
      </c>
      <c r="K14" s="97">
        <v>0</v>
      </c>
      <c r="L14" s="97">
        <v>9</v>
      </c>
      <c r="M14" s="97">
        <v>1</v>
      </c>
      <c r="N14" s="97">
        <v>4</v>
      </c>
      <c r="O14" s="97">
        <v>3</v>
      </c>
      <c r="P14" s="97">
        <v>1</v>
      </c>
      <c r="Q14" s="97">
        <v>1</v>
      </c>
      <c r="R14" s="97">
        <v>0</v>
      </c>
      <c r="S14" s="97">
        <v>1</v>
      </c>
      <c r="T14" s="97">
        <v>5</v>
      </c>
      <c r="U14" s="97">
        <v>4</v>
      </c>
      <c r="V14" s="97">
        <v>0</v>
      </c>
      <c r="W14" s="97">
        <v>0</v>
      </c>
      <c r="X14" s="97">
        <v>0</v>
      </c>
      <c r="Y14" s="97">
        <v>2</v>
      </c>
      <c r="Z14" s="97">
        <v>116</v>
      </c>
      <c r="AA14" s="354"/>
      <c r="AB14" s="104">
        <f t="shared" si="0"/>
        <v>6190</v>
      </c>
      <c r="AD14" s="361">
        <v>10</v>
      </c>
      <c r="AE14" s="359">
        <v>197</v>
      </c>
      <c r="AF14" s="362">
        <v>10475</v>
      </c>
      <c r="AH14" s="97"/>
      <c r="AI14" s="97"/>
      <c r="AJ14" s="97"/>
      <c r="AM14" s="306"/>
    </row>
    <row r="15" spans="1:56" ht="16" x14ac:dyDescent="0.2">
      <c r="A15" s="94">
        <v>11</v>
      </c>
      <c r="B15" s="96">
        <v>44554</v>
      </c>
      <c r="C15" s="97">
        <v>19</v>
      </c>
      <c r="D15" s="97">
        <v>0</v>
      </c>
      <c r="E15" s="97">
        <v>10</v>
      </c>
      <c r="F15" s="97">
        <v>1</v>
      </c>
      <c r="G15" s="97">
        <v>19</v>
      </c>
      <c r="H15" s="97">
        <v>4</v>
      </c>
      <c r="I15" s="97">
        <v>15</v>
      </c>
      <c r="J15" s="97">
        <v>4</v>
      </c>
      <c r="K15" s="97">
        <v>1</v>
      </c>
      <c r="L15" s="97">
        <v>10</v>
      </c>
      <c r="M15" s="97">
        <v>0</v>
      </c>
      <c r="N15" s="97">
        <v>2</v>
      </c>
      <c r="O15" s="97">
        <v>1</v>
      </c>
      <c r="P15" s="97">
        <v>3</v>
      </c>
      <c r="Q15" s="97">
        <v>3</v>
      </c>
      <c r="R15" s="97">
        <v>0</v>
      </c>
      <c r="S15" s="97">
        <v>0</v>
      </c>
      <c r="T15" s="97">
        <v>2</v>
      </c>
      <c r="U15" s="97">
        <v>3</v>
      </c>
      <c r="V15" s="97">
        <v>0</v>
      </c>
      <c r="W15" s="97">
        <v>1</v>
      </c>
      <c r="X15" s="97">
        <v>1</v>
      </c>
      <c r="Y15" s="97">
        <v>0</v>
      </c>
      <c r="Z15" s="97">
        <v>99</v>
      </c>
      <c r="AA15" s="354"/>
      <c r="AB15" s="104">
        <f t="shared" si="0"/>
        <v>5235</v>
      </c>
      <c r="AD15" s="361">
        <v>11</v>
      </c>
      <c r="AE15" s="359">
        <v>186</v>
      </c>
      <c r="AF15" s="362">
        <v>10195</v>
      </c>
      <c r="AH15" s="97"/>
      <c r="AI15" s="97"/>
      <c r="AJ15" s="97"/>
      <c r="AM15" s="306"/>
    </row>
    <row r="16" spans="1:56" ht="16" x14ac:dyDescent="0.2">
      <c r="A16" s="94">
        <v>12</v>
      </c>
      <c r="B16" s="96">
        <v>44555</v>
      </c>
      <c r="C16" s="97">
        <v>25</v>
      </c>
      <c r="D16" s="97">
        <v>0</v>
      </c>
      <c r="E16" s="97">
        <v>12</v>
      </c>
      <c r="F16" s="97">
        <v>4</v>
      </c>
      <c r="G16" s="97">
        <v>14</v>
      </c>
      <c r="H16" s="97">
        <v>7</v>
      </c>
      <c r="I16" s="97">
        <v>24</v>
      </c>
      <c r="J16" s="97">
        <v>9</v>
      </c>
      <c r="K16" s="97">
        <v>1</v>
      </c>
      <c r="L16" s="97">
        <v>8</v>
      </c>
      <c r="M16" s="97">
        <v>1</v>
      </c>
      <c r="N16" s="97">
        <v>6</v>
      </c>
      <c r="O16" s="97">
        <v>1</v>
      </c>
      <c r="P16" s="97">
        <v>4</v>
      </c>
      <c r="Q16" s="97">
        <v>0</v>
      </c>
      <c r="R16" s="97">
        <v>0</v>
      </c>
      <c r="S16" s="97">
        <v>0</v>
      </c>
      <c r="T16" s="97">
        <v>3</v>
      </c>
      <c r="U16" s="97">
        <v>6</v>
      </c>
      <c r="V16" s="97">
        <v>0</v>
      </c>
      <c r="W16" s="97">
        <v>2</v>
      </c>
      <c r="X16" s="97">
        <v>0</v>
      </c>
      <c r="Y16" s="97">
        <v>0</v>
      </c>
      <c r="Z16" s="97">
        <v>127</v>
      </c>
      <c r="AA16" s="354"/>
      <c r="AB16" s="104">
        <f t="shared" si="0"/>
        <v>6750</v>
      </c>
      <c r="AD16" s="361">
        <v>12</v>
      </c>
      <c r="AE16" s="359">
        <v>158</v>
      </c>
      <c r="AF16" s="362">
        <v>8245</v>
      </c>
      <c r="AH16" s="97"/>
      <c r="AI16" s="97"/>
      <c r="AJ16" s="97"/>
      <c r="AM16" s="306"/>
    </row>
    <row r="17" spans="1:60" ht="16" x14ac:dyDescent="0.2">
      <c r="A17" s="94">
        <v>13</v>
      </c>
      <c r="B17" s="96">
        <v>44556</v>
      </c>
      <c r="C17" s="97">
        <v>30</v>
      </c>
      <c r="D17" s="97">
        <v>0</v>
      </c>
      <c r="E17" s="97">
        <v>6</v>
      </c>
      <c r="F17" s="97">
        <v>3</v>
      </c>
      <c r="G17" s="97">
        <v>22</v>
      </c>
      <c r="H17" s="97">
        <v>6</v>
      </c>
      <c r="I17" s="97">
        <v>33</v>
      </c>
      <c r="J17" s="97">
        <v>7</v>
      </c>
      <c r="K17" s="97">
        <v>2</v>
      </c>
      <c r="L17" s="97">
        <v>12</v>
      </c>
      <c r="M17" s="97">
        <v>2</v>
      </c>
      <c r="N17" s="97">
        <v>7</v>
      </c>
      <c r="O17" s="97">
        <v>3</v>
      </c>
      <c r="P17" s="97">
        <v>3</v>
      </c>
      <c r="Q17" s="97">
        <v>0</v>
      </c>
      <c r="R17" s="97">
        <v>0</v>
      </c>
      <c r="S17" s="97">
        <v>2</v>
      </c>
      <c r="T17" s="97">
        <v>2</v>
      </c>
      <c r="U17" s="97">
        <v>3</v>
      </c>
      <c r="V17" s="97">
        <v>0</v>
      </c>
      <c r="W17" s="97">
        <v>1</v>
      </c>
      <c r="X17" s="97">
        <v>0</v>
      </c>
      <c r="Y17" s="97">
        <v>1</v>
      </c>
      <c r="Z17" s="97">
        <v>145</v>
      </c>
      <c r="AA17" s="354">
        <v>6</v>
      </c>
      <c r="AB17" s="104">
        <f t="shared" si="0"/>
        <v>7610</v>
      </c>
      <c r="AD17" s="361">
        <v>13</v>
      </c>
      <c r="AE17" s="359">
        <v>201</v>
      </c>
      <c r="AF17" s="362">
        <v>10510</v>
      </c>
      <c r="AH17" s="97"/>
      <c r="AI17" s="97"/>
      <c r="AJ17" s="97"/>
      <c r="AM17" s="306"/>
    </row>
    <row r="18" spans="1:60" ht="16" x14ac:dyDescent="0.2">
      <c r="A18" s="94">
        <v>14</v>
      </c>
      <c r="B18" s="96">
        <v>44557</v>
      </c>
      <c r="C18" s="97">
        <v>32</v>
      </c>
      <c r="D18" s="97">
        <v>0</v>
      </c>
      <c r="E18" s="97">
        <v>11</v>
      </c>
      <c r="F18" s="97">
        <v>5</v>
      </c>
      <c r="G18" s="97">
        <v>14</v>
      </c>
      <c r="H18" s="97">
        <v>3</v>
      </c>
      <c r="I18" s="97">
        <v>17</v>
      </c>
      <c r="J18" s="97">
        <v>6</v>
      </c>
      <c r="K18" s="97">
        <v>3</v>
      </c>
      <c r="L18" s="97">
        <v>15</v>
      </c>
      <c r="M18" s="97">
        <v>4</v>
      </c>
      <c r="N18" s="97">
        <v>2</v>
      </c>
      <c r="O18" s="97">
        <v>1</v>
      </c>
      <c r="P18" s="97">
        <v>1</v>
      </c>
      <c r="Q18" s="97">
        <v>3</v>
      </c>
      <c r="R18" s="97">
        <v>0</v>
      </c>
      <c r="S18" s="97">
        <v>1</v>
      </c>
      <c r="T18" s="97">
        <v>2</v>
      </c>
      <c r="U18" s="97">
        <v>8</v>
      </c>
      <c r="V18" s="97">
        <v>0</v>
      </c>
      <c r="W18" s="97">
        <v>0</v>
      </c>
      <c r="X18" s="97">
        <v>2</v>
      </c>
      <c r="Y18" s="97">
        <v>0</v>
      </c>
      <c r="Z18" s="97">
        <v>130</v>
      </c>
      <c r="AA18" s="354">
        <v>7</v>
      </c>
      <c r="AB18" s="104">
        <f t="shared" si="0"/>
        <v>6900</v>
      </c>
      <c r="AD18" s="361">
        <v>14</v>
      </c>
      <c r="AE18" s="359">
        <v>187</v>
      </c>
      <c r="AF18" s="362">
        <v>10050</v>
      </c>
      <c r="AH18" s="97"/>
      <c r="AI18" s="97"/>
      <c r="AJ18" s="97"/>
      <c r="AM18" s="306"/>
    </row>
    <row r="19" spans="1:60" ht="16" x14ac:dyDescent="0.2">
      <c r="A19" s="94">
        <v>15</v>
      </c>
      <c r="B19" s="96">
        <v>44558</v>
      </c>
      <c r="C19" s="97">
        <v>14</v>
      </c>
      <c r="D19" s="97">
        <v>0</v>
      </c>
      <c r="E19" s="97">
        <v>10</v>
      </c>
      <c r="F19" s="97">
        <v>2</v>
      </c>
      <c r="G19" s="97">
        <v>23</v>
      </c>
      <c r="H19" s="97">
        <v>8</v>
      </c>
      <c r="I19" s="97">
        <v>20</v>
      </c>
      <c r="J19" s="97">
        <v>15</v>
      </c>
      <c r="K19" s="97">
        <v>2</v>
      </c>
      <c r="L19" s="97">
        <v>8</v>
      </c>
      <c r="M19" s="97">
        <v>2</v>
      </c>
      <c r="N19" s="97">
        <v>3</v>
      </c>
      <c r="O19" s="97">
        <v>1</v>
      </c>
      <c r="P19" s="97">
        <v>0</v>
      </c>
      <c r="Q19" s="97">
        <v>2</v>
      </c>
      <c r="R19" s="97">
        <v>0</v>
      </c>
      <c r="S19" s="97">
        <v>2</v>
      </c>
      <c r="T19" s="97">
        <v>1</v>
      </c>
      <c r="U19" s="97">
        <v>6</v>
      </c>
      <c r="V19" s="97">
        <v>0</v>
      </c>
      <c r="W19" s="97">
        <v>1</v>
      </c>
      <c r="X19" s="97">
        <v>0</v>
      </c>
      <c r="Y19" s="97">
        <v>1</v>
      </c>
      <c r="Z19" s="97">
        <v>121</v>
      </c>
      <c r="AA19" s="354"/>
      <c r="AB19" s="104">
        <f t="shared" si="0"/>
        <v>6315</v>
      </c>
      <c r="AD19" s="361">
        <v>15</v>
      </c>
      <c r="AE19" s="359">
        <v>152</v>
      </c>
      <c r="AF19" s="362">
        <v>8215</v>
      </c>
      <c r="AH19" s="97"/>
      <c r="AI19" s="97"/>
      <c r="AJ19" s="97"/>
      <c r="AM19" s="306"/>
    </row>
    <row r="20" spans="1:60" ht="16" x14ac:dyDescent="0.2">
      <c r="A20" s="94">
        <v>16</v>
      </c>
      <c r="B20" s="96">
        <v>44559</v>
      </c>
      <c r="C20" s="97">
        <v>16</v>
      </c>
      <c r="D20" s="97">
        <v>0</v>
      </c>
      <c r="E20" s="97">
        <v>16</v>
      </c>
      <c r="F20" s="97">
        <v>3</v>
      </c>
      <c r="G20" s="97">
        <v>18</v>
      </c>
      <c r="H20" s="97">
        <v>8</v>
      </c>
      <c r="I20" s="97">
        <v>32</v>
      </c>
      <c r="J20" s="97">
        <v>5</v>
      </c>
      <c r="K20" s="97">
        <v>0</v>
      </c>
      <c r="L20" s="97">
        <v>6</v>
      </c>
      <c r="M20" s="97">
        <v>1</v>
      </c>
      <c r="N20" s="97">
        <v>4</v>
      </c>
      <c r="O20" s="97">
        <v>2</v>
      </c>
      <c r="P20" s="97">
        <v>1</v>
      </c>
      <c r="Q20" s="97">
        <v>2</v>
      </c>
      <c r="R20" s="97">
        <v>0</v>
      </c>
      <c r="S20" s="97">
        <v>1</v>
      </c>
      <c r="T20" s="97">
        <v>1</v>
      </c>
      <c r="U20" s="97">
        <v>9</v>
      </c>
      <c r="V20" s="97">
        <v>0</v>
      </c>
      <c r="W20" s="97">
        <v>1</v>
      </c>
      <c r="X20" s="97">
        <v>0</v>
      </c>
      <c r="Y20" s="97">
        <v>2</v>
      </c>
      <c r="Z20" s="97">
        <v>128</v>
      </c>
      <c r="AA20" s="354"/>
      <c r="AB20" s="104">
        <f t="shared" si="0"/>
        <v>6820</v>
      </c>
      <c r="AD20" s="363">
        <v>16</v>
      </c>
      <c r="AE20" s="364">
        <v>162</v>
      </c>
      <c r="AF20" s="365">
        <v>8800</v>
      </c>
      <c r="AH20" s="97"/>
      <c r="AI20" s="97"/>
      <c r="AJ20" s="97"/>
    </row>
    <row r="21" spans="1:60" ht="16" x14ac:dyDescent="0.2">
      <c r="A21" s="94">
        <v>17</v>
      </c>
      <c r="B21" s="96">
        <v>44560</v>
      </c>
      <c r="C21" s="97">
        <v>31</v>
      </c>
      <c r="D21" s="97">
        <v>0</v>
      </c>
      <c r="E21" s="97">
        <v>7</v>
      </c>
      <c r="F21" s="97">
        <v>3</v>
      </c>
      <c r="G21" s="97">
        <v>15</v>
      </c>
      <c r="H21" s="97">
        <v>8</v>
      </c>
      <c r="I21" s="97">
        <v>30</v>
      </c>
      <c r="J21" s="97">
        <v>9</v>
      </c>
      <c r="K21" s="97">
        <v>0</v>
      </c>
      <c r="L21" s="97">
        <v>8</v>
      </c>
      <c r="M21" s="97">
        <v>3</v>
      </c>
      <c r="N21" s="97">
        <v>5</v>
      </c>
      <c r="O21" s="97">
        <v>2</v>
      </c>
      <c r="P21" s="97">
        <v>1</v>
      </c>
      <c r="Q21" s="97">
        <v>4</v>
      </c>
      <c r="R21" s="97">
        <v>0</v>
      </c>
      <c r="S21" s="97">
        <v>1</v>
      </c>
      <c r="T21" s="97">
        <v>3</v>
      </c>
      <c r="U21" s="97">
        <v>7</v>
      </c>
      <c r="V21" s="97">
        <v>0</v>
      </c>
      <c r="W21" s="97">
        <v>1</v>
      </c>
      <c r="X21" s="97">
        <v>1</v>
      </c>
      <c r="Y21" s="97">
        <v>1</v>
      </c>
      <c r="Z21" s="97">
        <v>140</v>
      </c>
      <c r="AA21" s="354"/>
      <c r="AB21" s="104">
        <f t="shared" si="0"/>
        <v>7445</v>
      </c>
      <c r="AD21"/>
      <c r="AE21" s="97"/>
      <c r="AF21" s="324"/>
      <c r="AH21" s="97"/>
      <c r="AI21" s="97"/>
      <c r="AJ21" s="97"/>
    </row>
    <row r="22" spans="1:60" ht="16" x14ac:dyDescent="0.2">
      <c r="A22" s="94">
        <v>18</v>
      </c>
      <c r="B22" s="96">
        <v>44561</v>
      </c>
      <c r="C22" s="97">
        <v>20</v>
      </c>
      <c r="D22" s="97">
        <v>0</v>
      </c>
      <c r="E22" s="97">
        <v>9</v>
      </c>
      <c r="F22" s="97">
        <v>3</v>
      </c>
      <c r="G22" s="97">
        <v>11</v>
      </c>
      <c r="H22" s="97">
        <v>5</v>
      </c>
      <c r="I22" s="97">
        <v>32</v>
      </c>
      <c r="J22" s="97">
        <v>9</v>
      </c>
      <c r="K22" s="97">
        <v>0</v>
      </c>
      <c r="L22" s="97">
        <v>10</v>
      </c>
      <c r="M22" s="97">
        <v>2</v>
      </c>
      <c r="N22" s="97">
        <v>9</v>
      </c>
      <c r="O22" s="97">
        <v>1</v>
      </c>
      <c r="P22" s="97">
        <v>2</v>
      </c>
      <c r="Q22" s="97">
        <v>2</v>
      </c>
      <c r="R22" s="97">
        <v>1</v>
      </c>
      <c r="S22" s="97">
        <v>1</v>
      </c>
      <c r="T22" s="97">
        <v>5</v>
      </c>
      <c r="U22" s="97">
        <v>6</v>
      </c>
      <c r="V22" s="97">
        <v>0</v>
      </c>
      <c r="W22" s="97">
        <v>0</v>
      </c>
      <c r="X22" s="97">
        <v>0</v>
      </c>
      <c r="Y22" s="97">
        <v>3</v>
      </c>
      <c r="Z22" s="97">
        <v>131</v>
      </c>
      <c r="AA22" s="354"/>
      <c r="AB22" s="104">
        <f t="shared" si="0"/>
        <v>7105</v>
      </c>
      <c r="AD22"/>
      <c r="AE22" s="97"/>
      <c r="AF22" s="324"/>
      <c r="AH22" s="97"/>
      <c r="AI22" s="97"/>
      <c r="AJ22" s="97"/>
    </row>
    <row r="23" spans="1:60" ht="16" x14ac:dyDescent="0.2">
      <c r="A23" s="94">
        <v>19</v>
      </c>
      <c r="B23" s="96">
        <v>44562</v>
      </c>
      <c r="C23" s="97">
        <v>47</v>
      </c>
      <c r="D23" s="97">
        <v>0</v>
      </c>
      <c r="E23" s="97">
        <v>17</v>
      </c>
      <c r="F23" s="97">
        <v>1</v>
      </c>
      <c r="G23" s="97">
        <v>22</v>
      </c>
      <c r="H23" s="97">
        <v>6</v>
      </c>
      <c r="I23" s="97">
        <v>53</v>
      </c>
      <c r="J23" s="97">
        <v>10</v>
      </c>
      <c r="K23" s="97">
        <v>7</v>
      </c>
      <c r="L23" s="97">
        <v>14</v>
      </c>
      <c r="M23" s="97">
        <v>5</v>
      </c>
      <c r="N23" s="97">
        <v>14</v>
      </c>
      <c r="O23" s="97">
        <v>1</v>
      </c>
      <c r="P23" s="97">
        <v>9</v>
      </c>
      <c r="Q23" s="97">
        <v>3</v>
      </c>
      <c r="R23" s="97">
        <v>3</v>
      </c>
      <c r="S23" s="97">
        <v>9</v>
      </c>
      <c r="T23" s="97">
        <v>8</v>
      </c>
      <c r="U23" s="97">
        <v>19</v>
      </c>
      <c r="V23" s="97">
        <v>0</v>
      </c>
      <c r="W23" s="97">
        <v>4</v>
      </c>
      <c r="X23" s="97">
        <v>0</v>
      </c>
      <c r="Y23" s="97">
        <v>4</v>
      </c>
      <c r="Z23" s="97">
        <v>256</v>
      </c>
      <c r="AA23" s="354"/>
      <c r="AB23" s="104">
        <f t="shared" si="0"/>
        <v>13960</v>
      </c>
      <c r="AD23"/>
      <c r="AE23" s="97"/>
      <c r="AF23" s="324"/>
      <c r="AH23" s="97"/>
      <c r="AI23" s="97"/>
      <c r="AJ23" s="97"/>
      <c r="AL23" s="108"/>
      <c r="AM23" s="108"/>
      <c r="AN23" s="108"/>
      <c r="AO23" s="108"/>
      <c r="AP23" s="108"/>
      <c r="AQ23" s="108"/>
      <c r="AR23" s="108"/>
      <c r="AS23" s="271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</row>
    <row r="24" spans="1:60" ht="16" x14ac:dyDescent="0.2">
      <c r="A24" s="94">
        <v>20</v>
      </c>
      <c r="B24" s="96">
        <v>44563</v>
      </c>
      <c r="C24" s="97">
        <v>41</v>
      </c>
      <c r="D24" s="97">
        <v>2</v>
      </c>
      <c r="E24" s="97">
        <v>20</v>
      </c>
      <c r="F24" s="97">
        <v>8</v>
      </c>
      <c r="G24" s="97">
        <v>22</v>
      </c>
      <c r="H24" s="97">
        <v>17</v>
      </c>
      <c r="I24" s="97">
        <v>51</v>
      </c>
      <c r="J24" s="97">
        <v>11</v>
      </c>
      <c r="K24" s="97">
        <v>4</v>
      </c>
      <c r="L24" s="97">
        <v>18</v>
      </c>
      <c r="M24" s="97">
        <v>1</v>
      </c>
      <c r="N24" s="97">
        <v>12</v>
      </c>
      <c r="O24" s="97">
        <v>1</v>
      </c>
      <c r="P24" s="97">
        <v>3</v>
      </c>
      <c r="Q24" s="97">
        <v>7</v>
      </c>
      <c r="R24" s="97">
        <v>0</v>
      </c>
      <c r="S24" s="97">
        <v>0</v>
      </c>
      <c r="T24" s="97">
        <v>3</v>
      </c>
      <c r="U24" s="97">
        <v>27</v>
      </c>
      <c r="V24" s="97">
        <v>6</v>
      </c>
      <c r="W24" s="97">
        <v>6</v>
      </c>
      <c r="X24" s="97">
        <v>0</v>
      </c>
      <c r="Y24" s="97">
        <v>2</v>
      </c>
      <c r="Z24" s="97">
        <v>262</v>
      </c>
      <c r="AA24" s="354"/>
      <c r="AB24" s="104">
        <f t="shared" si="0"/>
        <v>14240</v>
      </c>
      <c r="AD24"/>
      <c r="AE24" s="97"/>
      <c r="AF24" s="324"/>
      <c r="AH24" s="97"/>
      <c r="AI24" s="97"/>
      <c r="AJ24" s="97"/>
    </row>
    <row r="25" spans="1:60" ht="16" x14ac:dyDescent="0.2">
      <c r="A25" s="94">
        <v>21</v>
      </c>
      <c r="B25" s="96">
        <v>44564</v>
      </c>
      <c r="C25" s="97">
        <v>18</v>
      </c>
      <c r="D25" s="97">
        <v>0</v>
      </c>
      <c r="E25" s="97">
        <v>18</v>
      </c>
      <c r="F25" s="97">
        <v>1</v>
      </c>
      <c r="G25" s="97">
        <v>22</v>
      </c>
      <c r="H25" s="97">
        <v>15</v>
      </c>
      <c r="I25" s="97">
        <v>28</v>
      </c>
      <c r="J25" s="97">
        <v>3</v>
      </c>
      <c r="K25" s="97">
        <v>5</v>
      </c>
      <c r="L25" s="97">
        <v>15</v>
      </c>
      <c r="M25" s="97">
        <v>0</v>
      </c>
      <c r="N25" s="97">
        <v>5</v>
      </c>
      <c r="O25" s="97">
        <v>6</v>
      </c>
      <c r="P25" s="97">
        <v>0</v>
      </c>
      <c r="Q25" s="97">
        <v>3</v>
      </c>
      <c r="R25" s="97">
        <v>0</v>
      </c>
      <c r="S25" s="97">
        <v>1</v>
      </c>
      <c r="T25" s="97">
        <v>3</v>
      </c>
      <c r="U25" s="97">
        <v>9</v>
      </c>
      <c r="V25" s="97">
        <v>2</v>
      </c>
      <c r="W25" s="97">
        <v>2</v>
      </c>
      <c r="X25" s="97">
        <v>0</v>
      </c>
      <c r="Y25" s="97">
        <v>2</v>
      </c>
      <c r="Z25" s="97">
        <v>158</v>
      </c>
      <c r="AA25" s="354">
        <v>8</v>
      </c>
      <c r="AB25" s="104">
        <f t="shared" si="0"/>
        <v>8380</v>
      </c>
      <c r="AH25" s="97"/>
      <c r="AI25" s="97"/>
      <c r="AJ25" s="97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</row>
    <row r="26" spans="1:60" ht="16" x14ac:dyDescent="0.2">
      <c r="A26" s="94">
        <v>22</v>
      </c>
      <c r="B26" s="96">
        <v>44565</v>
      </c>
      <c r="C26" s="97">
        <v>35</v>
      </c>
      <c r="D26" s="97">
        <v>0</v>
      </c>
      <c r="E26" s="97">
        <v>20</v>
      </c>
      <c r="F26" s="97">
        <v>0</v>
      </c>
      <c r="G26" s="97">
        <v>17</v>
      </c>
      <c r="H26" s="97">
        <v>4</v>
      </c>
      <c r="I26" s="97">
        <v>44</v>
      </c>
      <c r="J26" s="97">
        <v>4</v>
      </c>
      <c r="K26" s="97">
        <v>10</v>
      </c>
      <c r="L26" s="97">
        <v>25</v>
      </c>
      <c r="M26" s="97">
        <v>0</v>
      </c>
      <c r="N26" s="97">
        <v>9</v>
      </c>
      <c r="O26" s="97">
        <v>7</v>
      </c>
      <c r="P26" s="97">
        <v>0</v>
      </c>
      <c r="Q26" s="97">
        <v>4</v>
      </c>
      <c r="R26" s="97">
        <v>0</v>
      </c>
      <c r="S26" s="97">
        <v>0</v>
      </c>
      <c r="T26" s="97">
        <v>11</v>
      </c>
      <c r="U26" s="97">
        <v>17</v>
      </c>
      <c r="V26" s="97">
        <v>0</v>
      </c>
      <c r="W26" s="97">
        <v>5</v>
      </c>
      <c r="X26" s="97">
        <v>0</v>
      </c>
      <c r="Y26" s="97">
        <v>1</v>
      </c>
      <c r="Z26" s="97">
        <v>213</v>
      </c>
      <c r="AA26" s="354">
        <v>9</v>
      </c>
      <c r="AB26" s="104">
        <f t="shared" si="0"/>
        <v>11125</v>
      </c>
      <c r="AH26" s="97"/>
      <c r="AI26" s="97"/>
      <c r="AJ26" s="97"/>
    </row>
    <row r="27" spans="1:60" ht="16" x14ac:dyDescent="0.2">
      <c r="A27" s="94">
        <v>23</v>
      </c>
      <c r="B27" s="96">
        <v>44566</v>
      </c>
      <c r="C27" s="97">
        <v>40</v>
      </c>
      <c r="D27" s="97">
        <v>1</v>
      </c>
      <c r="E27" s="97">
        <v>27</v>
      </c>
      <c r="F27" s="97">
        <v>0</v>
      </c>
      <c r="G27" s="97">
        <v>29</v>
      </c>
      <c r="H27" s="97">
        <v>7</v>
      </c>
      <c r="I27" s="97">
        <v>22</v>
      </c>
      <c r="J27" s="97">
        <v>5</v>
      </c>
      <c r="K27" s="97">
        <v>4</v>
      </c>
      <c r="L27" s="97">
        <v>12</v>
      </c>
      <c r="M27" s="97">
        <v>0</v>
      </c>
      <c r="N27" s="97">
        <v>7</v>
      </c>
      <c r="O27" s="97">
        <v>5</v>
      </c>
      <c r="P27" s="97">
        <v>0</v>
      </c>
      <c r="Q27" s="97">
        <v>9</v>
      </c>
      <c r="R27" s="97">
        <v>0</v>
      </c>
      <c r="S27" s="97">
        <v>3</v>
      </c>
      <c r="T27" s="97">
        <v>7</v>
      </c>
      <c r="U27" s="97">
        <v>17</v>
      </c>
      <c r="V27" s="97">
        <v>0</v>
      </c>
      <c r="W27" s="97">
        <v>2</v>
      </c>
      <c r="X27" s="97">
        <v>0</v>
      </c>
      <c r="Y27" s="97">
        <v>0</v>
      </c>
      <c r="Z27" s="97">
        <v>197</v>
      </c>
      <c r="AA27" s="354">
        <v>10</v>
      </c>
      <c r="AB27" s="104">
        <f t="shared" si="0"/>
        <v>10475</v>
      </c>
      <c r="AH27" s="97"/>
      <c r="AI27" s="97"/>
      <c r="AJ27" s="97"/>
    </row>
    <row r="28" spans="1:60" ht="16" x14ac:dyDescent="0.2">
      <c r="A28" s="94">
        <v>24</v>
      </c>
      <c r="B28" s="96">
        <v>44567</v>
      </c>
      <c r="C28" s="97">
        <v>27</v>
      </c>
      <c r="D28" s="97">
        <v>1</v>
      </c>
      <c r="E28" s="97">
        <v>21</v>
      </c>
      <c r="F28" s="97">
        <v>3</v>
      </c>
      <c r="G28" s="97">
        <v>19</v>
      </c>
      <c r="H28" s="97">
        <v>7</v>
      </c>
      <c r="I28" s="97">
        <v>32</v>
      </c>
      <c r="J28" s="97">
        <v>2</v>
      </c>
      <c r="K28" s="97">
        <v>3</v>
      </c>
      <c r="L28" s="97">
        <v>26</v>
      </c>
      <c r="M28" s="97">
        <v>13</v>
      </c>
      <c r="N28" s="97">
        <v>7</v>
      </c>
      <c r="O28" s="97">
        <v>4</v>
      </c>
      <c r="P28" s="97">
        <v>2</v>
      </c>
      <c r="Q28" s="97">
        <v>2</v>
      </c>
      <c r="R28" s="97">
        <v>1</v>
      </c>
      <c r="S28" s="97">
        <v>1</v>
      </c>
      <c r="T28" s="97">
        <v>3</v>
      </c>
      <c r="U28" s="97">
        <v>10</v>
      </c>
      <c r="V28" s="97">
        <v>0</v>
      </c>
      <c r="W28" s="97">
        <v>1</v>
      </c>
      <c r="X28" s="97">
        <v>0</v>
      </c>
      <c r="Y28" s="97">
        <v>1</v>
      </c>
      <c r="Z28" s="97">
        <v>186</v>
      </c>
      <c r="AA28" s="354">
        <v>11</v>
      </c>
      <c r="AB28" s="104">
        <f t="shared" si="0"/>
        <v>10195</v>
      </c>
      <c r="AH28" s="97"/>
      <c r="AI28" s="97"/>
      <c r="AJ28" s="97"/>
      <c r="AK28" s="270"/>
      <c r="BE28" s="108"/>
      <c r="BF28" s="108"/>
      <c r="BG28" s="108"/>
      <c r="BH28" s="108"/>
    </row>
    <row r="29" spans="1:60" ht="16" x14ac:dyDescent="0.2">
      <c r="A29" s="94">
        <v>25</v>
      </c>
      <c r="B29" s="96">
        <v>44568</v>
      </c>
      <c r="C29" s="97">
        <v>28</v>
      </c>
      <c r="D29" s="97">
        <v>0</v>
      </c>
      <c r="E29" s="97">
        <v>17</v>
      </c>
      <c r="F29" s="97">
        <v>7</v>
      </c>
      <c r="G29" s="97">
        <v>15</v>
      </c>
      <c r="H29" s="97">
        <v>2</v>
      </c>
      <c r="I29" s="97">
        <v>33</v>
      </c>
      <c r="J29" s="97">
        <v>2</v>
      </c>
      <c r="K29" s="97">
        <v>2</v>
      </c>
      <c r="L29" s="97">
        <v>11</v>
      </c>
      <c r="M29" s="97">
        <v>5</v>
      </c>
      <c r="N29" s="97">
        <v>4</v>
      </c>
      <c r="O29" s="97">
        <v>5</v>
      </c>
      <c r="P29" s="97">
        <v>0</v>
      </c>
      <c r="Q29" s="97">
        <v>2</v>
      </c>
      <c r="R29" s="97">
        <v>0</v>
      </c>
      <c r="S29" s="97">
        <v>2</v>
      </c>
      <c r="T29" s="97">
        <v>2</v>
      </c>
      <c r="U29" s="97">
        <v>20</v>
      </c>
      <c r="V29" s="97">
        <v>0</v>
      </c>
      <c r="W29" s="97">
        <v>1</v>
      </c>
      <c r="X29" s="97">
        <v>0</v>
      </c>
      <c r="Y29" s="97">
        <v>0</v>
      </c>
      <c r="Z29" s="97">
        <v>158</v>
      </c>
      <c r="AA29" s="354">
        <v>12</v>
      </c>
      <c r="AB29" s="104">
        <f t="shared" si="0"/>
        <v>8245</v>
      </c>
      <c r="AH29" s="97"/>
      <c r="AI29" s="97"/>
      <c r="AJ29" s="97"/>
      <c r="AK29" s="270"/>
    </row>
    <row r="30" spans="1:60" ht="16" x14ac:dyDescent="0.2">
      <c r="A30" s="94">
        <v>26</v>
      </c>
      <c r="B30" s="96">
        <v>44569</v>
      </c>
      <c r="C30" s="97">
        <v>22</v>
      </c>
      <c r="D30" s="97">
        <v>0</v>
      </c>
      <c r="E30" s="97">
        <v>12</v>
      </c>
      <c r="F30" s="97">
        <v>4</v>
      </c>
      <c r="G30" s="97">
        <v>17</v>
      </c>
      <c r="H30" s="97">
        <v>5</v>
      </c>
      <c r="I30" s="97">
        <v>18</v>
      </c>
      <c r="J30" s="97">
        <v>6</v>
      </c>
      <c r="K30" s="97">
        <v>3</v>
      </c>
      <c r="L30" s="97">
        <v>18</v>
      </c>
      <c r="M30" s="97">
        <v>7</v>
      </c>
      <c r="N30" s="97">
        <v>2</v>
      </c>
      <c r="O30" s="97">
        <v>0</v>
      </c>
      <c r="P30" s="97">
        <v>2</v>
      </c>
      <c r="Q30" s="97">
        <v>1</v>
      </c>
      <c r="R30" s="97">
        <v>2</v>
      </c>
      <c r="S30" s="97">
        <v>1</v>
      </c>
      <c r="T30" s="97">
        <v>3</v>
      </c>
      <c r="U30" s="97">
        <v>15</v>
      </c>
      <c r="V30" s="97">
        <v>0</v>
      </c>
      <c r="W30" s="97">
        <v>0</v>
      </c>
      <c r="X30" s="97">
        <v>0</v>
      </c>
      <c r="Y30" s="97">
        <v>2</v>
      </c>
      <c r="Z30" s="97">
        <v>140</v>
      </c>
      <c r="AA30" s="354"/>
      <c r="AB30" s="104">
        <f>SUMPRODUCT(C30:Y30,$C$37:$Y$37)</f>
        <v>7465</v>
      </c>
      <c r="AD30"/>
      <c r="AE30" s="97"/>
      <c r="AF30" s="324"/>
      <c r="AH30" s="97"/>
      <c r="AI30" s="97"/>
      <c r="AJ30" s="97"/>
      <c r="AK30" s="270"/>
      <c r="BE30" s="108"/>
      <c r="BF30" s="108"/>
      <c r="BG30" s="108"/>
      <c r="BH30" s="108"/>
    </row>
    <row r="31" spans="1:60" ht="16" x14ac:dyDescent="0.2">
      <c r="A31" s="94">
        <v>27</v>
      </c>
      <c r="B31" s="96">
        <v>44570</v>
      </c>
      <c r="C31" s="97">
        <v>42</v>
      </c>
      <c r="D31" s="97">
        <v>0</v>
      </c>
      <c r="E31" s="97">
        <v>16</v>
      </c>
      <c r="F31" s="97">
        <v>5</v>
      </c>
      <c r="G31" s="97">
        <v>16</v>
      </c>
      <c r="H31" s="97">
        <v>6</v>
      </c>
      <c r="I31" s="97">
        <v>31</v>
      </c>
      <c r="J31" s="97">
        <v>16</v>
      </c>
      <c r="K31" s="97">
        <v>6</v>
      </c>
      <c r="L31" s="97">
        <v>20</v>
      </c>
      <c r="M31" s="97">
        <v>10</v>
      </c>
      <c r="N31" s="97">
        <v>0</v>
      </c>
      <c r="O31" s="97">
        <v>6</v>
      </c>
      <c r="P31" s="97">
        <v>1</v>
      </c>
      <c r="Q31" s="97">
        <v>0</v>
      </c>
      <c r="R31" s="97">
        <v>0</v>
      </c>
      <c r="S31" s="97">
        <v>1</v>
      </c>
      <c r="T31" s="97">
        <v>5</v>
      </c>
      <c r="U31" s="97">
        <v>13</v>
      </c>
      <c r="V31" s="97">
        <v>3</v>
      </c>
      <c r="W31" s="97">
        <v>3</v>
      </c>
      <c r="X31" s="97">
        <v>0</v>
      </c>
      <c r="Y31" s="97">
        <v>1</v>
      </c>
      <c r="Z31" s="97">
        <v>201</v>
      </c>
      <c r="AA31" s="354">
        <v>13</v>
      </c>
      <c r="AB31" s="104">
        <f t="shared" si="0"/>
        <v>10510</v>
      </c>
      <c r="AH31" s="97"/>
      <c r="AI31" s="97"/>
      <c r="AJ31" s="97"/>
    </row>
    <row r="32" spans="1:60" ht="16" x14ac:dyDescent="0.2">
      <c r="A32" s="94">
        <v>28</v>
      </c>
      <c r="B32" s="96">
        <v>44571</v>
      </c>
      <c r="C32" s="97">
        <v>33</v>
      </c>
      <c r="D32" s="97">
        <v>0</v>
      </c>
      <c r="E32" s="97">
        <v>14</v>
      </c>
      <c r="F32" s="97">
        <v>5</v>
      </c>
      <c r="G32" s="97">
        <v>22</v>
      </c>
      <c r="H32" s="97">
        <v>11</v>
      </c>
      <c r="I32" s="97">
        <v>28</v>
      </c>
      <c r="J32" s="97">
        <v>5</v>
      </c>
      <c r="K32" s="97">
        <v>7</v>
      </c>
      <c r="L32" s="97">
        <v>11</v>
      </c>
      <c r="M32" s="97">
        <v>6</v>
      </c>
      <c r="N32" s="97">
        <v>9</v>
      </c>
      <c r="O32" s="97">
        <v>3</v>
      </c>
      <c r="P32" s="97">
        <v>7</v>
      </c>
      <c r="Q32" s="97">
        <v>0</v>
      </c>
      <c r="R32" s="97">
        <v>0</v>
      </c>
      <c r="S32" s="97">
        <v>3</v>
      </c>
      <c r="T32" s="97">
        <v>7</v>
      </c>
      <c r="U32" s="97">
        <v>13</v>
      </c>
      <c r="V32" s="97">
        <v>1</v>
      </c>
      <c r="W32" s="97">
        <v>2</v>
      </c>
      <c r="X32" s="97">
        <v>0</v>
      </c>
      <c r="Y32" s="97">
        <v>0</v>
      </c>
      <c r="Z32" s="97">
        <v>187</v>
      </c>
      <c r="AA32" s="354">
        <v>14</v>
      </c>
      <c r="AB32" s="104">
        <f t="shared" si="0"/>
        <v>10050</v>
      </c>
      <c r="AH32" s="97"/>
      <c r="AI32" s="97"/>
      <c r="AJ32" s="97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</row>
    <row r="33" spans="1:56" ht="16" x14ac:dyDescent="0.2">
      <c r="A33" s="94">
        <v>29</v>
      </c>
      <c r="B33" s="96">
        <v>44572</v>
      </c>
      <c r="C33" s="97">
        <v>28</v>
      </c>
      <c r="D33" s="97">
        <v>0</v>
      </c>
      <c r="E33" s="97">
        <v>13</v>
      </c>
      <c r="F33" s="97">
        <v>4</v>
      </c>
      <c r="G33" s="97">
        <v>17</v>
      </c>
      <c r="H33" s="97">
        <v>10</v>
      </c>
      <c r="I33" s="97">
        <v>14</v>
      </c>
      <c r="J33" s="97">
        <v>6</v>
      </c>
      <c r="K33" s="97">
        <v>5</v>
      </c>
      <c r="L33" s="97">
        <v>14</v>
      </c>
      <c r="M33" s="97">
        <v>5</v>
      </c>
      <c r="N33" s="97">
        <v>9</v>
      </c>
      <c r="O33" s="97">
        <v>1</v>
      </c>
      <c r="P33" s="97">
        <v>4</v>
      </c>
      <c r="Q33" s="97">
        <v>0</v>
      </c>
      <c r="R33" s="97">
        <v>1</v>
      </c>
      <c r="S33" s="97">
        <v>1</v>
      </c>
      <c r="T33" s="97">
        <v>1</v>
      </c>
      <c r="U33" s="97">
        <v>17</v>
      </c>
      <c r="V33" s="97">
        <v>1</v>
      </c>
      <c r="W33" s="97">
        <v>0</v>
      </c>
      <c r="X33" s="97">
        <v>0</v>
      </c>
      <c r="Y33" s="97">
        <v>1</v>
      </c>
      <c r="Z33" s="97">
        <v>152</v>
      </c>
      <c r="AA33" s="354">
        <v>15</v>
      </c>
      <c r="AB33" s="104">
        <f t="shared" si="0"/>
        <v>8215</v>
      </c>
      <c r="AH33" s="97"/>
      <c r="AI33" s="97"/>
      <c r="AJ33" s="97"/>
    </row>
    <row r="34" spans="1:56" ht="16" x14ac:dyDescent="0.2">
      <c r="A34" s="94">
        <v>30</v>
      </c>
      <c r="B34" s="96">
        <v>44573</v>
      </c>
      <c r="C34" s="97">
        <v>26</v>
      </c>
      <c r="D34" s="97">
        <v>0</v>
      </c>
      <c r="E34" s="97">
        <v>13</v>
      </c>
      <c r="F34" s="97">
        <v>2</v>
      </c>
      <c r="G34" s="97">
        <v>16</v>
      </c>
      <c r="H34" s="97">
        <v>9</v>
      </c>
      <c r="I34" s="97">
        <v>24</v>
      </c>
      <c r="J34" s="97">
        <v>4</v>
      </c>
      <c r="K34" s="97">
        <v>5</v>
      </c>
      <c r="L34" s="97">
        <v>18</v>
      </c>
      <c r="M34" s="97">
        <v>7</v>
      </c>
      <c r="N34" s="97">
        <v>6</v>
      </c>
      <c r="O34" s="97">
        <v>3</v>
      </c>
      <c r="P34" s="97">
        <v>6</v>
      </c>
      <c r="Q34" s="97">
        <v>2</v>
      </c>
      <c r="R34" s="97">
        <v>1</v>
      </c>
      <c r="S34" s="97">
        <v>3</v>
      </c>
      <c r="T34" s="97">
        <v>4</v>
      </c>
      <c r="U34" s="97">
        <v>11</v>
      </c>
      <c r="V34" s="97">
        <v>0</v>
      </c>
      <c r="W34" s="97">
        <v>1</v>
      </c>
      <c r="X34" s="97">
        <v>0</v>
      </c>
      <c r="Y34" s="97">
        <v>1</v>
      </c>
      <c r="Z34" s="97">
        <v>162</v>
      </c>
      <c r="AA34" s="354">
        <v>16</v>
      </c>
      <c r="AB34" s="104">
        <f t="shared" si="0"/>
        <v>8800</v>
      </c>
      <c r="AH34" s="97"/>
      <c r="AI34" s="97"/>
      <c r="AJ34" s="97"/>
      <c r="AL34" s="268"/>
      <c r="AM34" s="268"/>
      <c r="AN34" s="268"/>
      <c r="AO34" s="268"/>
      <c r="AP34" s="268"/>
      <c r="AQ34" s="268"/>
      <c r="AR34" s="268"/>
      <c r="AS34" s="268"/>
      <c r="AT34" s="268"/>
      <c r="AU34" s="268"/>
      <c r="AV34" s="268"/>
      <c r="AW34" s="268"/>
      <c r="AX34" s="268"/>
      <c r="AY34" s="268"/>
      <c r="AZ34" s="268"/>
      <c r="BA34" s="268"/>
      <c r="BB34" s="268"/>
      <c r="BC34" s="268"/>
      <c r="BD34" s="268"/>
    </row>
    <row r="35" spans="1:56" ht="16" x14ac:dyDescent="0.2">
      <c r="B35" s="96" t="s">
        <v>141</v>
      </c>
      <c r="C35" s="97">
        <v>809</v>
      </c>
      <c r="D35" s="97">
        <v>5</v>
      </c>
      <c r="E35" s="97">
        <v>409</v>
      </c>
      <c r="F35" s="97">
        <v>83</v>
      </c>
      <c r="G35" s="97">
        <v>521</v>
      </c>
      <c r="H35" s="97">
        <v>227</v>
      </c>
      <c r="I35" s="97">
        <v>756</v>
      </c>
      <c r="J35" s="97">
        <v>193</v>
      </c>
      <c r="K35" s="97">
        <v>84</v>
      </c>
      <c r="L35" s="97">
        <v>367</v>
      </c>
      <c r="M35" s="97">
        <v>98</v>
      </c>
      <c r="N35" s="97">
        <v>173</v>
      </c>
      <c r="O35" s="97">
        <v>84</v>
      </c>
      <c r="P35" s="97">
        <v>67</v>
      </c>
      <c r="Q35" s="97">
        <v>65</v>
      </c>
      <c r="R35" s="97">
        <v>10</v>
      </c>
      <c r="S35" s="97">
        <v>50</v>
      </c>
      <c r="T35" s="97">
        <v>110</v>
      </c>
      <c r="U35" s="97">
        <v>316</v>
      </c>
      <c r="V35" s="97">
        <v>16</v>
      </c>
      <c r="W35" s="97">
        <v>37</v>
      </c>
      <c r="X35" s="97">
        <v>10</v>
      </c>
      <c r="Y35" s="97">
        <v>30</v>
      </c>
      <c r="Z35" s="97">
        <v>4520</v>
      </c>
    </row>
    <row r="36" spans="1:56" x14ac:dyDescent="0.2"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</row>
    <row r="37" spans="1:56" s="100" customFormat="1" x14ac:dyDescent="0.2">
      <c r="B37" s="101" t="s">
        <v>142</v>
      </c>
      <c r="C37" s="101">
        <v>50</v>
      </c>
      <c r="D37" s="101">
        <v>200</v>
      </c>
      <c r="E37" s="101">
        <v>60</v>
      </c>
      <c r="F37" s="101">
        <v>50</v>
      </c>
      <c r="G37" s="101">
        <v>45</v>
      </c>
      <c r="H37" s="101">
        <v>60</v>
      </c>
      <c r="I37" s="101">
        <v>50</v>
      </c>
      <c r="J37" s="101">
        <v>50</v>
      </c>
      <c r="K37" s="101">
        <v>50</v>
      </c>
      <c r="L37" s="101">
        <v>50</v>
      </c>
      <c r="M37" s="101">
        <v>70</v>
      </c>
      <c r="N37" s="101">
        <v>70</v>
      </c>
      <c r="O37" s="101">
        <v>50</v>
      </c>
      <c r="P37" s="101">
        <v>80</v>
      </c>
      <c r="Q37" s="101">
        <v>60</v>
      </c>
      <c r="R37" s="101">
        <v>60</v>
      </c>
      <c r="S37" s="101">
        <v>60</v>
      </c>
      <c r="T37" s="101">
        <v>50</v>
      </c>
      <c r="U37" s="101">
        <v>50</v>
      </c>
      <c r="V37" s="101">
        <v>50</v>
      </c>
      <c r="W37" s="101">
        <v>60</v>
      </c>
      <c r="X37" s="101">
        <v>120</v>
      </c>
      <c r="Y37" s="101">
        <v>100</v>
      </c>
      <c r="AB37" s="103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</row>
    <row r="39" spans="1:56" s="268" customFormat="1" x14ac:dyDescent="0.2">
      <c r="C39" s="268">
        <f>AVERAGE(C5:C34)</f>
        <v>26.966666666666665</v>
      </c>
      <c r="D39" s="268">
        <f>AVERAGE(D5:D34)</f>
        <v>0.16666666666666666</v>
      </c>
      <c r="E39" s="268">
        <f t="shared" ref="E39:I39" si="1">AVERAGE(E5:E34)</f>
        <v>13.633333333333333</v>
      </c>
      <c r="F39" s="268">
        <f t="shared" si="1"/>
        <v>2.7666666666666666</v>
      </c>
      <c r="G39" s="268">
        <f t="shared" si="1"/>
        <v>17.366666666666667</v>
      </c>
      <c r="H39" s="268">
        <f t="shared" si="1"/>
        <v>7.5666666666666664</v>
      </c>
      <c r="I39" s="268">
        <f t="shared" si="1"/>
        <v>25.2</v>
      </c>
      <c r="J39" s="268">
        <f>AVERAGE(J5:J34)</f>
        <v>6.4333333333333336</v>
      </c>
      <c r="K39" s="268">
        <f>AVERAGE(K5:K34)</f>
        <v>2.8</v>
      </c>
      <c r="L39" s="268">
        <f>AVERAGE(L5:L34)</f>
        <v>12.233333333333333</v>
      </c>
      <c r="M39" s="268">
        <f>AVERAGE(M5:M34)</f>
        <v>3.2666666666666666</v>
      </c>
      <c r="N39" s="268">
        <f t="shared" ref="N39:S39" si="2">AVERAGE(N5:N34)</f>
        <v>5.7666666666666666</v>
      </c>
      <c r="O39" s="268">
        <f t="shared" si="2"/>
        <v>2.8</v>
      </c>
      <c r="P39" s="268">
        <f t="shared" si="2"/>
        <v>2.2333333333333334</v>
      </c>
      <c r="Q39" s="268">
        <f t="shared" si="2"/>
        <v>2.1666666666666665</v>
      </c>
      <c r="R39" s="268">
        <f t="shared" si="2"/>
        <v>0.33333333333333331</v>
      </c>
      <c r="S39" s="268">
        <f t="shared" si="2"/>
        <v>1.6666666666666667</v>
      </c>
      <c r="T39" s="268">
        <f t="shared" ref="T39:Y39" si="3">AVERAGE(T5:T34)</f>
        <v>3.6666666666666665</v>
      </c>
      <c r="U39" s="268">
        <f t="shared" si="3"/>
        <v>10.533333333333333</v>
      </c>
      <c r="V39" s="268">
        <f t="shared" si="3"/>
        <v>0.53333333333333333</v>
      </c>
      <c r="W39" s="268">
        <f t="shared" si="3"/>
        <v>1.2333333333333334</v>
      </c>
      <c r="X39" s="268">
        <f t="shared" si="3"/>
        <v>0.33333333333333331</v>
      </c>
      <c r="Y39" s="268">
        <f t="shared" si="3"/>
        <v>1</v>
      </c>
      <c r="AB39" s="269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</row>
    <row r="41" spans="1:56" s="108" customFormat="1" x14ac:dyDescent="0.2">
      <c r="D41" s="108">
        <v>1</v>
      </c>
      <c r="E41" s="108">
        <v>2</v>
      </c>
      <c r="F41" s="108">
        <v>3</v>
      </c>
      <c r="G41" s="108">
        <v>4</v>
      </c>
      <c r="H41" s="108">
        <v>5</v>
      </c>
      <c r="I41" s="108">
        <v>6</v>
      </c>
      <c r="J41" s="108">
        <v>7</v>
      </c>
      <c r="K41" s="108">
        <v>8</v>
      </c>
      <c r="L41" s="108">
        <v>9</v>
      </c>
      <c r="M41" s="108">
        <v>10</v>
      </c>
      <c r="N41" s="108">
        <v>11</v>
      </c>
      <c r="O41" s="108">
        <v>12</v>
      </c>
      <c r="P41" s="108">
        <v>13</v>
      </c>
      <c r="Q41" s="108">
        <v>14</v>
      </c>
      <c r="R41" s="108">
        <v>15</v>
      </c>
      <c r="S41" s="108">
        <v>16</v>
      </c>
      <c r="T41" s="108">
        <v>17</v>
      </c>
      <c r="U41" s="108">
        <v>18</v>
      </c>
      <c r="V41" s="108">
        <v>19</v>
      </c>
      <c r="W41" s="108">
        <v>20</v>
      </c>
      <c r="X41" s="108">
        <v>21</v>
      </c>
      <c r="Y41" s="108">
        <v>22</v>
      </c>
      <c r="Z41" s="108">
        <v>23</v>
      </c>
      <c r="AA41" s="108">
        <v>24</v>
      </c>
      <c r="AB41" s="108">
        <v>25</v>
      </c>
      <c r="AC41" s="108">
        <v>26</v>
      </c>
      <c r="AD41" s="108">
        <v>27</v>
      </c>
      <c r="AE41" s="108">
        <v>28</v>
      </c>
      <c r="AF41" s="108">
        <v>29</v>
      </c>
      <c r="AG41" s="108">
        <v>30</v>
      </c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</row>
    <row r="42" spans="1:56" ht="16" x14ac:dyDescent="0.2">
      <c r="B42" t="s">
        <v>138</v>
      </c>
      <c r="C42" t="s">
        <v>140</v>
      </c>
      <c r="D42" s="96">
        <v>44544</v>
      </c>
      <c r="E42" s="96">
        <v>44545</v>
      </c>
      <c r="F42" s="96">
        <v>44546</v>
      </c>
      <c r="G42" s="96">
        <v>44547</v>
      </c>
      <c r="H42" s="96">
        <v>44548</v>
      </c>
      <c r="I42" s="96">
        <v>44549</v>
      </c>
      <c r="J42" s="96">
        <v>44550</v>
      </c>
      <c r="K42" s="96">
        <v>44551</v>
      </c>
      <c r="L42" s="96">
        <v>44552</v>
      </c>
      <c r="M42" s="96">
        <v>44553</v>
      </c>
      <c r="N42" s="96">
        <v>44554</v>
      </c>
      <c r="O42" s="96">
        <v>44555</v>
      </c>
      <c r="P42" s="96">
        <v>44556</v>
      </c>
      <c r="Q42" s="96">
        <v>44557</v>
      </c>
      <c r="R42" s="96">
        <v>44558</v>
      </c>
      <c r="S42" s="96">
        <v>44559</v>
      </c>
      <c r="T42" s="96">
        <v>44560</v>
      </c>
      <c r="U42" s="96">
        <v>44561</v>
      </c>
      <c r="V42" s="96">
        <v>44562</v>
      </c>
      <c r="W42" s="96">
        <v>44563</v>
      </c>
      <c r="X42" s="96">
        <v>44564</v>
      </c>
      <c r="Y42" s="96">
        <v>44565</v>
      </c>
      <c r="Z42" s="96">
        <v>44566</v>
      </c>
      <c r="AA42" s="96">
        <v>44567</v>
      </c>
      <c r="AB42" s="96">
        <v>44568</v>
      </c>
      <c r="AC42" s="96">
        <v>44569</v>
      </c>
      <c r="AD42" s="96">
        <v>44570</v>
      </c>
      <c r="AE42" s="96">
        <v>44571</v>
      </c>
      <c r="AF42" s="96">
        <v>44572</v>
      </c>
      <c r="AG42" s="96">
        <v>44573</v>
      </c>
      <c r="AH42" s="96" t="s">
        <v>141</v>
      </c>
    </row>
    <row r="43" spans="1:56" ht="16" x14ac:dyDescent="0.2">
      <c r="B43" t="s">
        <v>139</v>
      </c>
      <c r="C43" t="s">
        <v>102</v>
      </c>
      <c r="D43" s="107">
        <v>32</v>
      </c>
      <c r="E43" s="107">
        <v>23</v>
      </c>
      <c r="F43" s="107">
        <v>22</v>
      </c>
      <c r="G43" s="107">
        <v>16</v>
      </c>
      <c r="H43" s="107">
        <v>24</v>
      </c>
      <c r="I43" s="107">
        <v>37</v>
      </c>
      <c r="J43" s="107">
        <v>24</v>
      </c>
      <c r="K43" s="107">
        <v>12</v>
      </c>
      <c r="L43" s="107">
        <v>23</v>
      </c>
      <c r="M43" s="107">
        <v>22</v>
      </c>
      <c r="N43" s="107">
        <v>19</v>
      </c>
      <c r="O43" s="107">
        <v>25</v>
      </c>
      <c r="P43" s="107">
        <v>30</v>
      </c>
      <c r="Q43" s="107">
        <v>32</v>
      </c>
      <c r="R43" s="107">
        <v>14</v>
      </c>
      <c r="S43" s="107">
        <v>16</v>
      </c>
      <c r="T43" s="107">
        <v>31</v>
      </c>
      <c r="U43" s="107">
        <v>20</v>
      </c>
      <c r="V43" s="107">
        <v>47</v>
      </c>
      <c r="W43" s="107">
        <v>41</v>
      </c>
      <c r="X43" s="107">
        <v>18</v>
      </c>
      <c r="Y43" s="107">
        <v>35</v>
      </c>
      <c r="Z43" s="107">
        <v>40</v>
      </c>
      <c r="AA43" s="107">
        <v>27</v>
      </c>
      <c r="AB43" s="107">
        <v>28</v>
      </c>
      <c r="AC43" s="107">
        <v>22</v>
      </c>
      <c r="AD43" s="107">
        <v>42</v>
      </c>
      <c r="AE43" s="107">
        <v>33</v>
      </c>
      <c r="AF43" s="107">
        <v>28</v>
      </c>
      <c r="AG43" s="107">
        <v>26</v>
      </c>
      <c r="AH43" s="107">
        <v>809</v>
      </c>
    </row>
    <row r="44" spans="1:56" ht="16" x14ac:dyDescent="0.2">
      <c r="B44"/>
      <c r="C44" t="s">
        <v>62</v>
      </c>
      <c r="D44" s="107">
        <v>0</v>
      </c>
      <c r="E44" s="107">
        <v>0</v>
      </c>
      <c r="F44" s="107">
        <v>1</v>
      </c>
      <c r="G44" s="107">
        <v>0</v>
      </c>
      <c r="H44" s="107">
        <v>0</v>
      </c>
      <c r="I44" s="107">
        <v>0</v>
      </c>
      <c r="J44" s="107">
        <v>0</v>
      </c>
      <c r="K44" s="107">
        <v>0</v>
      </c>
      <c r="L44" s="107">
        <v>0</v>
      </c>
      <c r="M44" s="107">
        <v>0</v>
      </c>
      <c r="N44" s="107">
        <v>0</v>
      </c>
      <c r="O44" s="107">
        <v>0</v>
      </c>
      <c r="P44" s="107">
        <v>0</v>
      </c>
      <c r="Q44" s="107">
        <v>0</v>
      </c>
      <c r="R44" s="107">
        <v>0</v>
      </c>
      <c r="S44" s="107">
        <v>0</v>
      </c>
      <c r="T44" s="107">
        <v>0</v>
      </c>
      <c r="U44" s="107">
        <v>0</v>
      </c>
      <c r="V44" s="107">
        <v>0</v>
      </c>
      <c r="W44" s="107">
        <v>2</v>
      </c>
      <c r="X44" s="107">
        <v>0</v>
      </c>
      <c r="Y44" s="107">
        <v>0</v>
      </c>
      <c r="Z44" s="107">
        <v>1</v>
      </c>
      <c r="AA44" s="107">
        <v>1</v>
      </c>
      <c r="AB44" s="107">
        <v>0</v>
      </c>
      <c r="AC44" s="107">
        <v>0</v>
      </c>
      <c r="AD44" s="107">
        <v>0</v>
      </c>
      <c r="AE44" s="107">
        <v>0</v>
      </c>
      <c r="AF44" s="107">
        <v>0</v>
      </c>
      <c r="AG44" s="107">
        <v>0</v>
      </c>
      <c r="AH44" s="107">
        <v>5</v>
      </c>
    </row>
    <row r="45" spans="1:56" ht="16" x14ac:dyDescent="0.2">
      <c r="B45"/>
      <c r="C45" t="s">
        <v>21</v>
      </c>
      <c r="D45" s="107">
        <v>14</v>
      </c>
      <c r="E45" s="107">
        <v>10</v>
      </c>
      <c r="F45" s="107">
        <v>10</v>
      </c>
      <c r="G45" s="107">
        <v>12</v>
      </c>
      <c r="H45" s="107">
        <v>11</v>
      </c>
      <c r="I45" s="107">
        <v>11</v>
      </c>
      <c r="J45" s="107">
        <v>22</v>
      </c>
      <c r="K45" s="107">
        <v>8</v>
      </c>
      <c r="L45" s="107">
        <v>11</v>
      </c>
      <c r="M45" s="107">
        <v>11</v>
      </c>
      <c r="N45" s="107">
        <v>10</v>
      </c>
      <c r="O45" s="107">
        <v>12</v>
      </c>
      <c r="P45" s="107">
        <v>6</v>
      </c>
      <c r="Q45" s="107">
        <v>11</v>
      </c>
      <c r="R45" s="107">
        <v>10</v>
      </c>
      <c r="S45" s="107">
        <v>16</v>
      </c>
      <c r="T45" s="107">
        <v>7</v>
      </c>
      <c r="U45" s="107">
        <v>9</v>
      </c>
      <c r="V45" s="107">
        <v>17</v>
      </c>
      <c r="W45" s="107">
        <v>20</v>
      </c>
      <c r="X45" s="107">
        <v>18</v>
      </c>
      <c r="Y45" s="107">
        <v>20</v>
      </c>
      <c r="Z45" s="107">
        <v>27</v>
      </c>
      <c r="AA45" s="107">
        <v>21</v>
      </c>
      <c r="AB45" s="107">
        <v>17</v>
      </c>
      <c r="AC45" s="107">
        <v>12</v>
      </c>
      <c r="AD45" s="107">
        <v>16</v>
      </c>
      <c r="AE45" s="107">
        <v>14</v>
      </c>
      <c r="AF45" s="107">
        <v>13</v>
      </c>
      <c r="AG45" s="107">
        <v>13</v>
      </c>
      <c r="AH45" s="107">
        <v>409</v>
      </c>
    </row>
    <row r="46" spans="1:56" ht="16" x14ac:dyDescent="0.2">
      <c r="B46"/>
      <c r="C46" t="s">
        <v>84</v>
      </c>
      <c r="D46" s="107">
        <v>1</v>
      </c>
      <c r="E46" s="107">
        <v>2</v>
      </c>
      <c r="F46" s="107">
        <v>2</v>
      </c>
      <c r="G46" s="107">
        <v>2</v>
      </c>
      <c r="H46" s="107">
        <v>2</v>
      </c>
      <c r="I46" s="107">
        <v>2</v>
      </c>
      <c r="J46" s="107">
        <v>4</v>
      </c>
      <c r="K46" s="107">
        <v>3</v>
      </c>
      <c r="L46" s="107">
        <v>0</v>
      </c>
      <c r="M46" s="107">
        <v>1</v>
      </c>
      <c r="N46" s="107">
        <v>1</v>
      </c>
      <c r="O46" s="107">
        <v>4</v>
      </c>
      <c r="P46" s="107">
        <v>3</v>
      </c>
      <c r="Q46" s="107">
        <v>5</v>
      </c>
      <c r="R46" s="107">
        <v>2</v>
      </c>
      <c r="S46" s="107">
        <v>3</v>
      </c>
      <c r="T46" s="107">
        <v>3</v>
      </c>
      <c r="U46" s="107">
        <v>3</v>
      </c>
      <c r="V46" s="107">
        <v>1</v>
      </c>
      <c r="W46" s="107">
        <v>8</v>
      </c>
      <c r="X46" s="107">
        <v>1</v>
      </c>
      <c r="Y46" s="107">
        <v>0</v>
      </c>
      <c r="Z46" s="107">
        <v>0</v>
      </c>
      <c r="AA46" s="107">
        <v>3</v>
      </c>
      <c r="AB46" s="107">
        <v>7</v>
      </c>
      <c r="AC46" s="107">
        <v>4</v>
      </c>
      <c r="AD46" s="107">
        <v>5</v>
      </c>
      <c r="AE46" s="107">
        <v>5</v>
      </c>
      <c r="AF46" s="107">
        <v>4</v>
      </c>
      <c r="AG46" s="107">
        <v>2</v>
      </c>
      <c r="AH46" s="107">
        <v>83</v>
      </c>
    </row>
    <row r="47" spans="1:56" ht="16" x14ac:dyDescent="0.2">
      <c r="B47"/>
      <c r="C47" t="s">
        <v>71</v>
      </c>
      <c r="D47" s="107">
        <v>16</v>
      </c>
      <c r="E47" s="107">
        <v>15</v>
      </c>
      <c r="F47" s="107">
        <v>16</v>
      </c>
      <c r="G47" s="107">
        <v>12</v>
      </c>
      <c r="H47" s="107">
        <v>15</v>
      </c>
      <c r="I47" s="107">
        <v>23</v>
      </c>
      <c r="J47" s="107">
        <v>13</v>
      </c>
      <c r="K47" s="107">
        <v>19</v>
      </c>
      <c r="L47" s="107">
        <v>8</v>
      </c>
      <c r="M47" s="107">
        <v>14</v>
      </c>
      <c r="N47" s="107">
        <v>19</v>
      </c>
      <c r="O47" s="107">
        <v>14</v>
      </c>
      <c r="P47" s="107">
        <v>22</v>
      </c>
      <c r="Q47" s="107">
        <v>14</v>
      </c>
      <c r="R47" s="107">
        <v>23</v>
      </c>
      <c r="S47" s="107">
        <v>18</v>
      </c>
      <c r="T47" s="107">
        <v>15</v>
      </c>
      <c r="U47" s="107">
        <v>11</v>
      </c>
      <c r="V47" s="107">
        <v>22</v>
      </c>
      <c r="W47" s="107">
        <v>22</v>
      </c>
      <c r="X47" s="107">
        <v>22</v>
      </c>
      <c r="Y47" s="107">
        <v>17</v>
      </c>
      <c r="Z47" s="107">
        <v>29</v>
      </c>
      <c r="AA47" s="107">
        <v>19</v>
      </c>
      <c r="AB47" s="107">
        <v>15</v>
      </c>
      <c r="AC47" s="107">
        <v>17</v>
      </c>
      <c r="AD47" s="107">
        <v>16</v>
      </c>
      <c r="AE47" s="107">
        <v>22</v>
      </c>
      <c r="AF47" s="107">
        <v>17</v>
      </c>
      <c r="AG47" s="107">
        <v>16</v>
      </c>
      <c r="AH47" s="107">
        <v>521</v>
      </c>
    </row>
    <row r="48" spans="1:56" ht="16" x14ac:dyDescent="0.2">
      <c r="B48"/>
      <c r="C48" t="s">
        <v>76</v>
      </c>
      <c r="D48" s="107">
        <v>10</v>
      </c>
      <c r="E48" s="107">
        <v>8</v>
      </c>
      <c r="F48" s="107">
        <v>9</v>
      </c>
      <c r="G48" s="107">
        <v>7</v>
      </c>
      <c r="H48" s="107">
        <v>8</v>
      </c>
      <c r="I48" s="107">
        <v>6</v>
      </c>
      <c r="J48" s="107">
        <v>7</v>
      </c>
      <c r="K48" s="107">
        <v>10</v>
      </c>
      <c r="L48" s="107">
        <v>4</v>
      </c>
      <c r="M48" s="107">
        <v>10</v>
      </c>
      <c r="N48" s="107">
        <v>4</v>
      </c>
      <c r="O48" s="107">
        <v>7</v>
      </c>
      <c r="P48" s="107">
        <v>6</v>
      </c>
      <c r="Q48" s="107">
        <v>3</v>
      </c>
      <c r="R48" s="107">
        <v>8</v>
      </c>
      <c r="S48" s="107">
        <v>8</v>
      </c>
      <c r="T48" s="107">
        <v>8</v>
      </c>
      <c r="U48" s="107">
        <v>5</v>
      </c>
      <c r="V48" s="107">
        <v>6</v>
      </c>
      <c r="W48" s="107">
        <v>17</v>
      </c>
      <c r="X48" s="107">
        <v>15</v>
      </c>
      <c r="Y48" s="107">
        <v>4</v>
      </c>
      <c r="Z48" s="107">
        <v>7</v>
      </c>
      <c r="AA48" s="107">
        <v>7</v>
      </c>
      <c r="AB48" s="107">
        <v>2</v>
      </c>
      <c r="AC48" s="107">
        <v>5</v>
      </c>
      <c r="AD48" s="107">
        <v>6</v>
      </c>
      <c r="AE48" s="107">
        <v>11</v>
      </c>
      <c r="AF48" s="107">
        <v>10</v>
      </c>
      <c r="AG48" s="107">
        <v>9</v>
      </c>
      <c r="AH48" s="107">
        <v>227</v>
      </c>
    </row>
    <row r="49" spans="2:34" ht="16" x14ac:dyDescent="0.2">
      <c r="B49"/>
      <c r="C49" t="s">
        <v>74</v>
      </c>
      <c r="D49" s="107">
        <v>21</v>
      </c>
      <c r="E49" s="107">
        <v>18</v>
      </c>
      <c r="F49" s="107">
        <v>22</v>
      </c>
      <c r="G49" s="107">
        <v>9</v>
      </c>
      <c r="H49" s="107">
        <v>10</v>
      </c>
      <c r="I49" s="107">
        <v>24</v>
      </c>
      <c r="J49" s="107">
        <v>16</v>
      </c>
      <c r="K49" s="107">
        <v>18</v>
      </c>
      <c r="L49" s="107">
        <v>14</v>
      </c>
      <c r="M49" s="107">
        <v>23</v>
      </c>
      <c r="N49" s="107">
        <v>15</v>
      </c>
      <c r="O49" s="107">
        <v>24</v>
      </c>
      <c r="P49" s="107">
        <v>33</v>
      </c>
      <c r="Q49" s="107">
        <v>17</v>
      </c>
      <c r="R49" s="107">
        <v>20</v>
      </c>
      <c r="S49" s="107">
        <v>32</v>
      </c>
      <c r="T49" s="107">
        <v>30</v>
      </c>
      <c r="U49" s="107">
        <v>32</v>
      </c>
      <c r="V49" s="107">
        <v>53</v>
      </c>
      <c r="W49" s="107">
        <v>51</v>
      </c>
      <c r="X49" s="107">
        <v>28</v>
      </c>
      <c r="Y49" s="107">
        <v>44</v>
      </c>
      <c r="Z49" s="107">
        <v>22</v>
      </c>
      <c r="AA49" s="107">
        <v>32</v>
      </c>
      <c r="AB49" s="107">
        <v>33</v>
      </c>
      <c r="AC49" s="107">
        <v>18</v>
      </c>
      <c r="AD49" s="107">
        <v>31</v>
      </c>
      <c r="AE49" s="107">
        <v>28</v>
      </c>
      <c r="AF49" s="107">
        <v>14</v>
      </c>
      <c r="AG49" s="107">
        <v>24</v>
      </c>
      <c r="AH49" s="107">
        <v>756</v>
      </c>
    </row>
    <row r="50" spans="2:34" ht="16" x14ac:dyDescent="0.2">
      <c r="B50"/>
      <c r="C50" t="s">
        <v>106</v>
      </c>
      <c r="D50" s="107">
        <v>0</v>
      </c>
      <c r="E50" s="107">
        <v>4</v>
      </c>
      <c r="F50" s="107">
        <v>8</v>
      </c>
      <c r="G50" s="107">
        <v>4</v>
      </c>
      <c r="H50" s="107">
        <v>4</v>
      </c>
      <c r="I50" s="107">
        <v>15</v>
      </c>
      <c r="J50" s="107">
        <v>9</v>
      </c>
      <c r="K50" s="107">
        <v>6</v>
      </c>
      <c r="L50" s="107">
        <v>1</v>
      </c>
      <c r="M50" s="107">
        <v>4</v>
      </c>
      <c r="N50" s="107">
        <v>4</v>
      </c>
      <c r="O50" s="107">
        <v>9</v>
      </c>
      <c r="P50" s="107">
        <v>7</v>
      </c>
      <c r="Q50" s="107">
        <v>6</v>
      </c>
      <c r="R50" s="107">
        <v>15</v>
      </c>
      <c r="S50" s="107">
        <v>5</v>
      </c>
      <c r="T50" s="107">
        <v>9</v>
      </c>
      <c r="U50" s="107">
        <v>9</v>
      </c>
      <c r="V50" s="107">
        <v>10</v>
      </c>
      <c r="W50" s="107">
        <v>11</v>
      </c>
      <c r="X50" s="107">
        <v>3</v>
      </c>
      <c r="Y50" s="107">
        <v>4</v>
      </c>
      <c r="Z50" s="107">
        <v>5</v>
      </c>
      <c r="AA50" s="107">
        <v>2</v>
      </c>
      <c r="AB50" s="107">
        <v>2</v>
      </c>
      <c r="AC50" s="107">
        <v>6</v>
      </c>
      <c r="AD50" s="107">
        <v>16</v>
      </c>
      <c r="AE50" s="107">
        <v>5</v>
      </c>
      <c r="AF50" s="107">
        <v>6</v>
      </c>
      <c r="AG50" s="107">
        <v>4</v>
      </c>
      <c r="AH50" s="107">
        <v>193</v>
      </c>
    </row>
    <row r="51" spans="2:34" ht="16" x14ac:dyDescent="0.2">
      <c r="B51"/>
      <c r="C51" t="s">
        <v>107</v>
      </c>
      <c r="D51" s="107">
        <v>2</v>
      </c>
      <c r="E51" s="107">
        <v>0</v>
      </c>
      <c r="F51" s="107">
        <v>3</v>
      </c>
      <c r="G51" s="107">
        <v>2</v>
      </c>
      <c r="H51" s="107">
        <v>1</v>
      </c>
      <c r="I51" s="107">
        <v>1</v>
      </c>
      <c r="J51" s="107">
        <v>2</v>
      </c>
      <c r="K51" s="107">
        <v>0</v>
      </c>
      <c r="L51" s="107">
        <v>3</v>
      </c>
      <c r="M51" s="107">
        <v>0</v>
      </c>
      <c r="N51" s="107">
        <v>1</v>
      </c>
      <c r="O51" s="107">
        <v>1</v>
      </c>
      <c r="P51" s="107">
        <v>2</v>
      </c>
      <c r="Q51" s="107">
        <v>3</v>
      </c>
      <c r="R51" s="107">
        <v>2</v>
      </c>
      <c r="S51" s="107">
        <v>0</v>
      </c>
      <c r="T51" s="107">
        <v>0</v>
      </c>
      <c r="U51" s="107">
        <v>0</v>
      </c>
      <c r="V51" s="107">
        <v>7</v>
      </c>
      <c r="W51" s="107">
        <v>4</v>
      </c>
      <c r="X51" s="107">
        <v>5</v>
      </c>
      <c r="Y51" s="107">
        <v>10</v>
      </c>
      <c r="Z51" s="107">
        <v>4</v>
      </c>
      <c r="AA51" s="107">
        <v>3</v>
      </c>
      <c r="AB51" s="107">
        <v>2</v>
      </c>
      <c r="AC51" s="107">
        <v>3</v>
      </c>
      <c r="AD51" s="107">
        <v>6</v>
      </c>
      <c r="AE51" s="107">
        <v>7</v>
      </c>
      <c r="AF51" s="107">
        <v>5</v>
      </c>
      <c r="AG51" s="107">
        <v>5</v>
      </c>
      <c r="AH51" s="107">
        <v>84</v>
      </c>
    </row>
    <row r="52" spans="2:34" ht="16" x14ac:dyDescent="0.2">
      <c r="B52"/>
      <c r="C52" t="s">
        <v>77</v>
      </c>
      <c r="D52" s="107">
        <v>10</v>
      </c>
      <c r="E52" s="107">
        <v>4</v>
      </c>
      <c r="F52" s="107">
        <v>9</v>
      </c>
      <c r="G52" s="107">
        <v>10</v>
      </c>
      <c r="H52" s="107">
        <v>9</v>
      </c>
      <c r="I52" s="107">
        <v>9</v>
      </c>
      <c r="J52" s="107">
        <v>13</v>
      </c>
      <c r="K52" s="107">
        <v>6</v>
      </c>
      <c r="L52" s="107">
        <v>9</v>
      </c>
      <c r="M52" s="107">
        <v>9</v>
      </c>
      <c r="N52" s="107">
        <v>10</v>
      </c>
      <c r="O52" s="107">
        <v>8</v>
      </c>
      <c r="P52" s="107">
        <v>12</v>
      </c>
      <c r="Q52" s="107">
        <v>15</v>
      </c>
      <c r="R52" s="107">
        <v>8</v>
      </c>
      <c r="S52" s="107">
        <v>6</v>
      </c>
      <c r="T52" s="107">
        <v>8</v>
      </c>
      <c r="U52" s="107">
        <v>10</v>
      </c>
      <c r="V52" s="107">
        <v>14</v>
      </c>
      <c r="W52" s="107">
        <v>18</v>
      </c>
      <c r="X52" s="107">
        <v>15</v>
      </c>
      <c r="Y52" s="107">
        <v>25</v>
      </c>
      <c r="Z52" s="107">
        <v>12</v>
      </c>
      <c r="AA52" s="107">
        <v>26</v>
      </c>
      <c r="AB52" s="107">
        <v>11</v>
      </c>
      <c r="AC52" s="107">
        <v>18</v>
      </c>
      <c r="AD52" s="107">
        <v>20</v>
      </c>
      <c r="AE52" s="107">
        <v>11</v>
      </c>
      <c r="AF52" s="107">
        <v>14</v>
      </c>
      <c r="AG52" s="107">
        <v>18</v>
      </c>
      <c r="AH52" s="107">
        <v>367</v>
      </c>
    </row>
    <row r="53" spans="2:34" ht="16" x14ac:dyDescent="0.2">
      <c r="B53"/>
      <c r="C53" t="s">
        <v>91</v>
      </c>
      <c r="D53" s="107">
        <v>1</v>
      </c>
      <c r="E53" s="107">
        <v>2</v>
      </c>
      <c r="F53" s="107">
        <v>4</v>
      </c>
      <c r="G53" s="107">
        <v>1</v>
      </c>
      <c r="H53" s="107">
        <v>3</v>
      </c>
      <c r="I53" s="107">
        <v>4</v>
      </c>
      <c r="J53" s="107">
        <v>3</v>
      </c>
      <c r="K53" s="107">
        <v>4</v>
      </c>
      <c r="L53" s="107">
        <v>1</v>
      </c>
      <c r="M53" s="107">
        <v>1</v>
      </c>
      <c r="N53" s="107">
        <v>0</v>
      </c>
      <c r="O53" s="107">
        <v>1</v>
      </c>
      <c r="P53" s="107">
        <v>2</v>
      </c>
      <c r="Q53" s="107">
        <v>4</v>
      </c>
      <c r="R53" s="107">
        <v>2</v>
      </c>
      <c r="S53" s="107">
        <v>1</v>
      </c>
      <c r="T53" s="107">
        <v>3</v>
      </c>
      <c r="U53" s="107">
        <v>2</v>
      </c>
      <c r="V53" s="107">
        <v>5</v>
      </c>
      <c r="W53" s="107">
        <v>1</v>
      </c>
      <c r="X53" s="107">
        <v>0</v>
      </c>
      <c r="Y53" s="107">
        <v>0</v>
      </c>
      <c r="Z53" s="107">
        <v>0</v>
      </c>
      <c r="AA53" s="107">
        <v>13</v>
      </c>
      <c r="AB53" s="107">
        <v>5</v>
      </c>
      <c r="AC53" s="107">
        <v>7</v>
      </c>
      <c r="AD53" s="107">
        <v>10</v>
      </c>
      <c r="AE53" s="107">
        <v>6</v>
      </c>
      <c r="AF53" s="107">
        <v>5</v>
      </c>
      <c r="AG53" s="107">
        <v>7</v>
      </c>
      <c r="AH53" s="107">
        <v>98</v>
      </c>
    </row>
    <row r="54" spans="2:34" ht="16" x14ac:dyDescent="0.2">
      <c r="B54"/>
      <c r="C54" t="s">
        <v>69</v>
      </c>
      <c r="D54" s="107">
        <v>1</v>
      </c>
      <c r="E54" s="107">
        <v>7</v>
      </c>
      <c r="F54" s="107">
        <v>7</v>
      </c>
      <c r="G54" s="107">
        <v>4</v>
      </c>
      <c r="H54" s="107">
        <v>6</v>
      </c>
      <c r="I54" s="107">
        <v>12</v>
      </c>
      <c r="J54" s="107">
        <v>7</v>
      </c>
      <c r="K54" s="107">
        <v>1</v>
      </c>
      <c r="L54" s="107">
        <v>2</v>
      </c>
      <c r="M54" s="107">
        <v>4</v>
      </c>
      <c r="N54" s="107">
        <v>2</v>
      </c>
      <c r="O54" s="107">
        <v>6</v>
      </c>
      <c r="P54" s="107">
        <v>7</v>
      </c>
      <c r="Q54" s="107">
        <v>2</v>
      </c>
      <c r="R54" s="107">
        <v>3</v>
      </c>
      <c r="S54" s="107">
        <v>4</v>
      </c>
      <c r="T54" s="107">
        <v>5</v>
      </c>
      <c r="U54" s="107">
        <v>9</v>
      </c>
      <c r="V54" s="107">
        <v>14</v>
      </c>
      <c r="W54" s="107">
        <v>12</v>
      </c>
      <c r="X54" s="107">
        <v>5</v>
      </c>
      <c r="Y54" s="107">
        <v>9</v>
      </c>
      <c r="Z54" s="107">
        <v>7</v>
      </c>
      <c r="AA54" s="107">
        <v>7</v>
      </c>
      <c r="AB54" s="107">
        <v>4</v>
      </c>
      <c r="AC54" s="107">
        <v>2</v>
      </c>
      <c r="AD54" s="107">
        <v>0</v>
      </c>
      <c r="AE54" s="107">
        <v>9</v>
      </c>
      <c r="AF54" s="107">
        <v>9</v>
      </c>
      <c r="AG54" s="107">
        <v>6</v>
      </c>
      <c r="AH54" s="107">
        <v>173</v>
      </c>
    </row>
    <row r="55" spans="2:34" ht="16" x14ac:dyDescent="0.2">
      <c r="B55"/>
      <c r="C55" t="s">
        <v>67</v>
      </c>
      <c r="D55" s="107">
        <v>3</v>
      </c>
      <c r="E55" s="107">
        <v>3</v>
      </c>
      <c r="F55" s="107">
        <v>3</v>
      </c>
      <c r="G55" s="107">
        <v>2</v>
      </c>
      <c r="H55" s="107">
        <v>3</v>
      </c>
      <c r="I55" s="107">
        <v>3</v>
      </c>
      <c r="J55" s="107">
        <v>4</v>
      </c>
      <c r="K55" s="107">
        <v>0</v>
      </c>
      <c r="L55" s="107">
        <v>6</v>
      </c>
      <c r="M55" s="107">
        <v>3</v>
      </c>
      <c r="N55" s="107">
        <v>1</v>
      </c>
      <c r="O55" s="107">
        <v>1</v>
      </c>
      <c r="P55" s="107">
        <v>3</v>
      </c>
      <c r="Q55" s="107">
        <v>1</v>
      </c>
      <c r="R55" s="107">
        <v>1</v>
      </c>
      <c r="S55" s="107">
        <v>2</v>
      </c>
      <c r="T55" s="107">
        <v>2</v>
      </c>
      <c r="U55" s="107">
        <v>1</v>
      </c>
      <c r="V55" s="107">
        <v>1</v>
      </c>
      <c r="W55" s="107">
        <v>1</v>
      </c>
      <c r="X55" s="107">
        <v>6</v>
      </c>
      <c r="Y55" s="107">
        <v>7</v>
      </c>
      <c r="Z55" s="107">
        <v>5</v>
      </c>
      <c r="AA55" s="107">
        <v>4</v>
      </c>
      <c r="AB55" s="107">
        <v>5</v>
      </c>
      <c r="AC55" s="107">
        <v>0</v>
      </c>
      <c r="AD55" s="107">
        <v>6</v>
      </c>
      <c r="AE55" s="107">
        <v>3</v>
      </c>
      <c r="AF55" s="107">
        <v>1</v>
      </c>
      <c r="AG55" s="107">
        <v>3</v>
      </c>
      <c r="AH55" s="107">
        <v>84</v>
      </c>
    </row>
    <row r="56" spans="2:34" ht="16" x14ac:dyDescent="0.2">
      <c r="B56"/>
      <c r="C56" t="s">
        <v>88</v>
      </c>
      <c r="D56" s="107">
        <v>2</v>
      </c>
      <c r="E56" s="107">
        <v>0</v>
      </c>
      <c r="F56" s="107">
        <v>0</v>
      </c>
      <c r="G56" s="107">
        <v>3</v>
      </c>
      <c r="H56" s="107">
        <v>1</v>
      </c>
      <c r="I56" s="107">
        <v>3</v>
      </c>
      <c r="J56" s="107">
        <v>4</v>
      </c>
      <c r="K56" s="107">
        <v>3</v>
      </c>
      <c r="L56" s="107">
        <v>1</v>
      </c>
      <c r="M56" s="107">
        <v>1</v>
      </c>
      <c r="N56" s="107">
        <v>3</v>
      </c>
      <c r="O56" s="107">
        <v>4</v>
      </c>
      <c r="P56" s="107">
        <v>3</v>
      </c>
      <c r="Q56" s="107">
        <v>1</v>
      </c>
      <c r="R56" s="107">
        <v>0</v>
      </c>
      <c r="S56" s="107">
        <v>1</v>
      </c>
      <c r="T56" s="107">
        <v>1</v>
      </c>
      <c r="U56" s="107">
        <v>2</v>
      </c>
      <c r="V56" s="107">
        <v>9</v>
      </c>
      <c r="W56" s="107">
        <v>3</v>
      </c>
      <c r="X56" s="107">
        <v>0</v>
      </c>
      <c r="Y56" s="107">
        <v>0</v>
      </c>
      <c r="Z56" s="107">
        <v>0</v>
      </c>
      <c r="AA56" s="107">
        <v>2</v>
      </c>
      <c r="AB56" s="107">
        <v>0</v>
      </c>
      <c r="AC56" s="107">
        <v>2</v>
      </c>
      <c r="AD56" s="107">
        <v>1</v>
      </c>
      <c r="AE56" s="107">
        <v>7</v>
      </c>
      <c r="AF56" s="107">
        <v>4</v>
      </c>
      <c r="AG56" s="107">
        <v>6</v>
      </c>
      <c r="AH56" s="107">
        <v>67</v>
      </c>
    </row>
    <row r="57" spans="2:34" ht="16" x14ac:dyDescent="0.2">
      <c r="B57"/>
      <c r="C57" t="s">
        <v>80</v>
      </c>
      <c r="D57" s="107">
        <v>2</v>
      </c>
      <c r="E57" s="107">
        <v>1</v>
      </c>
      <c r="F57" s="107">
        <v>1</v>
      </c>
      <c r="G57" s="107">
        <v>2</v>
      </c>
      <c r="H57" s="107">
        <v>1</v>
      </c>
      <c r="I57" s="107">
        <v>3</v>
      </c>
      <c r="J57" s="107">
        <v>3</v>
      </c>
      <c r="K57" s="107">
        <v>1</v>
      </c>
      <c r="L57" s="107">
        <v>1</v>
      </c>
      <c r="M57" s="107">
        <v>1</v>
      </c>
      <c r="N57" s="107">
        <v>3</v>
      </c>
      <c r="O57" s="107">
        <v>0</v>
      </c>
      <c r="P57" s="107">
        <v>0</v>
      </c>
      <c r="Q57" s="107">
        <v>3</v>
      </c>
      <c r="R57" s="107">
        <v>2</v>
      </c>
      <c r="S57" s="107">
        <v>2</v>
      </c>
      <c r="T57" s="107">
        <v>4</v>
      </c>
      <c r="U57" s="107">
        <v>2</v>
      </c>
      <c r="V57" s="107">
        <v>3</v>
      </c>
      <c r="W57" s="107">
        <v>7</v>
      </c>
      <c r="X57" s="107">
        <v>3</v>
      </c>
      <c r="Y57" s="107">
        <v>4</v>
      </c>
      <c r="Z57" s="107">
        <v>9</v>
      </c>
      <c r="AA57" s="107">
        <v>2</v>
      </c>
      <c r="AB57" s="107">
        <v>2</v>
      </c>
      <c r="AC57" s="107">
        <v>1</v>
      </c>
      <c r="AD57" s="107">
        <v>0</v>
      </c>
      <c r="AE57" s="107">
        <v>0</v>
      </c>
      <c r="AF57" s="107">
        <v>0</v>
      </c>
      <c r="AG57" s="107">
        <v>2</v>
      </c>
      <c r="AH57" s="107">
        <v>65</v>
      </c>
    </row>
    <row r="58" spans="2:34" ht="16" x14ac:dyDescent="0.2">
      <c r="B58"/>
      <c r="C58" t="s">
        <v>92</v>
      </c>
      <c r="D58" s="107">
        <v>0</v>
      </c>
      <c r="E58" s="107">
        <v>0</v>
      </c>
      <c r="F58" s="107">
        <v>0</v>
      </c>
      <c r="G58" s="107">
        <v>1</v>
      </c>
      <c r="H58" s="107">
        <v>0</v>
      </c>
      <c r="I58" s="107">
        <v>0</v>
      </c>
      <c r="J58" s="107">
        <v>0</v>
      </c>
      <c r="K58" s="107">
        <v>0</v>
      </c>
      <c r="L58" s="107">
        <v>0</v>
      </c>
      <c r="M58" s="107">
        <v>0</v>
      </c>
      <c r="N58" s="107">
        <v>0</v>
      </c>
      <c r="O58" s="107">
        <v>0</v>
      </c>
      <c r="P58" s="107">
        <v>0</v>
      </c>
      <c r="Q58" s="107">
        <v>0</v>
      </c>
      <c r="R58" s="107">
        <v>0</v>
      </c>
      <c r="S58" s="107">
        <v>0</v>
      </c>
      <c r="T58" s="107">
        <v>0</v>
      </c>
      <c r="U58" s="107">
        <v>1</v>
      </c>
      <c r="V58" s="107">
        <v>3</v>
      </c>
      <c r="W58" s="107">
        <v>0</v>
      </c>
      <c r="X58" s="107">
        <v>0</v>
      </c>
      <c r="Y58" s="107">
        <v>0</v>
      </c>
      <c r="Z58" s="107">
        <v>0</v>
      </c>
      <c r="AA58" s="107">
        <v>1</v>
      </c>
      <c r="AB58" s="107">
        <v>0</v>
      </c>
      <c r="AC58" s="107">
        <v>2</v>
      </c>
      <c r="AD58" s="107">
        <v>0</v>
      </c>
      <c r="AE58" s="107">
        <v>0</v>
      </c>
      <c r="AF58" s="107">
        <v>1</v>
      </c>
      <c r="AG58" s="107">
        <v>1</v>
      </c>
      <c r="AH58" s="107">
        <v>10</v>
      </c>
    </row>
    <row r="59" spans="2:34" ht="16" x14ac:dyDescent="0.2">
      <c r="B59"/>
      <c r="C59" t="s">
        <v>82</v>
      </c>
      <c r="D59" s="107">
        <v>2</v>
      </c>
      <c r="E59" s="107">
        <v>2</v>
      </c>
      <c r="F59" s="107">
        <v>2</v>
      </c>
      <c r="G59" s="107">
        <v>1</v>
      </c>
      <c r="H59" s="107">
        <v>2</v>
      </c>
      <c r="I59" s="107">
        <v>4</v>
      </c>
      <c r="J59" s="107">
        <v>2</v>
      </c>
      <c r="K59" s="107">
        <v>0</v>
      </c>
      <c r="L59" s="107">
        <v>1</v>
      </c>
      <c r="M59" s="107">
        <v>1</v>
      </c>
      <c r="N59" s="107">
        <v>0</v>
      </c>
      <c r="O59" s="107">
        <v>0</v>
      </c>
      <c r="P59" s="107">
        <v>2</v>
      </c>
      <c r="Q59" s="107">
        <v>1</v>
      </c>
      <c r="R59" s="107">
        <v>2</v>
      </c>
      <c r="S59" s="107">
        <v>1</v>
      </c>
      <c r="T59" s="107">
        <v>1</v>
      </c>
      <c r="U59" s="107">
        <v>1</v>
      </c>
      <c r="V59" s="107">
        <v>9</v>
      </c>
      <c r="W59" s="107">
        <v>0</v>
      </c>
      <c r="X59" s="107">
        <v>1</v>
      </c>
      <c r="Y59" s="107">
        <v>0</v>
      </c>
      <c r="Z59" s="107">
        <v>3</v>
      </c>
      <c r="AA59" s="107">
        <v>1</v>
      </c>
      <c r="AB59" s="107">
        <v>2</v>
      </c>
      <c r="AC59" s="107">
        <v>1</v>
      </c>
      <c r="AD59" s="107">
        <v>1</v>
      </c>
      <c r="AE59" s="107">
        <v>3</v>
      </c>
      <c r="AF59" s="107">
        <v>1</v>
      </c>
      <c r="AG59" s="107">
        <v>3</v>
      </c>
      <c r="AH59" s="107">
        <v>50</v>
      </c>
    </row>
    <row r="60" spans="2:34" ht="16" x14ac:dyDescent="0.2">
      <c r="B60"/>
      <c r="C60" t="s">
        <v>65</v>
      </c>
      <c r="D60" s="107">
        <v>4</v>
      </c>
      <c r="E60" s="107">
        <v>3</v>
      </c>
      <c r="F60" s="107">
        <v>2</v>
      </c>
      <c r="G60" s="107">
        <v>1</v>
      </c>
      <c r="H60" s="107">
        <v>3</v>
      </c>
      <c r="I60" s="107">
        <v>6</v>
      </c>
      <c r="J60" s="107">
        <v>3</v>
      </c>
      <c r="K60" s="107">
        <v>6</v>
      </c>
      <c r="L60" s="107">
        <v>1</v>
      </c>
      <c r="M60" s="107">
        <v>5</v>
      </c>
      <c r="N60" s="107">
        <v>2</v>
      </c>
      <c r="O60" s="107">
        <v>3</v>
      </c>
      <c r="P60" s="107">
        <v>2</v>
      </c>
      <c r="Q60" s="107">
        <v>2</v>
      </c>
      <c r="R60" s="107">
        <v>1</v>
      </c>
      <c r="S60" s="107">
        <v>1</v>
      </c>
      <c r="T60" s="107">
        <v>3</v>
      </c>
      <c r="U60" s="107">
        <v>5</v>
      </c>
      <c r="V60" s="107">
        <v>8</v>
      </c>
      <c r="W60" s="107">
        <v>3</v>
      </c>
      <c r="X60" s="107">
        <v>3</v>
      </c>
      <c r="Y60" s="107">
        <v>11</v>
      </c>
      <c r="Z60" s="107">
        <v>7</v>
      </c>
      <c r="AA60" s="107">
        <v>3</v>
      </c>
      <c r="AB60" s="107">
        <v>2</v>
      </c>
      <c r="AC60" s="107">
        <v>3</v>
      </c>
      <c r="AD60" s="107">
        <v>5</v>
      </c>
      <c r="AE60" s="107">
        <v>7</v>
      </c>
      <c r="AF60" s="107">
        <v>1</v>
      </c>
      <c r="AG60" s="107">
        <v>4</v>
      </c>
      <c r="AH60" s="107">
        <v>110</v>
      </c>
    </row>
    <row r="61" spans="2:34" ht="16" x14ac:dyDescent="0.2">
      <c r="B61"/>
      <c r="C61" t="s">
        <v>112</v>
      </c>
      <c r="D61" s="107">
        <v>8</v>
      </c>
      <c r="E61" s="107">
        <v>11</v>
      </c>
      <c r="F61" s="107">
        <v>12</v>
      </c>
      <c r="G61" s="107">
        <v>12</v>
      </c>
      <c r="H61" s="107">
        <v>4</v>
      </c>
      <c r="I61" s="107">
        <v>4</v>
      </c>
      <c r="J61" s="107">
        <v>9</v>
      </c>
      <c r="K61" s="107">
        <v>8</v>
      </c>
      <c r="L61" s="107">
        <v>8</v>
      </c>
      <c r="M61" s="107">
        <v>4</v>
      </c>
      <c r="N61" s="107">
        <v>3</v>
      </c>
      <c r="O61" s="107">
        <v>6</v>
      </c>
      <c r="P61" s="107">
        <v>3</v>
      </c>
      <c r="Q61" s="107">
        <v>8</v>
      </c>
      <c r="R61" s="107">
        <v>6</v>
      </c>
      <c r="S61" s="107">
        <v>9</v>
      </c>
      <c r="T61" s="107">
        <v>7</v>
      </c>
      <c r="U61" s="107">
        <v>6</v>
      </c>
      <c r="V61" s="107">
        <v>19</v>
      </c>
      <c r="W61" s="107">
        <v>27</v>
      </c>
      <c r="X61" s="107">
        <v>9</v>
      </c>
      <c r="Y61" s="107">
        <v>17</v>
      </c>
      <c r="Z61" s="107">
        <v>17</v>
      </c>
      <c r="AA61" s="107">
        <v>10</v>
      </c>
      <c r="AB61" s="107">
        <v>20</v>
      </c>
      <c r="AC61" s="107">
        <v>15</v>
      </c>
      <c r="AD61" s="107">
        <v>13</v>
      </c>
      <c r="AE61" s="107">
        <v>13</v>
      </c>
      <c r="AF61" s="107">
        <v>17</v>
      </c>
      <c r="AG61" s="107">
        <v>11</v>
      </c>
      <c r="AH61" s="107">
        <v>316</v>
      </c>
    </row>
    <row r="62" spans="2:34" ht="16" x14ac:dyDescent="0.2">
      <c r="B62"/>
      <c r="C62" t="s">
        <v>114</v>
      </c>
      <c r="D62" s="107">
        <v>1</v>
      </c>
      <c r="E62" s="107">
        <v>0</v>
      </c>
      <c r="F62" s="107">
        <v>0</v>
      </c>
      <c r="G62" s="107">
        <v>1</v>
      </c>
      <c r="H62" s="107">
        <v>0</v>
      </c>
      <c r="I62" s="107">
        <v>1</v>
      </c>
      <c r="J62" s="107">
        <v>0</v>
      </c>
      <c r="K62" s="107">
        <v>0</v>
      </c>
      <c r="L62" s="107">
        <v>0</v>
      </c>
      <c r="M62" s="107">
        <v>0</v>
      </c>
      <c r="N62" s="107">
        <v>0</v>
      </c>
      <c r="O62" s="107">
        <v>0</v>
      </c>
      <c r="P62" s="107">
        <v>0</v>
      </c>
      <c r="Q62" s="107">
        <v>0</v>
      </c>
      <c r="R62" s="107">
        <v>0</v>
      </c>
      <c r="S62" s="107">
        <v>0</v>
      </c>
      <c r="T62" s="107">
        <v>0</v>
      </c>
      <c r="U62" s="107">
        <v>0</v>
      </c>
      <c r="V62" s="107">
        <v>0</v>
      </c>
      <c r="W62" s="107">
        <v>6</v>
      </c>
      <c r="X62" s="107">
        <v>2</v>
      </c>
      <c r="Y62" s="107">
        <v>0</v>
      </c>
      <c r="Z62" s="107">
        <v>0</v>
      </c>
      <c r="AA62" s="107">
        <v>0</v>
      </c>
      <c r="AB62" s="107">
        <v>0</v>
      </c>
      <c r="AC62" s="107">
        <v>0</v>
      </c>
      <c r="AD62" s="107">
        <v>3</v>
      </c>
      <c r="AE62" s="107">
        <v>1</v>
      </c>
      <c r="AF62" s="107">
        <v>1</v>
      </c>
      <c r="AG62" s="107">
        <v>0</v>
      </c>
      <c r="AH62" s="107">
        <v>16</v>
      </c>
    </row>
    <row r="63" spans="2:34" ht="16" x14ac:dyDescent="0.2">
      <c r="B63"/>
      <c r="C63" t="s">
        <v>117</v>
      </c>
      <c r="D63" s="107">
        <v>1</v>
      </c>
      <c r="E63" s="107">
        <v>1</v>
      </c>
      <c r="F63" s="107">
        <v>0</v>
      </c>
      <c r="G63" s="107">
        <v>0</v>
      </c>
      <c r="H63" s="107">
        <v>0</v>
      </c>
      <c r="I63" s="107">
        <v>0</v>
      </c>
      <c r="J63" s="107">
        <v>1</v>
      </c>
      <c r="K63" s="107">
        <v>0</v>
      </c>
      <c r="L63" s="107">
        <v>0</v>
      </c>
      <c r="M63" s="107">
        <v>0</v>
      </c>
      <c r="N63" s="107">
        <v>1</v>
      </c>
      <c r="O63" s="107">
        <v>2</v>
      </c>
      <c r="P63" s="107">
        <v>1</v>
      </c>
      <c r="Q63" s="107">
        <v>0</v>
      </c>
      <c r="R63" s="107">
        <v>1</v>
      </c>
      <c r="S63" s="107">
        <v>1</v>
      </c>
      <c r="T63" s="107">
        <v>1</v>
      </c>
      <c r="U63" s="107">
        <v>0</v>
      </c>
      <c r="V63" s="107">
        <v>4</v>
      </c>
      <c r="W63" s="107">
        <v>6</v>
      </c>
      <c r="X63" s="107">
        <v>2</v>
      </c>
      <c r="Y63" s="107">
        <v>5</v>
      </c>
      <c r="Z63" s="107">
        <v>2</v>
      </c>
      <c r="AA63" s="107">
        <v>1</v>
      </c>
      <c r="AB63" s="107">
        <v>1</v>
      </c>
      <c r="AC63" s="107">
        <v>0</v>
      </c>
      <c r="AD63" s="107">
        <v>3</v>
      </c>
      <c r="AE63" s="107">
        <v>2</v>
      </c>
      <c r="AF63" s="107">
        <v>0</v>
      </c>
      <c r="AG63" s="107">
        <v>1</v>
      </c>
      <c r="AH63" s="107">
        <v>37</v>
      </c>
    </row>
    <row r="64" spans="2:34" ht="16" x14ac:dyDescent="0.2">
      <c r="B64"/>
      <c r="C64" t="s">
        <v>86</v>
      </c>
      <c r="D64" s="107">
        <v>1</v>
      </c>
      <c r="E64" s="107">
        <v>2</v>
      </c>
      <c r="F64" s="107">
        <v>0</v>
      </c>
      <c r="G64" s="107">
        <v>1</v>
      </c>
      <c r="H64" s="107">
        <v>0</v>
      </c>
      <c r="I64" s="107">
        <v>0</v>
      </c>
      <c r="J64" s="107">
        <v>1</v>
      </c>
      <c r="K64" s="107">
        <v>1</v>
      </c>
      <c r="L64" s="107">
        <v>0</v>
      </c>
      <c r="M64" s="107">
        <v>0</v>
      </c>
      <c r="N64" s="107">
        <v>1</v>
      </c>
      <c r="O64" s="107">
        <v>0</v>
      </c>
      <c r="P64" s="107">
        <v>0</v>
      </c>
      <c r="Q64" s="107">
        <v>2</v>
      </c>
      <c r="R64" s="107">
        <v>0</v>
      </c>
      <c r="S64" s="107">
        <v>0</v>
      </c>
      <c r="T64" s="107">
        <v>1</v>
      </c>
      <c r="U64" s="107">
        <v>0</v>
      </c>
      <c r="V64" s="107">
        <v>0</v>
      </c>
      <c r="W64" s="107">
        <v>0</v>
      </c>
      <c r="X64" s="107">
        <v>0</v>
      </c>
      <c r="Y64" s="107">
        <v>0</v>
      </c>
      <c r="Z64" s="107">
        <v>0</v>
      </c>
      <c r="AA64" s="107">
        <v>0</v>
      </c>
      <c r="AB64" s="107">
        <v>0</v>
      </c>
      <c r="AC64" s="107">
        <v>0</v>
      </c>
      <c r="AD64" s="107">
        <v>0</v>
      </c>
      <c r="AE64" s="107">
        <v>0</v>
      </c>
      <c r="AF64" s="107">
        <v>0</v>
      </c>
      <c r="AG64" s="107">
        <v>0</v>
      </c>
      <c r="AH64" s="107">
        <v>10</v>
      </c>
    </row>
    <row r="65" spans="2:34" ht="16" x14ac:dyDescent="0.2">
      <c r="B65"/>
      <c r="C65" t="s">
        <v>119</v>
      </c>
      <c r="D65" s="107">
        <v>0</v>
      </c>
      <c r="E65" s="107">
        <v>0</v>
      </c>
      <c r="F65" s="107">
        <v>1</v>
      </c>
      <c r="G65" s="107">
        <v>0</v>
      </c>
      <c r="H65" s="107">
        <v>0</v>
      </c>
      <c r="I65" s="107">
        <v>1</v>
      </c>
      <c r="J65" s="107">
        <v>1</v>
      </c>
      <c r="K65" s="107">
        <v>1</v>
      </c>
      <c r="L65" s="107">
        <v>1</v>
      </c>
      <c r="M65" s="107">
        <v>2</v>
      </c>
      <c r="N65" s="107">
        <v>0</v>
      </c>
      <c r="O65" s="107">
        <v>0</v>
      </c>
      <c r="P65" s="107">
        <v>1</v>
      </c>
      <c r="Q65" s="107">
        <v>0</v>
      </c>
      <c r="R65" s="107">
        <v>1</v>
      </c>
      <c r="S65" s="107">
        <v>2</v>
      </c>
      <c r="T65" s="107">
        <v>1</v>
      </c>
      <c r="U65" s="107">
        <v>3</v>
      </c>
      <c r="V65" s="107">
        <v>4</v>
      </c>
      <c r="W65" s="107">
        <v>2</v>
      </c>
      <c r="X65" s="107">
        <v>2</v>
      </c>
      <c r="Y65" s="107">
        <v>1</v>
      </c>
      <c r="Z65" s="107">
        <v>0</v>
      </c>
      <c r="AA65" s="107">
        <v>1</v>
      </c>
      <c r="AB65" s="107">
        <v>0</v>
      </c>
      <c r="AC65" s="107">
        <v>2</v>
      </c>
      <c r="AD65" s="107">
        <v>1</v>
      </c>
      <c r="AE65" s="107">
        <v>0</v>
      </c>
      <c r="AF65" s="107">
        <v>1</v>
      </c>
      <c r="AG65" s="107">
        <v>1</v>
      </c>
      <c r="AH65" s="107">
        <v>30</v>
      </c>
    </row>
    <row r="66" spans="2:34" ht="16" x14ac:dyDescent="0.2">
      <c r="B66"/>
      <c r="C66" t="s">
        <v>141</v>
      </c>
      <c r="D66" s="107">
        <v>132</v>
      </c>
      <c r="E66" s="107">
        <v>116</v>
      </c>
      <c r="F66" s="107">
        <v>134</v>
      </c>
      <c r="G66" s="107">
        <v>103</v>
      </c>
      <c r="H66" s="107">
        <v>107</v>
      </c>
      <c r="I66" s="107">
        <v>169</v>
      </c>
      <c r="J66" s="107">
        <v>148</v>
      </c>
      <c r="K66" s="107">
        <v>107</v>
      </c>
      <c r="L66" s="107">
        <v>95</v>
      </c>
      <c r="M66" s="107">
        <v>116</v>
      </c>
      <c r="N66" s="107">
        <v>99</v>
      </c>
      <c r="O66" s="107">
        <v>127</v>
      </c>
      <c r="P66" s="107">
        <v>145</v>
      </c>
      <c r="Q66" s="107">
        <v>130</v>
      </c>
      <c r="R66" s="107">
        <v>121</v>
      </c>
      <c r="S66" s="107">
        <v>128</v>
      </c>
      <c r="T66" s="107">
        <v>140</v>
      </c>
      <c r="U66" s="107">
        <v>131</v>
      </c>
      <c r="V66" s="107">
        <v>256</v>
      </c>
      <c r="W66" s="107">
        <v>262</v>
      </c>
      <c r="X66" s="107">
        <v>158</v>
      </c>
      <c r="Y66" s="107">
        <v>213</v>
      </c>
      <c r="Z66" s="107">
        <v>197</v>
      </c>
      <c r="AA66" s="107">
        <v>186</v>
      </c>
      <c r="AB66" s="107">
        <v>158</v>
      </c>
      <c r="AC66" s="107">
        <v>140</v>
      </c>
      <c r="AD66" s="107">
        <v>201</v>
      </c>
      <c r="AE66" s="107">
        <v>187</v>
      </c>
      <c r="AF66" s="107">
        <v>152</v>
      </c>
      <c r="AG66" s="107">
        <v>162</v>
      </c>
      <c r="AH66" s="107">
        <v>4520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2E5F-2116-F349-82BE-C70E50392936}">
  <sheetPr>
    <tabColor rgb="FFF8EE7B"/>
  </sheetPr>
  <dimension ref="A1:Z49"/>
  <sheetViews>
    <sheetView zoomScaleNormal="100" workbookViewId="0">
      <selection activeCell="V12" sqref="V12"/>
    </sheetView>
  </sheetViews>
  <sheetFormatPr baseColWidth="10" defaultColWidth="10.83203125" defaultRowHeight="24" x14ac:dyDescent="0.2"/>
  <cols>
    <col min="1" max="18" width="5.83203125" style="24" customWidth="1"/>
    <col min="19" max="19" width="6.5" style="387" bestFit="1" customWidth="1"/>
    <col min="20" max="20" width="5.83203125" style="387" customWidth="1"/>
    <col min="21" max="21" width="5.83203125" style="388" customWidth="1"/>
    <col min="22" max="22" width="10.83203125" style="389"/>
    <col min="23" max="23" width="14.83203125" style="388" customWidth="1"/>
    <col min="24" max="24" width="10.5" style="388" bestFit="1" customWidth="1"/>
    <col min="25" max="25" width="11.33203125" style="388" bestFit="1" customWidth="1"/>
    <col min="26" max="26" width="12" style="24" bestFit="1" customWidth="1"/>
    <col min="27" max="27" width="11.6640625" style="24" bestFit="1" customWidth="1"/>
    <col min="28" max="28" width="15.33203125" style="24" bestFit="1" customWidth="1"/>
    <col min="29" max="16384" width="10.83203125" style="24"/>
  </cols>
  <sheetData>
    <row r="1" spans="1:26" ht="27" x14ac:dyDescent="0.2">
      <c r="A1" s="367"/>
      <c r="B1" s="446" t="s">
        <v>124</v>
      </c>
      <c r="C1" s="446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W1" s="390"/>
      <c r="X1" s="390"/>
    </row>
    <row r="2" spans="1:26" x14ac:dyDescent="0.2">
      <c r="A2" s="368" t="s">
        <v>44</v>
      </c>
      <c r="B2" s="341" t="s">
        <v>18</v>
      </c>
      <c r="C2" s="341" t="s">
        <v>19</v>
      </c>
      <c r="D2" s="341" t="s">
        <v>20</v>
      </c>
      <c r="E2" s="341" t="s">
        <v>47</v>
      </c>
      <c r="F2" s="341" t="s">
        <v>46</v>
      </c>
      <c r="G2" s="341" t="s">
        <v>48</v>
      </c>
      <c r="H2" s="341" t="s">
        <v>49</v>
      </c>
      <c r="I2" s="341" t="s">
        <v>94</v>
      </c>
      <c r="J2" s="341" t="s">
        <v>22</v>
      </c>
      <c r="K2" s="341" t="s">
        <v>50</v>
      </c>
      <c r="L2" s="341" t="s">
        <v>51</v>
      </c>
      <c r="M2" s="341" t="s">
        <v>52</v>
      </c>
      <c r="N2" s="341" t="s">
        <v>53</v>
      </c>
      <c r="O2" s="341" t="s">
        <v>54</v>
      </c>
      <c r="P2" s="341" t="s">
        <v>55</v>
      </c>
      <c r="Q2" s="341" t="s">
        <v>57</v>
      </c>
      <c r="R2" s="341" t="s">
        <v>56</v>
      </c>
      <c r="S2" s="372" t="s">
        <v>121</v>
      </c>
      <c r="V2" s="391"/>
      <c r="W2" s="391"/>
      <c r="X2" s="368" t="s">
        <v>44</v>
      </c>
      <c r="Y2" s="392" t="s">
        <v>121</v>
      </c>
      <c r="Z2" s="342"/>
    </row>
    <row r="3" spans="1:26" x14ac:dyDescent="0.2">
      <c r="A3" s="369">
        <v>1</v>
      </c>
      <c r="B3" s="370">
        <v>1</v>
      </c>
      <c r="C3" s="371">
        <v>1</v>
      </c>
      <c r="D3" s="371">
        <v>1</v>
      </c>
      <c r="E3" s="371">
        <v>3</v>
      </c>
      <c r="F3" s="371"/>
      <c r="G3" s="371">
        <v>4</v>
      </c>
      <c r="H3" s="371"/>
      <c r="I3" s="371">
        <v>1</v>
      </c>
      <c r="J3" s="371">
        <v>3</v>
      </c>
      <c r="K3" s="371">
        <v>1</v>
      </c>
      <c r="L3" s="371"/>
      <c r="M3" s="371">
        <v>1</v>
      </c>
      <c r="N3" s="371"/>
      <c r="O3" s="371"/>
      <c r="P3" s="371"/>
      <c r="Q3" s="371">
        <v>2</v>
      </c>
      <c r="R3" s="371">
        <v>1</v>
      </c>
      <c r="S3" s="393">
        <v>44909</v>
      </c>
      <c r="U3" s="379"/>
      <c r="V3" s="394"/>
      <c r="W3" s="394"/>
      <c r="X3" s="369">
        <v>1</v>
      </c>
      <c r="Y3" s="395">
        <v>44909</v>
      </c>
      <c r="Z3" s="342"/>
    </row>
    <row r="4" spans="1:26" x14ac:dyDescent="0.2">
      <c r="A4" s="369">
        <v>2</v>
      </c>
      <c r="B4" s="370">
        <v>2</v>
      </c>
      <c r="C4" s="371">
        <v>2</v>
      </c>
      <c r="D4" s="371">
        <v>2</v>
      </c>
      <c r="E4" s="371">
        <v>5</v>
      </c>
      <c r="F4" s="371"/>
      <c r="G4" s="371"/>
      <c r="H4" s="371">
        <v>4</v>
      </c>
      <c r="I4" s="371">
        <v>1</v>
      </c>
      <c r="J4" s="371">
        <v>3</v>
      </c>
      <c r="K4" s="371">
        <v>2</v>
      </c>
      <c r="L4" s="371"/>
      <c r="M4" s="371">
        <v>2</v>
      </c>
      <c r="N4" s="371"/>
      <c r="O4" s="371"/>
      <c r="P4" s="371">
        <v>0.5</v>
      </c>
      <c r="Q4" s="371"/>
      <c r="R4" s="371"/>
      <c r="S4" s="393">
        <v>44910</v>
      </c>
      <c r="U4" s="379"/>
      <c r="V4" s="394"/>
      <c r="W4" s="394"/>
      <c r="X4" s="369">
        <v>2</v>
      </c>
      <c r="Y4" s="395">
        <v>44910</v>
      </c>
      <c r="Z4" s="342"/>
    </row>
    <row r="5" spans="1:26" x14ac:dyDescent="0.2">
      <c r="A5" s="369">
        <v>3</v>
      </c>
      <c r="B5" s="370">
        <v>2</v>
      </c>
      <c r="C5" s="371">
        <v>2</v>
      </c>
      <c r="D5" s="371">
        <v>2</v>
      </c>
      <c r="E5" s="371">
        <v>4</v>
      </c>
      <c r="F5" s="371"/>
      <c r="G5" s="371">
        <v>4</v>
      </c>
      <c r="H5" s="371">
        <v>4</v>
      </c>
      <c r="I5" s="371">
        <v>1</v>
      </c>
      <c r="J5" s="371">
        <v>3</v>
      </c>
      <c r="K5" s="371">
        <v>1.5</v>
      </c>
      <c r="L5" s="371"/>
      <c r="M5" s="371">
        <v>1</v>
      </c>
      <c r="N5" s="371">
        <v>1</v>
      </c>
      <c r="O5" s="371">
        <v>1</v>
      </c>
      <c r="P5" s="371"/>
      <c r="Q5" s="371"/>
      <c r="R5" s="371"/>
      <c r="S5" s="393">
        <v>44911</v>
      </c>
      <c r="U5" s="379"/>
      <c r="V5" s="394"/>
      <c r="W5" s="394"/>
      <c r="X5" s="369">
        <v>3</v>
      </c>
      <c r="Y5" s="395">
        <v>44911</v>
      </c>
      <c r="Z5" s="342"/>
    </row>
    <row r="6" spans="1:26" x14ac:dyDescent="0.2">
      <c r="A6" s="369"/>
      <c r="B6" s="371">
        <v>2</v>
      </c>
      <c r="C6" s="371">
        <v>2</v>
      </c>
      <c r="D6" s="371">
        <v>3</v>
      </c>
      <c r="E6" s="371">
        <v>6</v>
      </c>
      <c r="F6" s="371">
        <v>1</v>
      </c>
      <c r="G6" s="371">
        <v>8</v>
      </c>
      <c r="H6" s="371">
        <v>8</v>
      </c>
      <c r="I6" s="371">
        <v>2</v>
      </c>
      <c r="J6" s="371">
        <v>3</v>
      </c>
      <c r="K6" s="371">
        <v>3</v>
      </c>
      <c r="L6" s="371">
        <v>1</v>
      </c>
      <c r="M6" s="371">
        <v>3</v>
      </c>
      <c r="N6" s="371"/>
      <c r="O6" s="371"/>
      <c r="P6" s="371"/>
      <c r="Q6" s="371">
        <v>2</v>
      </c>
      <c r="R6" s="371"/>
      <c r="S6" s="396">
        <v>44912</v>
      </c>
      <c r="U6" s="379"/>
      <c r="V6" s="394"/>
      <c r="W6" s="394"/>
      <c r="X6" s="369"/>
      <c r="Y6" s="397">
        <v>44912</v>
      </c>
      <c r="Z6" s="342"/>
    </row>
    <row r="7" spans="1:26" x14ac:dyDescent="0.2">
      <c r="A7" s="377"/>
      <c r="B7" s="378"/>
      <c r="C7" s="378"/>
      <c r="D7" s="378"/>
      <c r="E7" s="378"/>
      <c r="F7" s="378"/>
      <c r="G7" s="378"/>
      <c r="H7" s="378"/>
      <c r="I7" s="378"/>
      <c r="J7" s="378"/>
      <c r="K7" s="378"/>
      <c r="L7" s="378"/>
      <c r="M7" s="378"/>
      <c r="N7" s="378"/>
      <c r="O7" s="378"/>
      <c r="P7" s="378"/>
      <c r="Q7" s="378"/>
      <c r="R7" s="378"/>
      <c r="S7" s="398">
        <v>44913</v>
      </c>
      <c r="T7" s="387" t="s">
        <v>125</v>
      </c>
      <c r="U7" s="379"/>
      <c r="V7" s="394"/>
      <c r="W7" s="394"/>
      <c r="X7" s="369"/>
      <c r="Y7" s="399">
        <v>44913</v>
      </c>
      <c r="Z7" s="345"/>
    </row>
    <row r="8" spans="1:26" x14ac:dyDescent="0.2">
      <c r="A8" s="369">
        <v>4</v>
      </c>
      <c r="B8" s="371">
        <v>1</v>
      </c>
      <c r="C8" s="371">
        <v>1</v>
      </c>
      <c r="D8" s="371">
        <v>2</v>
      </c>
      <c r="E8" s="371">
        <v>5</v>
      </c>
      <c r="F8" s="371"/>
      <c r="G8" s="371">
        <v>4</v>
      </c>
      <c r="H8" s="371"/>
      <c r="I8" s="371"/>
      <c r="J8" s="371">
        <v>3</v>
      </c>
      <c r="K8" s="371">
        <v>1</v>
      </c>
      <c r="L8" s="371"/>
      <c r="M8" s="371">
        <v>2</v>
      </c>
      <c r="N8" s="371"/>
      <c r="O8" s="371"/>
      <c r="P8" s="371"/>
      <c r="Q8" s="371"/>
      <c r="R8" s="371">
        <v>4</v>
      </c>
      <c r="S8" s="398">
        <v>44914</v>
      </c>
      <c r="U8" s="379"/>
      <c r="V8" s="394"/>
      <c r="W8" s="394"/>
      <c r="X8" s="369">
        <v>4</v>
      </c>
      <c r="Y8" s="399">
        <v>44914</v>
      </c>
      <c r="Z8" s="342"/>
    </row>
    <row r="9" spans="1:26" x14ac:dyDescent="0.2">
      <c r="A9" s="369">
        <v>5</v>
      </c>
      <c r="B9" s="371">
        <v>2</v>
      </c>
      <c r="C9" s="371">
        <v>2</v>
      </c>
      <c r="D9" s="371">
        <v>2</v>
      </c>
      <c r="E9" s="371">
        <v>4</v>
      </c>
      <c r="F9" s="371"/>
      <c r="G9" s="371">
        <v>4</v>
      </c>
      <c r="H9" s="371">
        <v>4</v>
      </c>
      <c r="I9" s="371">
        <v>1</v>
      </c>
      <c r="J9" s="371"/>
      <c r="K9" s="371">
        <v>2</v>
      </c>
      <c r="L9" s="371"/>
      <c r="M9" s="371">
        <v>3</v>
      </c>
      <c r="N9" s="371"/>
      <c r="O9" s="371">
        <v>1</v>
      </c>
      <c r="P9" s="371"/>
      <c r="Q9" s="371">
        <v>2</v>
      </c>
      <c r="R9" s="371"/>
      <c r="S9" s="398">
        <v>44915</v>
      </c>
      <c r="U9" s="379"/>
      <c r="V9" s="394"/>
      <c r="W9" s="394"/>
      <c r="X9" s="369">
        <v>5</v>
      </c>
      <c r="Y9" s="399">
        <v>44915</v>
      </c>
      <c r="Z9" s="342"/>
    </row>
    <row r="10" spans="1:26" x14ac:dyDescent="0.2">
      <c r="A10" s="369"/>
      <c r="B10" s="371">
        <v>2</v>
      </c>
      <c r="C10" s="371">
        <v>1</v>
      </c>
      <c r="D10" s="371">
        <v>2</v>
      </c>
      <c r="E10" s="371">
        <v>4</v>
      </c>
      <c r="F10" s="371"/>
      <c r="G10" s="371">
        <v>4</v>
      </c>
      <c r="H10" s="371">
        <v>4</v>
      </c>
      <c r="I10" s="371">
        <v>1</v>
      </c>
      <c r="J10" s="371">
        <v>3</v>
      </c>
      <c r="K10" s="371">
        <v>2</v>
      </c>
      <c r="L10" s="371"/>
      <c r="M10" s="371">
        <v>2</v>
      </c>
      <c r="N10" s="371">
        <v>1</v>
      </c>
      <c r="O10" s="371"/>
      <c r="P10" s="371">
        <v>1</v>
      </c>
      <c r="Q10" s="371"/>
      <c r="R10" s="371">
        <v>4</v>
      </c>
      <c r="S10" s="398">
        <v>44916</v>
      </c>
      <c r="U10" s="379"/>
      <c r="V10" s="394"/>
      <c r="W10" s="394"/>
      <c r="X10" s="369"/>
      <c r="Y10" s="399">
        <v>44916</v>
      </c>
      <c r="Z10" s="342"/>
    </row>
    <row r="11" spans="1:26" x14ac:dyDescent="0.2">
      <c r="A11" s="369"/>
      <c r="B11" s="371">
        <v>1</v>
      </c>
      <c r="C11" s="371">
        <v>1</v>
      </c>
      <c r="D11" s="371">
        <v>2</v>
      </c>
      <c r="E11" s="371">
        <v>3</v>
      </c>
      <c r="F11" s="371"/>
      <c r="G11" s="371"/>
      <c r="H11" s="371">
        <v>4</v>
      </c>
      <c r="I11" s="371">
        <v>1</v>
      </c>
      <c r="J11" s="371">
        <v>3</v>
      </c>
      <c r="K11" s="371">
        <v>1</v>
      </c>
      <c r="L11" s="371"/>
      <c r="M11" s="371">
        <v>1</v>
      </c>
      <c r="N11" s="371"/>
      <c r="O11" s="371"/>
      <c r="P11" s="371"/>
      <c r="Q11" s="371">
        <v>2</v>
      </c>
      <c r="R11" s="371"/>
      <c r="S11" s="398">
        <v>44917</v>
      </c>
      <c r="U11" s="379"/>
      <c r="V11" s="394"/>
      <c r="W11" s="394"/>
      <c r="X11" s="369"/>
      <c r="Y11" s="399">
        <v>44917</v>
      </c>
      <c r="Z11" s="342"/>
    </row>
    <row r="12" spans="1:26" x14ac:dyDescent="0.2">
      <c r="A12" s="369"/>
      <c r="B12" s="371">
        <v>2</v>
      </c>
      <c r="C12" s="371">
        <v>2</v>
      </c>
      <c r="D12" s="371">
        <v>2</v>
      </c>
      <c r="E12" s="371">
        <v>3</v>
      </c>
      <c r="F12" s="371">
        <v>1</v>
      </c>
      <c r="G12" s="371">
        <v>4</v>
      </c>
      <c r="H12" s="371">
        <v>4</v>
      </c>
      <c r="I12" s="371">
        <v>1</v>
      </c>
      <c r="J12" s="371"/>
      <c r="K12" s="371">
        <v>1</v>
      </c>
      <c r="L12" s="371"/>
      <c r="M12" s="371">
        <v>1</v>
      </c>
      <c r="N12" s="371"/>
      <c r="O12" s="371">
        <v>1</v>
      </c>
      <c r="P12" s="371"/>
      <c r="Q12" s="371"/>
      <c r="R12" s="371"/>
      <c r="S12" s="398">
        <v>44918</v>
      </c>
      <c r="U12" s="379"/>
      <c r="V12" s="394"/>
      <c r="W12" s="400"/>
      <c r="X12" s="369"/>
      <c r="Y12" s="399">
        <v>44918</v>
      </c>
      <c r="Z12" s="342"/>
    </row>
    <row r="13" spans="1:26" x14ac:dyDescent="0.2">
      <c r="A13" s="369"/>
      <c r="B13" s="371">
        <v>2</v>
      </c>
      <c r="C13" s="371">
        <v>2</v>
      </c>
      <c r="D13" s="371">
        <v>4</v>
      </c>
      <c r="E13" s="371">
        <v>6</v>
      </c>
      <c r="F13" s="371"/>
      <c r="G13" s="371">
        <v>4</v>
      </c>
      <c r="H13" s="371">
        <v>4</v>
      </c>
      <c r="I13" s="371">
        <v>1</v>
      </c>
      <c r="J13" s="371">
        <v>3</v>
      </c>
      <c r="K13" s="371">
        <v>3</v>
      </c>
      <c r="L13" s="371"/>
      <c r="M13" s="371">
        <v>3</v>
      </c>
      <c r="N13" s="371"/>
      <c r="O13" s="371"/>
      <c r="P13" s="371"/>
      <c r="Q13" s="371">
        <v>2</v>
      </c>
      <c r="R13" s="371"/>
      <c r="S13" s="398">
        <v>44919</v>
      </c>
      <c r="U13" s="379"/>
      <c r="V13" s="394"/>
      <c r="W13" s="394"/>
      <c r="X13" s="369"/>
      <c r="Y13" s="399">
        <v>44919</v>
      </c>
      <c r="Z13" s="342"/>
    </row>
    <row r="14" spans="1:26" x14ac:dyDescent="0.2">
      <c r="A14" s="377"/>
      <c r="B14" s="378"/>
      <c r="C14" s="378"/>
      <c r="D14" s="378"/>
      <c r="E14" s="378"/>
      <c r="F14" s="378"/>
      <c r="G14" s="378"/>
      <c r="H14" s="378"/>
      <c r="I14" s="378"/>
      <c r="J14" s="378"/>
      <c r="K14" s="378"/>
      <c r="L14" s="378"/>
      <c r="M14" s="378"/>
      <c r="N14" s="378"/>
      <c r="O14" s="378"/>
      <c r="P14" s="378"/>
      <c r="Q14" s="378"/>
      <c r="R14" s="378"/>
      <c r="S14" s="398">
        <v>44920</v>
      </c>
      <c r="T14" s="387" t="s">
        <v>125</v>
      </c>
      <c r="U14" s="379"/>
      <c r="V14" s="394"/>
      <c r="W14" s="394"/>
      <c r="X14" s="369"/>
      <c r="Y14" s="399">
        <v>44920</v>
      </c>
      <c r="Z14" s="345"/>
    </row>
    <row r="15" spans="1:26" x14ac:dyDescent="0.2">
      <c r="A15" s="369">
        <v>6</v>
      </c>
      <c r="B15" s="371">
        <v>2</v>
      </c>
      <c r="C15" s="371">
        <v>1</v>
      </c>
      <c r="D15" s="371">
        <v>2</v>
      </c>
      <c r="E15" s="371">
        <v>3</v>
      </c>
      <c r="F15" s="371"/>
      <c r="G15" s="371"/>
      <c r="H15" s="371"/>
      <c r="I15" s="371"/>
      <c r="J15" s="371"/>
      <c r="K15" s="371">
        <v>1</v>
      </c>
      <c r="L15" s="371"/>
      <c r="M15" s="371">
        <v>1</v>
      </c>
      <c r="N15" s="371">
        <v>1</v>
      </c>
      <c r="O15" s="371"/>
      <c r="P15" s="371"/>
      <c r="Q15" s="371">
        <v>2</v>
      </c>
      <c r="R15" s="371">
        <v>4</v>
      </c>
      <c r="S15" s="398">
        <v>44921</v>
      </c>
      <c r="U15" s="379"/>
      <c r="V15" s="394"/>
      <c r="W15" s="394"/>
      <c r="X15" s="369">
        <v>6</v>
      </c>
      <c r="Y15" s="399">
        <v>44921</v>
      </c>
      <c r="Z15" s="342"/>
    </row>
    <row r="16" spans="1:26" x14ac:dyDescent="0.2">
      <c r="A16" s="369">
        <v>7</v>
      </c>
      <c r="B16" s="371">
        <v>2</v>
      </c>
      <c r="C16" s="371">
        <v>2</v>
      </c>
      <c r="D16" s="371">
        <v>2</v>
      </c>
      <c r="E16" s="371">
        <v>8</v>
      </c>
      <c r="F16" s="371"/>
      <c r="G16" s="371">
        <v>4</v>
      </c>
      <c r="H16" s="371">
        <v>4</v>
      </c>
      <c r="I16" s="371">
        <v>1</v>
      </c>
      <c r="J16" s="371">
        <v>3</v>
      </c>
      <c r="K16" s="371">
        <v>1</v>
      </c>
      <c r="L16" s="371"/>
      <c r="M16" s="371">
        <v>1</v>
      </c>
      <c r="N16" s="371"/>
      <c r="O16" s="371">
        <v>1</v>
      </c>
      <c r="P16" s="371"/>
      <c r="Q16" s="371"/>
      <c r="R16" s="371"/>
      <c r="S16" s="398">
        <v>44922</v>
      </c>
      <c r="U16" s="379"/>
      <c r="V16" s="394"/>
      <c r="W16" s="394"/>
      <c r="X16" s="369">
        <v>7</v>
      </c>
      <c r="Y16" s="399">
        <v>44922</v>
      </c>
      <c r="Z16" s="342"/>
    </row>
    <row r="17" spans="1:26" x14ac:dyDescent="0.2">
      <c r="A17" s="369"/>
      <c r="B17" s="371">
        <v>3</v>
      </c>
      <c r="C17" s="372">
        <v>2</v>
      </c>
      <c r="D17" s="372">
        <v>2</v>
      </c>
      <c r="E17" s="372">
        <v>11</v>
      </c>
      <c r="F17" s="372">
        <v>2</v>
      </c>
      <c r="G17" s="372"/>
      <c r="H17" s="372">
        <v>4</v>
      </c>
      <c r="I17" s="372">
        <v>1</v>
      </c>
      <c r="J17" s="372">
        <v>3</v>
      </c>
      <c r="K17" s="372">
        <v>2</v>
      </c>
      <c r="L17" s="372"/>
      <c r="M17" s="372">
        <v>2</v>
      </c>
      <c r="N17" s="372"/>
      <c r="O17" s="372"/>
      <c r="P17" s="372"/>
      <c r="Q17" s="372"/>
      <c r="R17" s="371">
        <v>4</v>
      </c>
      <c r="S17" s="398">
        <v>44923</v>
      </c>
      <c r="U17" s="379"/>
      <c r="V17" s="394"/>
      <c r="W17" s="394"/>
      <c r="X17" s="369"/>
      <c r="Y17" s="399">
        <v>44923</v>
      </c>
      <c r="Z17" s="342"/>
    </row>
    <row r="18" spans="1:26" x14ac:dyDescent="0.2">
      <c r="A18" s="369"/>
      <c r="B18" s="371">
        <v>5</v>
      </c>
      <c r="C18" s="372">
        <v>5</v>
      </c>
      <c r="D18" s="372">
        <v>15</v>
      </c>
      <c r="E18" s="372"/>
      <c r="F18" s="372"/>
      <c r="G18" s="372">
        <v>4</v>
      </c>
      <c r="H18" s="372">
        <v>8</v>
      </c>
      <c r="I18" s="372">
        <v>2</v>
      </c>
      <c r="J18" s="372">
        <v>3</v>
      </c>
      <c r="K18" s="372">
        <v>2</v>
      </c>
      <c r="L18" s="372">
        <v>1</v>
      </c>
      <c r="M18" s="372">
        <v>2</v>
      </c>
      <c r="N18" s="372"/>
      <c r="O18" s="372">
        <v>2</v>
      </c>
      <c r="P18" s="372">
        <v>2</v>
      </c>
      <c r="Q18" s="372">
        <v>2</v>
      </c>
      <c r="R18" s="371"/>
      <c r="S18" s="398">
        <v>44924</v>
      </c>
      <c r="U18" s="379"/>
      <c r="V18" s="394"/>
      <c r="W18" s="400"/>
      <c r="X18" s="369"/>
      <c r="Y18" s="399">
        <v>44924</v>
      </c>
      <c r="Z18" s="342"/>
    </row>
    <row r="19" spans="1:26" ht="21" customHeight="1" x14ac:dyDescent="0.2">
      <c r="A19" s="377"/>
      <c r="B19" s="378"/>
      <c r="C19" s="378"/>
      <c r="D19" s="378"/>
      <c r="E19" s="378"/>
      <c r="F19" s="378"/>
      <c r="G19" s="378"/>
      <c r="H19" s="378"/>
      <c r="I19" s="378"/>
      <c r="J19" s="378"/>
      <c r="K19" s="378"/>
      <c r="L19" s="378"/>
      <c r="M19" s="378"/>
      <c r="N19" s="378"/>
      <c r="O19" s="378"/>
      <c r="P19" s="378"/>
      <c r="Q19" s="378"/>
      <c r="R19" s="378"/>
      <c r="S19" s="398">
        <v>44925</v>
      </c>
      <c r="T19" s="447" t="s">
        <v>126</v>
      </c>
      <c r="U19" s="379"/>
      <c r="V19" s="394"/>
      <c r="W19" s="394"/>
      <c r="X19" s="369"/>
      <c r="Y19" s="399">
        <v>44925</v>
      </c>
    </row>
    <row r="20" spans="1:26" x14ac:dyDescent="0.2">
      <c r="A20" s="377"/>
      <c r="B20" s="378"/>
      <c r="C20" s="378"/>
      <c r="D20" s="378"/>
      <c r="E20" s="378"/>
      <c r="F20" s="378"/>
      <c r="G20" s="378"/>
      <c r="H20" s="378"/>
      <c r="I20" s="378"/>
      <c r="J20" s="378"/>
      <c r="K20" s="378"/>
      <c r="L20" s="378"/>
      <c r="M20" s="378"/>
      <c r="N20" s="378"/>
      <c r="O20" s="378"/>
      <c r="P20" s="378"/>
      <c r="Q20" s="378"/>
      <c r="R20" s="378"/>
      <c r="S20" s="398">
        <v>44926</v>
      </c>
      <c r="T20" s="447"/>
      <c r="U20" s="379"/>
      <c r="V20" s="394"/>
      <c r="W20" s="394"/>
      <c r="X20" s="369"/>
      <c r="Y20" s="399">
        <v>44926</v>
      </c>
    </row>
    <row r="21" spans="1:26" x14ac:dyDescent="0.2">
      <c r="A21" s="377"/>
      <c r="B21" s="378"/>
      <c r="C21" s="378"/>
      <c r="D21" s="378"/>
      <c r="E21" s="378"/>
      <c r="F21" s="378"/>
      <c r="G21" s="378"/>
      <c r="H21" s="378"/>
      <c r="I21" s="378"/>
      <c r="J21" s="378"/>
      <c r="K21" s="378"/>
      <c r="L21" s="378"/>
      <c r="M21" s="378"/>
      <c r="N21" s="378"/>
      <c r="O21" s="378"/>
      <c r="P21" s="378"/>
      <c r="Q21" s="378"/>
      <c r="R21" s="378"/>
      <c r="S21" s="401">
        <v>44562</v>
      </c>
      <c r="T21" s="447"/>
      <c r="U21" s="379"/>
      <c r="V21" s="402"/>
      <c r="W21" s="402"/>
      <c r="X21" s="369"/>
      <c r="Y21" s="401">
        <v>44562</v>
      </c>
    </row>
    <row r="22" spans="1:26" x14ac:dyDescent="0.2">
      <c r="A22" s="377"/>
      <c r="B22" s="378"/>
      <c r="C22" s="378"/>
      <c r="D22" s="378"/>
      <c r="E22" s="378"/>
      <c r="F22" s="378"/>
      <c r="G22" s="378"/>
      <c r="H22" s="378"/>
      <c r="I22" s="378"/>
      <c r="J22" s="378"/>
      <c r="K22" s="378"/>
      <c r="L22" s="378"/>
      <c r="M22" s="378"/>
      <c r="N22" s="378"/>
      <c r="O22" s="378"/>
      <c r="P22" s="378"/>
      <c r="Q22" s="378"/>
      <c r="R22" s="378"/>
      <c r="S22" s="399">
        <v>44563</v>
      </c>
      <c r="T22" s="447"/>
      <c r="U22" s="379"/>
      <c r="X22" s="369"/>
      <c r="Y22" s="399">
        <v>44563</v>
      </c>
    </row>
    <row r="23" spans="1:26" x14ac:dyDescent="0.2">
      <c r="A23" s="369">
        <v>8</v>
      </c>
      <c r="B23" s="371">
        <v>2</v>
      </c>
      <c r="C23" s="372">
        <v>1</v>
      </c>
      <c r="D23" s="372">
        <v>1</v>
      </c>
      <c r="E23" s="372">
        <v>3</v>
      </c>
      <c r="F23" s="372"/>
      <c r="G23" s="372">
        <v>4</v>
      </c>
      <c r="H23" s="372"/>
      <c r="I23" s="372">
        <v>1</v>
      </c>
      <c r="J23" s="372">
        <v>3</v>
      </c>
      <c r="K23" s="372">
        <v>1</v>
      </c>
      <c r="L23" s="372"/>
      <c r="M23" s="372">
        <v>1</v>
      </c>
      <c r="N23" s="372"/>
      <c r="O23" s="372"/>
      <c r="P23" s="372"/>
      <c r="Q23" s="372"/>
      <c r="R23" s="371">
        <v>1</v>
      </c>
      <c r="S23" s="403">
        <v>44564</v>
      </c>
      <c r="T23" s="404"/>
      <c r="U23" s="379"/>
      <c r="X23" s="369">
        <v>8</v>
      </c>
      <c r="Y23" s="403">
        <v>44564</v>
      </c>
      <c r="Z23" s="315"/>
    </row>
    <row r="24" spans="1:26" x14ac:dyDescent="0.2">
      <c r="A24" s="369">
        <v>9</v>
      </c>
      <c r="B24" s="371">
        <v>3</v>
      </c>
      <c r="C24" s="372">
        <v>2</v>
      </c>
      <c r="D24" s="372">
        <v>3</v>
      </c>
      <c r="E24" s="372">
        <v>1</v>
      </c>
      <c r="F24" s="372"/>
      <c r="G24" s="372">
        <v>4</v>
      </c>
      <c r="H24" s="372">
        <v>4</v>
      </c>
      <c r="I24" s="372">
        <v>2</v>
      </c>
      <c r="J24" s="372">
        <v>3</v>
      </c>
      <c r="K24" s="372">
        <v>2</v>
      </c>
      <c r="L24" s="372"/>
      <c r="M24" s="372"/>
      <c r="N24" s="372"/>
      <c r="O24" s="372"/>
      <c r="P24" s="372">
        <v>0.5</v>
      </c>
      <c r="Q24" s="372"/>
      <c r="R24" s="371"/>
      <c r="S24" s="399">
        <v>44565</v>
      </c>
      <c r="U24" s="379"/>
      <c r="V24" s="388"/>
      <c r="X24" s="369">
        <v>9</v>
      </c>
      <c r="Y24" s="399">
        <v>44565</v>
      </c>
      <c r="Z24" s="342"/>
    </row>
    <row r="25" spans="1:26" x14ac:dyDescent="0.2">
      <c r="A25" s="369">
        <v>10</v>
      </c>
      <c r="B25" s="371">
        <v>2</v>
      </c>
      <c r="C25" s="372">
        <v>1</v>
      </c>
      <c r="D25" s="372">
        <v>1</v>
      </c>
      <c r="E25" s="372">
        <v>2</v>
      </c>
      <c r="F25" s="372"/>
      <c r="G25" s="372">
        <v>4</v>
      </c>
      <c r="H25" s="372">
        <v>4</v>
      </c>
      <c r="I25" s="372">
        <v>1</v>
      </c>
      <c r="J25" s="372">
        <v>3</v>
      </c>
      <c r="K25" s="372">
        <v>2</v>
      </c>
      <c r="L25" s="372"/>
      <c r="M25" s="372">
        <v>1</v>
      </c>
      <c r="N25" s="372"/>
      <c r="O25" s="372"/>
      <c r="P25" s="372">
        <v>0.5</v>
      </c>
      <c r="Q25" s="372"/>
      <c r="R25" s="371"/>
      <c r="S25" s="403">
        <v>44566</v>
      </c>
      <c r="U25" s="379"/>
      <c r="V25" s="388"/>
      <c r="X25" s="369">
        <v>10</v>
      </c>
      <c r="Y25" s="403">
        <v>44566</v>
      </c>
      <c r="Z25" s="342"/>
    </row>
    <row r="26" spans="1:26" x14ac:dyDescent="0.2">
      <c r="A26" s="369">
        <v>11</v>
      </c>
      <c r="B26" s="371">
        <v>3</v>
      </c>
      <c r="C26" s="372"/>
      <c r="D26" s="372">
        <v>3</v>
      </c>
      <c r="E26" s="372">
        <v>4</v>
      </c>
      <c r="F26" s="372"/>
      <c r="G26" s="372"/>
      <c r="H26" s="372">
        <v>4</v>
      </c>
      <c r="I26" s="372">
        <v>1</v>
      </c>
      <c r="J26" s="372">
        <v>3</v>
      </c>
      <c r="K26" s="372">
        <v>1</v>
      </c>
      <c r="L26" s="372"/>
      <c r="M26" s="372">
        <v>1</v>
      </c>
      <c r="N26" s="372"/>
      <c r="O26" s="372"/>
      <c r="P26" s="372"/>
      <c r="Q26" s="372"/>
      <c r="R26" s="371"/>
      <c r="S26" s="399">
        <v>44567</v>
      </c>
      <c r="U26" s="379"/>
      <c r="V26" s="388"/>
      <c r="X26" s="369">
        <v>11</v>
      </c>
      <c r="Y26" s="399">
        <v>44567</v>
      </c>
      <c r="Z26" s="342"/>
    </row>
    <row r="27" spans="1:26" x14ac:dyDescent="0.2">
      <c r="A27" s="369">
        <v>12</v>
      </c>
      <c r="B27" s="371">
        <v>3</v>
      </c>
      <c r="C27" s="372">
        <v>2</v>
      </c>
      <c r="D27" s="372">
        <v>3</v>
      </c>
      <c r="E27" s="372">
        <v>3</v>
      </c>
      <c r="F27" s="372"/>
      <c r="G27" s="372">
        <v>4</v>
      </c>
      <c r="H27" s="372"/>
      <c r="I27" s="372">
        <v>1</v>
      </c>
      <c r="J27" s="372">
        <v>3</v>
      </c>
      <c r="K27" s="372">
        <v>2</v>
      </c>
      <c r="L27" s="372"/>
      <c r="M27" s="372">
        <v>3</v>
      </c>
      <c r="N27" s="372"/>
      <c r="O27" s="372"/>
      <c r="P27" s="372">
        <v>0.5</v>
      </c>
      <c r="Q27" s="372">
        <v>2</v>
      </c>
      <c r="R27" s="371">
        <v>2</v>
      </c>
      <c r="S27" s="403">
        <v>44568</v>
      </c>
      <c r="U27" s="379"/>
      <c r="V27" s="388"/>
      <c r="X27" s="369">
        <v>12</v>
      </c>
      <c r="Y27" s="403">
        <v>44568</v>
      </c>
      <c r="Z27" s="342"/>
    </row>
    <row r="28" spans="1:26" x14ac:dyDescent="0.2">
      <c r="A28" s="377"/>
      <c r="B28" s="378"/>
      <c r="C28" s="378"/>
      <c r="D28" s="378"/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97">
        <v>44569</v>
      </c>
      <c r="T28" s="387" t="s">
        <v>125</v>
      </c>
      <c r="U28" s="379"/>
      <c r="V28" s="388"/>
      <c r="X28" s="369"/>
      <c r="Y28" s="397">
        <v>44569</v>
      </c>
      <c r="Z28" s="345"/>
    </row>
    <row r="29" spans="1:26" x14ac:dyDescent="0.2">
      <c r="A29" s="373">
        <v>13</v>
      </c>
      <c r="B29" s="374">
        <v>2</v>
      </c>
      <c r="C29" s="375">
        <v>1</v>
      </c>
      <c r="D29" s="375">
        <v>1</v>
      </c>
      <c r="E29" s="375">
        <v>4</v>
      </c>
      <c r="F29" s="375"/>
      <c r="G29" s="375">
        <v>4</v>
      </c>
      <c r="H29" s="375">
        <v>4</v>
      </c>
      <c r="I29" s="375">
        <v>1</v>
      </c>
      <c r="J29" s="375">
        <v>3</v>
      </c>
      <c r="K29" s="375">
        <v>2</v>
      </c>
      <c r="L29" s="375"/>
      <c r="M29" s="375">
        <v>2</v>
      </c>
      <c r="N29" s="375"/>
      <c r="O29" s="375">
        <v>1</v>
      </c>
      <c r="P29" s="375"/>
      <c r="Q29" s="375"/>
      <c r="R29" s="376"/>
      <c r="S29" s="403">
        <v>44570</v>
      </c>
      <c r="U29" s="379"/>
      <c r="V29" s="388"/>
      <c r="X29" s="373">
        <v>13</v>
      </c>
      <c r="Y29" s="403">
        <v>44570</v>
      </c>
      <c r="Z29" s="342"/>
    </row>
    <row r="30" spans="1:26" x14ac:dyDescent="0.2">
      <c r="A30" s="369">
        <v>14</v>
      </c>
      <c r="B30" s="370">
        <v>3</v>
      </c>
      <c r="C30" s="372">
        <v>2</v>
      </c>
      <c r="D30" s="372">
        <v>2</v>
      </c>
      <c r="E30" s="372">
        <v>4</v>
      </c>
      <c r="F30" s="372"/>
      <c r="G30" s="372"/>
      <c r="H30" s="372">
        <v>4</v>
      </c>
      <c r="I30" s="372">
        <v>1</v>
      </c>
      <c r="J30" s="372">
        <v>3</v>
      </c>
      <c r="K30" s="372">
        <v>2</v>
      </c>
      <c r="L30" s="372"/>
      <c r="M30" s="372">
        <v>2</v>
      </c>
      <c r="N30" s="372"/>
      <c r="O30" s="372">
        <v>1</v>
      </c>
      <c r="P30" s="372"/>
      <c r="Q30" s="372">
        <v>2</v>
      </c>
      <c r="R30" s="371"/>
      <c r="S30" s="395">
        <v>44571</v>
      </c>
      <c r="U30" s="379"/>
      <c r="V30" s="388"/>
      <c r="X30" s="369">
        <v>14</v>
      </c>
      <c r="Y30" s="395">
        <v>44571</v>
      </c>
      <c r="Z30" s="342"/>
    </row>
    <row r="31" spans="1:26" x14ac:dyDescent="0.2">
      <c r="A31" s="369">
        <v>15</v>
      </c>
      <c r="B31" s="370">
        <v>2</v>
      </c>
      <c r="C31" s="372">
        <v>1</v>
      </c>
      <c r="D31" s="372">
        <v>2</v>
      </c>
      <c r="E31" s="372">
        <v>4</v>
      </c>
      <c r="F31" s="372"/>
      <c r="G31" s="372">
        <v>4</v>
      </c>
      <c r="H31" s="372">
        <v>4</v>
      </c>
      <c r="I31" s="372">
        <v>1</v>
      </c>
      <c r="J31" s="372"/>
      <c r="K31" s="372">
        <v>2</v>
      </c>
      <c r="L31" s="372">
        <v>1</v>
      </c>
      <c r="M31" s="372">
        <v>3</v>
      </c>
      <c r="N31" s="372">
        <v>1</v>
      </c>
      <c r="O31" s="372">
        <v>1</v>
      </c>
      <c r="P31" s="372">
        <v>0.5</v>
      </c>
      <c r="Q31" s="372"/>
      <c r="R31" s="371"/>
      <c r="S31" s="405">
        <v>44572</v>
      </c>
      <c r="U31" s="379"/>
      <c r="V31" s="388"/>
      <c r="X31" s="369">
        <v>15</v>
      </c>
      <c r="Y31" s="405">
        <v>44572</v>
      </c>
      <c r="Z31" s="342"/>
    </row>
    <row r="32" spans="1:26" x14ac:dyDescent="0.2">
      <c r="A32" s="369">
        <v>16</v>
      </c>
      <c r="B32" s="370">
        <v>2</v>
      </c>
      <c r="C32" s="372">
        <v>2</v>
      </c>
      <c r="D32" s="372">
        <v>2</v>
      </c>
      <c r="E32" s="372">
        <v>3</v>
      </c>
      <c r="F32" s="372"/>
      <c r="G32" s="372">
        <v>4</v>
      </c>
      <c r="H32" s="372">
        <v>4</v>
      </c>
      <c r="I32" s="372">
        <v>1</v>
      </c>
      <c r="J32" s="372">
        <v>3</v>
      </c>
      <c r="K32" s="372">
        <v>1</v>
      </c>
      <c r="L32" s="372"/>
      <c r="M32" s="372">
        <v>2</v>
      </c>
      <c r="N32" s="372"/>
      <c r="O32" s="372"/>
      <c r="P32" s="372"/>
      <c r="Q32" s="372"/>
      <c r="R32" s="371">
        <v>2</v>
      </c>
      <c r="S32" s="395">
        <v>44573</v>
      </c>
      <c r="U32" s="379"/>
      <c r="V32" s="388"/>
      <c r="X32" s="369">
        <v>16</v>
      </c>
      <c r="Y32" s="395">
        <v>44573</v>
      </c>
      <c r="Z32" s="342"/>
    </row>
    <row r="33" spans="22:22" x14ac:dyDescent="0.2">
      <c r="V33" s="388"/>
    </row>
    <row r="34" spans="22:22" x14ac:dyDescent="0.2">
      <c r="V34" s="388"/>
    </row>
    <row r="35" spans="22:22" x14ac:dyDescent="0.2">
      <c r="V35" s="388"/>
    </row>
    <row r="36" spans="22:22" x14ac:dyDescent="0.2">
      <c r="V36" s="388"/>
    </row>
    <row r="37" spans="22:22" x14ac:dyDescent="0.2">
      <c r="V37" s="388"/>
    </row>
    <row r="38" spans="22:22" x14ac:dyDescent="0.2">
      <c r="V38" s="388"/>
    </row>
    <row r="39" spans="22:22" x14ac:dyDescent="0.2">
      <c r="V39" s="388"/>
    </row>
    <row r="40" spans="22:22" x14ac:dyDescent="0.2">
      <c r="V40" s="388"/>
    </row>
    <row r="41" spans="22:22" x14ac:dyDescent="0.2">
      <c r="V41" s="388"/>
    </row>
    <row r="42" spans="22:22" x14ac:dyDescent="0.2">
      <c r="V42" s="388"/>
    </row>
    <row r="43" spans="22:22" x14ac:dyDescent="0.2">
      <c r="V43" s="388"/>
    </row>
    <row r="44" spans="22:22" x14ac:dyDescent="0.2">
      <c r="V44" s="388"/>
    </row>
    <row r="45" spans="22:22" x14ac:dyDescent="0.2">
      <c r="V45" s="388"/>
    </row>
    <row r="46" spans="22:22" x14ac:dyDescent="0.2">
      <c r="V46" s="388"/>
    </row>
    <row r="47" spans="22:22" x14ac:dyDescent="0.2">
      <c r="V47" s="388"/>
    </row>
    <row r="48" spans="22:22" x14ac:dyDescent="0.2">
      <c r="V48" s="388"/>
    </row>
    <row r="49" spans="22:22" x14ac:dyDescent="0.2">
      <c r="V49" s="388"/>
    </row>
  </sheetData>
  <mergeCells count="2">
    <mergeCell ref="B1:R1"/>
    <mergeCell ref="T19:T2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C49E7-1E23-DD41-8B9F-01A5002EEA56}">
  <sheetPr>
    <tabColor rgb="FFB9F3BE"/>
  </sheetPr>
  <dimension ref="A1:BT37"/>
  <sheetViews>
    <sheetView zoomScale="80" zoomScaleNormal="80" workbookViewId="0">
      <selection activeCell="AE17" sqref="AE17"/>
    </sheetView>
  </sheetViews>
  <sheetFormatPr baseColWidth="10" defaultColWidth="8.83203125" defaultRowHeight="24" x14ac:dyDescent="0.2"/>
  <cols>
    <col min="1" max="1" width="3.5" style="28" bestFit="1" customWidth="1"/>
    <col min="2" max="2" width="19.6640625" style="32" bestFit="1" customWidth="1"/>
    <col min="3" max="3" width="27" style="28" bestFit="1" customWidth="1"/>
    <col min="4" max="4" width="8.1640625" style="28" bestFit="1" customWidth="1"/>
    <col min="5" max="34" width="3.83203125" style="28" customWidth="1"/>
    <col min="35" max="35" width="6.5" style="28" bestFit="1" customWidth="1"/>
    <col min="36" max="38" width="8.83203125" style="28"/>
    <col min="39" max="51" width="8.83203125" style="379"/>
    <col min="52" max="61" width="8.83203125" style="28"/>
    <col min="62" max="62" width="9.1640625" style="28" bestFit="1" customWidth="1"/>
    <col min="63" max="64" width="8.83203125" style="28"/>
    <col min="65" max="66" width="9.33203125" style="28" bestFit="1" customWidth="1"/>
    <col min="67" max="67" width="8.83203125" style="282"/>
    <col min="68" max="68" width="8.83203125" style="28"/>
    <col min="69" max="69" width="9.33203125" style="28" bestFit="1" customWidth="1"/>
    <col min="70" max="70" width="9.33203125" style="381" bestFit="1" customWidth="1"/>
    <col min="71" max="71" width="8.83203125" style="381"/>
    <col min="72" max="72" width="8.83203125" style="28"/>
    <col min="73" max="73" width="9.33203125" style="28" bestFit="1" customWidth="1"/>
    <col min="74" max="76" width="8.83203125" style="28"/>
    <col min="77" max="77" width="9.33203125" style="28" bestFit="1" customWidth="1"/>
    <col min="78" max="16384" width="8.83203125" style="28"/>
  </cols>
  <sheetData>
    <row r="1" spans="1:72" x14ac:dyDescent="0.2">
      <c r="B1" s="29" t="s">
        <v>24</v>
      </c>
      <c r="C1" s="29" t="s">
        <v>25</v>
      </c>
      <c r="D1" s="29" t="s">
        <v>58</v>
      </c>
      <c r="E1" s="417">
        <v>1</v>
      </c>
      <c r="F1" s="417">
        <v>2</v>
      </c>
      <c r="G1" s="417">
        <v>3</v>
      </c>
      <c r="H1" s="417"/>
      <c r="I1" s="417"/>
      <c r="J1" s="417">
        <v>4</v>
      </c>
      <c r="K1" s="417">
        <v>5</v>
      </c>
      <c r="L1" s="417"/>
      <c r="M1" s="417"/>
      <c r="N1" s="417"/>
      <c r="O1" s="417"/>
      <c r="P1" s="417"/>
      <c r="Q1" s="417">
        <v>6</v>
      </c>
      <c r="R1" s="417">
        <v>7</v>
      </c>
      <c r="S1" s="417"/>
      <c r="T1" s="417"/>
      <c r="U1" s="417"/>
      <c r="V1" s="417"/>
      <c r="W1" s="417"/>
      <c r="X1" s="417"/>
      <c r="Y1" s="417">
        <v>8</v>
      </c>
      <c r="Z1" s="417">
        <v>9</v>
      </c>
      <c r="AA1" s="417">
        <v>10</v>
      </c>
      <c r="AB1" s="417">
        <v>11</v>
      </c>
      <c r="AC1" s="417">
        <v>12</v>
      </c>
      <c r="AD1" s="417"/>
      <c r="AE1" s="417">
        <v>13</v>
      </c>
      <c r="AF1" s="417">
        <v>14</v>
      </c>
      <c r="AG1" s="417">
        <v>15</v>
      </c>
      <c r="AH1" s="417">
        <v>16</v>
      </c>
      <c r="AI1" s="29" t="s">
        <v>26</v>
      </c>
      <c r="AL1" s="29">
        <v>0</v>
      </c>
      <c r="AM1" s="29">
        <v>1</v>
      </c>
      <c r="AN1" s="29">
        <v>2</v>
      </c>
      <c r="AO1" s="29">
        <v>3</v>
      </c>
      <c r="AP1" s="29">
        <v>4</v>
      </c>
      <c r="AQ1" s="29">
        <v>5</v>
      </c>
      <c r="AR1" s="29">
        <v>6</v>
      </c>
      <c r="AS1" s="29">
        <v>7</v>
      </c>
      <c r="AT1" s="29">
        <v>8</v>
      </c>
      <c r="AU1" s="29">
        <v>9</v>
      </c>
      <c r="AV1" s="29">
        <v>10</v>
      </c>
      <c r="AW1" s="29">
        <v>11</v>
      </c>
      <c r="AX1" s="29">
        <v>12</v>
      </c>
      <c r="AY1" s="29">
        <v>13</v>
      </c>
      <c r="AZ1" s="265">
        <v>14</v>
      </c>
      <c r="BA1" s="29">
        <v>15</v>
      </c>
      <c r="BB1" s="265">
        <v>16</v>
      </c>
      <c r="BC1" s="29">
        <v>17</v>
      </c>
      <c r="BD1" s="29">
        <v>18</v>
      </c>
      <c r="BE1" s="29">
        <v>19</v>
      </c>
      <c r="BF1" s="265">
        <v>20</v>
      </c>
      <c r="BG1" s="265">
        <v>21</v>
      </c>
      <c r="BH1" s="29">
        <v>22</v>
      </c>
    </row>
    <row r="2" spans="1:72" x14ac:dyDescent="0.2">
      <c r="A2" s="29">
        <v>0</v>
      </c>
      <c r="B2" s="30" t="s">
        <v>102</v>
      </c>
      <c r="C2" s="31" t="s">
        <v>75</v>
      </c>
      <c r="D2" s="31">
        <v>9.5909999999999993</v>
      </c>
      <c r="E2" s="31">
        <v>47</v>
      </c>
      <c r="F2" s="31">
        <v>54</v>
      </c>
      <c r="G2" s="31">
        <v>49</v>
      </c>
      <c r="H2" s="31">
        <v>46</v>
      </c>
      <c r="I2" s="31">
        <v>48</v>
      </c>
      <c r="J2" s="31">
        <v>45</v>
      </c>
      <c r="K2" s="31">
        <v>46</v>
      </c>
      <c r="L2" s="31">
        <v>47</v>
      </c>
      <c r="M2" s="31">
        <v>54</v>
      </c>
      <c r="N2" s="31">
        <v>49</v>
      </c>
      <c r="O2" s="31">
        <v>46</v>
      </c>
      <c r="P2" s="31">
        <v>48</v>
      </c>
      <c r="Q2" s="31">
        <v>45</v>
      </c>
      <c r="R2" s="31">
        <v>46</v>
      </c>
      <c r="S2" s="31">
        <v>47</v>
      </c>
      <c r="T2" s="31">
        <v>54</v>
      </c>
      <c r="U2" s="31">
        <v>49</v>
      </c>
      <c r="V2" s="31">
        <v>46</v>
      </c>
      <c r="W2" s="31">
        <v>48</v>
      </c>
      <c r="X2" s="31">
        <v>45</v>
      </c>
      <c r="Y2" s="31">
        <v>46</v>
      </c>
      <c r="Z2" s="31">
        <v>47</v>
      </c>
      <c r="AA2" s="31">
        <v>54</v>
      </c>
      <c r="AB2" s="31">
        <v>49</v>
      </c>
      <c r="AC2" s="31">
        <v>46</v>
      </c>
      <c r="AD2" s="31">
        <v>48</v>
      </c>
      <c r="AE2" s="31">
        <v>45</v>
      </c>
      <c r="AF2" s="31">
        <v>46</v>
      </c>
      <c r="AG2" s="31">
        <v>47</v>
      </c>
      <c r="AH2" s="31">
        <v>53</v>
      </c>
      <c r="AI2" s="31" t="s">
        <v>103</v>
      </c>
      <c r="AJ2" s="28" t="s">
        <v>44</v>
      </c>
      <c r="AK2" s="29" t="s">
        <v>24</v>
      </c>
      <c r="AL2" s="31" t="s">
        <v>102</v>
      </c>
      <c r="AM2" s="369" t="s">
        <v>62</v>
      </c>
      <c r="AN2" s="369" t="s">
        <v>21</v>
      </c>
      <c r="AO2" s="369" t="s">
        <v>84</v>
      </c>
      <c r="AP2" s="369" t="s">
        <v>71</v>
      </c>
      <c r="AQ2" s="369" t="s">
        <v>76</v>
      </c>
      <c r="AR2" s="369" t="s">
        <v>74</v>
      </c>
      <c r="AS2" s="369" t="s">
        <v>106</v>
      </c>
      <c r="AT2" s="369" t="s">
        <v>107</v>
      </c>
      <c r="AU2" s="369" t="s">
        <v>77</v>
      </c>
      <c r="AV2" s="369" t="s">
        <v>91</v>
      </c>
      <c r="AW2" s="369" t="s">
        <v>69</v>
      </c>
      <c r="AX2" s="369" t="s">
        <v>67</v>
      </c>
      <c r="AY2" s="369" t="s">
        <v>88</v>
      </c>
      <c r="AZ2" s="31" t="s">
        <v>80</v>
      </c>
      <c r="BA2" s="31" t="s">
        <v>92</v>
      </c>
      <c r="BB2" s="31" t="s">
        <v>82</v>
      </c>
      <c r="BC2" s="31" t="s">
        <v>65</v>
      </c>
      <c r="BD2" s="31" t="s">
        <v>112</v>
      </c>
      <c r="BE2" s="31" t="s">
        <v>114</v>
      </c>
      <c r="BF2" s="31" t="s">
        <v>117</v>
      </c>
      <c r="BG2" s="31" t="s">
        <v>86</v>
      </c>
      <c r="BH2" s="31" t="s">
        <v>119</v>
      </c>
    </row>
    <row r="3" spans="1:72" x14ac:dyDescent="0.35">
      <c r="A3" s="29">
        <v>1</v>
      </c>
      <c r="B3" s="30" t="s">
        <v>62</v>
      </c>
      <c r="C3" s="31" t="s">
        <v>63</v>
      </c>
      <c r="D3" s="31">
        <v>0.56100000000000005</v>
      </c>
      <c r="E3" s="31">
        <v>1</v>
      </c>
      <c r="F3" s="31">
        <v>1</v>
      </c>
      <c r="G3" s="31">
        <v>1</v>
      </c>
      <c r="H3" s="31">
        <v>1</v>
      </c>
      <c r="I3" s="31">
        <v>1</v>
      </c>
      <c r="J3" s="31">
        <v>1</v>
      </c>
      <c r="K3" s="31">
        <v>1</v>
      </c>
      <c r="L3" s="31">
        <v>1</v>
      </c>
      <c r="M3" s="31">
        <v>1</v>
      </c>
      <c r="N3" s="31">
        <v>1</v>
      </c>
      <c r="O3" s="31">
        <v>1</v>
      </c>
      <c r="P3" s="31">
        <v>1</v>
      </c>
      <c r="Q3" s="31">
        <v>1</v>
      </c>
      <c r="R3" s="31">
        <v>1</v>
      </c>
      <c r="S3" s="31">
        <v>1</v>
      </c>
      <c r="T3" s="31">
        <v>1</v>
      </c>
      <c r="U3" s="31">
        <v>1</v>
      </c>
      <c r="V3" s="31">
        <v>1</v>
      </c>
      <c r="W3" s="31">
        <v>1</v>
      </c>
      <c r="X3" s="31">
        <v>1</v>
      </c>
      <c r="Y3" s="31">
        <v>1</v>
      </c>
      <c r="Z3" s="31">
        <v>1</v>
      </c>
      <c r="AA3" s="31">
        <v>1</v>
      </c>
      <c r="AB3" s="31">
        <v>1</v>
      </c>
      <c r="AC3" s="31">
        <v>1</v>
      </c>
      <c r="AD3" s="31">
        <v>1</v>
      </c>
      <c r="AE3" s="31">
        <v>1</v>
      </c>
      <c r="AF3" s="31">
        <v>1</v>
      </c>
      <c r="AG3" s="31">
        <v>1</v>
      </c>
      <c r="AH3" s="31">
        <v>1</v>
      </c>
      <c r="AI3" s="31" t="s">
        <v>64</v>
      </c>
      <c r="AK3" s="29" t="s">
        <v>25</v>
      </c>
      <c r="AL3" s="31" t="s">
        <v>75</v>
      </c>
      <c r="AM3" s="369" t="s">
        <v>63</v>
      </c>
      <c r="AN3" s="369" t="s">
        <v>29</v>
      </c>
      <c r="AO3" s="369" t="s">
        <v>27</v>
      </c>
      <c r="AP3" s="369" t="s">
        <v>72</v>
      </c>
      <c r="AQ3" s="369" t="s">
        <v>29</v>
      </c>
      <c r="AR3" s="369" t="s">
        <v>29</v>
      </c>
      <c r="AS3" s="369" t="s">
        <v>68</v>
      </c>
      <c r="AT3" s="369" t="s">
        <v>28</v>
      </c>
      <c r="AU3" s="369" t="s">
        <v>63</v>
      </c>
      <c r="AV3" s="369" t="s">
        <v>63</v>
      </c>
      <c r="AW3" s="369" t="s">
        <v>68</v>
      </c>
      <c r="AX3" s="369" t="s">
        <v>68</v>
      </c>
      <c r="AY3" s="369" t="s">
        <v>78</v>
      </c>
      <c r="AZ3" s="31" t="s">
        <v>28</v>
      </c>
      <c r="BA3" s="31" t="s">
        <v>28</v>
      </c>
      <c r="BB3" s="31" t="s">
        <v>28</v>
      </c>
      <c r="BC3" s="31" t="s">
        <v>29</v>
      </c>
      <c r="BD3" s="31" t="s">
        <v>63</v>
      </c>
      <c r="BE3" s="31" t="s">
        <v>115</v>
      </c>
      <c r="BF3" s="31" t="s">
        <v>29</v>
      </c>
      <c r="BG3" s="31" t="s">
        <v>27</v>
      </c>
      <c r="BH3" s="31" t="s">
        <v>72</v>
      </c>
      <c r="BT3" s="198"/>
    </row>
    <row r="4" spans="1:72" x14ac:dyDescent="0.2">
      <c r="A4" s="29">
        <v>2</v>
      </c>
      <c r="B4" s="30" t="s">
        <v>21</v>
      </c>
      <c r="C4" s="31" t="s">
        <v>29</v>
      </c>
      <c r="D4" s="31">
        <v>6.173</v>
      </c>
      <c r="E4" s="31">
        <v>17</v>
      </c>
      <c r="F4" s="31">
        <v>17</v>
      </c>
      <c r="G4" s="31">
        <v>18</v>
      </c>
      <c r="H4" s="31">
        <v>16</v>
      </c>
      <c r="I4" s="31">
        <v>17</v>
      </c>
      <c r="J4" s="31">
        <v>18</v>
      </c>
      <c r="K4" s="31">
        <v>21</v>
      </c>
      <c r="L4" s="31">
        <v>17</v>
      </c>
      <c r="M4" s="31">
        <v>17</v>
      </c>
      <c r="N4" s="31">
        <v>18</v>
      </c>
      <c r="O4" s="31">
        <v>16</v>
      </c>
      <c r="P4" s="31">
        <v>17</v>
      </c>
      <c r="Q4" s="31">
        <v>18</v>
      </c>
      <c r="R4" s="31">
        <v>21</v>
      </c>
      <c r="S4" s="31">
        <v>17</v>
      </c>
      <c r="T4" s="31">
        <v>17</v>
      </c>
      <c r="U4" s="31">
        <v>18</v>
      </c>
      <c r="V4" s="31">
        <v>16</v>
      </c>
      <c r="W4" s="31">
        <v>17</v>
      </c>
      <c r="X4" s="31">
        <v>18</v>
      </c>
      <c r="Y4" s="31">
        <v>21</v>
      </c>
      <c r="Z4" s="31">
        <v>17</v>
      </c>
      <c r="AA4" s="31">
        <v>17</v>
      </c>
      <c r="AB4" s="31">
        <v>18</v>
      </c>
      <c r="AC4" s="31">
        <v>16</v>
      </c>
      <c r="AD4" s="31">
        <v>17</v>
      </c>
      <c r="AE4" s="31">
        <v>18</v>
      </c>
      <c r="AF4" s="31">
        <v>21</v>
      </c>
      <c r="AG4" s="31">
        <v>17</v>
      </c>
      <c r="AH4" s="31">
        <v>18</v>
      </c>
      <c r="AI4" s="31" t="s">
        <v>90</v>
      </c>
      <c r="AK4" s="29" t="s">
        <v>58</v>
      </c>
      <c r="AL4" s="31">
        <v>9.5909999999999993</v>
      </c>
      <c r="AM4" s="369">
        <v>0.56100000000000005</v>
      </c>
      <c r="AN4" s="369">
        <v>6.173</v>
      </c>
      <c r="AO4" s="369">
        <v>1.754</v>
      </c>
      <c r="AP4" s="369">
        <v>6.4029999999999996</v>
      </c>
      <c r="AQ4" s="369">
        <v>4.4630000000000001</v>
      </c>
      <c r="AR4" s="369">
        <v>10.196</v>
      </c>
      <c r="AS4" s="369">
        <v>4.4560000000000004</v>
      </c>
      <c r="AT4" s="369">
        <v>2.133</v>
      </c>
      <c r="AU4" s="369">
        <v>4.5129999999999999</v>
      </c>
      <c r="AV4" s="369">
        <v>2.3090000000000002</v>
      </c>
      <c r="AW4" s="369">
        <v>4.548</v>
      </c>
      <c r="AX4" s="369">
        <v>2.3519999999999999</v>
      </c>
      <c r="AY4" s="369">
        <v>1.4730000000000001</v>
      </c>
      <c r="AZ4" s="31">
        <v>1.613</v>
      </c>
      <c r="BA4" s="31">
        <v>0.78100000000000003</v>
      </c>
      <c r="BB4" s="31">
        <v>1.073</v>
      </c>
      <c r="BC4" s="31">
        <v>2.706</v>
      </c>
      <c r="BD4" s="31">
        <v>4.8949999999999996</v>
      </c>
      <c r="BE4" s="31">
        <v>0.82599999999999996</v>
      </c>
      <c r="BF4" s="31">
        <v>1.2230000000000001</v>
      </c>
      <c r="BG4" s="31">
        <v>1.1859999999999999</v>
      </c>
      <c r="BH4" s="31">
        <v>0.83099999999999996</v>
      </c>
      <c r="BJ4" s="28" t="s">
        <v>143</v>
      </c>
      <c r="BK4" s="381"/>
      <c r="BL4" s="28" t="s">
        <v>44</v>
      </c>
      <c r="BO4" s="28"/>
      <c r="BP4" s="411" t="s">
        <v>44</v>
      </c>
      <c r="BQ4" s="412" t="s">
        <v>143</v>
      </c>
      <c r="BR4" s="28"/>
      <c r="BS4" s="28"/>
    </row>
    <row r="5" spans="1:72" x14ac:dyDescent="0.2">
      <c r="A5" s="29">
        <v>3</v>
      </c>
      <c r="B5" s="30" t="s">
        <v>84</v>
      </c>
      <c r="C5" s="31" t="s">
        <v>27</v>
      </c>
      <c r="D5" s="31">
        <v>1.754</v>
      </c>
      <c r="E5" s="31">
        <v>2</v>
      </c>
      <c r="F5" s="31">
        <v>2</v>
      </c>
      <c r="G5" s="31">
        <v>2</v>
      </c>
      <c r="H5" s="31">
        <v>2</v>
      </c>
      <c r="I5" s="31">
        <v>2</v>
      </c>
      <c r="J5" s="31">
        <v>2</v>
      </c>
      <c r="K5" s="31">
        <v>2</v>
      </c>
      <c r="L5" s="31">
        <v>2</v>
      </c>
      <c r="M5" s="31">
        <v>2</v>
      </c>
      <c r="N5" s="31">
        <v>2</v>
      </c>
      <c r="O5" s="31">
        <v>2</v>
      </c>
      <c r="P5" s="31">
        <v>2</v>
      </c>
      <c r="Q5" s="31">
        <v>2</v>
      </c>
      <c r="R5" s="31">
        <v>2</v>
      </c>
      <c r="S5" s="31">
        <v>2</v>
      </c>
      <c r="T5" s="31">
        <v>2</v>
      </c>
      <c r="U5" s="31">
        <v>2</v>
      </c>
      <c r="V5" s="31">
        <v>2</v>
      </c>
      <c r="W5" s="31">
        <v>2</v>
      </c>
      <c r="X5" s="31">
        <v>2</v>
      </c>
      <c r="Y5" s="31">
        <v>2</v>
      </c>
      <c r="Z5" s="31">
        <v>2</v>
      </c>
      <c r="AA5" s="31">
        <v>2</v>
      </c>
      <c r="AB5" s="31">
        <v>2</v>
      </c>
      <c r="AC5" s="31">
        <v>2</v>
      </c>
      <c r="AD5" s="31">
        <v>2</v>
      </c>
      <c r="AE5" s="31">
        <v>2</v>
      </c>
      <c r="AF5" s="31">
        <v>2</v>
      </c>
      <c r="AG5" s="31">
        <v>2</v>
      </c>
      <c r="AH5" s="31">
        <v>2</v>
      </c>
      <c r="AI5" s="31" t="s">
        <v>85</v>
      </c>
      <c r="AJ5" s="28">
        <v>1</v>
      </c>
      <c r="AK5" s="29" t="s">
        <v>59</v>
      </c>
      <c r="AL5" s="31">
        <v>47</v>
      </c>
      <c r="AM5" s="369">
        <v>1</v>
      </c>
      <c r="AN5" s="369">
        <v>17</v>
      </c>
      <c r="AO5" s="369">
        <v>2</v>
      </c>
      <c r="AP5" s="369">
        <v>19</v>
      </c>
      <c r="AQ5" s="369">
        <v>10</v>
      </c>
      <c r="AR5" s="369">
        <v>23</v>
      </c>
      <c r="AS5" s="369">
        <v>3</v>
      </c>
      <c r="AT5" s="369">
        <v>4</v>
      </c>
      <c r="AU5" s="369">
        <v>9</v>
      </c>
      <c r="AV5" s="369">
        <v>4</v>
      </c>
      <c r="AW5" s="369">
        <v>3</v>
      </c>
      <c r="AX5" s="369">
        <v>4</v>
      </c>
      <c r="AY5" s="369">
        <v>2</v>
      </c>
      <c r="AZ5" s="31">
        <v>3</v>
      </c>
      <c r="BA5" s="31">
        <v>1</v>
      </c>
      <c r="BB5" s="31">
        <v>1</v>
      </c>
      <c r="BC5" s="31">
        <v>5</v>
      </c>
      <c r="BD5" s="31">
        <v>8</v>
      </c>
      <c r="BE5" s="31">
        <v>1</v>
      </c>
      <c r="BF5" s="31">
        <v>2</v>
      </c>
      <c r="BG5" s="31">
        <v>1</v>
      </c>
      <c r="BH5" s="31">
        <v>1</v>
      </c>
      <c r="BJ5" s="106">
        <f>SUMPRODUCT(AL5:BH5,$AL$37:$BH$37)</f>
        <v>9265</v>
      </c>
      <c r="BK5" s="407">
        <v>44909</v>
      </c>
      <c r="BL5" s="28">
        <v>1</v>
      </c>
      <c r="BM5" s="106">
        <v>9265</v>
      </c>
      <c r="BO5" s="28"/>
      <c r="BP5" s="413">
        <v>1</v>
      </c>
      <c r="BQ5" s="414">
        <v>9265</v>
      </c>
      <c r="BR5" s="28"/>
      <c r="BS5" s="28"/>
    </row>
    <row r="6" spans="1:72" x14ac:dyDescent="0.2">
      <c r="A6" s="29">
        <v>4</v>
      </c>
      <c r="B6" s="30" t="s">
        <v>71</v>
      </c>
      <c r="C6" s="31" t="s">
        <v>72</v>
      </c>
      <c r="D6" s="31">
        <v>6.4029999999999996</v>
      </c>
      <c r="E6" s="31">
        <v>19</v>
      </c>
      <c r="F6" s="31">
        <v>19</v>
      </c>
      <c r="G6" s="31">
        <v>19</v>
      </c>
      <c r="H6" s="31">
        <v>19</v>
      </c>
      <c r="I6" s="31">
        <v>19</v>
      </c>
      <c r="J6" s="31">
        <v>19</v>
      </c>
      <c r="K6" s="31">
        <v>19</v>
      </c>
      <c r="L6" s="31">
        <v>19</v>
      </c>
      <c r="M6" s="31">
        <v>19</v>
      </c>
      <c r="N6" s="31">
        <v>19</v>
      </c>
      <c r="O6" s="31">
        <v>19</v>
      </c>
      <c r="P6" s="31">
        <v>19</v>
      </c>
      <c r="Q6" s="31">
        <v>19</v>
      </c>
      <c r="R6" s="31">
        <v>19</v>
      </c>
      <c r="S6" s="31">
        <v>19</v>
      </c>
      <c r="T6" s="31">
        <v>19</v>
      </c>
      <c r="U6" s="31">
        <v>19</v>
      </c>
      <c r="V6" s="31">
        <v>19</v>
      </c>
      <c r="W6" s="31">
        <v>19</v>
      </c>
      <c r="X6" s="31">
        <v>19</v>
      </c>
      <c r="Y6" s="31">
        <v>19</v>
      </c>
      <c r="Z6" s="31">
        <v>19</v>
      </c>
      <c r="AA6" s="31">
        <v>19</v>
      </c>
      <c r="AB6" s="31">
        <v>19</v>
      </c>
      <c r="AC6" s="31">
        <v>19</v>
      </c>
      <c r="AD6" s="31">
        <v>19</v>
      </c>
      <c r="AE6" s="31">
        <v>19</v>
      </c>
      <c r="AF6" s="31">
        <v>19</v>
      </c>
      <c r="AG6" s="31">
        <v>19</v>
      </c>
      <c r="AH6" s="31">
        <v>19</v>
      </c>
      <c r="AI6" s="31" t="s">
        <v>73</v>
      </c>
      <c r="AJ6" s="28">
        <v>2</v>
      </c>
      <c r="AK6" s="29" t="s">
        <v>60</v>
      </c>
      <c r="AL6" s="31">
        <v>54</v>
      </c>
      <c r="AM6" s="369">
        <v>1</v>
      </c>
      <c r="AN6" s="369">
        <v>17</v>
      </c>
      <c r="AO6" s="369">
        <v>2</v>
      </c>
      <c r="AP6" s="369">
        <v>19</v>
      </c>
      <c r="AQ6" s="369">
        <v>11</v>
      </c>
      <c r="AR6" s="369">
        <v>25</v>
      </c>
      <c r="AS6" s="369">
        <v>3</v>
      </c>
      <c r="AT6" s="369">
        <v>4</v>
      </c>
      <c r="AU6" s="369">
        <v>9</v>
      </c>
      <c r="AV6" s="369">
        <v>4</v>
      </c>
      <c r="AW6" s="369">
        <v>3</v>
      </c>
      <c r="AX6" s="369">
        <v>4</v>
      </c>
      <c r="AY6" s="369">
        <v>2</v>
      </c>
      <c r="AZ6" s="31">
        <v>3</v>
      </c>
      <c r="BA6" s="31">
        <v>1</v>
      </c>
      <c r="BB6" s="31">
        <v>1</v>
      </c>
      <c r="BC6" s="31">
        <v>5</v>
      </c>
      <c r="BD6" s="31">
        <v>8</v>
      </c>
      <c r="BE6" s="31">
        <v>1</v>
      </c>
      <c r="BF6" s="31">
        <v>2</v>
      </c>
      <c r="BG6" s="31">
        <v>2</v>
      </c>
      <c r="BH6" s="31">
        <v>1</v>
      </c>
      <c r="BJ6" s="106">
        <f t="shared" ref="BJ6:BJ33" si="0">SUMPRODUCT(AL6:BH6,$AL$37:$BH$37)</f>
        <v>9895</v>
      </c>
      <c r="BK6" s="407">
        <v>44910</v>
      </c>
      <c r="BL6" s="28">
        <v>2</v>
      </c>
      <c r="BM6" s="106">
        <v>9895</v>
      </c>
      <c r="BO6" s="28"/>
      <c r="BP6" s="413">
        <v>2</v>
      </c>
      <c r="BQ6" s="414">
        <v>9895</v>
      </c>
      <c r="BR6" s="28"/>
      <c r="BS6" s="28"/>
    </row>
    <row r="7" spans="1:72" x14ac:dyDescent="0.2">
      <c r="A7" s="29">
        <v>5</v>
      </c>
      <c r="B7" s="30" t="s">
        <v>76</v>
      </c>
      <c r="C7" s="31" t="s">
        <v>29</v>
      </c>
      <c r="D7" s="31">
        <v>4.4630000000000001</v>
      </c>
      <c r="E7" s="31">
        <v>10</v>
      </c>
      <c r="F7" s="31">
        <v>11</v>
      </c>
      <c r="G7" s="31">
        <v>11</v>
      </c>
      <c r="H7" s="31">
        <v>11</v>
      </c>
      <c r="I7" s="31">
        <v>10</v>
      </c>
      <c r="J7" s="31">
        <v>10</v>
      </c>
      <c r="K7" s="31">
        <v>10</v>
      </c>
      <c r="L7" s="31">
        <v>10</v>
      </c>
      <c r="M7" s="31">
        <v>11</v>
      </c>
      <c r="N7" s="31">
        <v>11</v>
      </c>
      <c r="O7" s="31">
        <v>11</v>
      </c>
      <c r="P7" s="31">
        <v>10</v>
      </c>
      <c r="Q7" s="31">
        <v>10</v>
      </c>
      <c r="R7" s="31">
        <v>10</v>
      </c>
      <c r="S7" s="31">
        <v>10</v>
      </c>
      <c r="T7" s="31">
        <v>11</v>
      </c>
      <c r="U7" s="31">
        <v>11</v>
      </c>
      <c r="V7" s="31">
        <v>11</v>
      </c>
      <c r="W7" s="31">
        <v>10</v>
      </c>
      <c r="X7" s="31">
        <v>10</v>
      </c>
      <c r="Y7" s="31">
        <v>10</v>
      </c>
      <c r="Z7" s="31">
        <v>10</v>
      </c>
      <c r="AA7" s="31">
        <v>11</v>
      </c>
      <c r="AB7" s="31">
        <v>11</v>
      </c>
      <c r="AC7" s="31">
        <v>11</v>
      </c>
      <c r="AD7" s="31">
        <v>10</v>
      </c>
      <c r="AE7" s="31">
        <v>11</v>
      </c>
      <c r="AF7" s="31">
        <v>10</v>
      </c>
      <c r="AG7" s="31">
        <v>10</v>
      </c>
      <c r="AH7" s="31">
        <v>11</v>
      </c>
      <c r="AI7" s="31" t="s">
        <v>104</v>
      </c>
      <c r="AJ7" s="28">
        <v>3</v>
      </c>
      <c r="AK7" s="29" t="s">
        <v>61</v>
      </c>
      <c r="AL7" s="31">
        <v>49</v>
      </c>
      <c r="AM7" s="369">
        <v>1</v>
      </c>
      <c r="AN7" s="369">
        <v>18</v>
      </c>
      <c r="AO7" s="369">
        <v>2</v>
      </c>
      <c r="AP7" s="369">
        <v>19</v>
      </c>
      <c r="AQ7" s="369">
        <v>11</v>
      </c>
      <c r="AR7" s="369">
        <v>20</v>
      </c>
      <c r="AS7" s="369">
        <v>3</v>
      </c>
      <c r="AT7" s="369">
        <v>4</v>
      </c>
      <c r="AU7" s="369">
        <v>9</v>
      </c>
      <c r="AV7" s="369">
        <v>4</v>
      </c>
      <c r="AW7" s="369">
        <v>3</v>
      </c>
      <c r="AX7" s="369">
        <v>4</v>
      </c>
      <c r="AY7" s="369">
        <v>2</v>
      </c>
      <c r="AZ7" s="31">
        <v>3</v>
      </c>
      <c r="BA7" s="31">
        <v>1</v>
      </c>
      <c r="BB7" s="31">
        <v>1</v>
      </c>
      <c r="BC7" s="31">
        <v>5</v>
      </c>
      <c r="BD7" s="31">
        <v>8</v>
      </c>
      <c r="BE7" s="31">
        <v>1</v>
      </c>
      <c r="BF7" s="31">
        <v>3</v>
      </c>
      <c r="BG7" s="31">
        <v>2</v>
      </c>
      <c r="BH7" s="31">
        <v>1</v>
      </c>
      <c r="BJ7" s="106">
        <f t="shared" si="0"/>
        <v>9515</v>
      </c>
      <c r="BK7" s="407">
        <v>44911</v>
      </c>
      <c r="BL7" s="28">
        <v>3</v>
      </c>
      <c r="BM7" s="106">
        <v>9515</v>
      </c>
      <c r="BO7" s="28"/>
      <c r="BP7" s="413">
        <v>3</v>
      </c>
      <c r="BQ7" s="414">
        <v>9515</v>
      </c>
      <c r="BR7" s="28"/>
      <c r="BS7" s="28"/>
    </row>
    <row r="8" spans="1:72" x14ac:dyDescent="0.2">
      <c r="A8" s="29">
        <v>6</v>
      </c>
      <c r="B8" s="30" t="s">
        <v>74</v>
      </c>
      <c r="C8" s="31" t="s">
        <v>29</v>
      </c>
      <c r="D8" s="31">
        <v>10.196</v>
      </c>
      <c r="E8" s="31">
        <v>23</v>
      </c>
      <c r="F8" s="31">
        <v>25</v>
      </c>
      <c r="G8" s="31">
        <v>20</v>
      </c>
      <c r="H8" s="31">
        <v>20</v>
      </c>
      <c r="I8" s="31">
        <v>20</v>
      </c>
      <c r="J8" s="31">
        <v>19</v>
      </c>
      <c r="K8" s="31">
        <v>19</v>
      </c>
      <c r="L8" s="31">
        <v>22</v>
      </c>
      <c r="M8" s="31">
        <v>25</v>
      </c>
      <c r="N8" s="31">
        <v>19</v>
      </c>
      <c r="O8" s="31">
        <v>20</v>
      </c>
      <c r="P8" s="31">
        <v>19</v>
      </c>
      <c r="Q8" s="31">
        <v>19</v>
      </c>
      <c r="R8" s="31">
        <v>19</v>
      </c>
      <c r="S8" s="31">
        <v>22</v>
      </c>
      <c r="T8" s="31">
        <v>24</v>
      </c>
      <c r="U8" s="31">
        <v>19</v>
      </c>
      <c r="V8" s="31">
        <v>20</v>
      </c>
      <c r="W8" s="31">
        <v>19</v>
      </c>
      <c r="X8" s="31">
        <v>18</v>
      </c>
      <c r="Y8" s="31">
        <v>18</v>
      </c>
      <c r="Z8" s="31">
        <v>22</v>
      </c>
      <c r="AA8" s="31">
        <v>24</v>
      </c>
      <c r="AB8" s="31">
        <v>18</v>
      </c>
      <c r="AC8" s="31">
        <v>19</v>
      </c>
      <c r="AD8" s="31">
        <v>18</v>
      </c>
      <c r="AE8" s="31">
        <v>18</v>
      </c>
      <c r="AF8" s="31">
        <v>18</v>
      </c>
      <c r="AG8" s="31">
        <v>21</v>
      </c>
      <c r="AH8" s="31">
        <v>24</v>
      </c>
      <c r="AI8" s="31" t="s">
        <v>105</v>
      </c>
      <c r="AK8" s="29"/>
      <c r="AL8" s="31">
        <v>46</v>
      </c>
      <c r="AM8" s="369">
        <v>1</v>
      </c>
      <c r="AN8" s="369">
        <v>16</v>
      </c>
      <c r="AO8" s="369">
        <v>2</v>
      </c>
      <c r="AP8" s="369">
        <v>19</v>
      </c>
      <c r="AQ8" s="369">
        <v>11</v>
      </c>
      <c r="AR8" s="369">
        <v>20</v>
      </c>
      <c r="AS8" s="369">
        <v>3</v>
      </c>
      <c r="AT8" s="369">
        <v>4</v>
      </c>
      <c r="AU8" s="369">
        <v>9</v>
      </c>
      <c r="AV8" s="369">
        <v>4</v>
      </c>
      <c r="AW8" s="369">
        <v>3</v>
      </c>
      <c r="AX8" s="369">
        <v>4</v>
      </c>
      <c r="AY8" s="369">
        <v>1</v>
      </c>
      <c r="AZ8" s="31">
        <v>3</v>
      </c>
      <c r="BA8" s="31">
        <v>1</v>
      </c>
      <c r="BB8" s="31">
        <v>1</v>
      </c>
      <c r="BC8" s="31">
        <v>5</v>
      </c>
      <c r="BD8" s="31">
        <v>8</v>
      </c>
      <c r="BE8" s="31">
        <v>1</v>
      </c>
      <c r="BF8" s="31">
        <v>3</v>
      </c>
      <c r="BG8" s="31">
        <v>1</v>
      </c>
      <c r="BH8" s="31">
        <v>1</v>
      </c>
      <c r="BJ8" s="106">
        <f t="shared" si="0"/>
        <v>9045</v>
      </c>
      <c r="BK8" s="407">
        <v>44912</v>
      </c>
      <c r="BM8" s="106"/>
      <c r="BO8" s="28"/>
      <c r="BP8" s="413">
        <v>4</v>
      </c>
      <c r="BQ8" s="414">
        <v>8945</v>
      </c>
      <c r="BR8" s="28"/>
      <c r="BS8" s="28"/>
    </row>
    <row r="9" spans="1:72" x14ac:dyDescent="0.2">
      <c r="A9" s="29">
        <v>7</v>
      </c>
      <c r="B9" s="30" t="s">
        <v>106</v>
      </c>
      <c r="C9" s="31" t="s">
        <v>68</v>
      </c>
      <c r="D9" s="31">
        <v>4.4560000000000004</v>
      </c>
      <c r="E9" s="31">
        <v>3</v>
      </c>
      <c r="F9" s="31">
        <v>3</v>
      </c>
      <c r="G9" s="31">
        <v>3</v>
      </c>
      <c r="H9" s="31">
        <v>3</v>
      </c>
      <c r="I9" s="31">
        <v>3</v>
      </c>
      <c r="J9" s="31">
        <v>3</v>
      </c>
      <c r="K9" s="31">
        <v>3</v>
      </c>
      <c r="L9" s="31">
        <v>3</v>
      </c>
      <c r="M9" s="31">
        <v>0</v>
      </c>
      <c r="N9" s="31">
        <v>3</v>
      </c>
      <c r="O9" s="31">
        <v>3</v>
      </c>
      <c r="P9" s="31">
        <v>3</v>
      </c>
      <c r="Q9" s="31">
        <v>3</v>
      </c>
      <c r="R9" s="31">
        <v>3</v>
      </c>
      <c r="S9" s="31">
        <v>3</v>
      </c>
      <c r="T9" s="31">
        <v>3</v>
      </c>
      <c r="U9" s="31">
        <v>3</v>
      </c>
      <c r="V9" s="31">
        <v>3</v>
      </c>
      <c r="W9" s="31">
        <v>5</v>
      </c>
      <c r="X9" s="31">
        <v>3</v>
      </c>
      <c r="Y9" s="31">
        <v>3</v>
      </c>
      <c r="Z9" s="31">
        <v>3</v>
      </c>
      <c r="AA9" s="31">
        <v>3</v>
      </c>
      <c r="AB9" s="31">
        <v>2</v>
      </c>
      <c r="AC9" s="31">
        <v>2</v>
      </c>
      <c r="AD9" s="31">
        <v>3</v>
      </c>
      <c r="AE9" s="31">
        <v>3</v>
      </c>
      <c r="AF9" s="31">
        <v>3</v>
      </c>
      <c r="AG9" s="31">
        <v>3</v>
      </c>
      <c r="AH9" s="31">
        <v>3</v>
      </c>
      <c r="AI9" s="31" t="s">
        <v>79</v>
      </c>
      <c r="AK9" s="320"/>
      <c r="AL9" s="31">
        <v>48</v>
      </c>
      <c r="AM9" s="369">
        <v>1</v>
      </c>
      <c r="AN9" s="369">
        <v>17</v>
      </c>
      <c r="AO9" s="369">
        <v>2</v>
      </c>
      <c r="AP9" s="369">
        <v>19</v>
      </c>
      <c r="AQ9" s="369">
        <v>10</v>
      </c>
      <c r="AR9" s="369">
        <v>20</v>
      </c>
      <c r="AS9" s="369">
        <v>3</v>
      </c>
      <c r="AT9" s="369">
        <v>4</v>
      </c>
      <c r="AU9" s="369">
        <v>9</v>
      </c>
      <c r="AV9" s="369">
        <v>4</v>
      </c>
      <c r="AW9" s="369">
        <v>3</v>
      </c>
      <c r="AX9" s="369">
        <v>4</v>
      </c>
      <c r="AY9" s="369">
        <v>2</v>
      </c>
      <c r="AZ9" s="31">
        <v>3</v>
      </c>
      <c r="BA9" s="31">
        <v>1</v>
      </c>
      <c r="BB9" s="31">
        <v>1</v>
      </c>
      <c r="BC9" s="31">
        <v>6</v>
      </c>
      <c r="BD9" s="31">
        <v>8</v>
      </c>
      <c r="BE9" s="31">
        <v>1</v>
      </c>
      <c r="BF9" s="31">
        <v>2</v>
      </c>
      <c r="BG9" s="31">
        <v>1</v>
      </c>
      <c r="BH9" s="31">
        <v>1</v>
      </c>
      <c r="BJ9" s="106">
        <f t="shared" si="0"/>
        <v>9215</v>
      </c>
      <c r="BK9" s="407">
        <v>44913</v>
      </c>
      <c r="BL9" s="342" t="s">
        <v>125</v>
      </c>
      <c r="BM9" s="106"/>
      <c r="BO9" s="28"/>
      <c r="BP9" s="413">
        <v>5</v>
      </c>
      <c r="BQ9" s="414">
        <v>9355</v>
      </c>
      <c r="BR9" s="28"/>
      <c r="BS9" s="28"/>
    </row>
    <row r="10" spans="1:72" x14ac:dyDescent="0.2">
      <c r="A10" s="29">
        <v>8</v>
      </c>
      <c r="B10" s="30" t="s">
        <v>107</v>
      </c>
      <c r="C10" s="31" t="s">
        <v>28</v>
      </c>
      <c r="D10" s="31">
        <v>2.133</v>
      </c>
      <c r="E10" s="31">
        <v>4</v>
      </c>
      <c r="F10" s="31">
        <v>4</v>
      </c>
      <c r="G10" s="31">
        <v>4</v>
      </c>
      <c r="H10" s="31">
        <v>4</v>
      </c>
      <c r="I10" s="31">
        <v>4</v>
      </c>
      <c r="J10" s="31">
        <v>4</v>
      </c>
      <c r="K10" s="31">
        <v>4</v>
      </c>
      <c r="L10" s="31">
        <v>4</v>
      </c>
      <c r="M10" s="31">
        <v>4</v>
      </c>
      <c r="N10" s="31">
        <v>4</v>
      </c>
      <c r="O10" s="31">
        <v>4</v>
      </c>
      <c r="P10" s="31">
        <v>4</v>
      </c>
      <c r="Q10" s="31">
        <v>4</v>
      </c>
      <c r="R10" s="31">
        <v>4</v>
      </c>
      <c r="S10" s="31">
        <v>4</v>
      </c>
      <c r="T10" s="31">
        <v>4</v>
      </c>
      <c r="U10" s="31">
        <v>4</v>
      </c>
      <c r="V10" s="31">
        <v>4</v>
      </c>
      <c r="W10" s="31">
        <v>4</v>
      </c>
      <c r="X10" s="31">
        <v>4</v>
      </c>
      <c r="Y10" s="31">
        <v>4</v>
      </c>
      <c r="Z10" s="31">
        <v>4</v>
      </c>
      <c r="AA10" s="31">
        <v>4</v>
      </c>
      <c r="AB10" s="31">
        <v>4</v>
      </c>
      <c r="AC10" s="31">
        <v>4</v>
      </c>
      <c r="AD10" s="31">
        <v>4</v>
      </c>
      <c r="AE10" s="31">
        <v>4</v>
      </c>
      <c r="AF10" s="31">
        <v>4</v>
      </c>
      <c r="AG10" s="31">
        <v>4</v>
      </c>
      <c r="AH10" s="31">
        <v>4</v>
      </c>
      <c r="AI10" s="31" t="s">
        <v>108</v>
      </c>
      <c r="AJ10" s="28">
        <v>4</v>
      </c>
      <c r="AK10" s="316">
        <v>4</v>
      </c>
      <c r="AL10" s="319">
        <v>45</v>
      </c>
      <c r="AM10" s="369">
        <v>1</v>
      </c>
      <c r="AN10" s="369">
        <v>18</v>
      </c>
      <c r="AO10" s="369">
        <v>2</v>
      </c>
      <c r="AP10" s="369">
        <v>19</v>
      </c>
      <c r="AQ10" s="369">
        <v>10</v>
      </c>
      <c r="AR10" s="369">
        <v>19</v>
      </c>
      <c r="AS10" s="369">
        <v>3</v>
      </c>
      <c r="AT10" s="369">
        <v>4</v>
      </c>
      <c r="AU10" s="369">
        <v>9</v>
      </c>
      <c r="AV10" s="369">
        <v>4</v>
      </c>
      <c r="AW10" s="369">
        <v>3</v>
      </c>
      <c r="AX10" s="369">
        <v>3</v>
      </c>
      <c r="AY10" s="369">
        <v>1</v>
      </c>
      <c r="AZ10" s="31">
        <v>3</v>
      </c>
      <c r="BA10" s="31">
        <v>1</v>
      </c>
      <c r="BB10" s="31">
        <v>1</v>
      </c>
      <c r="BC10" s="31">
        <v>5</v>
      </c>
      <c r="BD10" s="31">
        <v>9</v>
      </c>
      <c r="BE10" s="31">
        <v>1</v>
      </c>
      <c r="BF10" s="31">
        <v>2</v>
      </c>
      <c r="BG10" s="31">
        <v>1</v>
      </c>
      <c r="BH10" s="31">
        <v>1</v>
      </c>
      <c r="BJ10" s="106">
        <f t="shared" si="0"/>
        <v>8945</v>
      </c>
      <c r="BK10" s="407">
        <v>44914</v>
      </c>
      <c r="BL10" s="28">
        <v>4</v>
      </c>
      <c r="BM10" s="106">
        <v>8945</v>
      </c>
      <c r="BO10" s="28"/>
      <c r="BP10" s="413">
        <v>6</v>
      </c>
      <c r="BQ10" s="414">
        <v>8945</v>
      </c>
      <c r="BR10" s="28"/>
      <c r="BS10" s="28"/>
    </row>
    <row r="11" spans="1:72" x14ac:dyDescent="0.2">
      <c r="A11" s="29">
        <v>9</v>
      </c>
      <c r="B11" s="30" t="s">
        <v>77</v>
      </c>
      <c r="C11" s="31" t="s">
        <v>63</v>
      </c>
      <c r="D11" s="31">
        <v>4.5129999999999999</v>
      </c>
      <c r="E11" s="31">
        <v>9</v>
      </c>
      <c r="F11" s="31">
        <v>9</v>
      </c>
      <c r="G11" s="31">
        <v>9</v>
      </c>
      <c r="H11" s="31">
        <v>9</v>
      </c>
      <c r="I11" s="31">
        <v>9</v>
      </c>
      <c r="J11" s="31">
        <v>9</v>
      </c>
      <c r="K11" s="31">
        <v>9</v>
      </c>
      <c r="L11" s="31">
        <v>9</v>
      </c>
      <c r="M11" s="31">
        <v>9</v>
      </c>
      <c r="N11" s="31">
        <v>9</v>
      </c>
      <c r="O11" s="31">
        <v>9</v>
      </c>
      <c r="P11" s="31">
        <v>9</v>
      </c>
      <c r="Q11" s="31">
        <v>9</v>
      </c>
      <c r="R11" s="31">
        <v>9</v>
      </c>
      <c r="S11" s="31">
        <v>9</v>
      </c>
      <c r="T11" s="31">
        <v>9</v>
      </c>
      <c r="U11" s="31">
        <v>9</v>
      </c>
      <c r="V11" s="31">
        <v>9</v>
      </c>
      <c r="W11" s="31">
        <v>9</v>
      </c>
      <c r="X11" s="31">
        <v>9</v>
      </c>
      <c r="Y11" s="31">
        <v>9</v>
      </c>
      <c r="Z11" s="31">
        <v>9</v>
      </c>
      <c r="AA11" s="31">
        <v>9</v>
      </c>
      <c r="AB11" s="31">
        <v>9</v>
      </c>
      <c r="AC11" s="31">
        <v>9</v>
      </c>
      <c r="AD11" s="31">
        <v>9</v>
      </c>
      <c r="AE11" s="31">
        <v>9</v>
      </c>
      <c r="AF11" s="31">
        <v>9</v>
      </c>
      <c r="AG11" s="31">
        <v>9</v>
      </c>
      <c r="AH11" s="31">
        <v>9</v>
      </c>
      <c r="AI11" s="31" t="s">
        <v>109</v>
      </c>
      <c r="AJ11" s="28">
        <v>5</v>
      </c>
      <c r="AK11" s="31">
        <v>5</v>
      </c>
      <c r="AL11" s="31">
        <v>46</v>
      </c>
      <c r="AM11" s="369">
        <v>1</v>
      </c>
      <c r="AN11" s="369">
        <v>21</v>
      </c>
      <c r="AO11" s="369">
        <v>2</v>
      </c>
      <c r="AP11" s="369">
        <v>19</v>
      </c>
      <c r="AQ11" s="369">
        <v>10</v>
      </c>
      <c r="AR11" s="369">
        <v>19</v>
      </c>
      <c r="AS11" s="369">
        <v>3</v>
      </c>
      <c r="AT11" s="369">
        <v>4</v>
      </c>
      <c r="AU11" s="369">
        <v>9</v>
      </c>
      <c r="AV11" s="369">
        <v>4</v>
      </c>
      <c r="AW11" s="369">
        <v>3</v>
      </c>
      <c r="AX11" s="369">
        <v>4</v>
      </c>
      <c r="AY11" s="369">
        <v>2</v>
      </c>
      <c r="AZ11" s="31">
        <v>3</v>
      </c>
      <c r="BA11" s="31">
        <v>1</v>
      </c>
      <c r="BB11" s="31">
        <v>1</v>
      </c>
      <c r="BC11" s="31">
        <v>5</v>
      </c>
      <c r="BD11" s="31">
        <v>9</v>
      </c>
      <c r="BE11" s="31">
        <v>2</v>
      </c>
      <c r="BF11" s="31">
        <v>2</v>
      </c>
      <c r="BG11" s="31">
        <v>1</v>
      </c>
      <c r="BH11" s="31">
        <v>1</v>
      </c>
      <c r="BJ11" s="106">
        <f t="shared" si="0"/>
        <v>9355</v>
      </c>
      <c r="BK11" s="407">
        <v>44915</v>
      </c>
      <c r="BL11" s="28">
        <v>5</v>
      </c>
      <c r="BM11" s="106">
        <v>9355</v>
      </c>
      <c r="BO11" s="28"/>
      <c r="BP11" s="413">
        <v>7</v>
      </c>
      <c r="BQ11" s="414">
        <v>9355</v>
      </c>
      <c r="BR11" s="28"/>
      <c r="BS11" s="28"/>
    </row>
    <row r="12" spans="1:72" x14ac:dyDescent="0.2">
      <c r="A12" s="29">
        <v>10</v>
      </c>
      <c r="B12" s="30" t="s">
        <v>91</v>
      </c>
      <c r="C12" s="31" t="s">
        <v>63</v>
      </c>
      <c r="D12" s="31">
        <v>2.3090000000000002</v>
      </c>
      <c r="E12" s="31">
        <v>4</v>
      </c>
      <c r="F12" s="31">
        <v>4</v>
      </c>
      <c r="G12" s="31">
        <v>4</v>
      </c>
      <c r="H12" s="31">
        <v>4</v>
      </c>
      <c r="I12" s="31">
        <v>4</v>
      </c>
      <c r="J12" s="31">
        <v>4</v>
      </c>
      <c r="K12" s="31">
        <v>4</v>
      </c>
      <c r="L12" s="31">
        <v>4</v>
      </c>
      <c r="M12" s="31">
        <v>4</v>
      </c>
      <c r="N12" s="31">
        <v>4</v>
      </c>
      <c r="O12" s="31">
        <v>4</v>
      </c>
      <c r="P12" s="31">
        <v>4</v>
      </c>
      <c r="Q12" s="31">
        <v>4</v>
      </c>
      <c r="R12" s="31">
        <v>4</v>
      </c>
      <c r="S12" s="31">
        <v>4</v>
      </c>
      <c r="T12" s="31">
        <v>4</v>
      </c>
      <c r="U12" s="31">
        <v>4</v>
      </c>
      <c r="V12" s="31">
        <v>4</v>
      </c>
      <c r="W12" s="31">
        <v>4</v>
      </c>
      <c r="X12" s="31">
        <v>4</v>
      </c>
      <c r="Y12" s="31">
        <v>4</v>
      </c>
      <c r="Z12" s="31">
        <v>4</v>
      </c>
      <c r="AA12" s="31">
        <v>4</v>
      </c>
      <c r="AB12" s="31">
        <v>4</v>
      </c>
      <c r="AC12" s="31">
        <v>4</v>
      </c>
      <c r="AD12" s="31">
        <v>4</v>
      </c>
      <c r="AE12" s="31">
        <v>4</v>
      </c>
      <c r="AF12" s="31">
        <v>4</v>
      </c>
      <c r="AG12" s="31">
        <v>4</v>
      </c>
      <c r="AH12" s="31">
        <v>4</v>
      </c>
      <c r="AI12" s="31" t="s">
        <v>110</v>
      </c>
      <c r="AK12" s="29"/>
      <c r="AL12" s="31">
        <v>47</v>
      </c>
      <c r="AM12" s="369">
        <v>1</v>
      </c>
      <c r="AN12" s="369">
        <v>17</v>
      </c>
      <c r="AO12" s="369">
        <v>2</v>
      </c>
      <c r="AP12" s="369">
        <v>19</v>
      </c>
      <c r="AQ12" s="369">
        <v>10</v>
      </c>
      <c r="AR12" s="369">
        <v>22</v>
      </c>
      <c r="AS12" s="369">
        <v>3</v>
      </c>
      <c r="AT12" s="369">
        <v>4</v>
      </c>
      <c r="AU12" s="369">
        <v>9</v>
      </c>
      <c r="AV12" s="369">
        <v>4</v>
      </c>
      <c r="AW12" s="369">
        <v>3</v>
      </c>
      <c r="AX12" s="369">
        <v>4</v>
      </c>
      <c r="AY12" s="369">
        <v>2</v>
      </c>
      <c r="AZ12" s="31">
        <v>3</v>
      </c>
      <c r="BA12" s="31">
        <v>1</v>
      </c>
      <c r="BB12" s="31">
        <v>1</v>
      </c>
      <c r="BC12" s="31">
        <v>5</v>
      </c>
      <c r="BD12" s="31">
        <v>9</v>
      </c>
      <c r="BE12" s="31">
        <v>1</v>
      </c>
      <c r="BF12" s="31">
        <v>2</v>
      </c>
      <c r="BG12" s="31">
        <v>1</v>
      </c>
      <c r="BH12" s="31">
        <v>1</v>
      </c>
      <c r="BJ12" s="106">
        <f t="shared" si="0"/>
        <v>9265</v>
      </c>
      <c r="BK12" s="407">
        <v>44916</v>
      </c>
      <c r="BM12" s="106"/>
      <c r="BO12" s="28"/>
      <c r="BP12" s="413">
        <v>8</v>
      </c>
      <c r="BQ12" s="414">
        <v>9305</v>
      </c>
      <c r="BR12" s="28"/>
      <c r="BS12" s="28"/>
    </row>
    <row r="13" spans="1:72" x14ac:dyDescent="0.2">
      <c r="A13" s="29">
        <v>11</v>
      </c>
      <c r="B13" s="30" t="s">
        <v>69</v>
      </c>
      <c r="C13" s="31" t="s">
        <v>68</v>
      </c>
      <c r="D13" s="31">
        <v>4.548</v>
      </c>
      <c r="E13" s="31">
        <v>3</v>
      </c>
      <c r="F13" s="31">
        <v>3</v>
      </c>
      <c r="G13" s="31">
        <v>3</v>
      </c>
      <c r="H13" s="31">
        <v>3</v>
      </c>
      <c r="I13" s="31">
        <v>3</v>
      </c>
      <c r="J13" s="31">
        <v>3</v>
      </c>
      <c r="K13" s="31">
        <v>3</v>
      </c>
      <c r="L13" s="31">
        <v>3</v>
      </c>
      <c r="M13" s="31">
        <v>3</v>
      </c>
      <c r="N13" s="31">
        <v>2</v>
      </c>
      <c r="O13" s="31">
        <v>3</v>
      </c>
      <c r="P13" s="31">
        <v>2</v>
      </c>
      <c r="Q13" s="31">
        <v>3</v>
      </c>
      <c r="R13" s="31">
        <v>3</v>
      </c>
      <c r="S13" s="31">
        <v>2</v>
      </c>
      <c r="T13" s="31">
        <v>3</v>
      </c>
      <c r="U13" s="31">
        <v>3</v>
      </c>
      <c r="V13" s="31">
        <v>3</v>
      </c>
      <c r="W13" s="31">
        <v>3</v>
      </c>
      <c r="X13" s="31">
        <v>6</v>
      </c>
      <c r="Y13" s="31">
        <v>3</v>
      </c>
      <c r="Z13" s="31">
        <v>3</v>
      </c>
      <c r="AA13" s="31">
        <v>3</v>
      </c>
      <c r="AB13" s="31">
        <v>3</v>
      </c>
      <c r="AC13" s="31">
        <v>3</v>
      </c>
      <c r="AD13" s="31">
        <v>3</v>
      </c>
      <c r="AE13" s="31">
        <v>2</v>
      </c>
      <c r="AF13" s="31">
        <v>3</v>
      </c>
      <c r="AG13" s="31">
        <v>3</v>
      </c>
      <c r="AH13" s="31">
        <v>3</v>
      </c>
      <c r="AI13" s="31" t="s">
        <v>70</v>
      </c>
      <c r="AK13" s="29"/>
      <c r="AL13" s="31">
        <v>54</v>
      </c>
      <c r="AM13" s="369">
        <v>1</v>
      </c>
      <c r="AN13" s="369">
        <v>17</v>
      </c>
      <c r="AO13" s="369">
        <v>2</v>
      </c>
      <c r="AP13" s="369">
        <v>19</v>
      </c>
      <c r="AQ13" s="369">
        <v>11</v>
      </c>
      <c r="AR13" s="369">
        <v>25</v>
      </c>
      <c r="AS13" s="369">
        <v>0</v>
      </c>
      <c r="AT13" s="369">
        <v>4</v>
      </c>
      <c r="AU13" s="369">
        <v>9</v>
      </c>
      <c r="AV13" s="369">
        <v>4</v>
      </c>
      <c r="AW13" s="369">
        <v>3</v>
      </c>
      <c r="AX13" s="369">
        <v>4</v>
      </c>
      <c r="AY13" s="369">
        <v>2</v>
      </c>
      <c r="AZ13" s="31">
        <v>3</v>
      </c>
      <c r="BA13" s="31">
        <v>1</v>
      </c>
      <c r="BB13" s="31">
        <v>1</v>
      </c>
      <c r="BC13" s="31">
        <v>5</v>
      </c>
      <c r="BD13" s="31">
        <v>9</v>
      </c>
      <c r="BE13" s="31">
        <v>1</v>
      </c>
      <c r="BF13" s="31">
        <v>2</v>
      </c>
      <c r="BG13" s="31">
        <v>2</v>
      </c>
      <c r="BH13" s="31">
        <v>1</v>
      </c>
      <c r="BJ13" s="106">
        <f t="shared" si="0"/>
        <v>9795</v>
      </c>
      <c r="BK13" s="407">
        <v>44917</v>
      </c>
      <c r="BM13" s="106"/>
      <c r="BO13" s="28"/>
      <c r="BP13" s="413">
        <v>9</v>
      </c>
      <c r="BQ13" s="414">
        <v>9265</v>
      </c>
      <c r="BR13" s="28"/>
      <c r="BS13" s="28"/>
    </row>
    <row r="14" spans="1:72" x14ac:dyDescent="0.2">
      <c r="A14" s="29">
        <v>12</v>
      </c>
      <c r="B14" s="30" t="s">
        <v>67</v>
      </c>
      <c r="C14" s="31" t="s">
        <v>68</v>
      </c>
      <c r="D14" s="31">
        <v>2.3519999999999999</v>
      </c>
      <c r="E14" s="31">
        <v>4</v>
      </c>
      <c r="F14" s="31">
        <v>4</v>
      </c>
      <c r="G14" s="31">
        <v>4</v>
      </c>
      <c r="H14" s="31">
        <v>4</v>
      </c>
      <c r="I14" s="31">
        <v>4</v>
      </c>
      <c r="J14" s="31">
        <v>3</v>
      </c>
      <c r="K14" s="31">
        <v>4</v>
      </c>
      <c r="L14" s="31">
        <v>4</v>
      </c>
      <c r="M14" s="31">
        <v>4</v>
      </c>
      <c r="N14" s="31">
        <v>4</v>
      </c>
      <c r="O14" s="31">
        <v>4</v>
      </c>
      <c r="P14" s="31">
        <v>3</v>
      </c>
      <c r="Q14" s="31">
        <v>3</v>
      </c>
      <c r="R14" s="31">
        <v>4</v>
      </c>
      <c r="S14" s="31">
        <v>3</v>
      </c>
      <c r="T14" s="31">
        <v>3</v>
      </c>
      <c r="U14" s="31">
        <v>3</v>
      </c>
      <c r="V14" s="31">
        <v>3</v>
      </c>
      <c r="W14" s="31">
        <v>3</v>
      </c>
      <c r="X14" s="31">
        <v>4</v>
      </c>
      <c r="Y14" s="31">
        <v>3</v>
      </c>
      <c r="Z14" s="31">
        <v>4</v>
      </c>
      <c r="AA14" s="31">
        <v>4</v>
      </c>
      <c r="AB14" s="31">
        <v>4</v>
      </c>
      <c r="AC14" s="31">
        <v>4</v>
      </c>
      <c r="AD14" s="31">
        <v>4</v>
      </c>
      <c r="AE14" s="31">
        <v>4</v>
      </c>
      <c r="AF14" s="31">
        <v>3</v>
      </c>
      <c r="AG14" s="31">
        <v>3</v>
      </c>
      <c r="AH14" s="31">
        <v>3</v>
      </c>
      <c r="AI14" s="31" t="s">
        <v>111</v>
      </c>
      <c r="AK14" s="29"/>
      <c r="AL14" s="31">
        <v>49</v>
      </c>
      <c r="AM14" s="369">
        <v>1</v>
      </c>
      <c r="AN14" s="369">
        <v>18</v>
      </c>
      <c r="AO14" s="369">
        <v>2</v>
      </c>
      <c r="AP14" s="369">
        <v>19</v>
      </c>
      <c r="AQ14" s="369">
        <v>11</v>
      </c>
      <c r="AR14" s="369">
        <v>19</v>
      </c>
      <c r="AS14" s="369">
        <v>3</v>
      </c>
      <c r="AT14" s="369">
        <v>4</v>
      </c>
      <c r="AU14" s="369">
        <v>9</v>
      </c>
      <c r="AV14" s="369">
        <v>4</v>
      </c>
      <c r="AW14" s="369">
        <v>2</v>
      </c>
      <c r="AX14" s="369">
        <v>4</v>
      </c>
      <c r="AY14" s="369">
        <v>2</v>
      </c>
      <c r="AZ14" s="31">
        <v>3</v>
      </c>
      <c r="BA14" s="31">
        <v>1</v>
      </c>
      <c r="BB14" s="31">
        <v>1</v>
      </c>
      <c r="BC14" s="31">
        <v>5</v>
      </c>
      <c r="BD14" s="31">
        <v>9</v>
      </c>
      <c r="BE14" s="31">
        <v>1</v>
      </c>
      <c r="BF14" s="31">
        <v>3</v>
      </c>
      <c r="BG14" s="31">
        <v>2</v>
      </c>
      <c r="BH14" s="31">
        <v>1</v>
      </c>
      <c r="BJ14" s="106">
        <f t="shared" si="0"/>
        <v>9445</v>
      </c>
      <c r="BK14" s="407">
        <v>44918</v>
      </c>
      <c r="BM14" s="106"/>
      <c r="BO14" s="28"/>
      <c r="BP14" s="413">
        <v>10</v>
      </c>
      <c r="BQ14" s="414">
        <v>9945</v>
      </c>
      <c r="BR14" s="28"/>
      <c r="BS14" s="28"/>
    </row>
    <row r="15" spans="1:72" x14ac:dyDescent="0.2">
      <c r="A15" s="29">
        <v>13</v>
      </c>
      <c r="B15" s="30" t="s">
        <v>88</v>
      </c>
      <c r="C15" s="31" t="s">
        <v>78</v>
      </c>
      <c r="D15" s="31">
        <v>1.4730000000000001</v>
      </c>
      <c r="E15" s="31">
        <v>2</v>
      </c>
      <c r="F15" s="31">
        <v>2</v>
      </c>
      <c r="G15" s="31">
        <v>2</v>
      </c>
      <c r="H15" s="31">
        <v>1</v>
      </c>
      <c r="I15" s="31">
        <v>2</v>
      </c>
      <c r="J15" s="31">
        <v>1</v>
      </c>
      <c r="K15" s="31">
        <v>2</v>
      </c>
      <c r="L15" s="31">
        <v>2</v>
      </c>
      <c r="M15" s="31">
        <v>2</v>
      </c>
      <c r="N15" s="31">
        <v>2</v>
      </c>
      <c r="O15" s="31">
        <v>1</v>
      </c>
      <c r="P15" s="31">
        <v>2</v>
      </c>
      <c r="Q15" s="31">
        <v>1</v>
      </c>
      <c r="R15" s="31">
        <v>2</v>
      </c>
      <c r="S15" s="31">
        <v>2</v>
      </c>
      <c r="T15" s="31">
        <v>2</v>
      </c>
      <c r="U15" s="31">
        <v>2</v>
      </c>
      <c r="V15" s="31">
        <v>1</v>
      </c>
      <c r="W15" s="31">
        <v>2</v>
      </c>
      <c r="X15" s="31">
        <v>1</v>
      </c>
      <c r="Y15" s="31">
        <v>2</v>
      </c>
      <c r="Z15" s="31">
        <v>2</v>
      </c>
      <c r="AA15" s="31">
        <v>2</v>
      </c>
      <c r="AB15" s="31">
        <v>2</v>
      </c>
      <c r="AC15" s="31">
        <v>1</v>
      </c>
      <c r="AD15" s="31">
        <v>2</v>
      </c>
      <c r="AE15" s="31">
        <v>1</v>
      </c>
      <c r="AF15" s="31">
        <v>2</v>
      </c>
      <c r="AG15" s="31">
        <v>2</v>
      </c>
      <c r="AH15" s="31">
        <v>2</v>
      </c>
      <c r="AI15" s="31" t="s">
        <v>89</v>
      </c>
      <c r="AK15" s="29"/>
      <c r="AL15" s="31">
        <v>46</v>
      </c>
      <c r="AM15" s="369">
        <v>1</v>
      </c>
      <c r="AN15" s="369">
        <v>16</v>
      </c>
      <c r="AO15" s="369">
        <v>2</v>
      </c>
      <c r="AP15" s="369">
        <v>19</v>
      </c>
      <c r="AQ15" s="369">
        <v>11</v>
      </c>
      <c r="AR15" s="369">
        <v>20</v>
      </c>
      <c r="AS15" s="369">
        <v>3</v>
      </c>
      <c r="AT15" s="369">
        <v>4</v>
      </c>
      <c r="AU15" s="369">
        <v>9</v>
      </c>
      <c r="AV15" s="369">
        <v>4</v>
      </c>
      <c r="AW15" s="369">
        <v>3</v>
      </c>
      <c r="AX15" s="369">
        <v>4</v>
      </c>
      <c r="AY15" s="369">
        <v>1</v>
      </c>
      <c r="AZ15" s="31">
        <v>3</v>
      </c>
      <c r="BA15" s="31">
        <v>1</v>
      </c>
      <c r="BB15" s="31">
        <v>1</v>
      </c>
      <c r="BC15" s="31">
        <v>5</v>
      </c>
      <c r="BD15" s="31">
        <v>9</v>
      </c>
      <c r="BE15" s="31">
        <v>1</v>
      </c>
      <c r="BF15" s="31">
        <v>3</v>
      </c>
      <c r="BG15" s="31">
        <v>1</v>
      </c>
      <c r="BH15" s="31">
        <v>1</v>
      </c>
      <c r="BJ15" s="106">
        <f t="shared" si="0"/>
        <v>9095</v>
      </c>
      <c r="BK15" s="407">
        <v>44919</v>
      </c>
      <c r="BM15" s="106"/>
      <c r="BO15" s="28"/>
      <c r="BP15" s="413">
        <v>11</v>
      </c>
      <c r="BQ15" s="414">
        <v>9415</v>
      </c>
      <c r="BR15" s="28"/>
      <c r="BS15" s="28"/>
    </row>
    <row r="16" spans="1:72" x14ac:dyDescent="0.2">
      <c r="A16" s="29">
        <v>14</v>
      </c>
      <c r="B16" s="30" t="s">
        <v>80</v>
      </c>
      <c r="C16" s="31" t="s">
        <v>28</v>
      </c>
      <c r="D16" s="31">
        <v>1.613</v>
      </c>
      <c r="E16" s="31">
        <v>3</v>
      </c>
      <c r="F16" s="31">
        <v>3</v>
      </c>
      <c r="G16" s="31">
        <v>3</v>
      </c>
      <c r="H16" s="31">
        <v>3</v>
      </c>
      <c r="I16" s="31">
        <v>3</v>
      </c>
      <c r="J16" s="31">
        <v>3</v>
      </c>
      <c r="K16" s="31">
        <v>3</v>
      </c>
      <c r="L16" s="31">
        <v>3</v>
      </c>
      <c r="M16" s="31">
        <v>3</v>
      </c>
      <c r="N16" s="31">
        <v>3</v>
      </c>
      <c r="O16" s="31">
        <v>3</v>
      </c>
      <c r="P16" s="31">
        <v>3</v>
      </c>
      <c r="Q16" s="31">
        <v>3</v>
      </c>
      <c r="R16" s="31">
        <v>3</v>
      </c>
      <c r="S16" s="31">
        <v>3</v>
      </c>
      <c r="T16" s="31">
        <v>3</v>
      </c>
      <c r="U16" s="31">
        <v>3</v>
      </c>
      <c r="V16" s="31">
        <v>3</v>
      </c>
      <c r="W16" s="31">
        <v>3</v>
      </c>
      <c r="X16" s="31">
        <v>3</v>
      </c>
      <c r="Y16" s="31">
        <v>3</v>
      </c>
      <c r="Z16" s="31">
        <v>3</v>
      </c>
      <c r="AA16" s="31">
        <v>3</v>
      </c>
      <c r="AB16" s="31">
        <v>3</v>
      </c>
      <c r="AC16" s="31">
        <v>3</v>
      </c>
      <c r="AD16" s="31">
        <v>3</v>
      </c>
      <c r="AE16" s="31">
        <v>3</v>
      </c>
      <c r="AF16" s="31">
        <v>3</v>
      </c>
      <c r="AG16" s="31">
        <v>3</v>
      </c>
      <c r="AH16" s="31">
        <v>3</v>
      </c>
      <c r="AI16" s="31" t="s">
        <v>81</v>
      </c>
      <c r="AK16" s="29"/>
      <c r="AL16" s="31">
        <v>48</v>
      </c>
      <c r="AM16" s="369">
        <v>1</v>
      </c>
      <c r="AN16" s="369">
        <v>17</v>
      </c>
      <c r="AO16" s="369">
        <v>2</v>
      </c>
      <c r="AP16" s="369">
        <v>19</v>
      </c>
      <c r="AQ16" s="369">
        <v>10</v>
      </c>
      <c r="AR16" s="369">
        <v>19</v>
      </c>
      <c r="AS16" s="369">
        <v>3</v>
      </c>
      <c r="AT16" s="369">
        <v>4</v>
      </c>
      <c r="AU16" s="369">
        <v>9</v>
      </c>
      <c r="AV16" s="369">
        <v>4</v>
      </c>
      <c r="AW16" s="369">
        <v>2</v>
      </c>
      <c r="AX16" s="369">
        <v>3</v>
      </c>
      <c r="AY16" s="369">
        <v>2</v>
      </c>
      <c r="AZ16" s="31">
        <v>3</v>
      </c>
      <c r="BA16" s="31">
        <v>1</v>
      </c>
      <c r="BB16" s="31">
        <v>1</v>
      </c>
      <c r="BC16" s="31">
        <v>6</v>
      </c>
      <c r="BD16" s="31">
        <v>9</v>
      </c>
      <c r="BE16" s="31">
        <v>1</v>
      </c>
      <c r="BF16" s="31">
        <v>2</v>
      </c>
      <c r="BG16" s="31">
        <v>1</v>
      </c>
      <c r="BH16" s="31">
        <v>1</v>
      </c>
      <c r="BJ16" s="106">
        <f t="shared" si="0"/>
        <v>9095</v>
      </c>
      <c r="BK16" s="407">
        <v>44920</v>
      </c>
      <c r="BL16" s="342" t="s">
        <v>125</v>
      </c>
      <c r="BM16" s="106"/>
      <c r="BO16" s="28"/>
      <c r="BP16" s="413">
        <v>12</v>
      </c>
      <c r="BQ16" s="414">
        <v>9045</v>
      </c>
      <c r="BR16" s="28"/>
      <c r="BS16" s="28"/>
    </row>
    <row r="17" spans="1:71" x14ac:dyDescent="0.2">
      <c r="A17" s="29">
        <v>15</v>
      </c>
      <c r="B17" s="30" t="s">
        <v>92</v>
      </c>
      <c r="C17" s="31" t="s">
        <v>28</v>
      </c>
      <c r="D17" s="31">
        <v>0.78100000000000003</v>
      </c>
      <c r="E17" s="31">
        <v>1</v>
      </c>
      <c r="F17" s="31">
        <v>1</v>
      </c>
      <c r="G17" s="31">
        <v>1</v>
      </c>
      <c r="H17" s="31">
        <v>1</v>
      </c>
      <c r="I17" s="31">
        <v>1</v>
      </c>
      <c r="J17" s="31">
        <v>1</v>
      </c>
      <c r="K17" s="31">
        <v>1</v>
      </c>
      <c r="L17" s="31">
        <v>1</v>
      </c>
      <c r="M17" s="31">
        <v>1</v>
      </c>
      <c r="N17" s="31">
        <v>1</v>
      </c>
      <c r="O17" s="31">
        <v>1</v>
      </c>
      <c r="P17" s="31">
        <v>1</v>
      </c>
      <c r="Q17" s="31">
        <v>1</v>
      </c>
      <c r="R17" s="31">
        <v>1</v>
      </c>
      <c r="S17" s="31">
        <v>1</v>
      </c>
      <c r="T17" s="31">
        <v>1</v>
      </c>
      <c r="U17" s="31">
        <v>1</v>
      </c>
      <c r="V17" s="31">
        <v>1</v>
      </c>
      <c r="W17" s="31">
        <v>1</v>
      </c>
      <c r="X17" s="31">
        <v>1</v>
      </c>
      <c r="Y17" s="31">
        <v>1</v>
      </c>
      <c r="Z17" s="31">
        <v>1</v>
      </c>
      <c r="AA17" s="31">
        <v>1</v>
      </c>
      <c r="AB17" s="31">
        <v>1</v>
      </c>
      <c r="AC17" s="31">
        <v>1</v>
      </c>
      <c r="AD17" s="31">
        <v>1</v>
      </c>
      <c r="AE17" s="31">
        <v>1</v>
      </c>
      <c r="AF17" s="31">
        <v>1</v>
      </c>
      <c r="AG17" s="31">
        <v>1</v>
      </c>
      <c r="AH17" s="31">
        <v>1</v>
      </c>
      <c r="AI17" s="31" t="s">
        <v>93</v>
      </c>
      <c r="AJ17" s="28">
        <v>6</v>
      </c>
      <c r="AK17" s="31">
        <v>6</v>
      </c>
      <c r="AL17" s="31">
        <v>45</v>
      </c>
      <c r="AM17" s="369">
        <v>1</v>
      </c>
      <c r="AN17" s="369">
        <v>18</v>
      </c>
      <c r="AO17" s="369">
        <v>2</v>
      </c>
      <c r="AP17" s="369">
        <v>19</v>
      </c>
      <c r="AQ17" s="369">
        <v>10</v>
      </c>
      <c r="AR17" s="369">
        <v>19</v>
      </c>
      <c r="AS17" s="369">
        <v>3</v>
      </c>
      <c r="AT17" s="369">
        <v>4</v>
      </c>
      <c r="AU17" s="369">
        <v>9</v>
      </c>
      <c r="AV17" s="369">
        <v>4</v>
      </c>
      <c r="AW17" s="369">
        <v>3</v>
      </c>
      <c r="AX17" s="369">
        <v>3</v>
      </c>
      <c r="AY17" s="369">
        <v>1</v>
      </c>
      <c r="AZ17" s="31">
        <v>3</v>
      </c>
      <c r="BA17" s="31">
        <v>1</v>
      </c>
      <c r="BB17" s="31">
        <v>1</v>
      </c>
      <c r="BC17" s="31">
        <v>5</v>
      </c>
      <c r="BD17" s="31">
        <v>9</v>
      </c>
      <c r="BE17" s="31">
        <v>1</v>
      </c>
      <c r="BF17" s="31">
        <v>2</v>
      </c>
      <c r="BG17" s="31">
        <v>1</v>
      </c>
      <c r="BH17" s="31">
        <v>1</v>
      </c>
      <c r="BJ17" s="106">
        <f t="shared" si="0"/>
        <v>8945</v>
      </c>
      <c r="BK17" s="407">
        <v>44921</v>
      </c>
      <c r="BL17" s="28">
        <v>6</v>
      </c>
      <c r="BM17" s="106">
        <v>8945</v>
      </c>
      <c r="BO17" s="28"/>
      <c r="BP17" s="413">
        <v>13</v>
      </c>
      <c r="BQ17" s="414">
        <v>8985</v>
      </c>
      <c r="BR17" s="28"/>
      <c r="BS17" s="28"/>
    </row>
    <row r="18" spans="1:71" x14ac:dyDescent="0.2">
      <c r="A18" s="29">
        <v>16</v>
      </c>
      <c r="B18" s="30" t="s">
        <v>82</v>
      </c>
      <c r="C18" s="31" t="s">
        <v>28</v>
      </c>
      <c r="D18" s="31">
        <v>1.073</v>
      </c>
      <c r="E18" s="31">
        <v>1</v>
      </c>
      <c r="F18" s="31">
        <v>1</v>
      </c>
      <c r="G18" s="31">
        <v>1</v>
      </c>
      <c r="H18" s="31">
        <v>1</v>
      </c>
      <c r="I18" s="31">
        <v>1</v>
      </c>
      <c r="J18" s="31">
        <v>1</v>
      </c>
      <c r="K18" s="31">
        <v>1</v>
      </c>
      <c r="L18" s="31">
        <v>1</v>
      </c>
      <c r="M18" s="31">
        <v>1</v>
      </c>
      <c r="N18" s="31">
        <v>1</v>
      </c>
      <c r="O18" s="31">
        <v>1</v>
      </c>
      <c r="P18" s="31">
        <v>1</v>
      </c>
      <c r="Q18" s="31">
        <v>1</v>
      </c>
      <c r="R18" s="31">
        <v>1</v>
      </c>
      <c r="S18" s="31">
        <v>1</v>
      </c>
      <c r="T18" s="31">
        <v>1</v>
      </c>
      <c r="U18" s="31">
        <v>1</v>
      </c>
      <c r="V18" s="31">
        <v>1</v>
      </c>
      <c r="W18" s="31">
        <v>1</v>
      </c>
      <c r="X18" s="31">
        <v>1</v>
      </c>
      <c r="Y18" s="31">
        <v>1</v>
      </c>
      <c r="Z18" s="31">
        <v>1</v>
      </c>
      <c r="AA18" s="31">
        <v>1</v>
      </c>
      <c r="AB18" s="31">
        <v>1</v>
      </c>
      <c r="AC18" s="31">
        <v>1</v>
      </c>
      <c r="AD18" s="31">
        <v>1</v>
      </c>
      <c r="AE18" s="31">
        <v>1</v>
      </c>
      <c r="AF18" s="31">
        <v>1</v>
      </c>
      <c r="AG18" s="31">
        <v>1</v>
      </c>
      <c r="AH18" s="31">
        <v>1</v>
      </c>
      <c r="AI18" s="31" t="s">
        <v>83</v>
      </c>
      <c r="AJ18" s="28">
        <v>7</v>
      </c>
      <c r="AK18" s="317">
        <v>7</v>
      </c>
      <c r="AL18" s="31">
        <v>46</v>
      </c>
      <c r="AM18" s="369">
        <v>1</v>
      </c>
      <c r="AN18" s="369">
        <v>21</v>
      </c>
      <c r="AO18" s="369">
        <v>2</v>
      </c>
      <c r="AP18" s="369">
        <v>19</v>
      </c>
      <c r="AQ18" s="369">
        <v>10</v>
      </c>
      <c r="AR18" s="369">
        <v>19</v>
      </c>
      <c r="AS18" s="369">
        <v>3</v>
      </c>
      <c r="AT18" s="369">
        <v>4</v>
      </c>
      <c r="AU18" s="369">
        <v>9</v>
      </c>
      <c r="AV18" s="369">
        <v>4</v>
      </c>
      <c r="AW18" s="369">
        <v>3</v>
      </c>
      <c r="AX18" s="369">
        <v>4</v>
      </c>
      <c r="AY18" s="369">
        <v>2</v>
      </c>
      <c r="AZ18" s="31">
        <v>3</v>
      </c>
      <c r="BA18" s="31">
        <v>1</v>
      </c>
      <c r="BB18" s="31">
        <v>1</v>
      </c>
      <c r="BC18" s="31">
        <v>5</v>
      </c>
      <c r="BD18" s="31">
        <v>9</v>
      </c>
      <c r="BE18" s="31">
        <v>2</v>
      </c>
      <c r="BF18" s="31">
        <v>2</v>
      </c>
      <c r="BG18" s="31">
        <v>1</v>
      </c>
      <c r="BH18" s="31">
        <v>1</v>
      </c>
      <c r="BJ18" s="106">
        <f t="shared" si="0"/>
        <v>9355</v>
      </c>
      <c r="BK18" s="407">
        <v>44922</v>
      </c>
      <c r="BL18" s="28">
        <v>7</v>
      </c>
      <c r="BM18" s="106">
        <v>9355</v>
      </c>
      <c r="BO18" s="28"/>
      <c r="BP18" s="413">
        <v>14</v>
      </c>
      <c r="BQ18" s="414">
        <v>9255</v>
      </c>
      <c r="BR18" s="28"/>
      <c r="BS18" s="28"/>
    </row>
    <row r="19" spans="1:71" x14ac:dyDescent="0.2">
      <c r="A19" s="29">
        <v>17</v>
      </c>
      <c r="B19" s="30" t="s">
        <v>65</v>
      </c>
      <c r="C19" s="31" t="s">
        <v>29</v>
      </c>
      <c r="D19" s="31">
        <v>2.706</v>
      </c>
      <c r="E19" s="31">
        <v>5</v>
      </c>
      <c r="F19" s="31">
        <v>5</v>
      </c>
      <c r="G19" s="31">
        <v>5</v>
      </c>
      <c r="H19" s="31">
        <v>5</v>
      </c>
      <c r="I19" s="31">
        <v>6</v>
      </c>
      <c r="J19" s="31">
        <v>5</v>
      </c>
      <c r="K19" s="31">
        <v>5</v>
      </c>
      <c r="L19" s="31">
        <v>5</v>
      </c>
      <c r="M19" s="31">
        <v>5</v>
      </c>
      <c r="N19" s="31">
        <v>5</v>
      </c>
      <c r="O19" s="31">
        <v>5</v>
      </c>
      <c r="P19" s="31">
        <v>6</v>
      </c>
      <c r="Q19" s="31">
        <v>5</v>
      </c>
      <c r="R19" s="31">
        <v>5</v>
      </c>
      <c r="S19" s="31">
        <v>5</v>
      </c>
      <c r="T19" s="31">
        <v>5</v>
      </c>
      <c r="U19" s="31">
        <v>5</v>
      </c>
      <c r="V19" s="31">
        <v>5</v>
      </c>
      <c r="W19" s="31">
        <v>6</v>
      </c>
      <c r="X19" s="31">
        <v>5</v>
      </c>
      <c r="Y19" s="31">
        <v>6</v>
      </c>
      <c r="Z19" s="31">
        <v>5</v>
      </c>
      <c r="AA19" s="31">
        <v>6</v>
      </c>
      <c r="AB19" s="31">
        <v>5</v>
      </c>
      <c r="AC19" s="31">
        <v>6</v>
      </c>
      <c r="AD19" s="31">
        <v>5</v>
      </c>
      <c r="AE19" s="31">
        <v>6</v>
      </c>
      <c r="AF19" s="31">
        <v>5</v>
      </c>
      <c r="AG19" s="31">
        <v>5</v>
      </c>
      <c r="AH19" s="31">
        <v>6</v>
      </c>
      <c r="AI19" s="31" t="s">
        <v>66</v>
      </c>
      <c r="AK19" s="29"/>
      <c r="AL19" s="31">
        <v>47</v>
      </c>
      <c r="AM19" s="369">
        <v>1</v>
      </c>
      <c r="AN19" s="369">
        <v>17</v>
      </c>
      <c r="AO19" s="369">
        <v>2</v>
      </c>
      <c r="AP19" s="369">
        <v>19</v>
      </c>
      <c r="AQ19" s="369">
        <v>10</v>
      </c>
      <c r="AR19" s="369">
        <v>22</v>
      </c>
      <c r="AS19" s="369">
        <v>3</v>
      </c>
      <c r="AT19" s="369">
        <v>4</v>
      </c>
      <c r="AU19" s="369">
        <v>9</v>
      </c>
      <c r="AV19" s="369">
        <v>4</v>
      </c>
      <c r="AW19" s="369">
        <v>2</v>
      </c>
      <c r="AX19" s="369">
        <v>3</v>
      </c>
      <c r="AY19" s="369">
        <v>2</v>
      </c>
      <c r="AZ19" s="31">
        <v>3</v>
      </c>
      <c r="BA19" s="31">
        <v>1</v>
      </c>
      <c r="BB19" s="31">
        <v>1</v>
      </c>
      <c r="BC19" s="31">
        <v>5</v>
      </c>
      <c r="BD19" s="31">
        <v>9</v>
      </c>
      <c r="BE19" s="31">
        <v>1</v>
      </c>
      <c r="BF19" s="31">
        <v>2</v>
      </c>
      <c r="BG19" s="31">
        <v>1</v>
      </c>
      <c r="BH19" s="31">
        <v>1</v>
      </c>
      <c r="BJ19" s="106">
        <f t="shared" si="0"/>
        <v>9145</v>
      </c>
      <c r="BK19" s="407">
        <v>44923</v>
      </c>
      <c r="BM19" s="106"/>
      <c r="BO19" s="28"/>
      <c r="BP19" s="413">
        <v>15</v>
      </c>
      <c r="BQ19" s="414">
        <v>9165</v>
      </c>
      <c r="BR19" s="28"/>
      <c r="BS19" s="28"/>
    </row>
    <row r="20" spans="1:71" x14ac:dyDescent="0.2">
      <c r="A20" s="29">
        <v>18</v>
      </c>
      <c r="B20" s="30" t="s">
        <v>112</v>
      </c>
      <c r="C20" s="31" t="s">
        <v>63</v>
      </c>
      <c r="D20" s="31">
        <v>4.8949999999999996</v>
      </c>
      <c r="E20" s="31">
        <v>8</v>
      </c>
      <c r="F20" s="31">
        <v>8</v>
      </c>
      <c r="G20" s="31">
        <v>8</v>
      </c>
      <c r="H20" s="31">
        <v>8</v>
      </c>
      <c r="I20" s="31">
        <v>8</v>
      </c>
      <c r="J20" s="31">
        <v>9</v>
      </c>
      <c r="K20" s="31">
        <v>9</v>
      </c>
      <c r="L20" s="31">
        <v>9</v>
      </c>
      <c r="M20" s="31">
        <v>9</v>
      </c>
      <c r="N20" s="31">
        <v>9</v>
      </c>
      <c r="O20" s="31">
        <v>9</v>
      </c>
      <c r="P20" s="31">
        <v>9</v>
      </c>
      <c r="Q20" s="31">
        <v>9</v>
      </c>
      <c r="R20" s="31">
        <v>9</v>
      </c>
      <c r="S20" s="31">
        <v>9</v>
      </c>
      <c r="T20" s="31">
        <v>9</v>
      </c>
      <c r="U20" s="31">
        <v>9</v>
      </c>
      <c r="V20" s="31">
        <v>9</v>
      </c>
      <c r="W20" s="31">
        <v>9</v>
      </c>
      <c r="X20" s="31">
        <v>9</v>
      </c>
      <c r="Y20" s="31">
        <v>9</v>
      </c>
      <c r="Z20" s="31">
        <v>9</v>
      </c>
      <c r="AA20" s="31">
        <v>9</v>
      </c>
      <c r="AB20" s="31">
        <v>9</v>
      </c>
      <c r="AC20" s="31">
        <v>9</v>
      </c>
      <c r="AD20" s="31">
        <v>9</v>
      </c>
      <c r="AE20" s="31">
        <v>9</v>
      </c>
      <c r="AF20" s="31">
        <v>9</v>
      </c>
      <c r="AG20" s="31">
        <v>9</v>
      </c>
      <c r="AH20" s="31">
        <v>9</v>
      </c>
      <c r="AI20" s="31" t="s">
        <v>113</v>
      </c>
      <c r="AK20" s="29"/>
      <c r="AL20" s="31">
        <v>54</v>
      </c>
      <c r="AM20" s="369">
        <v>1</v>
      </c>
      <c r="AN20" s="369">
        <v>17</v>
      </c>
      <c r="AO20" s="369">
        <v>2</v>
      </c>
      <c r="AP20" s="369">
        <v>19</v>
      </c>
      <c r="AQ20" s="369">
        <v>11</v>
      </c>
      <c r="AR20" s="369">
        <v>24</v>
      </c>
      <c r="AS20" s="369">
        <v>3</v>
      </c>
      <c r="AT20" s="369">
        <v>4</v>
      </c>
      <c r="AU20" s="369">
        <v>9</v>
      </c>
      <c r="AV20" s="369">
        <v>4</v>
      </c>
      <c r="AW20" s="369">
        <v>3</v>
      </c>
      <c r="AX20" s="369">
        <v>3</v>
      </c>
      <c r="AY20" s="369">
        <v>2</v>
      </c>
      <c r="AZ20" s="31">
        <v>3</v>
      </c>
      <c r="BA20" s="31">
        <v>1</v>
      </c>
      <c r="BB20" s="31">
        <v>1</v>
      </c>
      <c r="BC20" s="31">
        <v>5</v>
      </c>
      <c r="BD20" s="31">
        <v>9</v>
      </c>
      <c r="BE20" s="31">
        <v>1</v>
      </c>
      <c r="BF20" s="31">
        <v>2</v>
      </c>
      <c r="BG20" s="31">
        <v>2</v>
      </c>
      <c r="BH20" s="31">
        <v>1</v>
      </c>
      <c r="BJ20" s="106">
        <f t="shared" si="0"/>
        <v>9845</v>
      </c>
      <c r="BK20" s="407">
        <v>44924</v>
      </c>
      <c r="BM20" s="106"/>
      <c r="BO20" s="28"/>
      <c r="BP20" s="415">
        <v>16</v>
      </c>
      <c r="BQ20" s="416">
        <v>9905</v>
      </c>
      <c r="BR20" s="28"/>
      <c r="BS20" s="28"/>
    </row>
    <row r="21" spans="1:71" ht="24" customHeight="1" x14ac:dyDescent="0.2">
      <c r="A21" s="29">
        <v>19</v>
      </c>
      <c r="B21" s="30" t="s">
        <v>114</v>
      </c>
      <c r="C21" s="31" t="s">
        <v>115</v>
      </c>
      <c r="D21" s="31">
        <v>0.82599999999999996</v>
      </c>
      <c r="E21" s="31">
        <v>1</v>
      </c>
      <c r="F21" s="31">
        <v>1</v>
      </c>
      <c r="G21" s="31">
        <v>1</v>
      </c>
      <c r="H21" s="31">
        <v>1</v>
      </c>
      <c r="I21" s="31">
        <v>1</v>
      </c>
      <c r="J21" s="31">
        <v>1</v>
      </c>
      <c r="K21" s="31">
        <v>2</v>
      </c>
      <c r="L21" s="31">
        <v>1</v>
      </c>
      <c r="M21" s="31">
        <v>1</v>
      </c>
      <c r="N21" s="31">
        <v>1</v>
      </c>
      <c r="O21" s="31">
        <v>1</v>
      </c>
      <c r="P21" s="31">
        <v>1</v>
      </c>
      <c r="Q21" s="31">
        <v>1</v>
      </c>
      <c r="R21" s="31">
        <v>2</v>
      </c>
      <c r="S21" s="31">
        <v>1</v>
      </c>
      <c r="T21" s="31">
        <v>1</v>
      </c>
      <c r="U21" s="31">
        <v>1</v>
      </c>
      <c r="V21" s="31">
        <v>1</v>
      </c>
      <c r="W21" s="31">
        <v>1</v>
      </c>
      <c r="X21" s="31">
        <v>1</v>
      </c>
      <c r="Y21" s="31">
        <v>2</v>
      </c>
      <c r="Z21" s="31">
        <v>1</v>
      </c>
      <c r="AA21" s="31">
        <v>1</v>
      </c>
      <c r="AB21" s="31">
        <v>1</v>
      </c>
      <c r="AC21" s="31">
        <v>1</v>
      </c>
      <c r="AD21" s="31">
        <v>1</v>
      </c>
      <c r="AE21" s="31">
        <v>1</v>
      </c>
      <c r="AF21" s="31">
        <v>2</v>
      </c>
      <c r="AG21" s="31">
        <v>1</v>
      </c>
      <c r="AH21" s="31">
        <v>1</v>
      </c>
      <c r="AI21" s="31" t="s">
        <v>116</v>
      </c>
      <c r="AK21" s="29"/>
      <c r="AL21" s="31">
        <v>49</v>
      </c>
      <c r="AM21" s="369">
        <v>1</v>
      </c>
      <c r="AN21" s="369">
        <v>18</v>
      </c>
      <c r="AO21" s="369">
        <v>2</v>
      </c>
      <c r="AP21" s="369">
        <v>19</v>
      </c>
      <c r="AQ21" s="369">
        <v>11</v>
      </c>
      <c r="AR21" s="369">
        <v>19</v>
      </c>
      <c r="AS21" s="369">
        <v>3</v>
      </c>
      <c r="AT21" s="369">
        <v>4</v>
      </c>
      <c r="AU21" s="369">
        <v>9</v>
      </c>
      <c r="AV21" s="369">
        <v>4</v>
      </c>
      <c r="AW21" s="369">
        <v>3</v>
      </c>
      <c r="AX21" s="369">
        <v>3</v>
      </c>
      <c r="AY21" s="369">
        <v>2</v>
      </c>
      <c r="AZ21" s="31">
        <v>3</v>
      </c>
      <c r="BA21" s="31">
        <v>1</v>
      </c>
      <c r="BB21" s="31">
        <v>1</v>
      </c>
      <c r="BC21" s="31">
        <v>5</v>
      </c>
      <c r="BD21" s="31">
        <v>9</v>
      </c>
      <c r="BE21" s="31">
        <v>1</v>
      </c>
      <c r="BF21" s="31">
        <v>3</v>
      </c>
      <c r="BG21" s="31">
        <v>2</v>
      </c>
      <c r="BH21" s="31">
        <v>1</v>
      </c>
      <c r="BJ21" s="106">
        <f t="shared" si="0"/>
        <v>9465</v>
      </c>
      <c r="BK21" s="407">
        <v>44925</v>
      </c>
      <c r="BM21" s="106"/>
      <c r="BO21" s="28"/>
      <c r="BR21" s="28"/>
      <c r="BS21" s="28"/>
    </row>
    <row r="22" spans="1:71" x14ac:dyDescent="0.2">
      <c r="A22" s="29">
        <v>20</v>
      </c>
      <c r="B22" s="30" t="s">
        <v>117</v>
      </c>
      <c r="C22" s="31" t="s">
        <v>29</v>
      </c>
      <c r="D22" s="31">
        <v>1.2230000000000001</v>
      </c>
      <c r="E22" s="31">
        <v>2</v>
      </c>
      <c r="F22" s="31">
        <v>2</v>
      </c>
      <c r="G22" s="31">
        <v>3</v>
      </c>
      <c r="H22" s="31">
        <v>3</v>
      </c>
      <c r="I22" s="31">
        <v>2</v>
      </c>
      <c r="J22" s="31">
        <v>2</v>
      </c>
      <c r="K22" s="31">
        <v>2</v>
      </c>
      <c r="L22" s="31">
        <v>2</v>
      </c>
      <c r="M22" s="31">
        <v>2</v>
      </c>
      <c r="N22" s="31">
        <v>3</v>
      </c>
      <c r="O22" s="31">
        <v>3</v>
      </c>
      <c r="P22" s="31">
        <v>2</v>
      </c>
      <c r="Q22" s="31">
        <v>2</v>
      </c>
      <c r="R22" s="31">
        <v>2</v>
      </c>
      <c r="S22" s="31">
        <v>2</v>
      </c>
      <c r="T22" s="31">
        <v>2</v>
      </c>
      <c r="U22" s="31">
        <v>3</v>
      </c>
      <c r="V22" s="31">
        <v>3</v>
      </c>
      <c r="W22" s="31">
        <v>2</v>
      </c>
      <c r="X22" s="31">
        <v>2</v>
      </c>
      <c r="Y22" s="31">
        <v>2</v>
      </c>
      <c r="Z22" s="31">
        <v>2</v>
      </c>
      <c r="AA22" s="31">
        <v>2</v>
      </c>
      <c r="AB22" s="31">
        <v>3</v>
      </c>
      <c r="AC22" s="31">
        <v>3</v>
      </c>
      <c r="AD22" s="31">
        <v>2</v>
      </c>
      <c r="AE22" s="31">
        <v>2</v>
      </c>
      <c r="AF22" s="31">
        <v>2</v>
      </c>
      <c r="AG22" s="31">
        <v>2</v>
      </c>
      <c r="AH22" s="31">
        <v>2</v>
      </c>
      <c r="AI22" s="31" t="s">
        <v>118</v>
      </c>
      <c r="AK22" s="29"/>
      <c r="AL22" s="31">
        <v>46</v>
      </c>
      <c r="AM22" s="369">
        <v>1</v>
      </c>
      <c r="AN22" s="369">
        <v>16</v>
      </c>
      <c r="AO22" s="369">
        <v>2</v>
      </c>
      <c r="AP22" s="369">
        <v>19</v>
      </c>
      <c r="AQ22" s="369">
        <v>11</v>
      </c>
      <c r="AR22" s="369">
        <v>20</v>
      </c>
      <c r="AS22" s="369">
        <v>3</v>
      </c>
      <c r="AT22" s="369">
        <v>4</v>
      </c>
      <c r="AU22" s="369">
        <v>9</v>
      </c>
      <c r="AV22" s="369">
        <v>4</v>
      </c>
      <c r="AW22" s="369">
        <v>3</v>
      </c>
      <c r="AX22" s="369">
        <v>3</v>
      </c>
      <c r="AY22" s="369">
        <v>1</v>
      </c>
      <c r="AZ22" s="31">
        <v>3</v>
      </c>
      <c r="BA22" s="31">
        <v>1</v>
      </c>
      <c r="BB22" s="31">
        <v>1</v>
      </c>
      <c r="BC22" s="31">
        <v>5</v>
      </c>
      <c r="BD22" s="31">
        <v>9</v>
      </c>
      <c r="BE22" s="31">
        <v>1</v>
      </c>
      <c r="BF22" s="31">
        <v>3</v>
      </c>
      <c r="BG22" s="31">
        <v>1</v>
      </c>
      <c r="BH22" s="31">
        <v>1</v>
      </c>
      <c r="BJ22" s="106">
        <f t="shared" si="0"/>
        <v>9045</v>
      </c>
      <c r="BK22" s="407">
        <v>44926</v>
      </c>
      <c r="BL22" s="406"/>
      <c r="BM22" s="106"/>
      <c r="BO22" s="28"/>
      <c r="BR22" s="28"/>
      <c r="BS22" s="28"/>
    </row>
    <row r="23" spans="1:71" ht="25" x14ac:dyDescent="0.2">
      <c r="A23" s="29">
        <v>21</v>
      </c>
      <c r="B23" s="30" t="s">
        <v>86</v>
      </c>
      <c r="C23" s="31" t="s">
        <v>27</v>
      </c>
      <c r="D23" s="31">
        <v>1.1859999999999999</v>
      </c>
      <c r="E23" s="31">
        <v>1</v>
      </c>
      <c r="F23" s="31">
        <v>2</v>
      </c>
      <c r="G23" s="31">
        <v>2</v>
      </c>
      <c r="H23" s="31">
        <v>1</v>
      </c>
      <c r="I23" s="31">
        <v>1</v>
      </c>
      <c r="J23" s="31">
        <v>1</v>
      </c>
      <c r="K23" s="31">
        <v>1</v>
      </c>
      <c r="L23" s="31">
        <v>1</v>
      </c>
      <c r="M23" s="31">
        <v>2</v>
      </c>
      <c r="N23" s="31">
        <v>2</v>
      </c>
      <c r="O23" s="31">
        <v>1</v>
      </c>
      <c r="P23" s="31">
        <v>1</v>
      </c>
      <c r="Q23" s="31">
        <v>1</v>
      </c>
      <c r="R23" s="31">
        <v>1</v>
      </c>
      <c r="S23" s="31">
        <v>1</v>
      </c>
      <c r="T23" s="31">
        <v>2</v>
      </c>
      <c r="U23" s="31">
        <v>2</v>
      </c>
      <c r="V23" s="31">
        <v>1</v>
      </c>
      <c r="W23" s="31">
        <v>1</v>
      </c>
      <c r="X23" s="31">
        <v>1</v>
      </c>
      <c r="Y23" s="31">
        <v>1</v>
      </c>
      <c r="Z23" s="31">
        <v>1</v>
      </c>
      <c r="AA23" s="31">
        <v>2</v>
      </c>
      <c r="AB23" s="31">
        <v>2</v>
      </c>
      <c r="AC23" s="31">
        <v>1</v>
      </c>
      <c r="AD23" s="31">
        <v>1</v>
      </c>
      <c r="AE23" s="31">
        <v>1</v>
      </c>
      <c r="AF23" s="31">
        <v>1</v>
      </c>
      <c r="AG23" s="31">
        <v>1</v>
      </c>
      <c r="AH23" s="31">
        <v>2</v>
      </c>
      <c r="AI23" s="31" t="s">
        <v>87</v>
      </c>
      <c r="AK23" s="29"/>
      <c r="AL23" s="31">
        <v>48</v>
      </c>
      <c r="AM23" s="369">
        <v>1</v>
      </c>
      <c r="AN23" s="369">
        <v>17</v>
      </c>
      <c r="AO23" s="369">
        <v>2</v>
      </c>
      <c r="AP23" s="369">
        <v>19</v>
      </c>
      <c r="AQ23" s="369">
        <v>10</v>
      </c>
      <c r="AR23" s="369">
        <v>19</v>
      </c>
      <c r="AS23" s="369">
        <v>5</v>
      </c>
      <c r="AT23" s="369">
        <v>4</v>
      </c>
      <c r="AU23" s="369">
        <v>9</v>
      </c>
      <c r="AV23" s="369">
        <v>4</v>
      </c>
      <c r="AW23" s="369">
        <v>3</v>
      </c>
      <c r="AX23" s="369">
        <v>3</v>
      </c>
      <c r="AY23" s="369">
        <v>2</v>
      </c>
      <c r="AZ23" s="31">
        <v>3</v>
      </c>
      <c r="BA23" s="31">
        <v>1</v>
      </c>
      <c r="BB23" s="31">
        <v>1</v>
      </c>
      <c r="BC23" s="31">
        <v>6</v>
      </c>
      <c r="BD23" s="31">
        <v>9</v>
      </c>
      <c r="BE23" s="31">
        <v>1</v>
      </c>
      <c r="BF23" s="31">
        <v>2</v>
      </c>
      <c r="BG23" s="31">
        <v>1</v>
      </c>
      <c r="BH23" s="31">
        <v>1</v>
      </c>
      <c r="BJ23" s="106">
        <f t="shared" si="0"/>
        <v>9265</v>
      </c>
      <c r="BK23" s="408">
        <v>44562</v>
      </c>
      <c r="BL23" s="406" t="s">
        <v>126</v>
      </c>
      <c r="BM23" s="106"/>
      <c r="BO23" s="28"/>
      <c r="BR23" s="28"/>
      <c r="BS23" s="28"/>
    </row>
    <row r="24" spans="1:71" x14ac:dyDescent="0.2">
      <c r="A24" s="29">
        <v>22</v>
      </c>
      <c r="B24" s="30" t="s">
        <v>119</v>
      </c>
      <c r="C24" s="31" t="s">
        <v>72</v>
      </c>
      <c r="D24" s="31">
        <v>0.83099999999999996</v>
      </c>
      <c r="E24" s="31">
        <v>1</v>
      </c>
      <c r="F24" s="31">
        <v>1</v>
      </c>
      <c r="G24" s="31">
        <v>1</v>
      </c>
      <c r="H24" s="31">
        <v>1</v>
      </c>
      <c r="I24" s="31">
        <v>1</v>
      </c>
      <c r="J24" s="31">
        <v>1</v>
      </c>
      <c r="K24" s="31">
        <v>1</v>
      </c>
      <c r="L24" s="31">
        <v>1</v>
      </c>
      <c r="M24" s="31">
        <v>1</v>
      </c>
      <c r="N24" s="31">
        <v>1</v>
      </c>
      <c r="O24" s="31">
        <v>1</v>
      </c>
      <c r="P24" s="31">
        <v>1</v>
      </c>
      <c r="Q24" s="31">
        <v>1</v>
      </c>
      <c r="R24" s="31">
        <v>1</v>
      </c>
      <c r="S24" s="31">
        <v>1</v>
      </c>
      <c r="T24" s="31">
        <v>1</v>
      </c>
      <c r="U24" s="31">
        <v>1</v>
      </c>
      <c r="V24" s="31">
        <v>1</v>
      </c>
      <c r="W24" s="31">
        <v>1</v>
      </c>
      <c r="X24" s="31">
        <v>1</v>
      </c>
      <c r="Y24" s="31">
        <v>1</v>
      </c>
      <c r="Z24" s="31">
        <v>1</v>
      </c>
      <c r="AA24" s="31">
        <v>1</v>
      </c>
      <c r="AB24" s="31">
        <v>1</v>
      </c>
      <c r="AC24" s="31">
        <v>1</v>
      </c>
      <c r="AD24" s="31">
        <v>1</v>
      </c>
      <c r="AE24" s="31">
        <v>1</v>
      </c>
      <c r="AF24" s="31">
        <v>1</v>
      </c>
      <c r="AG24" s="31">
        <v>1</v>
      </c>
      <c r="AH24" s="31">
        <v>1</v>
      </c>
      <c r="AI24" s="31" t="s">
        <v>120</v>
      </c>
      <c r="AK24" s="29"/>
      <c r="AL24" s="31">
        <v>45</v>
      </c>
      <c r="AM24" s="369">
        <v>1</v>
      </c>
      <c r="AN24" s="369">
        <v>18</v>
      </c>
      <c r="AO24" s="369">
        <v>2</v>
      </c>
      <c r="AP24" s="369">
        <v>19</v>
      </c>
      <c r="AQ24" s="369">
        <v>10</v>
      </c>
      <c r="AR24" s="369">
        <v>18</v>
      </c>
      <c r="AS24" s="369">
        <v>3</v>
      </c>
      <c r="AT24" s="369">
        <v>4</v>
      </c>
      <c r="AU24" s="369">
        <v>9</v>
      </c>
      <c r="AV24" s="369">
        <v>4</v>
      </c>
      <c r="AW24" s="369">
        <v>6</v>
      </c>
      <c r="AX24" s="369">
        <v>4</v>
      </c>
      <c r="AY24" s="369">
        <v>1</v>
      </c>
      <c r="AZ24" s="31">
        <v>3</v>
      </c>
      <c r="BA24" s="31">
        <v>1</v>
      </c>
      <c r="BB24" s="31">
        <v>1</v>
      </c>
      <c r="BC24" s="31">
        <v>5</v>
      </c>
      <c r="BD24" s="31">
        <v>9</v>
      </c>
      <c r="BE24" s="31">
        <v>1</v>
      </c>
      <c r="BF24" s="31">
        <v>2</v>
      </c>
      <c r="BG24" s="31">
        <v>1</v>
      </c>
      <c r="BH24" s="31">
        <v>1</v>
      </c>
      <c r="BJ24" s="106">
        <f t="shared" si="0"/>
        <v>9155</v>
      </c>
      <c r="BK24" s="409">
        <v>44563</v>
      </c>
      <c r="BL24" s="406"/>
      <c r="BM24" s="106"/>
      <c r="BO24" s="28"/>
      <c r="BR24" s="28"/>
      <c r="BS24" s="28"/>
    </row>
    <row r="25" spans="1:71" x14ac:dyDescent="0.2">
      <c r="AJ25" s="28">
        <v>8</v>
      </c>
      <c r="AK25" s="317">
        <v>8</v>
      </c>
      <c r="AL25" s="31">
        <v>46</v>
      </c>
      <c r="AM25" s="369">
        <v>1</v>
      </c>
      <c r="AN25" s="369">
        <v>21</v>
      </c>
      <c r="AO25" s="369">
        <v>2</v>
      </c>
      <c r="AP25" s="369">
        <v>19</v>
      </c>
      <c r="AQ25" s="369">
        <v>10</v>
      </c>
      <c r="AR25" s="369">
        <v>18</v>
      </c>
      <c r="AS25" s="369">
        <v>3</v>
      </c>
      <c r="AT25" s="369">
        <v>4</v>
      </c>
      <c r="AU25" s="369">
        <v>9</v>
      </c>
      <c r="AV25" s="369">
        <v>4</v>
      </c>
      <c r="AW25" s="369">
        <v>3</v>
      </c>
      <c r="AX25" s="369">
        <v>3</v>
      </c>
      <c r="AY25" s="369">
        <v>2</v>
      </c>
      <c r="AZ25" s="31">
        <v>3</v>
      </c>
      <c r="BA25" s="31">
        <v>1</v>
      </c>
      <c r="BB25" s="31">
        <v>1</v>
      </c>
      <c r="BC25" s="31">
        <v>6</v>
      </c>
      <c r="BD25" s="31">
        <v>9</v>
      </c>
      <c r="BE25" s="31">
        <v>2</v>
      </c>
      <c r="BF25" s="31">
        <v>2</v>
      </c>
      <c r="BG25" s="31">
        <v>1</v>
      </c>
      <c r="BH25" s="31">
        <v>1</v>
      </c>
      <c r="BJ25" s="106">
        <f t="shared" si="0"/>
        <v>9305</v>
      </c>
      <c r="BK25" s="410">
        <v>44564</v>
      </c>
      <c r="BL25" s="28">
        <v>8</v>
      </c>
      <c r="BM25" s="106">
        <v>9305</v>
      </c>
      <c r="BO25" s="28"/>
      <c r="BR25" s="28"/>
      <c r="BS25" s="28"/>
    </row>
    <row r="26" spans="1:71" x14ac:dyDescent="0.2">
      <c r="AJ26" s="28">
        <v>9</v>
      </c>
      <c r="AK26" s="316">
        <v>9</v>
      </c>
      <c r="AL26" s="31">
        <v>47</v>
      </c>
      <c r="AM26" s="369">
        <v>1</v>
      </c>
      <c r="AN26" s="369">
        <v>17</v>
      </c>
      <c r="AO26" s="369">
        <v>2</v>
      </c>
      <c r="AP26" s="369">
        <v>19</v>
      </c>
      <c r="AQ26" s="369">
        <v>10</v>
      </c>
      <c r="AR26" s="369">
        <v>22</v>
      </c>
      <c r="AS26" s="369">
        <v>3</v>
      </c>
      <c r="AT26" s="369">
        <v>4</v>
      </c>
      <c r="AU26" s="369">
        <v>9</v>
      </c>
      <c r="AV26" s="369">
        <v>4</v>
      </c>
      <c r="AW26" s="369">
        <v>3</v>
      </c>
      <c r="AX26" s="369">
        <v>4</v>
      </c>
      <c r="AY26" s="369">
        <v>2</v>
      </c>
      <c r="AZ26" s="31">
        <v>3</v>
      </c>
      <c r="BA26" s="31">
        <v>1</v>
      </c>
      <c r="BB26" s="31">
        <v>1</v>
      </c>
      <c r="BC26" s="31">
        <v>5</v>
      </c>
      <c r="BD26" s="31">
        <v>9</v>
      </c>
      <c r="BE26" s="31">
        <v>1</v>
      </c>
      <c r="BF26" s="31">
        <v>2</v>
      </c>
      <c r="BG26" s="31">
        <v>1</v>
      </c>
      <c r="BH26" s="31">
        <v>1</v>
      </c>
      <c r="BJ26" s="106">
        <f t="shared" si="0"/>
        <v>9265</v>
      </c>
      <c r="BK26" s="409">
        <v>44565</v>
      </c>
      <c r="BL26" s="28">
        <v>9</v>
      </c>
      <c r="BM26" s="106">
        <v>9265</v>
      </c>
      <c r="BO26" s="28"/>
      <c r="BR26" s="28"/>
      <c r="BS26" s="28"/>
    </row>
    <row r="27" spans="1:71" x14ac:dyDescent="0.2">
      <c r="AJ27" s="28">
        <v>10</v>
      </c>
      <c r="AK27" s="31">
        <v>10</v>
      </c>
      <c r="AL27" s="31">
        <v>54</v>
      </c>
      <c r="AM27" s="369">
        <v>1</v>
      </c>
      <c r="AN27" s="369">
        <v>17</v>
      </c>
      <c r="AO27" s="369">
        <v>2</v>
      </c>
      <c r="AP27" s="369">
        <v>19</v>
      </c>
      <c r="AQ27" s="369">
        <v>11</v>
      </c>
      <c r="AR27" s="369">
        <v>24</v>
      </c>
      <c r="AS27" s="369">
        <v>3</v>
      </c>
      <c r="AT27" s="369">
        <v>4</v>
      </c>
      <c r="AU27" s="369">
        <v>9</v>
      </c>
      <c r="AV27" s="369">
        <v>4</v>
      </c>
      <c r="AW27" s="369">
        <v>3</v>
      </c>
      <c r="AX27" s="369">
        <v>4</v>
      </c>
      <c r="AY27" s="369">
        <v>2</v>
      </c>
      <c r="AZ27" s="31">
        <v>3</v>
      </c>
      <c r="BA27" s="31">
        <v>1</v>
      </c>
      <c r="BB27" s="31">
        <v>1</v>
      </c>
      <c r="BC27" s="31">
        <v>6</v>
      </c>
      <c r="BD27" s="31">
        <v>9</v>
      </c>
      <c r="BE27" s="31">
        <v>1</v>
      </c>
      <c r="BF27" s="31">
        <v>2</v>
      </c>
      <c r="BG27" s="31">
        <v>2</v>
      </c>
      <c r="BH27" s="31">
        <v>1</v>
      </c>
      <c r="BJ27" s="106">
        <f t="shared" si="0"/>
        <v>9945</v>
      </c>
      <c r="BK27" s="410">
        <v>44566</v>
      </c>
      <c r="BL27" s="28">
        <v>10</v>
      </c>
      <c r="BM27" s="106">
        <v>9945</v>
      </c>
      <c r="BO27" s="28"/>
      <c r="BR27" s="28"/>
      <c r="BS27" s="28"/>
    </row>
    <row r="28" spans="1:71" x14ac:dyDescent="0.2">
      <c r="AJ28" s="28">
        <v>11</v>
      </c>
      <c r="AK28" s="317">
        <v>11</v>
      </c>
      <c r="AL28" s="31">
        <v>49</v>
      </c>
      <c r="AM28" s="369">
        <v>1</v>
      </c>
      <c r="AN28" s="369">
        <v>18</v>
      </c>
      <c r="AO28" s="369">
        <v>2</v>
      </c>
      <c r="AP28" s="369">
        <v>19</v>
      </c>
      <c r="AQ28" s="369">
        <v>11</v>
      </c>
      <c r="AR28" s="369">
        <v>18</v>
      </c>
      <c r="AS28" s="369">
        <v>2</v>
      </c>
      <c r="AT28" s="369">
        <v>4</v>
      </c>
      <c r="AU28" s="369">
        <v>9</v>
      </c>
      <c r="AV28" s="369">
        <v>4</v>
      </c>
      <c r="AW28" s="369">
        <v>3</v>
      </c>
      <c r="AX28" s="369">
        <v>4</v>
      </c>
      <c r="AY28" s="369">
        <v>2</v>
      </c>
      <c r="AZ28" s="31">
        <v>3</v>
      </c>
      <c r="BA28" s="31">
        <v>1</v>
      </c>
      <c r="BB28" s="31">
        <v>1</v>
      </c>
      <c r="BC28" s="31">
        <v>5</v>
      </c>
      <c r="BD28" s="31">
        <v>9</v>
      </c>
      <c r="BE28" s="31">
        <v>1</v>
      </c>
      <c r="BF28" s="31">
        <v>3</v>
      </c>
      <c r="BG28" s="31">
        <v>2</v>
      </c>
      <c r="BH28" s="31">
        <v>1</v>
      </c>
      <c r="BJ28" s="106">
        <f>SUMPRODUCT(AL28:BH28,$AL$37:$BH$37)</f>
        <v>9415</v>
      </c>
      <c r="BK28" s="409">
        <v>44567</v>
      </c>
      <c r="BL28" s="28">
        <v>11</v>
      </c>
      <c r="BM28" s="106">
        <v>9415</v>
      </c>
      <c r="BO28" s="28"/>
      <c r="BR28" s="28"/>
      <c r="BS28" s="28"/>
    </row>
    <row r="29" spans="1:71" x14ac:dyDescent="0.2">
      <c r="AJ29" s="28">
        <v>12</v>
      </c>
      <c r="AK29" s="31">
        <v>12</v>
      </c>
      <c r="AL29" s="31">
        <v>46</v>
      </c>
      <c r="AM29" s="369">
        <v>1</v>
      </c>
      <c r="AN29" s="369">
        <v>16</v>
      </c>
      <c r="AO29" s="369">
        <v>2</v>
      </c>
      <c r="AP29" s="369">
        <v>19</v>
      </c>
      <c r="AQ29" s="369">
        <v>11</v>
      </c>
      <c r="AR29" s="369">
        <v>19</v>
      </c>
      <c r="AS29" s="369">
        <v>2</v>
      </c>
      <c r="AT29" s="369">
        <v>4</v>
      </c>
      <c r="AU29" s="369">
        <v>9</v>
      </c>
      <c r="AV29" s="369">
        <v>4</v>
      </c>
      <c r="AW29" s="369">
        <v>3</v>
      </c>
      <c r="AX29" s="369">
        <v>4</v>
      </c>
      <c r="AY29" s="369">
        <v>1</v>
      </c>
      <c r="AZ29" s="31">
        <v>3</v>
      </c>
      <c r="BA29" s="31">
        <v>1</v>
      </c>
      <c r="BB29" s="31">
        <v>1</v>
      </c>
      <c r="BC29" s="31">
        <v>6</v>
      </c>
      <c r="BD29" s="31">
        <v>9</v>
      </c>
      <c r="BE29" s="31">
        <v>1</v>
      </c>
      <c r="BF29" s="31">
        <v>3</v>
      </c>
      <c r="BG29" s="31">
        <v>1</v>
      </c>
      <c r="BH29" s="31">
        <v>1</v>
      </c>
      <c r="BJ29" s="106">
        <f t="shared" si="0"/>
        <v>9045</v>
      </c>
      <c r="BK29" s="410">
        <v>44568</v>
      </c>
      <c r="BL29" s="28">
        <v>12</v>
      </c>
      <c r="BM29" s="106">
        <v>9045</v>
      </c>
      <c r="BO29" s="28"/>
      <c r="BR29" s="28"/>
      <c r="BS29" s="28"/>
    </row>
    <row r="30" spans="1:71" x14ac:dyDescent="0.2">
      <c r="AK30" s="29"/>
      <c r="AL30" s="31">
        <v>48</v>
      </c>
      <c r="AM30" s="369">
        <v>1</v>
      </c>
      <c r="AN30" s="369">
        <v>17</v>
      </c>
      <c r="AO30" s="369">
        <v>2</v>
      </c>
      <c r="AP30" s="369">
        <v>19</v>
      </c>
      <c r="AQ30" s="369">
        <v>10</v>
      </c>
      <c r="AR30" s="369">
        <v>18</v>
      </c>
      <c r="AS30" s="369">
        <v>3</v>
      </c>
      <c r="AT30" s="369">
        <v>4</v>
      </c>
      <c r="AU30" s="369">
        <v>9</v>
      </c>
      <c r="AV30" s="369">
        <v>4</v>
      </c>
      <c r="AW30" s="369">
        <v>3</v>
      </c>
      <c r="AX30" s="369">
        <v>4</v>
      </c>
      <c r="AY30" s="369">
        <v>2</v>
      </c>
      <c r="AZ30" s="31">
        <v>3</v>
      </c>
      <c r="BA30" s="31">
        <v>1</v>
      </c>
      <c r="BB30" s="31">
        <v>1</v>
      </c>
      <c r="BC30" s="31">
        <v>5</v>
      </c>
      <c r="BD30" s="31">
        <v>9</v>
      </c>
      <c r="BE30" s="31">
        <v>1</v>
      </c>
      <c r="BF30" s="31">
        <v>2</v>
      </c>
      <c r="BG30" s="31">
        <v>1</v>
      </c>
      <c r="BH30" s="31">
        <v>1</v>
      </c>
      <c r="BJ30" s="106">
        <f t="shared" si="0"/>
        <v>9115</v>
      </c>
      <c r="BK30" s="409">
        <v>44569</v>
      </c>
      <c r="BL30" s="342" t="s">
        <v>125</v>
      </c>
      <c r="BM30" s="106"/>
      <c r="BO30" s="28"/>
      <c r="BR30" s="28"/>
      <c r="BS30" s="28"/>
    </row>
    <row r="31" spans="1:71" x14ac:dyDescent="0.2">
      <c r="AJ31" s="28">
        <v>13</v>
      </c>
      <c r="AK31" s="318">
        <v>13</v>
      </c>
      <c r="AL31" s="31">
        <v>45</v>
      </c>
      <c r="AM31" s="369">
        <v>1</v>
      </c>
      <c r="AN31" s="369">
        <v>18</v>
      </c>
      <c r="AO31" s="369">
        <v>2</v>
      </c>
      <c r="AP31" s="369">
        <v>19</v>
      </c>
      <c r="AQ31" s="369">
        <v>11</v>
      </c>
      <c r="AR31" s="369">
        <v>18</v>
      </c>
      <c r="AS31" s="369">
        <v>3</v>
      </c>
      <c r="AT31" s="369">
        <v>4</v>
      </c>
      <c r="AU31" s="369">
        <v>9</v>
      </c>
      <c r="AV31" s="369">
        <v>4</v>
      </c>
      <c r="AW31" s="369">
        <v>2</v>
      </c>
      <c r="AX31" s="369">
        <v>4</v>
      </c>
      <c r="AY31" s="369">
        <v>1</v>
      </c>
      <c r="AZ31" s="31">
        <v>3</v>
      </c>
      <c r="BA31" s="31">
        <v>1</v>
      </c>
      <c r="BB31" s="31">
        <v>1</v>
      </c>
      <c r="BC31" s="31">
        <v>6</v>
      </c>
      <c r="BD31" s="31">
        <v>9</v>
      </c>
      <c r="BE31" s="31">
        <v>1</v>
      </c>
      <c r="BF31" s="31">
        <v>2</v>
      </c>
      <c r="BG31" s="31">
        <v>1</v>
      </c>
      <c r="BH31" s="31">
        <v>1</v>
      </c>
      <c r="BJ31" s="106">
        <f t="shared" si="0"/>
        <v>8985</v>
      </c>
      <c r="BK31" s="410">
        <v>44570</v>
      </c>
      <c r="BL31" s="28">
        <v>13</v>
      </c>
      <c r="BM31" s="106">
        <v>8985</v>
      </c>
      <c r="BO31" s="28"/>
      <c r="BR31" s="28"/>
      <c r="BS31" s="28"/>
    </row>
    <row r="32" spans="1:71" x14ac:dyDescent="0.2">
      <c r="AE32" s="99"/>
      <c r="AJ32" s="145">
        <v>14</v>
      </c>
      <c r="AK32" s="31">
        <v>14</v>
      </c>
      <c r="AL32" s="31">
        <v>46</v>
      </c>
      <c r="AM32" s="369">
        <v>1</v>
      </c>
      <c r="AN32" s="369">
        <v>21</v>
      </c>
      <c r="AO32" s="369">
        <v>2</v>
      </c>
      <c r="AP32" s="369">
        <v>19</v>
      </c>
      <c r="AQ32" s="369">
        <v>10</v>
      </c>
      <c r="AR32" s="369">
        <v>18</v>
      </c>
      <c r="AS32" s="369">
        <v>3</v>
      </c>
      <c r="AT32" s="369">
        <v>4</v>
      </c>
      <c r="AU32" s="369">
        <v>9</v>
      </c>
      <c r="AV32" s="369">
        <v>4</v>
      </c>
      <c r="AW32" s="369">
        <v>3</v>
      </c>
      <c r="AX32" s="369">
        <v>3</v>
      </c>
      <c r="AY32" s="369">
        <v>2</v>
      </c>
      <c r="AZ32" s="31">
        <v>3</v>
      </c>
      <c r="BA32" s="31">
        <v>1</v>
      </c>
      <c r="BB32" s="31">
        <v>1</v>
      </c>
      <c r="BC32" s="31">
        <v>5</v>
      </c>
      <c r="BD32" s="31">
        <v>9</v>
      </c>
      <c r="BE32" s="31">
        <v>2</v>
      </c>
      <c r="BF32" s="31">
        <v>2</v>
      </c>
      <c r="BG32" s="31">
        <v>1</v>
      </c>
      <c r="BH32" s="31">
        <v>1</v>
      </c>
      <c r="BJ32" s="106">
        <f t="shared" si="0"/>
        <v>9255</v>
      </c>
      <c r="BK32" s="409">
        <v>44571</v>
      </c>
      <c r="BL32" s="28">
        <v>14</v>
      </c>
      <c r="BM32" s="106">
        <v>9255</v>
      </c>
      <c r="BO32" s="28"/>
      <c r="BR32" s="28"/>
      <c r="BS32" s="28"/>
    </row>
    <row r="33" spans="36:71" x14ac:dyDescent="0.2">
      <c r="AJ33" s="145">
        <v>15</v>
      </c>
      <c r="AK33" s="28">
        <v>15</v>
      </c>
      <c r="AL33" s="31">
        <v>47</v>
      </c>
      <c r="AM33" s="369">
        <v>1</v>
      </c>
      <c r="AN33" s="369">
        <v>17</v>
      </c>
      <c r="AO33" s="369">
        <v>2</v>
      </c>
      <c r="AP33" s="369">
        <v>19</v>
      </c>
      <c r="AQ33" s="369">
        <v>10</v>
      </c>
      <c r="AR33" s="369">
        <v>21</v>
      </c>
      <c r="AS33" s="369">
        <v>3</v>
      </c>
      <c r="AT33" s="369">
        <v>4</v>
      </c>
      <c r="AU33" s="369">
        <v>9</v>
      </c>
      <c r="AV33" s="369">
        <v>4</v>
      </c>
      <c r="AW33" s="369">
        <v>3</v>
      </c>
      <c r="AX33" s="369">
        <v>3</v>
      </c>
      <c r="AY33" s="369">
        <v>2</v>
      </c>
      <c r="AZ33" s="31">
        <v>3</v>
      </c>
      <c r="BA33" s="31">
        <v>1</v>
      </c>
      <c r="BB33" s="31">
        <v>1</v>
      </c>
      <c r="BC33" s="31">
        <v>5</v>
      </c>
      <c r="BD33" s="31">
        <v>9</v>
      </c>
      <c r="BE33" s="31">
        <v>1</v>
      </c>
      <c r="BF33" s="31">
        <v>2</v>
      </c>
      <c r="BG33" s="31">
        <v>1</v>
      </c>
      <c r="BH33" s="31">
        <v>1</v>
      </c>
      <c r="BJ33" s="106">
        <f t="shared" si="0"/>
        <v>9165</v>
      </c>
      <c r="BK33" s="410">
        <v>44572</v>
      </c>
      <c r="BL33" s="28">
        <v>15</v>
      </c>
      <c r="BM33" s="106">
        <v>9165</v>
      </c>
      <c r="BO33" s="28"/>
      <c r="BR33" s="28"/>
      <c r="BS33" s="28"/>
    </row>
    <row r="34" spans="36:71" x14ac:dyDescent="0.2">
      <c r="AJ34" s="145">
        <v>16</v>
      </c>
      <c r="AK34" s="31">
        <v>16</v>
      </c>
      <c r="AL34" s="31">
        <v>53</v>
      </c>
      <c r="AM34" s="369">
        <v>1</v>
      </c>
      <c r="AN34" s="369">
        <v>18</v>
      </c>
      <c r="AO34" s="369">
        <v>2</v>
      </c>
      <c r="AP34" s="369">
        <v>19</v>
      </c>
      <c r="AQ34" s="369">
        <v>11</v>
      </c>
      <c r="AR34" s="369">
        <v>24</v>
      </c>
      <c r="AS34" s="369">
        <v>3</v>
      </c>
      <c r="AT34" s="369">
        <v>4</v>
      </c>
      <c r="AU34" s="369">
        <v>9</v>
      </c>
      <c r="AV34" s="369">
        <v>4</v>
      </c>
      <c r="AW34" s="369">
        <v>3</v>
      </c>
      <c r="AX34" s="369">
        <v>3</v>
      </c>
      <c r="AY34" s="369">
        <v>2</v>
      </c>
      <c r="AZ34" s="31">
        <v>3</v>
      </c>
      <c r="BA34" s="31">
        <v>1</v>
      </c>
      <c r="BB34" s="31">
        <v>1</v>
      </c>
      <c r="BC34" s="31">
        <v>6</v>
      </c>
      <c r="BD34" s="31">
        <v>9</v>
      </c>
      <c r="BE34" s="31">
        <v>1</v>
      </c>
      <c r="BF34" s="31">
        <v>2</v>
      </c>
      <c r="BG34" s="31">
        <v>2</v>
      </c>
      <c r="BH34" s="31">
        <v>1</v>
      </c>
      <c r="BJ34" s="106">
        <f>SUMPRODUCT(AL34:BH34,$AL$37:$BH$37)</f>
        <v>9905</v>
      </c>
      <c r="BK34" s="409">
        <v>44573</v>
      </c>
      <c r="BL34" s="28">
        <v>16</v>
      </c>
      <c r="BM34" s="106">
        <v>9905</v>
      </c>
      <c r="BO34" s="28"/>
      <c r="BR34" s="28"/>
      <c r="BS34" s="28"/>
    </row>
    <row r="35" spans="36:71" x14ac:dyDescent="0.2">
      <c r="AK35" s="29" t="s">
        <v>26</v>
      </c>
      <c r="AL35" s="31" t="s">
        <v>103</v>
      </c>
      <c r="AM35" s="369" t="s">
        <v>64</v>
      </c>
      <c r="AN35" s="369" t="s">
        <v>90</v>
      </c>
      <c r="AO35" s="369" t="s">
        <v>85</v>
      </c>
      <c r="AP35" s="369" t="s">
        <v>73</v>
      </c>
      <c r="AQ35" s="369" t="s">
        <v>104</v>
      </c>
      <c r="AR35" s="369" t="s">
        <v>105</v>
      </c>
      <c r="AS35" s="369" t="s">
        <v>79</v>
      </c>
      <c r="AT35" s="369" t="s">
        <v>108</v>
      </c>
      <c r="AU35" s="369" t="s">
        <v>109</v>
      </c>
      <c r="AV35" s="369" t="s">
        <v>110</v>
      </c>
      <c r="AW35" s="369" t="s">
        <v>70</v>
      </c>
      <c r="AX35" s="369" t="s">
        <v>111</v>
      </c>
      <c r="AY35" s="369" t="s">
        <v>89</v>
      </c>
      <c r="AZ35" s="31" t="s">
        <v>81</v>
      </c>
      <c r="BA35" s="31" t="s">
        <v>93</v>
      </c>
      <c r="BB35" s="31" t="s">
        <v>83</v>
      </c>
      <c r="BC35" s="31" t="s">
        <v>66</v>
      </c>
      <c r="BD35" s="31" t="s">
        <v>113</v>
      </c>
      <c r="BE35" s="31" t="s">
        <v>116</v>
      </c>
      <c r="BF35" s="31" t="s">
        <v>118</v>
      </c>
      <c r="BG35" s="31" t="s">
        <v>87</v>
      </c>
      <c r="BH35" s="31" t="s">
        <v>120</v>
      </c>
      <c r="BJ35" s="106"/>
    </row>
    <row r="37" spans="36:71" x14ac:dyDescent="0.2">
      <c r="AK37" s="101" t="s">
        <v>142</v>
      </c>
      <c r="AL37" s="101">
        <v>50</v>
      </c>
      <c r="AM37" s="380">
        <v>200</v>
      </c>
      <c r="AN37" s="380">
        <v>60</v>
      </c>
      <c r="AO37" s="380">
        <v>50</v>
      </c>
      <c r="AP37" s="380">
        <v>45</v>
      </c>
      <c r="AQ37" s="380">
        <v>60</v>
      </c>
      <c r="AR37" s="380">
        <v>50</v>
      </c>
      <c r="AS37" s="380">
        <v>50</v>
      </c>
      <c r="AT37" s="380">
        <v>50</v>
      </c>
      <c r="AU37" s="380">
        <v>50</v>
      </c>
      <c r="AV37" s="380">
        <v>70</v>
      </c>
      <c r="AW37" s="380">
        <v>70</v>
      </c>
      <c r="AX37" s="380">
        <v>50</v>
      </c>
      <c r="AY37" s="380">
        <v>80</v>
      </c>
      <c r="AZ37" s="266">
        <v>60</v>
      </c>
      <c r="BA37" s="101">
        <v>60</v>
      </c>
      <c r="BB37" s="266">
        <v>60</v>
      </c>
      <c r="BC37" s="101">
        <v>50</v>
      </c>
      <c r="BD37" s="101">
        <v>50</v>
      </c>
      <c r="BE37" s="101">
        <v>50</v>
      </c>
      <c r="BF37" s="266">
        <v>60</v>
      </c>
      <c r="BG37" s="266">
        <v>120</v>
      </c>
      <c r="BH37" s="101">
        <v>100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60B3-AE6F-5F40-9F59-B61F21CEC107}">
  <sheetPr codeName="Sheet3">
    <tabColor rgb="FFFFBBEB"/>
  </sheetPr>
  <dimension ref="A1:AE63"/>
  <sheetViews>
    <sheetView zoomScaleNormal="100" workbookViewId="0">
      <selection activeCell="A3" sqref="A3"/>
    </sheetView>
  </sheetViews>
  <sheetFormatPr baseColWidth="10" defaultColWidth="10.83203125" defaultRowHeight="24" x14ac:dyDescent="0.2"/>
  <cols>
    <col min="1" max="21" width="5.83203125" style="24" customWidth="1"/>
    <col min="22" max="22" width="10.83203125" style="25"/>
    <col min="23" max="23" width="14.83203125" style="24" customWidth="1"/>
    <col min="24" max="24" width="10.5" style="24" bestFit="1" customWidth="1"/>
    <col min="25" max="25" width="8.5" style="24" bestFit="1" customWidth="1"/>
    <col min="26" max="30" width="5.83203125" style="24" customWidth="1"/>
    <col min="31" max="31" width="13.1640625" style="24" customWidth="1"/>
    <col min="32" max="32" width="15.1640625" style="24" customWidth="1"/>
    <col min="33" max="33" width="15.33203125" style="24" bestFit="1" customWidth="1"/>
    <col min="34" max="36" width="10.83203125" style="24"/>
    <col min="37" max="37" width="12.6640625" style="24" bestFit="1" customWidth="1"/>
    <col min="38" max="41" width="10.83203125" style="24"/>
    <col min="42" max="42" width="11.33203125" style="24" bestFit="1" customWidth="1"/>
    <col min="43" max="43" width="12" style="24" bestFit="1" customWidth="1"/>
    <col min="44" max="44" width="11.6640625" style="24" bestFit="1" customWidth="1"/>
    <col min="45" max="45" width="15.33203125" style="24" bestFit="1" customWidth="1"/>
    <col min="46" max="16384" width="10.83203125" style="24"/>
  </cols>
  <sheetData>
    <row r="1" spans="1:25" ht="27" x14ac:dyDescent="0.2">
      <c r="A1" s="33"/>
      <c r="B1" s="448" t="s">
        <v>122</v>
      </c>
      <c r="C1" s="448"/>
      <c r="D1" s="448"/>
      <c r="E1" s="448"/>
      <c r="F1" s="448"/>
      <c r="G1" s="448"/>
      <c r="H1" s="448"/>
      <c r="I1" s="448"/>
      <c r="J1" s="448"/>
      <c r="K1" s="448"/>
      <c r="L1" s="448"/>
      <c r="M1" s="448"/>
      <c r="N1" s="448"/>
      <c r="O1" s="448"/>
      <c r="P1" s="448"/>
      <c r="Q1" s="448"/>
      <c r="R1" s="448"/>
      <c r="S1" s="33"/>
      <c r="V1" s="346"/>
      <c r="W1" s="292"/>
      <c r="X1" s="449"/>
      <c r="Y1" s="449"/>
    </row>
    <row r="2" spans="1:25" x14ac:dyDescent="0.2">
      <c r="A2" s="352" t="s">
        <v>44</v>
      </c>
      <c r="B2" s="382" t="s">
        <v>18</v>
      </c>
      <c r="C2" s="382" t="s">
        <v>19</v>
      </c>
      <c r="D2" s="382" t="s">
        <v>20</v>
      </c>
      <c r="E2" s="382" t="s">
        <v>47</v>
      </c>
      <c r="F2" s="382" t="s">
        <v>46</v>
      </c>
      <c r="G2" s="383" t="s">
        <v>48</v>
      </c>
      <c r="H2" s="383" t="s">
        <v>49</v>
      </c>
      <c r="I2" s="382" t="s">
        <v>94</v>
      </c>
      <c r="J2" s="382" t="s">
        <v>22</v>
      </c>
      <c r="K2" s="382" t="s">
        <v>50</v>
      </c>
      <c r="L2" s="382" t="s">
        <v>51</v>
      </c>
      <c r="M2" s="382" t="s">
        <v>52</v>
      </c>
      <c r="N2" s="382" t="s">
        <v>53</v>
      </c>
      <c r="O2" s="382" t="s">
        <v>54</v>
      </c>
      <c r="P2" s="382" t="s">
        <v>55</v>
      </c>
      <c r="Q2" s="382" t="s">
        <v>57</v>
      </c>
      <c r="R2" s="382" t="s">
        <v>56</v>
      </c>
      <c r="S2" s="26" t="s">
        <v>121</v>
      </c>
      <c r="V2" s="347"/>
      <c r="W2" s="348"/>
      <c r="X2" s="349"/>
      <c r="Y2" s="349"/>
    </row>
    <row r="3" spans="1:25" x14ac:dyDescent="0.2">
      <c r="A3" s="384"/>
      <c r="B3" s="26">
        <v>125</v>
      </c>
      <c r="C3" s="26">
        <v>95</v>
      </c>
      <c r="D3" s="26">
        <v>150</v>
      </c>
      <c r="E3" s="26">
        <v>120</v>
      </c>
      <c r="F3" s="26">
        <v>110</v>
      </c>
      <c r="G3" s="26">
        <v>8</v>
      </c>
      <c r="H3" s="26">
        <v>8</v>
      </c>
      <c r="I3" s="26">
        <v>125</v>
      </c>
      <c r="J3" s="26">
        <v>70</v>
      </c>
      <c r="K3" s="26">
        <v>250</v>
      </c>
      <c r="L3" s="26">
        <v>330</v>
      </c>
      <c r="M3" s="26">
        <v>180</v>
      </c>
      <c r="N3" s="26">
        <v>210</v>
      </c>
      <c r="O3" s="26">
        <v>115</v>
      </c>
      <c r="P3" s="26">
        <v>400</v>
      </c>
      <c r="Q3" s="26">
        <v>65</v>
      </c>
      <c r="R3" s="26">
        <v>45</v>
      </c>
      <c r="S3" s="343">
        <v>44896</v>
      </c>
      <c r="V3" s="346"/>
      <c r="W3" s="292"/>
      <c r="X3" s="292"/>
      <c r="Y3" s="292"/>
    </row>
    <row r="4" spans="1:25" x14ac:dyDescent="0.2">
      <c r="A4" s="384"/>
      <c r="B4" s="26">
        <v>125</v>
      </c>
      <c r="C4" s="26">
        <v>95</v>
      </c>
      <c r="D4" s="26">
        <v>150</v>
      </c>
      <c r="E4" s="26">
        <v>120</v>
      </c>
      <c r="F4" s="26">
        <v>110</v>
      </c>
      <c r="G4" s="26">
        <v>8</v>
      </c>
      <c r="H4" s="26">
        <v>8</v>
      </c>
      <c r="I4" s="26">
        <v>125</v>
      </c>
      <c r="J4" s="26">
        <v>70</v>
      </c>
      <c r="K4" s="26">
        <v>250</v>
      </c>
      <c r="L4" s="26">
        <v>330</v>
      </c>
      <c r="M4" s="26">
        <v>180</v>
      </c>
      <c r="N4" s="26">
        <v>210</v>
      </c>
      <c r="O4" s="26">
        <v>115</v>
      </c>
      <c r="P4" s="26">
        <v>400</v>
      </c>
      <c r="Q4" s="26">
        <v>65</v>
      </c>
      <c r="R4" s="26">
        <v>45</v>
      </c>
      <c r="S4" s="343">
        <v>44897</v>
      </c>
      <c r="V4" s="346"/>
      <c r="W4" s="292"/>
      <c r="X4" s="292"/>
      <c r="Y4" s="292"/>
    </row>
    <row r="5" spans="1:25" x14ac:dyDescent="0.2">
      <c r="A5" s="384"/>
      <c r="B5" s="26">
        <v>125</v>
      </c>
      <c r="C5" s="26">
        <v>95</v>
      </c>
      <c r="D5" s="26">
        <v>150</v>
      </c>
      <c r="E5" s="26">
        <v>120</v>
      </c>
      <c r="F5" s="26">
        <v>110</v>
      </c>
      <c r="G5" s="26">
        <v>8</v>
      </c>
      <c r="H5" s="26">
        <v>8</v>
      </c>
      <c r="I5" s="26">
        <v>125</v>
      </c>
      <c r="J5" s="26">
        <v>70</v>
      </c>
      <c r="K5" s="26">
        <v>250</v>
      </c>
      <c r="L5" s="26">
        <v>330</v>
      </c>
      <c r="M5" s="26">
        <v>180</v>
      </c>
      <c r="N5" s="26">
        <v>210</v>
      </c>
      <c r="O5" s="26">
        <v>115</v>
      </c>
      <c r="P5" s="26">
        <v>400</v>
      </c>
      <c r="Q5" s="26">
        <v>65</v>
      </c>
      <c r="R5" s="26">
        <v>45</v>
      </c>
      <c r="S5" s="343">
        <v>44898</v>
      </c>
      <c r="V5" s="346"/>
      <c r="W5" s="292"/>
      <c r="X5" s="292"/>
      <c r="Y5" s="292"/>
    </row>
    <row r="6" spans="1:25" x14ac:dyDescent="0.2">
      <c r="A6" s="384"/>
      <c r="B6" s="26">
        <v>125</v>
      </c>
      <c r="C6" s="26">
        <v>95</v>
      </c>
      <c r="D6" s="26">
        <v>150</v>
      </c>
      <c r="E6" s="26">
        <v>120</v>
      </c>
      <c r="F6" s="26">
        <v>110</v>
      </c>
      <c r="G6" s="26">
        <v>8</v>
      </c>
      <c r="H6" s="26">
        <v>8</v>
      </c>
      <c r="I6" s="26">
        <v>125</v>
      </c>
      <c r="J6" s="26">
        <v>70</v>
      </c>
      <c r="K6" s="26">
        <v>250</v>
      </c>
      <c r="L6" s="26">
        <v>330</v>
      </c>
      <c r="M6" s="26">
        <v>180</v>
      </c>
      <c r="N6" s="26">
        <v>210</v>
      </c>
      <c r="O6" s="26">
        <v>115</v>
      </c>
      <c r="P6" s="26">
        <v>400</v>
      </c>
      <c r="Q6" s="26">
        <v>65</v>
      </c>
      <c r="R6" s="26">
        <v>45</v>
      </c>
      <c r="S6" s="343">
        <v>44899</v>
      </c>
      <c r="V6" s="346"/>
      <c r="W6" s="292"/>
      <c r="X6" s="292"/>
      <c r="Y6" s="292"/>
    </row>
    <row r="7" spans="1:25" x14ac:dyDescent="0.2">
      <c r="A7" s="384"/>
      <c r="B7" s="26">
        <v>125</v>
      </c>
      <c r="C7" s="26">
        <v>95</v>
      </c>
      <c r="D7" s="26">
        <v>150</v>
      </c>
      <c r="E7" s="26">
        <v>120</v>
      </c>
      <c r="F7" s="26">
        <v>110</v>
      </c>
      <c r="G7" s="26">
        <v>8</v>
      </c>
      <c r="H7" s="26">
        <v>8</v>
      </c>
      <c r="I7" s="26">
        <v>125</v>
      </c>
      <c r="J7" s="26">
        <v>70</v>
      </c>
      <c r="K7" s="26">
        <v>250</v>
      </c>
      <c r="L7" s="26">
        <v>330</v>
      </c>
      <c r="M7" s="26">
        <v>180</v>
      </c>
      <c r="N7" s="26">
        <v>210</v>
      </c>
      <c r="O7" s="26">
        <v>115</v>
      </c>
      <c r="P7" s="26">
        <v>400</v>
      </c>
      <c r="Q7" s="26">
        <v>65</v>
      </c>
      <c r="R7" s="26">
        <v>45</v>
      </c>
      <c r="S7" s="343">
        <v>44900</v>
      </c>
      <c r="V7" s="346"/>
      <c r="W7" s="292"/>
      <c r="X7" s="292"/>
      <c r="Y7" s="292"/>
    </row>
    <row r="8" spans="1:25" x14ac:dyDescent="0.2">
      <c r="A8" s="384"/>
      <c r="B8" s="26">
        <v>125</v>
      </c>
      <c r="C8" s="26">
        <v>95</v>
      </c>
      <c r="D8" s="26">
        <v>150</v>
      </c>
      <c r="E8" s="26">
        <v>120</v>
      </c>
      <c r="F8" s="26">
        <v>110</v>
      </c>
      <c r="G8" s="26">
        <v>8</v>
      </c>
      <c r="H8" s="26">
        <v>8</v>
      </c>
      <c r="I8" s="26">
        <v>125</v>
      </c>
      <c r="J8" s="26">
        <v>70</v>
      </c>
      <c r="K8" s="26">
        <v>250</v>
      </c>
      <c r="L8" s="26">
        <v>330</v>
      </c>
      <c r="M8" s="26">
        <v>180</v>
      </c>
      <c r="N8" s="26">
        <v>210</v>
      </c>
      <c r="O8" s="26">
        <v>115</v>
      </c>
      <c r="P8" s="26">
        <v>400</v>
      </c>
      <c r="Q8" s="26">
        <v>65</v>
      </c>
      <c r="R8" s="26">
        <v>45</v>
      </c>
      <c r="S8" s="343">
        <v>44901</v>
      </c>
      <c r="V8" s="350"/>
      <c r="W8" s="292"/>
      <c r="X8" s="292"/>
      <c r="Y8" s="292"/>
    </row>
    <row r="9" spans="1:25" x14ac:dyDescent="0.2">
      <c r="A9" s="384"/>
      <c r="B9" s="26">
        <v>125</v>
      </c>
      <c r="C9" s="26">
        <v>95</v>
      </c>
      <c r="D9" s="26">
        <v>150</v>
      </c>
      <c r="E9" s="26">
        <v>120</v>
      </c>
      <c r="F9" s="26">
        <v>110</v>
      </c>
      <c r="G9" s="26">
        <v>8</v>
      </c>
      <c r="H9" s="26">
        <v>8</v>
      </c>
      <c r="I9" s="26">
        <v>125</v>
      </c>
      <c r="J9" s="26">
        <v>70</v>
      </c>
      <c r="K9" s="26">
        <v>250</v>
      </c>
      <c r="L9" s="26">
        <v>330</v>
      </c>
      <c r="M9" s="26">
        <v>180</v>
      </c>
      <c r="N9" s="26">
        <v>210</v>
      </c>
      <c r="O9" s="26">
        <v>115</v>
      </c>
      <c r="P9" s="26">
        <v>400</v>
      </c>
      <c r="Q9" s="26">
        <v>65</v>
      </c>
      <c r="R9" s="26">
        <v>45</v>
      </c>
      <c r="S9" s="343">
        <v>44902</v>
      </c>
      <c r="V9" s="350"/>
      <c r="W9" s="292"/>
      <c r="X9" s="292"/>
      <c r="Y9" s="292"/>
    </row>
    <row r="10" spans="1:25" x14ac:dyDescent="0.2">
      <c r="A10" s="384"/>
      <c r="B10" s="26">
        <v>125</v>
      </c>
      <c r="C10" s="26">
        <v>95</v>
      </c>
      <c r="D10" s="26">
        <v>150</v>
      </c>
      <c r="E10" s="26">
        <v>120</v>
      </c>
      <c r="F10" s="26">
        <v>110</v>
      </c>
      <c r="G10" s="26">
        <v>8</v>
      </c>
      <c r="H10" s="26">
        <v>8</v>
      </c>
      <c r="I10" s="26">
        <v>125</v>
      </c>
      <c r="J10" s="26">
        <v>70</v>
      </c>
      <c r="K10" s="26">
        <v>250</v>
      </c>
      <c r="L10" s="26">
        <v>330</v>
      </c>
      <c r="M10" s="26">
        <v>180</v>
      </c>
      <c r="N10" s="26">
        <v>210</v>
      </c>
      <c r="O10" s="26">
        <v>115</v>
      </c>
      <c r="P10" s="26">
        <v>400</v>
      </c>
      <c r="Q10" s="26">
        <v>65</v>
      </c>
      <c r="R10" s="26">
        <v>45</v>
      </c>
      <c r="S10" s="343">
        <v>44903</v>
      </c>
      <c r="V10" s="346"/>
      <c r="W10" s="292"/>
      <c r="X10" s="292"/>
      <c r="Y10" s="292"/>
    </row>
    <row r="11" spans="1:25" x14ac:dyDescent="0.2">
      <c r="A11" s="384"/>
      <c r="B11" s="26">
        <v>125</v>
      </c>
      <c r="C11" s="26">
        <v>95</v>
      </c>
      <c r="D11" s="26">
        <v>150</v>
      </c>
      <c r="E11" s="26">
        <v>120</v>
      </c>
      <c r="F11" s="26">
        <v>110</v>
      </c>
      <c r="G11" s="27">
        <v>10</v>
      </c>
      <c r="H11" s="27">
        <v>10</v>
      </c>
      <c r="I11" s="26">
        <v>125</v>
      </c>
      <c r="J11" s="26">
        <v>70</v>
      </c>
      <c r="K11" s="26">
        <v>250</v>
      </c>
      <c r="L11" s="26">
        <v>330</v>
      </c>
      <c r="M11" s="26">
        <v>180</v>
      </c>
      <c r="N11" s="26">
        <v>210</v>
      </c>
      <c r="O11" s="26">
        <v>115</v>
      </c>
      <c r="P11" s="26">
        <v>400</v>
      </c>
      <c r="Q11" s="26">
        <v>65</v>
      </c>
      <c r="R11" s="26">
        <v>45</v>
      </c>
      <c r="S11" s="343">
        <v>44904</v>
      </c>
      <c r="V11" s="346"/>
      <c r="W11" s="292"/>
      <c r="X11" s="292"/>
      <c r="Y11" s="292"/>
    </row>
    <row r="12" spans="1:25" x14ac:dyDescent="0.2">
      <c r="A12" s="384"/>
      <c r="B12" s="26">
        <v>125</v>
      </c>
      <c r="C12" s="26">
        <v>95</v>
      </c>
      <c r="D12" s="26">
        <v>150</v>
      </c>
      <c r="E12" s="26">
        <v>120</v>
      </c>
      <c r="F12" s="26">
        <v>110</v>
      </c>
      <c r="G12" s="26">
        <v>8</v>
      </c>
      <c r="H12" s="26">
        <v>8</v>
      </c>
      <c r="I12" s="26">
        <v>125</v>
      </c>
      <c r="J12" s="26">
        <v>70</v>
      </c>
      <c r="K12" s="26">
        <v>250</v>
      </c>
      <c r="L12" s="26">
        <v>330</v>
      </c>
      <c r="M12" s="26">
        <v>180</v>
      </c>
      <c r="N12" s="26">
        <v>210</v>
      </c>
      <c r="O12" s="26">
        <v>115</v>
      </c>
      <c r="P12" s="26">
        <v>400</v>
      </c>
      <c r="Q12" s="26">
        <v>65</v>
      </c>
      <c r="R12" s="26">
        <v>45</v>
      </c>
      <c r="S12" s="343">
        <v>44905</v>
      </c>
      <c r="V12" s="346"/>
      <c r="W12" s="292"/>
      <c r="X12" s="292"/>
      <c r="Y12" s="292"/>
    </row>
    <row r="13" spans="1:25" x14ac:dyDescent="0.2">
      <c r="A13" s="384"/>
      <c r="B13" s="26">
        <v>125</v>
      </c>
      <c r="C13" s="26">
        <v>95</v>
      </c>
      <c r="D13" s="26">
        <v>150</v>
      </c>
      <c r="E13" s="26">
        <v>120</v>
      </c>
      <c r="F13" s="26">
        <v>110</v>
      </c>
      <c r="G13" s="26">
        <v>8</v>
      </c>
      <c r="H13" s="26">
        <v>8</v>
      </c>
      <c r="I13" s="26">
        <v>125</v>
      </c>
      <c r="J13" s="26">
        <v>70</v>
      </c>
      <c r="K13" s="26">
        <v>250</v>
      </c>
      <c r="L13" s="26">
        <v>330</v>
      </c>
      <c r="M13" s="26">
        <v>180</v>
      </c>
      <c r="N13" s="26">
        <v>210</v>
      </c>
      <c r="O13" s="26">
        <v>115</v>
      </c>
      <c r="P13" s="26">
        <v>400</v>
      </c>
      <c r="Q13" s="26">
        <v>65</v>
      </c>
      <c r="R13" s="26">
        <v>45</v>
      </c>
      <c r="S13" s="343">
        <v>44906</v>
      </c>
      <c r="V13" s="346"/>
      <c r="W13" s="292"/>
      <c r="X13" s="292"/>
      <c r="Y13" s="292"/>
    </row>
    <row r="14" spans="1:25" x14ac:dyDescent="0.2">
      <c r="A14" s="384"/>
      <c r="B14" s="26">
        <v>125</v>
      </c>
      <c r="C14" s="26">
        <v>95</v>
      </c>
      <c r="D14" s="26">
        <v>150</v>
      </c>
      <c r="E14" s="26">
        <v>120</v>
      </c>
      <c r="F14" s="26">
        <v>110</v>
      </c>
      <c r="G14" s="26">
        <v>8</v>
      </c>
      <c r="H14" s="26">
        <v>8</v>
      </c>
      <c r="I14" s="26">
        <v>125</v>
      </c>
      <c r="J14" s="26">
        <v>70</v>
      </c>
      <c r="K14" s="26">
        <v>250</v>
      </c>
      <c r="L14" s="26">
        <v>330</v>
      </c>
      <c r="M14" s="26">
        <v>180</v>
      </c>
      <c r="N14" s="26">
        <v>210</v>
      </c>
      <c r="O14" s="26">
        <v>115</v>
      </c>
      <c r="P14" s="26">
        <v>400</v>
      </c>
      <c r="Q14" s="26">
        <v>65</v>
      </c>
      <c r="R14" s="26">
        <v>45</v>
      </c>
      <c r="S14" s="343">
        <v>44907</v>
      </c>
      <c r="V14" s="346"/>
      <c r="W14" s="292"/>
      <c r="X14" s="292"/>
      <c r="Y14" s="292"/>
    </row>
    <row r="15" spans="1:25" x14ac:dyDescent="0.2">
      <c r="A15" s="384"/>
      <c r="B15" s="26">
        <v>125</v>
      </c>
      <c r="C15" s="26">
        <v>95</v>
      </c>
      <c r="D15" s="26">
        <v>150</v>
      </c>
      <c r="E15" s="26">
        <v>120</v>
      </c>
      <c r="F15" s="26">
        <v>110</v>
      </c>
      <c r="G15" s="26">
        <v>8</v>
      </c>
      <c r="H15" s="26">
        <v>8</v>
      </c>
      <c r="I15" s="26">
        <v>125</v>
      </c>
      <c r="J15" s="26">
        <v>70</v>
      </c>
      <c r="K15" s="26">
        <v>250</v>
      </c>
      <c r="L15" s="26">
        <v>330</v>
      </c>
      <c r="M15" s="26">
        <v>180</v>
      </c>
      <c r="N15" s="26">
        <v>210</v>
      </c>
      <c r="O15" s="26">
        <v>115</v>
      </c>
      <c r="P15" s="26">
        <v>400</v>
      </c>
      <c r="Q15" s="26">
        <v>65</v>
      </c>
      <c r="R15" s="26">
        <v>45</v>
      </c>
      <c r="S15" s="343">
        <v>44908</v>
      </c>
      <c r="V15" s="346"/>
      <c r="W15" s="292"/>
      <c r="X15" s="292"/>
      <c r="Y15" s="292"/>
    </row>
    <row r="16" spans="1:25" x14ac:dyDescent="0.2">
      <c r="A16" s="386">
        <v>1</v>
      </c>
      <c r="B16" s="26">
        <v>125</v>
      </c>
      <c r="C16" s="26">
        <v>95</v>
      </c>
      <c r="D16" s="26">
        <v>150</v>
      </c>
      <c r="E16" s="26">
        <v>120</v>
      </c>
      <c r="F16" s="26">
        <v>110</v>
      </c>
      <c r="G16" s="26">
        <v>8</v>
      </c>
      <c r="H16" s="26">
        <v>8</v>
      </c>
      <c r="I16" s="26">
        <v>125</v>
      </c>
      <c r="J16" s="26">
        <v>70</v>
      </c>
      <c r="K16" s="26">
        <v>250</v>
      </c>
      <c r="L16" s="26">
        <v>330</v>
      </c>
      <c r="M16" s="26">
        <v>180</v>
      </c>
      <c r="N16" s="26">
        <v>210</v>
      </c>
      <c r="O16" s="26">
        <v>115</v>
      </c>
      <c r="P16" s="26">
        <v>400</v>
      </c>
      <c r="Q16" s="26">
        <v>65</v>
      </c>
      <c r="R16" s="26">
        <v>45</v>
      </c>
      <c r="S16" s="343">
        <v>44909</v>
      </c>
      <c r="V16" s="346"/>
      <c r="W16" s="292"/>
      <c r="X16" s="292"/>
      <c r="Y16" s="292"/>
    </row>
    <row r="17" spans="1:31" x14ac:dyDescent="0.35">
      <c r="A17" s="386">
        <v>2</v>
      </c>
      <c r="B17" s="26">
        <v>125</v>
      </c>
      <c r="C17" s="26">
        <v>95</v>
      </c>
      <c r="D17" s="26">
        <v>140</v>
      </c>
      <c r="E17" s="26">
        <v>115</v>
      </c>
      <c r="F17" s="26">
        <v>110</v>
      </c>
      <c r="G17" s="26">
        <v>8</v>
      </c>
      <c r="H17" s="26">
        <v>8</v>
      </c>
      <c r="I17" s="26">
        <v>125</v>
      </c>
      <c r="J17" s="26">
        <v>70</v>
      </c>
      <c r="K17" s="26">
        <v>245</v>
      </c>
      <c r="L17" s="26">
        <v>330</v>
      </c>
      <c r="M17" s="26">
        <v>180</v>
      </c>
      <c r="N17" s="26">
        <v>210</v>
      </c>
      <c r="O17" s="26">
        <v>115</v>
      </c>
      <c r="P17" s="26">
        <v>400</v>
      </c>
      <c r="Q17" s="26">
        <v>65</v>
      </c>
      <c r="R17" s="26">
        <v>45</v>
      </c>
      <c r="S17" s="343">
        <v>44910</v>
      </c>
      <c r="V17" s="346"/>
      <c r="W17" s="292"/>
      <c r="X17" s="292"/>
      <c r="Y17" s="292"/>
      <c r="AE17" s="88"/>
    </row>
    <row r="18" spans="1:31" x14ac:dyDescent="0.35">
      <c r="A18" s="386">
        <v>3</v>
      </c>
      <c r="B18" s="26">
        <v>125</v>
      </c>
      <c r="C18" s="26">
        <v>95</v>
      </c>
      <c r="D18" s="26">
        <v>150</v>
      </c>
      <c r="E18" s="26">
        <v>120</v>
      </c>
      <c r="F18" s="26">
        <v>110</v>
      </c>
      <c r="G18" s="26">
        <v>8</v>
      </c>
      <c r="H18" s="26">
        <v>8</v>
      </c>
      <c r="I18" s="26">
        <v>125</v>
      </c>
      <c r="J18" s="26">
        <v>70</v>
      </c>
      <c r="K18" s="26">
        <v>250</v>
      </c>
      <c r="L18" s="26">
        <v>330</v>
      </c>
      <c r="M18" s="26">
        <v>180</v>
      </c>
      <c r="N18" s="26">
        <v>210</v>
      </c>
      <c r="O18" s="26">
        <v>115</v>
      </c>
      <c r="P18" s="26">
        <v>400</v>
      </c>
      <c r="Q18" s="26">
        <v>65</v>
      </c>
      <c r="R18" s="26">
        <v>45</v>
      </c>
      <c r="S18" s="343">
        <v>44911</v>
      </c>
      <c r="V18" s="346"/>
      <c r="W18" s="292"/>
      <c r="X18" s="292"/>
      <c r="Y18" s="292"/>
      <c r="AE18" s="88"/>
    </row>
    <row r="19" spans="1:31" x14ac:dyDescent="0.35">
      <c r="A19" s="386"/>
      <c r="B19" s="26">
        <v>125</v>
      </c>
      <c r="C19" s="26">
        <v>95</v>
      </c>
      <c r="D19" s="26">
        <v>150</v>
      </c>
      <c r="E19" s="26">
        <v>120</v>
      </c>
      <c r="F19" s="26">
        <v>110</v>
      </c>
      <c r="G19" s="26">
        <v>8</v>
      </c>
      <c r="H19" s="26">
        <v>8</v>
      </c>
      <c r="I19" s="26">
        <v>125</v>
      </c>
      <c r="J19" s="26">
        <v>70</v>
      </c>
      <c r="K19" s="26">
        <v>250</v>
      </c>
      <c r="L19" s="26">
        <v>330</v>
      </c>
      <c r="M19" s="26">
        <v>180</v>
      </c>
      <c r="N19" s="26">
        <v>210</v>
      </c>
      <c r="O19" s="26">
        <v>115</v>
      </c>
      <c r="P19" s="26">
        <v>400</v>
      </c>
      <c r="Q19" s="26">
        <v>65</v>
      </c>
      <c r="R19" s="26">
        <v>45</v>
      </c>
      <c r="S19" s="343">
        <v>44912</v>
      </c>
      <c r="V19" s="346"/>
      <c r="W19" s="292"/>
      <c r="X19" s="292"/>
      <c r="Y19" s="292"/>
      <c r="AE19" s="87"/>
    </row>
    <row r="20" spans="1:31" x14ac:dyDescent="0.35">
      <c r="A20" s="386"/>
      <c r="B20" s="26">
        <v>125</v>
      </c>
      <c r="C20" s="26">
        <v>95</v>
      </c>
      <c r="D20" s="26">
        <v>150</v>
      </c>
      <c r="E20" s="26">
        <v>120</v>
      </c>
      <c r="F20" s="26">
        <v>110</v>
      </c>
      <c r="G20" s="26">
        <v>8</v>
      </c>
      <c r="H20" s="26">
        <v>8</v>
      </c>
      <c r="I20" s="26">
        <v>125</v>
      </c>
      <c r="J20" s="26">
        <v>70</v>
      </c>
      <c r="K20" s="26">
        <v>250</v>
      </c>
      <c r="L20" s="26">
        <v>330</v>
      </c>
      <c r="M20" s="26">
        <v>180</v>
      </c>
      <c r="N20" s="26">
        <v>210</v>
      </c>
      <c r="O20" s="26">
        <v>115</v>
      </c>
      <c r="P20" s="26">
        <v>400</v>
      </c>
      <c r="Q20" s="26">
        <v>65</v>
      </c>
      <c r="R20" s="26">
        <v>45</v>
      </c>
      <c r="S20" s="343">
        <v>44913</v>
      </c>
      <c r="V20" s="346"/>
      <c r="W20" s="292"/>
      <c r="X20" s="292"/>
      <c r="Y20" s="292"/>
      <c r="AE20" s="88"/>
    </row>
    <row r="21" spans="1:31" x14ac:dyDescent="0.35">
      <c r="A21" s="386">
        <v>4</v>
      </c>
      <c r="B21" s="26">
        <v>125</v>
      </c>
      <c r="C21" s="26">
        <v>95</v>
      </c>
      <c r="D21" s="26">
        <v>150</v>
      </c>
      <c r="E21" s="26">
        <v>120</v>
      </c>
      <c r="F21" s="27">
        <v>115</v>
      </c>
      <c r="G21" s="27">
        <v>10</v>
      </c>
      <c r="H21" s="27">
        <v>10</v>
      </c>
      <c r="I21" s="26">
        <v>125</v>
      </c>
      <c r="J21" s="26">
        <v>70</v>
      </c>
      <c r="K21" s="26">
        <v>250</v>
      </c>
      <c r="L21" s="26">
        <v>330</v>
      </c>
      <c r="M21" s="26">
        <v>180</v>
      </c>
      <c r="N21" s="26">
        <v>210</v>
      </c>
      <c r="O21" s="26">
        <v>115</v>
      </c>
      <c r="P21" s="26">
        <v>400</v>
      </c>
      <c r="Q21" s="26">
        <v>65</v>
      </c>
      <c r="R21" s="26">
        <v>45</v>
      </c>
      <c r="S21" s="343">
        <v>44914</v>
      </c>
      <c r="V21" s="351"/>
      <c r="W21" s="349"/>
      <c r="X21" s="292"/>
      <c r="Y21" s="292"/>
      <c r="AE21" s="87"/>
    </row>
    <row r="22" spans="1:31" x14ac:dyDescent="0.2">
      <c r="A22" s="386">
        <v>5</v>
      </c>
      <c r="B22" s="26">
        <v>125</v>
      </c>
      <c r="C22" s="26">
        <v>95</v>
      </c>
      <c r="D22" s="26">
        <v>150</v>
      </c>
      <c r="E22" s="26">
        <v>120</v>
      </c>
      <c r="F22" s="26">
        <v>115</v>
      </c>
      <c r="G22" s="26">
        <v>10</v>
      </c>
      <c r="H22" s="26">
        <v>10</v>
      </c>
      <c r="I22" s="26">
        <v>125</v>
      </c>
      <c r="J22" s="26">
        <v>70</v>
      </c>
      <c r="K22" s="26">
        <v>250</v>
      </c>
      <c r="L22" s="26">
        <v>330</v>
      </c>
      <c r="M22" s="26">
        <v>180</v>
      </c>
      <c r="N22" s="26">
        <v>210</v>
      </c>
      <c r="O22" s="26">
        <v>115</v>
      </c>
      <c r="P22" s="26">
        <v>400</v>
      </c>
      <c r="Q22" s="26">
        <v>65</v>
      </c>
      <c r="R22" s="26">
        <v>45</v>
      </c>
      <c r="S22" s="343">
        <v>44915</v>
      </c>
    </row>
    <row r="23" spans="1:31" x14ac:dyDescent="0.35">
      <c r="A23" s="386"/>
      <c r="B23" s="26">
        <v>125</v>
      </c>
      <c r="C23" s="26">
        <v>95</v>
      </c>
      <c r="D23" s="26">
        <v>150</v>
      </c>
      <c r="E23" s="26">
        <v>120</v>
      </c>
      <c r="F23" s="26">
        <v>115</v>
      </c>
      <c r="G23" s="26">
        <v>10</v>
      </c>
      <c r="H23" s="26">
        <v>10</v>
      </c>
      <c r="I23" s="26">
        <v>125</v>
      </c>
      <c r="J23" s="26">
        <v>70</v>
      </c>
      <c r="K23" s="26">
        <v>250</v>
      </c>
      <c r="L23" s="26">
        <v>330</v>
      </c>
      <c r="M23" s="26">
        <v>180</v>
      </c>
      <c r="N23" s="26">
        <v>210</v>
      </c>
      <c r="O23" s="26">
        <v>115</v>
      </c>
      <c r="P23" s="26">
        <v>400</v>
      </c>
      <c r="Q23" s="26">
        <v>65</v>
      </c>
      <c r="R23" s="26">
        <v>45</v>
      </c>
      <c r="S23" s="343">
        <v>44916</v>
      </c>
      <c r="AE23" s="89"/>
    </row>
    <row r="24" spans="1:31" x14ac:dyDescent="0.35">
      <c r="A24" s="386"/>
      <c r="B24" s="26">
        <v>125</v>
      </c>
      <c r="C24" s="26">
        <v>95</v>
      </c>
      <c r="D24" s="26">
        <v>150</v>
      </c>
      <c r="E24" s="26">
        <v>120</v>
      </c>
      <c r="F24" s="26">
        <v>115</v>
      </c>
      <c r="G24" s="26">
        <v>10</v>
      </c>
      <c r="H24" s="26">
        <v>10</v>
      </c>
      <c r="I24" s="27">
        <v>130</v>
      </c>
      <c r="J24" s="26">
        <v>70</v>
      </c>
      <c r="K24" s="26">
        <v>250</v>
      </c>
      <c r="L24" s="26">
        <v>330</v>
      </c>
      <c r="M24" s="26">
        <v>180</v>
      </c>
      <c r="N24" s="26">
        <v>210</v>
      </c>
      <c r="O24" s="26">
        <v>115</v>
      </c>
      <c r="P24" s="26">
        <v>400</v>
      </c>
      <c r="Q24" s="26">
        <v>65</v>
      </c>
      <c r="R24" s="26">
        <v>45</v>
      </c>
      <c r="S24" s="343">
        <v>44917</v>
      </c>
      <c r="V24" s="24"/>
      <c r="AE24" s="89"/>
    </row>
    <row r="25" spans="1:31" x14ac:dyDescent="0.35">
      <c r="A25" s="386"/>
      <c r="B25" s="26">
        <v>125</v>
      </c>
      <c r="C25" s="26">
        <v>95</v>
      </c>
      <c r="D25" s="27">
        <v>165</v>
      </c>
      <c r="E25" s="26">
        <v>120</v>
      </c>
      <c r="F25" s="27">
        <v>130</v>
      </c>
      <c r="G25" s="26">
        <v>10</v>
      </c>
      <c r="H25" s="26">
        <v>10</v>
      </c>
      <c r="I25" s="27">
        <v>145</v>
      </c>
      <c r="J25" s="26">
        <v>70</v>
      </c>
      <c r="K25" s="26">
        <v>250</v>
      </c>
      <c r="L25" s="26">
        <v>330</v>
      </c>
      <c r="M25" s="26">
        <v>180</v>
      </c>
      <c r="N25" s="26">
        <v>210</v>
      </c>
      <c r="O25" s="26">
        <v>115</v>
      </c>
      <c r="P25" s="27">
        <v>420</v>
      </c>
      <c r="Q25" s="26">
        <v>65</v>
      </c>
      <c r="R25" s="26">
        <v>45</v>
      </c>
      <c r="S25" s="343">
        <v>44918</v>
      </c>
      <c r="V25" s="24"/>
      <c r="AE25" s="89"/>
    </row>
    <row r="26" spans="1:31" x14ac:dyDescent="0.35">
      <c r="A26" s="386"/>
      <c r="B26" s="26">
        <v>125</v>
      </c>
      <c r="C26" s="26">
        <v>95</v>
      </c>
      <c r="D26" s="26">
        <v>165</v>
      </c>
      <c r="E26" s="26">
        <v>120</v>
      </c>
      <c r="F26" s="26">
        <v>130</v>
      </c>
      <c r="G26" s="26">
        <v>10</v>
      </c>
      <c r="H26" s="26">
        <v>10</v>
      </c>
      <c r="I26" s="385">
        <v>135</v>
      </c>
      <c r="J26" s="26">
        <v>70</v>
      </c>
      <c r="K26" s="26">
        <v>250</v>
      </c>
      <c r="L26" s="26">
        <v>330</v>
      </c>
      <c r="M26" s="26">
        <v>180</v>
      </c>
      <c r="N26" s="26">
        <v>210</v>
      </c>
      <c r="O26" s="26">
        <v>115</v>
      </c>
      <c r="P26" s="26">
        <v>420</v>
      </c>
      <c r="Q26" s="26">
        <v>65</v>
      </c>
      <c r="R26" s="26">
        <v>45</v>
      </c>
      <c r="S26" s="343">
        <v>44919</v>
      </c>
      <c r="V26" s="24"/>
      <c r="AE26" s="90"/>
    </row>
    <row r="27" spans="1:31" x14ac:dyDescent="0.2">
      <c r="A27" s="386"/>
      <c r="B27" s="26">
        <v>125</v>
      </c>
      <c r="C27" s="26">
        <v>95</v>
      </c>
      <c r="D27" s="26">
        <v>165</v>
      </c>
      <c r="E27" s="26">
        <v>120</v>
      </c>
      <c r="F27" s="26">
        <v>130</v>
      </c>
      <c r="G27" s="26">
        <v>10</v>
      </c>
      <c r="H27" s="26">
        <v>10</v>
      </c>
      <c r="I27" s="26">
        <v>135</v>
      </c>
      <c r="J27" s="26">
        <v>70</v>
      </c>
      <c r="K27" s="26">
        <v>250</v>
      </c>
      <c r="L27" s="26">
        <v>330</v>
      </c>
      <c r="M27" s="26">
        <v>180</v>
      </c>
      <c r="N27" s="26">
        <v>210</v>
      </c>
      <c r="O27" s="26">
        <v>115</v>
      </c>
      <c r="P27" s="26">
        <v>420</v>
      </c>
      <c r="Q27" s="26">
        <v>65</v>
      </c>
      <c r="R27" s="26">
        <v>45</v>
      </c>
      <c r="S27" s="343">
        <v>44920</v>
      </c>
      <c r="V27" s="24"/>
    </row>
    <row r="28" spans="1:31" x14ac:dyDescent="0.35">
      <c r="A28" s="386">
        <v>6</v>
      </c>
      <c r="B28" s="26">
        <v>125</v>
      </c>
      <c r="C28" s="26">
        <v>95</v>
      </c>
      <c r="D28" s="26">
        <v>165</v>
      </c>
      <c r="E28" s="26">
        <v>120</v>
      </c>
      <c r="F28" s="385">
        <v>120</v>
      </c>
      <c r="G28" s="26">
        <v>10</v>
      </c>
      <c r="H28" s="26">
        <v>10</v>
      </c>
      <c r="I28" s="27">
        <v>145</v>
      </c>
      <c r="J28" s="26">
        <v>70</v>
      </c>
      <c r="K28" s="26">
        <v>250</v>
      </c>
      <c r="L28" s="26">
        <v>330</v>
      </c>
      <c r="M28" s="26">
        <v>180</v>
      </c>
      <c r="N28" s="26">
        <v>210</v>
      </c>
      <c r="O28" s="26">
        <v>115</v>
      </c>
      <c r="P28" s="26">
        <v>420</v>
      </c>
      <c r="Q28" s="26">
        <v>65</v>
      </c>
      <c r="R28" s="26">
        <v>45</v>
      </c>
      <c r="S28" s="343">
        <v>44921</v>
      </c>
      <c r="V28" s="24"/>
      <c r="AE28" s="89"/>
    </row>
    <row r="29" spans="1:31" x14ac:dyDescent="0.35">
      <c r="A29" s="386">
        <v>7</v>
      </c>
      <c r="B29" s="26">
        <v>125</v>
      </c>
      <c r="C29" s="26">
        <v>95</v>
      </c>
      <c r="D29" s="26">
        <v>165</v>
      </c>
      <c r="E29" s="26">
        <v>120</v>
      </c>
      <c r="F29" s="26">
        <v>120</v>
      </c>
      <c r="G29" s="26">
        <v>10</v>
      </c>
      <c r="H29" s="26">
        <v>10</v>
      </c>
      <c r="I29" s="26">
        <v>145</v>
      </c>
      <c r="J29" s="26">
        <v>70</v>
      </c>
      <c r="K29" s="26">
        <v>250</v>
      </c>
      <c r="L29" s="26">
        <v>330</v>
      </c>
      <c r="M29" s="26">
        <v>180</v>
      </c>
      <c r="N29" s="26">
        <v>210</v>
      </c>
      <c r="O29" s="26">
        <v>115</v>
      </c>
      <c r="P29" s="26">
        <v>420</v>
      </c>
      <c r="Q29" s="26">
        <v>65</v>
      </c>
      <c r="R29" s="26">
        <v>45</v>
      </c>
      <c r="S29" s="343">
        <v>44922</v>
      </c>
      <c r="V29" s="24"/>
      <c r="AE29" s="89"/>
    </row>
    <row r="30" spans="1:31" x14ac:dyDescent="0.35">
      <c r="A30" s="386"/>
      <c r="B30" s="26">
        <v>125</v>
      </c>
      <c r="C30" s="26">
        <v>95</v>
      </c>
      <c r="D30" s="26">
        <v>165</v>
      </c>
      <c r="E30" s="26">
        <v>120</v>
      </c>
      <c r="F30" s="27">
        <v>130</v>
      </c>
      <c r="G30" s="26">
        <v>10</v>
      </c>
      <c r="H30" s="26">
        <v>10</v>
      </c>
      <c r="I30" s="26">
        <v>145</v>
      </c>
      <c r="J30" s="26">
        <v>70</v>
      </c>
      <c r="K30" s="26">
        <v>250</v>
      </c>
      <c r="L30" s="26">
        <v>330</v>
      </c>
      <c r="M30" s="26">
        <v>180</v>
      </c>
      <c r="N30" s="26">
        <v>210</v>
      </c>
      <c r="O30" s="26">
        <v>115</v>
      </c>
      <c r="P30" s="26">
        <v>420</v>
      </c>
      <c r="Q30" s="26">
        <v>65</v>
      </c>
      <c r="R30" s="26">
        <v>45</v>
      </c>
      <c r="S30" s="343">
        <v>44923</v>
      </c>
      <c r="V30" s="24"/>
      <c r="AE30" s="91"/>
    </row>
    <row r="31" spans="1:31" x14ac:dyDescent="0.35">
      <c r="A31" s="386"/>
      <c r="B31" s="26">
        <v>125</v>
      </c>
      <c r="C31" s="26">
        <v>95</v>
      </c>
      <c r="D31" s="27">
        <v>175</v>
      </c>
      <c r="E31" s="26">
        <v>120</v>
      </c>
      <c r="F31" s="27">
        <v>140</v>
      </c>
      <c r="G31" s="26">
        <v>10</v>
      </c>
      <c r="H31" s="26">
        <v>10</v>
      </c>
      <c r="I31" s="26">
        <v>145</v>
      </c>
      <c r="J31" s="26">
        <v>70</v>
      </c>
      <c r="K31" s="27">
        <v>260</v>
      </c>
      <c r="L31" s="26">
        <v>330</v>
      </c>
      <c r="M31" s="26">
        <v>180</v>
      </c>
      <c r="N31" s="26">
        <v>210</v>
      </c>
      <c r="O31" s="26">
        <v>115</v>
      </c>
      <c r="P31" s="26">
        <v>420</v>
      </c>
      <c r="Q31" s="27">
        <v>70</v>
      </c>
      <c r="R31" s="26">
        <v>45</v>
      </c>
      <c r="S31" s="343">
        <v>44924</v>
      </c>
      <c r="V31" s="24"/>
      <c r="X31" s="34"/>
      <c r="AE31" s="89"/>
    </row>
    <row r="32" spans="1:31" x14ac:dyDescent="0.35">
      <c r="A32" s="386"/>
      <c r="B32" s="26">
        <v>125</v>
      </c>
      <c r="C32" s="26">
        <v>95</v>
      </c>
      <c r="D32" s="26">
        <v>175</v>
      </c>
      <c r="E32" s="26">
        <v>120</v>
      </c>
      <c r="F32" s="26">
        <v>140</v>
      </c>
      <c r="G32" s="26">
        <v>10</v>
      </c>
      <c r="H32" s="26">
        <v>10</v>
      </c>
      <c r="I32" s="26">
        <v>145</v>
      </c>
      <c r="J32" s="26">
        <v>70</v>
      </c>
      <c r="K32" s="26">
        <v>260</v>
      </c>
      <c r="L32" s="26">
        <v>330</v>
      </c>
      <c r="M32" s="26">
        <v>180</v>
      </c>
      <c r="N32" s="26">
        <v>210</v>
      </c>
      <c r="O32" s="26">
        <v>115</v>
      </c>
      <c r="P32" s="26">
        <v>420</v>
      </c>
      <c r="Q32" s="26">
        <v>70</v>
      </c>
      <c r="R32" s="26">
        <v>45</v>
      </c>
      <c r="S32" s="343">
        <v>44925</v>
      </c>
      <c r="V32" s="24"/>
      <c r="AE32" s="91"/>
    </row>
    <row r="33" spans="1:31" x14ac:dyDescent="0.35">
      <c r="A33" s="386"/>
      <c r="B33" s="26">
        <v>125</v>
      </c>
      <c r="C33" s="26">
        <v>95</v>
      </c>
      <c r="D33" s="26">
        <v>175</v>
      </c>
      <c r="E33" s="26">
        <v>120</v>
      </c>
      <c r="F33" s="26">
        <v>140</v>
      </c>
      <c r="G33" s="26">
        <v>10</v>
      </c>
      <c r="H33" s="26">
        <v>10</v>
      </c>
      <c r="I33" s="26">
        <v>145</v>
      </c>
      <c r="J33" s="26">
        <v>70</v>
      </c>
      <c r="K33" s="26">
        <v>260</v>
      </c>
      <c r="L33" s="26">
        <v>330</v>
      </c>
      <c r="M33" s="26">
        <v>180</v>
      </c>
      <c r="N33" s="26">
        <v>210</v>
      </c>
      <c r="O33" s="26">
        <v>115</v>
      </c>
      <c r="P33" s="26">
        <v>420</v>
      </c>
      <c r="Q33" s="26">
        <v>70</v>
      </c>
      <c r="R33" s="26">
        <v>45</v>
      </c>
      <c r="S33" s="343">
        <v>44926</v>
      </c>
      <c r="V33" s="24"/>
      <c r="AE33" s="89"/>
    </row>
    <row r="34" spans="1:31" x14ac:dyDescent="0.35">
      <c r="A34" s="386"/>
      <c r="B34" s="26">
        <v>125</v>
      </c>
      <c r="C34" s="26">
        <v>100</v>
      </c>
      <c r="D34" s="26">
        <v>220</v>
      </c>
      <c r="E34" s="26">
        <v>175</v>
      </c>
      <c r="F34" s="26">
        <v>180</v>
      </c>
      <c r="G34" s="26">
        <v>10</v>
      </c>
      <c r="H34" s="26">
        <v>10</v>
      </c>
      <c r="I34" s="26">
        <v>190</v>
      </c>
      <c r="J34" s="26">
        <v>70</v>
      </c>
      <c r="K34" s="26">
        <v>250</v>
      </c>
      <c r="L34" s="26">
        <v>350</v>
      </c>
      <c r="M34" s="26">
        <v>180</v>
      </c>
      <c r="N34" s="26">
        <v>250</v>
      </c>
      <c r="O34" s="26">
        <v>115</v>
      </c>
      <c r="P34" s="26">
        <v>450</v>
      </c>
      <c r="Q34" s="26">
        <v>95</v>
      </c>
      <c r="R34" s="26">
        <v>45</v>
      </c>
      <c r="S34" s="314">
        <v>44562</v>
      </c>
      <c r="V34" s="24"/>
      <c r="AE34" s="91"/>
    </row>
    <row r="35" spans="1:31" x14ac:dyDescent="0.2">
      <c r="A35" s="386"/>
      <c r="B35" s="26">
        <v>125</v>
      </c>
      <c r="C35" s="26">
        <v>100</v>
      </c>
      <c r="D35" s="26">
        <v>220</v>
      </c>
      <c r="E35" s="26">
        <v>175</v>
      </c>
      <c r="F35" s="26">
        <v>180</v>
      </c>
      <c r="G35" s="26">
        <v>10</v>
      </c>
      <c r="H35" s="26">
        <v>10</v>
      </c>
      <c r="I35" s="26">
        <v>190</v>
      </c>
      <c r="J35" s="26">
        <v>70</v>
      </c>
      <c r="K35" s="26">
        <v>250</v>
      </c>
      <c r="L35" s="26">
        <v>350</v>
      </c>
      <c r="M35" s="26">
        <v>180</v>
      </c>
      <c r="N35" s="26">
        <v>250</v>
      </c>
      <c r="O35" s="26">
        <v>115</v>
      </c>
      <c r="P35" s="26">
        <v>450</v>
      </c>
      <c r="Q35" s="26">
        <v>95</v>
      </c>
      <c r="R35" s="26">
        <v>45</v>
      </c>
      <c r="S35" s="344">
        <v>44563</v>
      </c>
      <c r="V35" s="24"/>
    </row>
    <row r="36" spans="1:31" x14ac:dyDescent="0.2">
      <c r="A36" s="386">
        <v>8</v>
      </c>
      <c r="B36" s="26">
        <v>125</v>
      </c>
      <c r="C36" s="26">
        <v>100</v>
      </c>
      <c r="D36" s="26">
        <v>220</v>
      </c>
      <c r="E36" s="26">
        <v>175</v>
      </c>
      <c r="F36" s="26">
        <v>180</v>
      </c>
      <c r="G36" s="26">
        <v>10</v>
      </c>
      <c r="H36" s="26">
        <v>10</v>
      </c>
      <c r="I36" s="26">
        <v>190</v>
      </c>
      <c r="J36" s="26">
        <v>70</v>
      </c>
      <c r="K36" s="26">
        <v>250</v>
      </c>
      <c r="L36" s="26">
        <v>350</v>
      </c>
      <c r="M36" s="26">
        <v>180</v>
      </c>
      <c r="N36" s="26">
        <v>250</v>
      </c>
      <c r="O36" s="26">
        <v>115</v>
      </c>
      <c r="P36" s="26">
        <v>450</v>
      </c>
      <c r="Q36" s="26">
        <v>95</v>
      </c>
      <c r="R36" s="26">
        <v>45</v>
      </c>
      <c r="S36" s="314">
        <v>44564</v>
      </c>
      <c r="V36" s="24"/>
    </row>
    <row r="37" spans="1:31" x14ac:dyDescent="0.2">
      <c r="A37" s="386">
        <v>9</v>
      </c>
      <c r="B37" s="26">
        <v>125</v>
      </c>
      <c r="C37" s="26">
        <v>100</v>
      </c>
      <c r="D37" s="26">
        <v>220</v>
      </c>
      <c r="E37" s="26">
        <v>175</v>
      </c>
      <c r="F37" s="26">
        <v>180</v>
      </c>
      <c r="G37" s="26">
        <v>10</v>
      </c>
      <c r="H37" s="26">
        <v>10</v>
      </c>
      <c r="I37" s="26">
        <v>190</v>
      </c>
      <c r="J37" s="26">
        <v>70</v>
      </c>
      <c r="K37" s="26">
        <v>250</v>
      </c>
      <c r="L37" s="26">
        <v>350</v>
      </c>
      <c r="M37" s="26">
        <v>180</v>
      </c>
      <c r="N37" s="26">
        <v>250</v>
      </c>
      <c r="O37" s="26">
        <v>115</v>
      </c>
      <c r="P37" s="26">
        <v>450</v>
      </c>
      <c r="Q37" s="26">
        <v>95</v>
      </c>
      <c r="R37" s="26">
        <v>45</v>
      </c>
      <c r="S37" s="344">
        <v>44565</v>
      </c>
      <c r="V37" s="24"/>
    </row>
    <row r="38" spans="1:31" x14ac:dyDescent="0.2">
      <c r="A38" s="386">
        <v>10</v>
      </c>
      <c r="B38" s="26">
        <v>125</v>
      </c>
      <c r="C38" s="26">
        <v>100</v>
      </c>
      <c r="D38" s="26">
        <v>220</v>
      </c>
      <c r="E38" s="26">
        <v>175</v>
      </c>
      <c r="F38" s="26">
        <v>180</v>
      </c>
      <c r="G38" s="26">
        <v>10</v>
      </c>
      <c r="H38" s="26">
        <v>10</v>
      </c>
      <c r="I38" s="26">
        <v>190</v>
      </c>
      <c r="J38" s="26">
        <v>70</v>
      </c>
      <c r="K38" s="26">
        <v>250</v>
      </c>
      <c r="L38" s="36">
        <v>330</v>
      </c>
      <c r="M38" s="36">
        <v>180</v>
      </c>
      <c r="N38" s="36">
        <v>210</v>
      </c>
      <c r="O38" s="26">
        <v>115</v>
      </c>
      <c r="P38" s="26">
        <v>450</v>
      </c>
      <c r="Q38" s="26">
        <v>95</v>
      </c>
      <c r="R38" s="26">
        <v>45</v>
      </c>
      <c r="S38" s="314">
        <v>44566</v>
      </c>
      <c r="V38" s="24"/>
    </row>
    <row r="39" spans="1:31" x14ac:dyDescent="0.2">
      <c r="A39" s="386">
        <v>11</v>
      </c>
      <c r="B39" s="26">
        <v>125</v>
      </c>
      <c r="C39" s="26">
        <v>100</v>
      </c>
      <c r="D39" s="26">
        <v>220</v>
      </c>
      <c r="E39" s="26">
        <v>175</v>
      </c>
      <c r="F39" s="26">
        <v>180</v>
      </c>
      <c r="G39" s="26">
        <v>10</v>
      </c>
      <c r="H39" s="26">
        <v>10</v>
      </c>
      <c r="I39" s="26">
        <v>190</v>
      </c>
      <c r="J39" s="26">
        <v>70</v>
      </c>
      <c r="K39" s="26">
        <v>250</v>
      </c>
      <c r="L39" s="26">
        <v>330</v>
      </c>
      <c r="M39" s="26">
        <v>180</v>
      </c>
      <c r="N39" s="26">
        <v>210</v>
      </c>
      <c r="O39" s="26">
        <v>115</v>
      </c>
      <c r="P39" s="36">
        <v>420</v>
      </c>
      <c r="Q39" s="26">
        <v>95</v>
      </c>
      <c r="R39" s="26">
        <v>45</v>
      </c>
      <c r="S39" s="344">
        <v>44567</v>
      </c>
      <c r="V39" s="24"/>
    </row>
    <row r="40" spans="1:31" x14ac:dyDescent="0.2">
      <c r="A40" s="386">
        <v>12</v>
      </c>
      <c r="B40" s="26">
        <v>125</v>
      </c>
      <c r="C40" s="26">
        <v>100</v>
      </c>
      <c r="D40" s="26">
        <v>220</v>
      </c>
      <c r="E40" s="26">
        <v>175</v>
      </c>
      <c r="F40" s="26">
        <v>180</v>
      </c>
      <c r="G40" s="26">
        <v>10</v>
      </c>
      <c r="H40" s="26">
        <v>10</v>
      </c>
      <c r="I40" s="26">
        <v>190</v>
      </c>
      <c r="J40" s="26">
        <v>70</v>
      </c>
      <c r="K40" s="26">
        <v>250</v>
      </c>
      <c r="L40" s="26">
        <v>330</v>
      </c>
      <c r="M40" s="26">
        <v>180</v>
      </c>
      <c r="N40" s="26">
        <v>210</v>
      </c>
      <c r="O40" s="26">
        <v>115</v>
      </c>
      <c r="P40" s="26">
        <v>420</v>
      </c>
      <c r="Q40" s="26">
        <v>95</v>
      </c>
      <c r="R40" s="26">
        <v>45</v>
      </c>
      <c r="S40" s="314">
        <v>44568</v>
      </c>
      <c r="V40" s="24"/>
    </row>
    <row r="41" spans="1:31" x14ac:dyDescent="0.2">
      <c r="A41" s="386"/>
      <c r="B41" s="26">
        <v>125</v>
      </c>
      <c r="C41" s="26">
        <v>100</v>
      </c>
      <c r="D41" s="26">
        <v>220</v>
      </c>
      <c r="E41" s="26">
        <v>175</v>
      </c>
      <c r="F41" s="26">
        <v>180</v>
      </c>
      <c r="G41" s="26">
        <v>10</v>
      </c>
      <c r="H41" s="26">
        <v>10</v>
      </c>
      <c r="I41" s="26">
        <v>190</v>
      </c>
      <c r="J41" s="26">
        <v>70</v>
      </c>
      <c r="K41" s="26">
        <v>250</v>
      </c>
      <c r="L41" s="26">
        <v>330</v>
      </c>
      <c r="M41" s="26">
        <v>180</v>
      </c>
      <c r="N41" s="26">
        <v>210</v>
      </c>
      <c r="O41" s="26">
        <v>115</v>
      </c>
      <c r="P41" s="26">
        <v>420</v>
      </c>
      <c r="Q41" s="26">
        <v>95</v>
      </c>
      <c r="R41" s="26">
        <v>45</v>
      </c>
      <c r="S41" s="344">
        <v>44569</v>
      </c>
      <c r="V41" s="35"/>
    </row>
    <row r="42" spans="1:31" x14ac:dyDescent="0.2">
      <c r="A42" s="386">
        <v>13</v>
      </c>
      <c r="B42" s="26">
        <v>125</v>
      </c>
      <c r="C42" s="26">
        <v>100</v>
      </c>
      <c r="D42" s="26">
        <v>220</v>
      </c>
      <c r="E42" s="26">
        <v>175</v>
      </c>
      <c r="F42" s="26">
        <v>180</v>
      </c>
      <c r="G42" s="26">
        <v>10</v>
      </c>
      <c r="H42" s="26">
        <v>10</v>
      </c>
      <c r="I42" s="26">
        <v>190</v>
      </c>
      <c r="J42" s="26">
        <v>70</v>
      </c>
      <c r="K42" s="26">
        <v>250</v>
      </c>
      <c r="L42" s="26">
        <v>330</v>
      </c>
      <c r="M42" s="26">
        <v>180</v>
      </c>
      <c r="N42" s="26">
        <v>210</v>
      </c>
      <c r="O42" s="26">
        <v>115</v>
      </c>
      <c r="P42" s="26">
        <v>420</v>
      </c>
      <c r="Q42" s="26">
        <v>95</v>
      </c>
      <c r="R42" s="26">
        <v>45</v>
      </c>
      <c r="S42" s="314">
        <v>44570</v>
      </c>
      <c r="V42" s="35"/>
    </row>
    <row r="43" spans="1:31" x14ac:dyDescent="0.2">
      <c r="A43" s="386">
        <v>14</v>
      </c>
      <c r="B43" s="26">
        <v>125</v>
      </c>
      <c r="C43" s="26">
        <v>100</v>
      </c>
      <c r="D43" s="27">
        <v>225</v>
      </c>
      <c r="E43" s="27">
        <v>200</v>
      </c>
      <c r="F43" s="27">
        <v>190</v>
      </c>
      <c r="G43" s="26">
        <v>10</v>
      </c>
      <c r="H43" s="26">
        <v>10</v>
      </c>
      <c r="I43" s="27">
        <v>200</v>
      </c>
      <c r="J43" s="26">
        <v>70</v>
      </c>
      <c r="K43" s="26">
        <v>250</v>
      </c>
      <c r="L43" s="26">
        <v>330</v>
      </c>
      <c r="M43" s="26">
        <v>180</v>
      </c>
      <c r="N43" s="26">
        <v>210</v>
      </c>
      <c r="O43" s="26">
        <v>115</v>
      </c>
      <c r="P43" s="26">
        <v>420</v>
      </c>
      <c r="Q43" s="26">
        <v>95</v>
      </c>
      <c r="R43" s="26">
        <v>45</v>
      </c>
      <c r="S43" s="344">
        <v>44571</v>
      </c>
      <c r="V43" s="35"/>
    </row>
    <row r="44" spans="1:31" x14ac:dyDescent="0.2">
      <c r="A44" s="386">
        <v>15</v>
      </c>
      <c r="B44" s="26">
        <v>125</v>
      </c>
      <c r="C44" s="26">
        <v>100</v>
      </c>
      <c r="D44" s="26">
        <v>225</v>
      </c>
      <c r="E44" s="26">
        <v>200</v>
      </c>
      <c r="F44" s="26">
        <v>190</v>
      </c>
      <c r="G44" s="26">
        <v>10</v>
      </c>
      <c r="H44" s="26">
        <v>10</v>
      </c>
      <c r="I44" s="26">
        <v>200</v>
      </c>
      <c r="J44" s="26">
        <v>70</v>
      </c>
      <c r="K44" s="26">
        <v>250</v>
      </c>
      <c r="L44" s="26">
        <v>330</v>
      </c>
      <c r="M44" s="26">
        <v>180</v>
      </c>
      <c r="N44" s="26">
        <v>210</v>
      </c>
      <c r="O44" s="26">
        <v>115</v>
      </c>
      <c r="P44" s="26">
        <v>420</v>
      </c>
      <c r="Q44" s="26">
        <v>95</v>
      </c>
      <c r="R44" s="26">
        <v>45</v>
      </c>
      <c r="S44" s="314">
        <v>44572</v>
      </c>
      <c r="V44" s="35"/>
    </row>
    <row r="45" spans="1:31" x14ac:dyDescent="0.2">
      <c r="A45" s="386">
        <v>16</v>
      </c>
      <c r="B45" s="26">
        <v>125</v>
      </c>
      <c r="C45" s="26">
        <v>100</v>
      </c>
      <c r="D45" s="26">
        <v>225</v>
      </c>
      <c r="E45" s="26">
        <v>200</v>
      </c>
      <c r="F45" s="26">
        <v>190</v>
      </c>
      <c r="G45" s="26">
        <v>10</v>
      </c>
      <c r="H45" s="26">
        <v>10</v>
      </c>
      <c r="I45" s="26">
        <v>200</v>
      </c>
      <c r="J45" s="26">
        <v>70</v>
      </c>
      <c r="K45" s="26">
        <v>250</v>
      </c>
      <c r="L45" s="26">
        <v>330</v>
      </c>
      <c r="M45" s="26">
        <v>180</v>
      </c>
      <c r="N45" s="26">
        <v>210</v>
      </c>
      <c r="O45" s="26">
        <v>115</v>
      </c>
      <c r="P45" s="26">
        <v>420</v>
      </c>
      <c r="Q45" s="26">
        <v>95</v>
      </c>
      <c r="R45" s="26">
        <v>45</v>
      </c>
      <c r="S45" s="344">
        <v>44573</v>
      </c>
      <c r="V45" s="35"/>
    </row>
    <row r="46" spans="1:31" x14ac:dyDescent="0.2">
      <c r="A46" s="352"/>
      <c r="B46" s="26">
        <v>125</v>
      </c>
      <c r="C46" s="26">
        <v>100</v>
      </c>
      <c r="D46" s="26">
        <v>225</v>
      </c>
      <c r="E46" s="26">
        <v>200</v>
      </c>
      <c r="F46" s="26">
        <v>190</v>
      </c>
      <c r="G46" s="26">
        <v>10</v>
      </c>
      <c r="H46" s="26">
        <v>10</v>
      </c>
      <c r="I46" s="26">
        <v>200</v>
      </c>
      <c r="J46" s="26">
        <v>70</v>
      </c>
      <c r="K46" s="26">
        <v>250</v>
      </c>
      <c r="L46" s="26">
        <v>330</v>
      </c>
      <c r="M46" s="26">
        <v>180</v>
      </c>
      <c r="N46" s="26">
        <v>210</v>
      </c>
      <c r="O46" s="26">
        <v>115</v>
      </c>
      <c r="P46" s="26">
        <v>420</v>
      </c>
      <c r="Q46" s="26">
        <v>95</v>
      </c>
      <c r="R46" s="26">
        <v>45</v>
      </c>
      <c r="S46" s="314">
        <v>44574</v>
      </c>
      <c r="V46" s="35"/>
    </row>
    <row r="47" spans="1:31" x14ac:dyDescent="0.2">
      <c r="A47" s="352"/>
      <c r="B47" s="26">
        <v>125</v>
      </c>
      <c r="C47" s="26">
        <v>100</v>
      </c>
      <c r="D47" s="26">
        <v>225</v>
      </c>
      <c r="E47" s="26">
        <v>200</v>
      </c>
      <c r="F47" s="26">
        <v>190</v>
      </c>
      <c r="G47" s="26">
        <v>10</v>
      </c>
      <c r="H47" s="26">
        <v>10</v>
      </c>
      <c r="I47" s="26">
        <v>200</v>
      </c>
      <c r="J47" s="26">
        <v>70</v>
      </c>
      <c r="K47" s="26">
        <v>250</v>
      </c>
      <c r="L47" s="26">
        <v>330</v>
      </c>
      <c r="M47" s="26">
        <v>180</v>
      </c>
      <c r="N47" s="26">
        <v>210</v>
      </c>
      <c r="O47" s="26">
        <v>115</v>
      </c>
      <c r="P47" s="26">
        <v>420</v>
      </c>
      <c r="Q47" s="26">
        <v>95</v>
      </c>
      <c r="R47" s="26">
        <v>45</v>
      </c>
      <c r="S47" s="344">
        <v>44575</v>
      </c>
      <c r="V47" s="35"/>
    </row>
    <row r="48" spans="1:31" x14ac:dyDescent="0.2">
      <c r="A48" s="352"/>
      <c r="B48" s="26">
        <v>125</v>
      </c>
      <c r="C48" s="26">
        <v>100</v>
      </c>
      <c r="D48" s="26">
        <v>225</v>
      </c>
      <c r="E48" s="26">
        <v>200</v>
      </c>
      <c r="F48" s="26">
        <v>190</v>
      </c>
      <c r="G48" s="26">
        <v>10</v>
      </c>
      <c r="H48" s="26">
        <v>10</v>
      </c>
      <c r="I48" s="26">
        <v>200</v>
      </c>
      <c r="J48" s="26">
        <v>70</v>
      </c>
      <c r="K48" s="26">
        <v>250</v>
      </c>
      <c r="L48" s="26">
        <v>330</v>
      </c>
      <c r="M48" s="26">
        <v>180</v>
      </c>
      <c r="N48" s="26">
        <v>210</v>
      </c>
      <c r="O48" s="26">
        <v>115</v>
      </c>
      <c r="P48" s="26">
        <v>420</v>
      </c>
      <c r="Q48" s="26">
        <v>95</v>
      </c>
      <c r="R48" s="26">
        <v>45</v>
      </c>
      <c r="S48" s="314">
        <v>44576</v>
      </c>
      <c r="V48" s="35"/>
    </row>
    <row r="49" spans="1:22" x14ac:dyDescent="0.2">
      <c r="A49" s="352"/>
      <c r="B49" s="26">
        <v>125</v>
      </c>
      <c r="C49" s="26">
        <v>100</v>
      </c>
      <c r="D49" s="26">
        <v>225</v>
      </c>
      <c r="E49" s="26">
        <v>200</v>
      </c>
      <c r="F49" s="26">
        <v>190</v>
      </c>
      <c r="G49" s="26">
        <v>10</v>
      </c>
      <c r="H49" s="26">
        <v>10</v>
      </c>
      <c r="I49" s="26">
        <v>200</v>
      </c>
      <c r="J49" s="26">
        <v>70</v>
      </c>
      <c r="K49" s="26">
        <v>250</v>
      </c>
      <c r="L49" s="26">
        <v>330</v>
      </c>
      <c r="M49" s="26">
        <v>180</v>
      </c>
      <c r="N49" s="26">
        <v>210</v>
      </c>
      <c r="O49" s="26">
        <v>115</v>
      </c>
      <c r="P49" s="26">
        <v>420</v>
      </c>
      <c r="Q49" s="26">
        <v>95</v>
      </c>
      <c r="R49" s="26">
        <v>45</v>
      </c>
      <c r="S49" s="344">
        <v>44577</v>
      </c>
      <c r="V49" s="24"/>
    </row>
    <row r="50" spans="1:22" x14ac:dyDescent="0.2">
      <c r="A50" s="352"/>
      <c r="B50" s="26">
        <v>125</v>
      </c>
      <c r="C50" s="26">
        <v>100</v>
      </c>
      <c r="D50" s="26">
        <v>225</v>
      </c>
      <c r="E50" s="26">
        <v>200</v>
      </c>
      <c r="F50" s="26">
        <v>190</v>
      </c>
      <c r="G50" s="26">
        <v>10</v>
      </c>
      <c r="H50" s="26">
        <v>10</v>
      </c>
      <c r="I50" s="26">
        <v>200</v>
      </c>
      <c r="J50" s="26">
        <v>70</v>
      </c>
      <c r="K50" s="26">
        <v>250</v>
      </c>
      <c r="L50" s="26">
        <v>330</v>
      </c>
      <c r="M50" s="26">
        <v>180</v>
      </c>
      <c r="N50" s="26">
        <v>210</v>
      </c>
      <c r="O50" s="26">
        <v>115</v>
      </c>
      <c r="P50" s="26">
        <v>420</v>
      </c>
      <c r="Q50" s="26">
        <v>95</v>
      </c>
      <c r="R50" s="26">
        <v>45</v>
      </c>
      <c r="S50" s="314">
        <v>44578</v>
      </c>
    </row>
    <row r="51" spans="1:22" x14ac:dyDescent="0.2">
      <c r="A51" s="352"/>
      <c r="B51" s="26">
        <v>125</v>
      </c>
      <c r="C51" s="26">
        <v>100</v>
      </c>
      <c r="D51" s="26">
        <v>225</v>
      </c>
      <c r="E51" s="26">
        <v>200</v>
      </c>
      <c r="F51" s="26">
        <v>190</v>
      </c>
      <c r="G51" s="26">
        <v>10</v>
      </c>
      <c r="H51" s="26">
        <v>10</v>
      </c>
      <c r="I51" s="26">
        <v>200</v>
      </c>
      <c r="J51" s="26">
        <v>70</v>
      </c>
      <c r="K51" s="26">
        <v>250</v>
      </c>
      <c r="L51" s="26">
        <v>330</v>
      </c>
      <c r="M51" s="26">
        <v>180</v>
      </c>
      <c r="N51" s="26">
        <v>210</v>
      </c>
      <c r="O51" s="26">
        <v>115</v>
      </c>
      <c r="P51" s="26">
        <v>420</v>
      </c>
      <c r="Q51" s="26">
        <v>95</v>
      </c>
      <c r="R51" s="26">
        <v>45</v>
      </c>
      <c r="S51" s="344">
        <v>44579</v>
      </c>
    </row>
    <row r="52" spans="1:22" x14ac:dyDescent="0.2">
      <c r="A52" s="352"/>
      <c r="B52" s="26">
        <v>125</v>
      </c>
      <c r="C52" s="26">
        <v>100</v>
      </c>
      <c r="D52" s="26">
        <v>225</v>
      </c>
      <c r="E52" s="26">
        <v>200</v>
      </c>
      <c r="F52" s="26">
        <v>190</v>
      </c>
      <c r="G52" s="26">
        <v>10</v>
      </c>
      <c r="H52" s="26">
        <v>10</v>
      </c>
      <c r="I52" s="26">
        <v>200</v>
      </c>
      <c r="J52" s="26">
        <v>70</v>
      </c>
      <c r="K52" s="26">
        <v>250</v>
      </c>
      <c r="L52" s="26">
        <v>330</v>
      </c>
      <c r="M52" s="26">
        <v>180</v>
      </c>
      <c r="N52" s="26">
        <v>210</v>
      </c>
      <c r="O52" s="26">
        <v>115</v>
      </c>
      <c r="P52" s="26">
        <v>420</v>
      </c>
      <c r="Q52" s="26">
        <v>95</v>
      </c>
      <c r="R52" s="26">
        <v>45</v>
      </c>
      <c r="S52" s="314">
        <v>44580</v>
      </c>
    </row>
    <row r="53" spans="1:22" x14ac:dyDescent="0.2">
      <c r="A53" s="352"/>
      <c r="B53" s="26">
        <v>125</v>
      </c>
      <c r="C53" s="26">
        <v>100</v>
      </c>
      <c r="D53" s="26">
        <v>230</v>
      </c>
      <c r="E53" s="26">
        <v>200</v>
      </c>
      <c r="F53" s="27">
        <v>200</v>
      </c>
      <c r="G53" s="26">
        <v>10</v>
      </c>
      <c r="H53" s="26">
        <v>10</v>
      </c>
      <c r="I53" s="26">
        <v>200</v>
      </c>
      <c r="J53" s="26">
        <v>75</v>
      </c>
      <c r="K53" s="26">
        <v>250</v>
      </c>
      <c r="L53" s="26">
        <v>330</v>
      </c>
      <c r="M53" s="26">
        <v>180</v>
      </c>
      <c r="N53" s="26">
        <v>210</v>
      </c>
      <c r="O53" s="26">
        <v>115</v>
      </c>
      <c r="P53" s="26">
        <v>420</v>
      </c>
      <c r="Q53" s="26">
        <v>95</v>
      </c>
      <c r="R53" s="26">
        <v>45</v>
      </c>
      <c r="S53" s="344">
        <v>44581</v>
      </c>
    </row>
    <row r="54" spans="1:22" x14ac:dyDescent="0.2">
      <c r="A54" s="352"/>
      <c r="B54" s="26">
        <v>125</v>
      </c>
      <c r="C54" s="26">
        <v>100</v>
      </c>
      <c r="D54" s="27">
        <v>240</v>
      </c>
      <c r="E54" s="26">
        <v>200</v>
      </c>
      <c r="F54" s="26">
        <v>200</v>
      </c>
      <c r="G54" s="26">
        <v>10</v>
      </c>
      <c r="H54" s="26">
        <v>10</v>
      </c>
      <c r="I54" s="26">
        <v>200</v>
      </c>
      <c r="J54" s="26">
        <v>75</v>
      </c>
      <c r="K54" s="26">
        <v>250</v>
      </c>
      <c r="L54" s="26">
        <v>330</v>
      </c>
      <c r="M54" s="26">
        <v>180</v>
      </c>
      <c r="N54" s="26">
        <v>210</v>
      </c>
      <c r="O54" s="26">
        <v>115</v>
      </c>
      <c r="P54" s="26">
        <v>420</v>
      </c>
      <c r="Q54" s="26">
        <v>95</v>
      </c>
      <c r="R54" s="26">
        <v>45</v>
      </c>
      <c r="S54" s="314">
        <v>44582</v>
      </c>
    </row>
    <row r="55" spans="1:22" x14ac:dyDescent="0.2">
      <c r="A55" s="352"/>
      <c r="B55" s="26">
        <v>125</v>
      </c>
      <c r="C55" s="26">
        <v>100</v>
      </c>
      <c r="D55" s="26">
        <v>240</v>
      </c>
      <c r="E55" s="26">
        <v>200</v>
      </c>
      <c r="F55" s="26">
        <v>200</v>
      </c>
      <c r="G55" s="26">
        <v>10</v>
      </c>
      <c r="H55" s="26">
        <v>10</v>
      </c>
      <c r="I55" s="26">
        <v>200</v>
      </c>
      <c r="J55" s="26">
        <v>75</v>
      </c>
      <c r="K55" s="26">
        <v>250</v>
      </c>
      <c r="L55" s="26">
        <v>330</v>
      </c>
      <c r="M55" s="26">
        <v>180</v>
      </c>
      <c r="N55" s="26">
        <v>210</v>
      </c>
      <c r="O55" s="26">
        <v>115</v>
      </c>
      <c r="P55" s="26">
        <v>420</v>
      </c>
      <c r="Q55" s="26">
        <v>95</v>
      </c>
      <c r="R55" s="26">
        <v>45</v>
      </c>
      <c r="S55" s="344">
        <v>44583</v>
      </c>
    </row>
    <row r="56" spans="1:22" x14ac:dyDescent="0.2">
      <c r="A56" s="352"/>
      <c r="B56" s="26">
        <v>125</v>
      </c>
      <c r="C56" s="26">
        <v>100</v>
      </c>
      <c r="D56" s="26">
        <v>240</v>
      </c>
      <c r="E56" s="26">
        <v>200</v>
      </c>
      <c r="F56" s="26">
        <v>200</v>
      </c>
      <c r="G56" s="26">
        <v>10</v>
      </c>
      <c r="H56" s="26">
        <v>10</v>
      </c>
      <c r="I56" s="27">
        <v>210</v>
      </c>
      <c r="J56" s="26">
        <v>75</v>
      </c>
      <c r="K56" s="26">
        <v>250</v>
      </c>
      <c r="L56" s="26">
        <v>330</v>
      </c>
      <c r="M56" s="26">
        <v>180</v>
      </c>
      <c r="N56" s="26">
        <v>210</v>
      </c>
      <c r="O56" s="26">
        <v>115</v>
      </c>
      <c r="P56" s="26">
        <v>420</v>
      </c>
      <c r="Q56" s="26">
        <v>95</v>
      </c>
      <c r="R56" s="26">
        <v>45</v>
      </c>
      <c r="S56" s="314">
        <v>44584</v>
      </c>
    </row>
    <row r="57" spans="1:22" x14ac:dyDescent="0.2">
      <c r="A57" s="352"/>
      <c r="B57" s="26">
        <v>125</v>
      </c>
      <c r="C57" s="26">
        <v>100</v>
      </c>
      <c r="D57" s="26">
        <v>240</v>
      </c>
      <c r="E57" s="26">
        <v>200</v>
      </c>
      <c r="F57" s="26">
        <v>200</v>
      </c>
      <c r="G57" s="26">
        <v>10</v>
      </c>
      <c r="H57" s="26">
        <v>10</v>
      </c>
      <c r="I57" s="26">
        <v>210</v>
      </c>
      <c r="J57" s="26">
        <v>75</v>
      </c>
      <c r="K57" s="26">
        <v>250</v>
      </c>
      <c r="L57" s="26">
        <v>330</v>
      </c>
      <c r="M57" s="26">
        <v>180</v>
      </c>
      <c r="N57" s="26">
        <v>210</v>
      </c>
      <c r="O57" s="26">
        <v>115</v>
      </c>
      <c r="P57" s="26">
        <v>420</v>
      </c>
      <c r="Q57" s="26">
        <v>95</v>
      </c>
      <c r="R57" s="26">
        <v>45</v>
      </c>
      <c r="S57" s="344">
        <v>44585</v>
      </c>
    </row>
    <row r="58" spans="1:22" x14ac:dyDescent="0.2">
      <c r="A58" s="352"/>
      <c r="B58" s="26">
        <v>125</v>
      </c>
      <c r="C58" s="26">
        <v>100</v>
      </c>
      <c r="D58" s="26">
        <v>240</v>
      </c>
      <c r="E58" s="26">
        <v>200</v>
      </c>
      <c r="F58" s="26">
        <v>200</v>
      </c>
      <c r="G58" s="26">
        <v>10</v>
      </c>
      <c r="H58" s="26">
        <v>10</v>
      </c>
      <c r="I58" s="26">
        <v>210</v>
      </c>
      <c r="J58" s="26">
        <v>75</v>
      </c>
      <c r="K58" s="26">
        <v>250</v>
      </c>
      <c r="L58" s="26">
        <v>330</v>
      </c>
      <c r="M58" s="26">
        <v>180</v>
      </c>
      <c r="N58" s="26">
        <v>210</v>
      </c>
      <c r="O58" s="26">
        <v>115</v>
      </c>
      <c r="P58" s="26">
        <v>420</v>
      </c>
      <c r="Q58" s="26">
        <v>95</v>
      </c>
      <c r="R58" s="26">
        <v>45</v>
      </c>
      <c r="S58" s="314">
        <v>44586</v>
      </c>
    </row>
    <row r="59" spans="1:22" x14ac:dyDescent="0.2">
      <c r="A59" s="352"/>
      <c r="B59" s="26">
        <v>125</v>
      </c>
      <c r="C59" s="26">
        <v>100</v>
      </c>
      <c r="D59" s="26">
        <v>240</v>
      </c>
      <c r="E59" s="26">
        <v>200</v>
      </c>
      <c r="F59" s="26">
        <v>200</v>
      </c>
      <c r="G59" s="26">
        <v>10</v>
      </c>
      <c r="H59" s="26">
        <v>10</v>
      </c>
      <c r="I59" s="26">
        <v>210</v>
      </c>
      <c r="J59" s="26">
        <v>75</v>
      </c>
      <c r="K59" s="26">
        <v>250</v>
      </c>
      <c r="L59" s="26">
        <v>330</v>
      </c>
      <c r="M59" s="26">
        <v>180</v>
      </c>
      <c r="N59" s="26">
        <v>210</v>
      </c>
      <c r="O59" s="26">
        <v>115</v>
      </c>
      <c r="P59" s="26">
        <v>420</v>
      </c>
      <c r="Q59" s="26">
        <v>95</v>
      </c>
      <c r="R59" s="26">
        <v>45</v>
      </c>
      <c r="S59" s="344">
        <v>44587</v>
      </c>
    </row>
    <row r="60" spans="1:22" x14ac:dyDescent="0.2">
      <c r="A60" s="352"/>
      <c r="B60" s="26">
        <v>125</v>
      </c>
      <c r="C60" s="26">
        <v>100</v>
      </c>
      <c r="D60" s="26">
        <v>240</v>
      </c>
      <c r="E60" s="26">
        <v>200</v>
      </c>
      <c r="F60" s="26">
        <v>200</v>
      </c>
      <c r="G60" s="26">
        <v>10</v>
      </c>
      <c r="H60" s="26">
        <v>10</v>
      </c>
      <c r="I60" s="26">
        <v>210</v>
      </c>
      <c r="J60" s="26">
        <v>75</v>
      </c>
      <c r="K60" s="26">
        <v>250</v>
      </c>
      <c r="L60" s="26">
        <v>330</v>
      </c>
      <c r="M60" s="26">
        <v>180</v>
      </c>
      <c r="N60" s="26">
        <v>210</v>
      </c>
      <c r="O60" s="26">
        <v>115</v>
      </c>
      <c r="P60" s="26">
        <v>420</v>
      </c>
      <c r="Q60" s="26">
        <v>95</v>
      </c>
      <c r="R60" s="26">
        <v>45</v>
      </c>
      <c r="S60" s="314">
        <v>44588</v>
      </c>
    </row>
    <row r="61" spans="1:22" x14ac:dyDescent="0.2">
      <c r="A61" s="352"/>
      <c r="B61" s="26">
        <v>125</v>
      </c>
      <c r="C61" s="26">
        <v>100</v>
      </c>
      <c r="D61" s="26">
        <v>240</v>
      </c>
      <c r="E61" s="26">
        <v>200</v>
      </c>
      <c r="F61" s="26">
        <v>200</v>
      </c>
      <c r="G61" s="26">
        <v>10</v>
      </c>
      <c r="H61" s="26">
        <v>10</v>
      </c>
      <c r="I61" s="26">
        <v>210</v>
      </c>
      <c r="J61" s="26">
        <v>75</v>
      </c>
      <c r="K61" s="26">
        <v>250</v>
      </c>
      <c r="L61" s="26">
        <v>330</v>
      </c>
      <c r="M61" s="26">
        <v>180</v>
      </c>
      <c r="N61" s="26">
        <v>210</v>
      </c>
      <c r="O61" s="26">
        <v>115</v>
      </c>
      <c r="P61" s="26">
        <v>420</v>
      </c>
      <c r="Q61" s="26">
        <v>95</v>
      </c>
      <c r="R61" s="26">
        <v>45</v>
      </c>
      <c r="S61" s="344">
        <v>44589</v>
      </c>
    </row>
    <row r="62" spans="1:22" x14ac:dyDescent="0.2">
      <c r="A62" s="352"/>
      <c r="B62" s="26">
        <v>125</v>
      </c>
      <c r="C62" s="26">
        <v>100</v>
      </c>
      <c r="D62" s="26">
        <v>240</v>
      </c>
      <c r="E62" s="26">
        <v>200</v>
      </c>
      <c r="F62" s="26">
        <v>200</v>
      </c>
      <c r="G62" s="26">
        <v>10</v>
      </c>
      <c r="H62" s="26">
        <v>10</v>
      </c>
      <c r="I62" s="26">
        <v>210</v>
      </c>
      <c r="J62" s="26">
        <v>75</v>
      </c>
      <c r="K62" s="26">
        <v>250</v>
      </c>
      <c r="L62" s="26">
        <v>330</v>
      </c>
      <c r="M62" s="26">
        <v>180</v>
      </c>
      <c r="N62" s="26">
        <v>210</v>
      </c>
      <c r="O62" s="26">
        <v>115</v>
      </c>
      <c r="P62" s="26">
        <v>420</v>
      </c>
      <c r="Q62" s="26">
        <v>95</v>
      </c>
      <c r="R62" s="26">
        <v>45</v>
      </c>
      <c r="S62" s="314">
        <v>44590</v>
      </c>
    </row>
    <row r="63" spans="1:22" x14ac:dyDescent="0.2">
      <c r="A63" s="352"/>
      <c r="B63" s="26">
        <v>125</v>
      </c>
      <c r="C63" s="26">
        <v>100</v>
      </c>
      <c r="D63" s="26">
        <v>240</v>
      </c>
      <c r="E63" s="26">
        <v>200</v>
      </c>
      <c r="F63" s="26">
        <v>200</v>
      </c>
      <c r="G63" s="26">
        <v>10</v>
      </c>
      <c r="H63" s="26">
        <v>10</v>
      </c>
      <c r="I63" s="26">
        <v>210</v>
      </c>
      <c r="J63" s="26">
        <v>75</v>
      </c>
      <c r="K63" s="26">
        <v>250</v>
      </c>
      <c r="L63" s="26">
        <v>330</v>
      </c>
      <c r="M63" s="26">
        <v>180</v>
      </c>
      <c r="N63" s="26">
        <v>210</v>
      </c>
      <c r="O63" s="26">
        <v>115</v>
      </c>
      <c r="P63" s="26">
        <v>420</v>
      </c>
      <c r="Q63" s="26">
        <v>95</v>
      </c>
      <c r="R63" s="26">
        <v>45</v>
      </c>
      <c r="S63" s="344">
        <v>44591</v>
      </c>
    </row>
  </sheetData>
  <mergeCells count="2">
    <mergeCell ref="B1:R1"/>
    <mergeCell ref="X1:Y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7BC4-E076-DE4D-A46E-5F63CDE98C0B}">
  <dimension ref="A1:DO72"/>
  <sheetViews>
    <sheetView topLeftCell="A35" zoomScaleNormal="100" workbookViewId="0">
      <selection activeCell="U57" sqref="U57"/>
    </sheetView>
  </sheetViews>
  <sheetFormatPr baseColWidth="10" defaultColWidth="8.83203125" defaultRowHeight="24" x14ac:dyDescent="0.2"/>
  <cols>
    <col min="1" max="1" width="19.6640625" style="99" bestFit="1" customWidth="1"/>
    <col min="2" max="2" width="8.83203125" style="142"/>
    <col min="3" max="3" width="8.83203125" style="99"/>
    <col min="4" max="4" width="8.83203125" style="143"/>
    <col min="5" max="5" width="8.83203125" style="99"/>
    <col min="6" max="6" width="9.6640625" style="99" bestFit="1" customWidth="1"/>
    <col min="7" max="56" width="8.83203125" style="99" customWidth="1"/>
    <col min="57" max="16384" width="8.83203125" style="99"/>
  </cols>
  <sheetData>
    <row r="1" spans="1:116" s="160" customFormat="1" x14ac:dyDescent="0.2">
      <c r="A1" s="159" t="s">
        <v>24</v>
      </c>
      <c r="B1" s="235"/>
      <c r="C1" s="235"/>
      <c r="D1" s="235" t="s">
        <v>102</v>
      </c>
      <c r="F1" s="161"/>
      <c r="I1" s="160" t="s">
        <v>62</v>
      </c>
      <c r="K1" s="161"/>
      <c r="N1" s="160" t="s">
        <v>21</v>
      </c>
      <c r="P1" s="161"/>
      <c r="S1" s="160" t="s">
        <v>84</v>
      </c>
      <c r="U1" s="161"/>
      <c r="X1" s="160" t="s">
        <v>71</v>
      </c>
      <c r="Z1" s="161"/>
      <c r="AC1" s="160" t="s">
        <v>76</v>
      </c>
      <c r="AE1" s="161"/>
      <c r="AH1" s="160" t="s">
        <v>74</v>
      </c>
      <c r="AJ1" s="161"/>
      <c r="AM1" s="160" t="s">
        <v>106</v>
      </c>
      <c r="AO1" s="161"/>
      <c r="AR1" s="160" t="s">
        <v>107</v>
      </c>
      <c r="AT1" s="161"/>
      <c r="AW1" s="160" t="s">
        <v>77</v>
      </c>
      <c r="AY1" s="161"/>
      <c r="BB1" s="160" t="s">
        <v>91</v>
      </c>
      <c r="BD1" s="161"/>
      <c r="BG1" s="160" t="s">
        <v>69</v>
      </c>
      <c r="BI1" s="161"/>
      <c r="BL1" s="160" t="s">
        <v>67</v>
      </c>
      <c r="BN1" s="161"/>
      <c r="BQ1" s="160" t="s">
        <v>88</v>
      </c>
      <c r="BS1" s="161"/>
      <c r="BU1" s="160" t="s">
        <v>80</v>
      </c>
      <c r="BX1" s="161"/>
      <c r="BZ1" s="160" t="s">
        <v>92</v>
      </c>
      <c r="CC1" s="161"/>
      <c r="CE1" s="160" t="s">
        <v>82</v>
      </c>
      <c r="CH1" s="161"/>
      <c r="CJ1" s="160" t="s">
        <v>65</v>
      </c>
      <c r="CM1" s="161"/>
      <c r="CO1" s="160" t="s">
        <v>112</v>
      </c>
      <c r="CR1" s="161"/>
      <c r="CT1" s="160" t="s">
        <v>114</v>
      </c>
      <c r="CW1" s="161"/>
      <c r="CY1" s="160" t="s">
        <v>117</v>
      </c>
      <c r="DB1" s="161"/>
      <c r="DD1" s="160" t="s">
        <v>86</v>
      </c>
      <c r="DG1" s="161"/>
      <c r="DI1" s="160" t="s">
        <v>119</v>
      </c>
      <c r="DL1" s="162"/>
    </row>
    <row r="2" spans="1:116" x14ac:dyDescent="0.2">
      <c r="A2" s="146" t="s">
        <v>25</v>
      </c>
      <c r="C2" s="99" t="s">
        <v>75</v>
      </c>
      <c r="F2" s="145"/>
      <c r="H2" s="99" t="s">
        <v>63</v>
      </c>
      <c r="K2" s="145"/>
      <c r="M2" s="99" t="s">
        <v>29</v>
      </c>
      <c r="P2" s="145"/>
      <c r="R2" s="99" t="s">
        <v>27</v>
      </c>
      <c r="U2" s="145"/>
      <c r="W2" s="99" t="s">
        <v>72</v>
      </c>
      <c r="Z2" s="145"/>
      <c r="AB2" s="99" t="s">
        <v>29</v>
      </c>
      <c r="AC2" s="236"/>
      <c r="AD2" s="236"/>
      <c r="AE2" s="145"/>
      <c r="AG2" s="99" t="s">
        <v>29</v>
      </c>
      <c r="AJ2" s="145"/>
      <c r="AL2" s="99" t="s">
        <v>68</v>
      </c>
      <c r="AO2" s="145"/>
      <c r="AQ2" s="99" t="s">
        <v>28</v>
      </c>
      <c r="AT2" s="145"/>
      <c r="AV2" s="99" t="s">
        <v>63</v>
      </c>
      <c r="AY2" s="145"/>
      <c r="BA2" s="99" t="s">
        <v>63</v>
      </c>
      <c r="BD2" s="145"/>
      <c r="BF2" s="99" t="s">
        <v>68</v>
      </c>
      <c r="BH2" s="236"/>
      <c r="BI2" s="145"/>
      <c r="BK2" s="99" t="s">
        <v>68</v>
      </c>
      <c r="BN2" s="145"/>
      <c r="BP2" s="99" t="s">
        <v>78</v>
      </c>
      <c r="BS2" s="145"/>
      <c r="BU2" s="99" t="s">
        <v>28</v>
      </c>
      <c r="BX2" s="145"/>
      <c r="BZ2" s="99" t="s">
        <v>28</v>
      </c>
      <c r="CC2" s="145"/>
      <c r="CE2" s="99" t="s">
        <v>28</v>
      </c>
      <c r="CH2" s="145"/>
      <c r="CJ2" s="99" t="s">
        <v>29</v>
      </c>
      <c r="CM2" s="145"/>
      <c r="CO2" s="99" t="s">
        <v>63</v>
      </c>
      <c r="CR2" s="145"/>
      <c r="CT2" s="99" t="s">
        <v>115</v>
      </c>
      <c r="CW2" s="145"/>
      <c r="CY2" s="99" t="s">
        <v>29</v>
      </c>
      <c r="DB2" s="145"/>
      <c r="DD2" s="99" t="s">
        <v>27</v>
      </c>
      <c r="DG2" s="145"/>
      <c r="DI2" s="99" t="s">
        <v>72</v>
      </c>
      <c r="DL2" s="152"/>
    </row>
    <row r="3" spans="1:116" ht="27" x14ac:dyDescent="0.2">
      <c r="A3" s="29" t="s">
        <v>44</v>
      </c>
      <c r="B3" s="149" t="s">
        <v>150</v>
      </c>
      <c r="C3" s="150" t="s">
        <v>149</v>
      </c>
      <c r="D3" s="201" t="s">
        <v>152</v>
      </c>
      <c r="E3" s="201" t="s">
        <v>180</v>
      </c>
      <c r="F3" s="151"/>
      <c r="G3" s="149" t="s">
        <v>150</v>
      </c>
      <c r="H3" s="150" t="s">
        <v>149</v>
      </c>
      <c r="I3" s="201" t="s">
        <v>152</v>
      </c>
      <c r="J3" s="201" t="s">
        <v>180</v>
      </c>
      <c r="K3" s="151"/>
      <c r="L3" s="149" t="s">
        <v>150</v>
      </c>
      <c r="M3" s="150" t="s">
        <v>149</v>
      </c>
      <c r="N3" s="201" t="s">
        <v>152</v>
      </c>
      <c r="O3" s="201" t="s">
        <v>180</v>
      </c>
      <c r="P3" s="151"/>
      <c r="Q3" s="149" t="s">
        <v>150</v>
      </c>
      <c r="R3" s="150" t="s">
        <v>149</v>
      </c>
      <c r="S3" s="201" t="s">
        <v>152</v>
      </c>
      <c r="T3" s="201" t="s">
        <v>180</v>
      </c>
      <c r="U3" s="151"/>
      <c r="V3" s="149" t="s">
        <v>150</v>
      </c>
      <c r="W3" s="150" t="s">
        <v>149</v>
      </c>
      <c r="X3" s="201" t="s">
        <v>152</v>
      </c>
      <c r="Y3" s="201" t="s">
        <v>180</v>
      </c>
      <c r="Z3" s="151"/>
      <c r="AA3" s="149" t="s">
        <v>150</v>
      </c>
      <c r="AB3" s="150" t="s">
        <v>149</v>
      </c>
      <c r="AC3" s="201" t="s">
        <v>152</v>
      </c>
      <c r="AD3" s="201" t="s">
        <v>180</v>
      </c>
      <c r="AE3" s="151"/>
      <c r="AF3" s="149" t="s">
        <v>150</v>
      </c>
      <c r="AG3" s="150" t="s">
        <v>149</v>
      </c>
      <c r="AH3" s="201" t="s">
        <v>152</v>
      </c>
      <c r="AI3" s="201" t="s">
        <v>180</v>
      </c>
      <c r="AJ3" s="151"/>
      <c r="AK3" s="149" t="s">
        <v>150</v>
      </c>
      <c r="AL3" s="150" t="s">
        <v>149</v>
      </c>
      <c r="AM3" s="201" t="s">
        <v>152</v>
      </c>
      <c r="AN3" s="201" t="s">
        <v>180</v>
      </c>
      <c r="AO3" s="151"/>
      <c r="AP3" s="149" t="s">
        <v>150</v>
      </c>
      <c r="AQ3" s="150" t="s">
        <v>149</v>
      </c>
      <c r="AR3" s="201" t="s">
        <v>152</v>
      </c>
      <c r="AS3" s="201" t="s">
        <v>180</v>
      </c>
      <c r="AT3" s="151"/>
      <c r="AU3" s="149" t="s">
        <v>150</v>
      </c>
      <c r="AV3" s="150" t="s">
        <v>149</v>
      </c>
      <c r="AW3" s="201" t="s">
        <v>152</v>
      </c>
      <c r="AX3" s="201" t="s">
        <v>180</v>
      </c>
      <c r="AY3" s="151"/>
      <c r="AZ3" s="149" t="s">
        <v>150</v>
      </c>
      <c r="BA3" s="150" t="s">
        <v>149</v>
      </c>
      <c r="BB3" s="201" t="s">
        <v>152</v>
      </c>
      <c r="BC3" s="201" t="s">
        <v>180</v>
      </c>
      <c r="BD3" s="151"/>
      <c r="BE3" s="149" t="s">
        <v>150</v>
      </c>
      <c r="BF3" s="150" t="s">
        <v>149</v>
      </c>
      <c r="BG3" s="201" t="s">
        <v>152</v>
      </c>
      <c r="BH3" s="201" t="s">
        <v>180</v>
      </c>
      <c r="BI3" s="151"/>
      <c r="BJ3" s="149" t="s">
        <v>150</v>
      </c>
      <c r="BK3" s="150" t="s">
        <v>149</v>
      </c>
      <c r="BL3" s="201" t="s">
        <v>152</v>
      </c>
      <c r="BM3" s="201" t="s">
        <v>180</v>
      </c>
      <c r="BN3" s="151"/>
      <c r="BO3" s="149" t="s">
        <v>150</v>
      </c>
      <c r="BP3" s="150" t="s">
        <v>149</v>
      </c>
      <c r="BQ3" s="201" t="s">
        <v>152</v>
      </c>
      <c r="BR3" s="201" t="s">
        <v>180</v>
      </c>
      <c r="BS3" s="151"/>
      <c r="BT3" s="149" t="s">
        <v>150</v>
      </c>
      <c r="BU3" s="150" t="s">
        <v>149</v>
      </c>
      <c r="BV3" s="201" t="s">
        <v>152</v>
      </c>
      <c r="BW3" s="201" t="s">
        <v>180</v>
      </c>
      <c r="BX3" s="151"/>
      <c r="BY3" s="149" t="s">
        <v>150</v>
      </c>
      <c r="BZ3" s="150" t="s">
        <v>149</v>
      </c>
      <c r="CA3" s="201" t="s">
        <v>152</v>
      </c>
      <c r="CB3" s="201" t="s">
        <v>180</v>
      </c>
      <c r="CC3" s="151"/>
      <c r="CD3" s="149" t="s">
        <v>150</v>
      </c>
      <c r="CE3" s="150" t="s">
        <v>149</v>
      </c>
      <c r="CF3" s="201" t="s">
        <v>152</v>
      </c>
      <c r="CG3" s="201" t="s">
        <v>180</v>
      </c>
      <c r="CH3" s="151"/>
      <c r="CI3" s="149" t="s">
        <v>150</v>
      </c>
      <c r="CJ3" s="150" t="s">
        <v>149</v>
      </c>
      <c r="CK3" s="201" t="s">
        <v>152</v>
      </c>
      <c r="CL3" s="201" t="s">
        <v>180</v>
      </c>
      <c r="CM3" s="151"/>
      <c r="CN3" s="149" t="s">
        <v>150</v>
      </c>
      <c r="CO3" s="150" t="s">
        <v>149</v>
      </c>
      <c r="CP3" s="201" t="s">
        <v>152</v>
      </c>
      <c r="CQ3" s="201" t="s">
        <v>180</v>
      </c>
      <c r="CR3" s="151"/>
      <c r="CS3" s="149" t="s">
        <v>150</v>
      </c>
      <c r="CT3" s="150" t="s">
        <v>149</v>
      </c>
      <c r="CU3" s="201" t="s">
        <v>152</v>
      </c>
      <c r="CV3" s="201" t="s">
        <v>180</v>
      </c>
      <c r="CW3" s="151"/>
      <c r="CX3" s="149" t="s">
        <v>150</v>
      </c>
      <c r="CY3" s="150" t="s">
        <v>149</v>
      </c>
      <c r="CZ3" s="201" t="s">
        <v>152</v>
      </c>
      <c r="DA3" s="201" t="s">
        <v>180</v>
      </c>
      <c r="DB3" s="151"/>
      <c r="DC3" s="149" t="s">
        <v>150</v>
      </c>
      <c r="DD3" s="150" t="s">
        <v>149</v>
      </c>
      <c r="DE3" s="201" t="s">
        <v>152</v>
      </c>
      <c r="DF3" s="201" t="s">
        <v>180</v>
      </c>
      <c r="DG3" s="151"/>
      <c r="DH3" s="149" t="s">
        <v>150</v>
      </c>
      <c r="DI3" s="150" t="s">
        <v>149</v>
      </c>
      <c r="DJ3" s="201" t="s">
        <v>152</v>
      </c>
      <c r="DK3" s="201" t="s">
        <v>180</v>
      </c>
      <c r="DL3" s="163"/>
    </row>
    <row r="4" spans="1:116" x14ac:dyDescent="0.2">
      <c r="A4" s="147">
        <v>1</v>
      </c>
      <c r="B4" s="142">
        <f>_xlfn.XLOOKUP($A4,'Actual Sales'!$D$41:$AG$41,'Actual Sales'!$D$43:$AG$43)</f>
        <v>32</v>
      </c>
      <c r="C4" s="99">
        <v>47</v>
      </c>
      <c r="D4" s="143">
        <f>ABS(B4-C4)/B4*100</f>
        <v>46.875</v>
      </c>
      <c r="E4" s="142">
        <f>(B4-C4)^2</f>
        <v>225</v>
      </c>
      <c r="F4" s="210">
        <f>2*ABS(B4-C4)/(ABS(B4)+ABS(C4))</f>
        <v>0.379746835443038</v>
      </c>
      <c r="G4" s="142">
        <f>_xlfn.XLOOKUP($A4,'Actual Sales'!$D$41:$AG$41,'Actual Sales'!$D$44:$AG$44)</f>
        <v>0</v>
      </c>
      <c r="H4" s="99">
        <v>1</v>
      </c>
      <c r="I4" s="143" t="e">
        <f t="shared" ref="I4:I33" si="0">ABS(G4-H4)/G4*100</f>
        <v>#DIV/0!</v>
      </c>
      <c r="J4" s="142">
        <f>(G4-H4)^2</f>
        <v>1</v>
      </c>
      <c r="K4" s="210">
        <f>2*ABS(G4-H4)/(ABS(G4)+ABS(H4))</f>
        <v>2</v>
      </c>
      <c r="L4" s="142">
        <f>_xlfn.XLOOKUP($A4,'Actual Sales'!$D$41:$AG$41,'Actual Sales'!$D$45:$AG$45)</f>
        <v>14</v>
      </c>
      <c r="M4" s="99">
        <v>17</v>
      </c>
      <c r="N4" s="143">
        <f>ABS(L4-M4)/L4*100</f>
        <v>21.428571428571427</v>
      </c>
      <c r="O4" s="142">
        <f>(L4-M4)^2</f>
        <v>9</v>
      </c>
      <c r="P4" s="210">
        <f>2*ABS(L4-M4)/(ABS(L4)+ABS(M4))</f>
        <v>0.19354838709677419</v>
      </c>
      <c r="Q4" s="142">
        <f>_xlfn.XLOOKUP($A4,'Actual Sales'!$D$41:$AG$41,'Actual Sales'!$D$46:$AG$46)</f>
        <v>1</v>
      </c>
      <c r="R4" s="99">
        <v>2</v>
      </c>
      <c r="S4" s="143">
        <f>ABS(Q4-R4)/Q4*100</f>
        <v>100</v>
      </c>
      <c r="T4" s="142">
        <f>(Q4-R4)^2</f>
        <v>1</v>
      </c>
      <c r="U4" s="210">
        <f>2*ABS(Q4-R4)/(ABS(Q4)+ABS(R4))</f>
        <v>0.66666666666666663</v>
      </c>
      <c r="V4" s="142">
        <f>_xlfn.XLOOKUP($A4,'Actual Sales'!$D$41:$AG$41,'Actual Sales'!$D$47:$AG$47)</f>
        <v>16</v>
      </c>
      <c r="W4" s="99">
        <v>19</v>
      </c>
      <c r="X4" s="143">
        <f>ABS(V4-W4)/V4*100</f>
        <v>18.75</v>
      </c>
      <c r="Y4" s="142">
        <f>(V4-W4)^2</f>
        <v>9</v>
      </c>
      <c r="Z4" s="210">
        <f>2*ABS(V4-W4)/(ABS(V4)+ABS(W4))</f>
        <v>0.17142857142857143</v>
      </c>
      <c r="AA4" s="142">
        <f>_xlfn.XLOOKUP($A4,'Actual Sales'!$D$41:$AG$41,'Actual Sales'!$D$48:$AG$48)</f>
        <v>10</v>
      </c>
      <c r="AB4" s="99">
        <v>10</v>
      </c>
      <c r="AC4" s="143">
        <f>ABS(AA4-AB4)/AA4*100</f>
        <v>0</v>
      </c>
      <c r="AD4" s="142">
        <f>(AA4-AB4)^2</f>
        <v>0</v>
      </c>
      <c r="AE4" s="210">
        <f>2*ABS(AA4-AB4)/(ABS(AA4)+ABS(AB4))</f>
        <v>0</v>
      </c>
      <c r="AF4" s="142">
        <f>_xlfn.XLOOKUP($A4,'Actual Sales'!$D$41:$AG$41,'Actual Sales'!$D$49:$AG$49)</f>
        <v>21</v>
      </c>
      <c r="AG4" s="99">
        <v>23</v>
      </c>
      <c r="AH4" s="143">
        <f>ABS(AF4-AG4)/AF4*100</f>
        <v>9.5238095238095237</v>
      </c>
      <c r="AI4" s="142">
        <f>(AF4-AG4)^2</f>
        <v>4</v>
      </c>
      <c r="AJ4" s="210">
        <f>2*ABS(AF4-AG4)/(ABS(AF4)+ABS(AG4))</f>
        <v>9.0909090909090912E-2</v>
      </c>
      <c r="AK4" s="142">
        <f>_xlfn.XLOOKUP($A4,'Actual Sales'!$D$41:$AG$41,'Actual Sales'!$D$50:$AG$50)</f>
        <v>0</v>
      </c>
      <c r="AL4" s="99">
        <v>3</v>
      </c>
      <c r="AM4" s="143" t="e">
        <f>ABS(AK4-AL4)/AK4*100</f>
        <v>#DIV/0!</v>
      </c>
      <c r="AN4" s="142">
        <f>(AK4-AL4)^2</f>
        <v>9</v>
      </c>
      <c r="AO4" s="210">
        <f>2*ABS(AK4-AL4)/(ABS(AK4)+ABS(AL4))</f>
        <v>2</v>
      </c>
      <c r="AP4" s="142">
        <f>_xlfn.XLOOKUP($A4,'Actual Sales'!$D$41:$AG$41,'Actual Sales'!$D$51:$AG$51)</f>
        <v>2</v>
      </c>
      <c r="AQ4" s="99">
        <v>4</v>
      </c>
      <c r="AR4" s="143">
        <f>ABS(AP4-AQ4)/AP4*100</f>
        <v>100</v>
      </c>
      <c r="AS4" s="142">
        <f>(AP4-AQ4)^2</f>
        <v>4</v>
      </c>
      <c r="AT4" s="210">
        <f>2*ABS(AP4-AQ4)/(ABS(AP4)+ABS(AQ4))</f>
        <v>0.66666666666666663</v>
      </c>
      <c r="AU4" s="142">
        <f>_xlfn.XLOOKUP($A4,'Actual Sales'!$D$41:$AG$41,'Actual Sales'!$D$52:$AG$52)</f>
        <v>10</v>
      </c>
      <c r="AV4" s="99">
        <v>9</v>
      </c>
      <c r="AW4" s="143">
        <f>ABS(AU4-AV4)/AU4*100</f>
        <v>10</v>
      </c>
      <c r="AX4" s="142">
        <f>(AU4-AV4)^2</f>
        <v>1</v>
      </c>
      <c r="AY4" s="210">
        <f>2*ABS(AU4-AV4)/(ABS(AU4)+ABS(AV4))</f>
        <v>0.10526315789473684</v>
      </c>
      <c r="AZ4" s="142">
        <f>_xlfn.XLOOKUP($A4,'Actual Sales'!$D$41:$AG$41,'Actual Sales'!$D$53:$AG$53)</f>
        <v>1</v>
      </c>
      <c r="BA4" s="99">
        <v>4</v>
      </c>
      <c r="BB4" s="143">
        <f>ABS(AZ4-BA4)/AZ4*100</f>
        <v>300</v>
      </c>
      <c r="BC4" s="142">
        <f>(AZ4-BA4)^2</f>
        <v>9</v>
      </c>
      <c r="BD4" s="210">
        <f>2*ABS(AZ4-BA4)/(ABS(AZ4)+ABS(BA4))</f>
        <v>1.2</v>
      </c>
      <c r="BE4" s="142">
        <f>_xlfn.XLOOKUP($A4,'Actual Sales'!$D$41:$AG$41,'Actual Sales'!$D$54:$AG$54)</f>
        <v>1</v>
      </c>
      <c r="BF4" s="99">
        <v>3</v>
      </c>
      <c r="BG4" s="143">
        <f>ABS(BE4-BF4)/BE4*100</f>
        <v>200</v>
      </c>
      <c r="BH4" s="142">
        <f>(BE4-BF4)^2</f>
        <v>4</v>
      </c>
      <c r="BI4" s="210">
        <f>2*ABS(BE4-BF4)/(ABS(BE4)+ABS(BF4))</f>
        <v>1</v>
      </c>
      <c r="BJ4" s="142">
        <f>_xlfn.XLOOKUP($A4,'Actual Sales'!$D$41:$AG$41,'Actual Sales'!$D$55:$AG$55)</f>
        <v>3</v>
      </c>
      <c r="BK4" s="99">
        <v>4</v>
      </c>
      <c r="BL4" s="143">
        <f>ABS(BJ4-BK4)/BJ4*100</f>
        <v>33.333333333333329</v>
      </c>
      <c r="BM4" s="142">
        <f>(BJ4-BK4)^2</f>
        <v>1</v>
      </c>
      <c r="BN4" s="210">
        <f>2*ABS(BJ4-BK4)/(ABS(BJ4)+ABS(BK4))</f>
        <v>0.2857142857142857</v>
      </c>
      <c r="BO4" s="142">
        <f>_xlfn.XLOOKUP($A4,'Actual Sales'!$D$41:$AG$41,'Actual Sales'!$D$56:$AG$56)</f>
        <v>2</v>
      </c>
      <c r="BP4" s="99">
        <v>2</v>
      </c>
      <c r="BQ4" s="143">
        <f>ABS(BO4-BP4)/BO4*100</f>
        <v>0</v>
      </c>
      <c r="BR4" s="142">
        <f>(BO4-BP4)^2</f>
        <v>0</v>
      </c>
      <c r="BS4" s="210">
        <f>2*ABS(BO4-BP4)/(ABS(BO4)+ABS(BP4))</f>
        <v>0</v>
      </c>
      <c r="BT4" s="142">
        <f>_xlfn.XLOOKUP($A4,'Actual Sales'!$D$41:$AG$41,'Actual Sales'!$D$57:$AG$57)</f>
        <v>2</v>
      </c>
      <c r="BU4" s="99">
        <v>3</v>
      </c>
      <c r="BV4" s="143">
        <f>ABS(BT4-BU4)/BT4*100</f>
        <v>50</v>
      </c>
      <c r="BW4" s="142">
        <f>(BT4-BU4)^2</f>
        <v>1</v>
      </c>
      <c r="BX4" s="210">
        <f>2*ABS(BT4-BU4)/(ABS(BT4)+ABS(BU4))</f>
        <v>0.4</v>
      </c>
      <c r="BY4" s="142">
        <f>_xlfn.XLOOKUP($A4,'Actual Sales'!$D$41:$AG$41,'Actual Sales'!$D$58:$AG$58)</f>
        <v>0</v>
      </c>
      <c r="BZ4" s="99">
        <v>1</v>
      </c>
      <c r="CA4" s="143" t="e">
        <f>ABS(BY4-BZ4)/BY4*100</f>
        <v>#DIV/0!</v>
      </c>
      <c r="CB4" s="142">
        <f>(BY4-BZ4)^2</f>
        <v>1</v>
      </c>
      <c r="CC4" s="210">
        <f>2*ABS(BY4-BZ4)/(ABS(BY4)+ABS(BZ4))</f>
        <v>2</v>
      </c>
      <c r="CD4" s="142">
        <f>_xlfn.XLOOKUP($A4,'Actual Sales'!$D$41:$AG$41,'Actual Sales'!$D$59:$AG$59)</f>
        <v>2</v>
      </c>
      <c r="CE4" s="99">
        <v>1</v>
      </c>
      <c r="CF4" s="143">
        <f>ABS(CD4-CE4)/CD4*100</f>
        <v>50</v>
      </c>
      <c r="CG4" s="142">
        <f>(CD4-CE4)^2</f>
        <v>1</v>
      </c>
      <c r="CH4" s="210">
        <f>2*ABS(CD4-CE4)/(ABS(CD4)+ABS(CE4))</f>
        <v>0.66666666666666663</v>
      </c>
      <c r="CI4" s="142">
        <f>_xlfn.XLOOKUP($A4,'Actual Sales'!$D$41:$AG$41,'Actual Sales'!$D$60:$AG$60)</f>
        <v>4</v>
      </c>
      <c r="CJ4" s="99">
        <v>5</v>
      </c>
      <c r="CK4" s="143">
        <f>ABS(CI4-CJ4)/CI4*100</f>
        <v>25</v>
      </c>
      <c r="CL4" s="142">
        <f>(CI4-CJ4)^2</f>
        <v>1</v>
      </c>
      <c r="CM4" s="210">
        <f>2*ABS(CI4-CJ4)/(ABS(CI4)+ABS(CJ4))</f>
        <v>0.22222222222222221</v>
      </c>
      <c r="CN4" s="142">
        <f>_xlfn.XLOOKUP($A4,'Actual Sales'!$D$41:$AG$41,'Actual Sales'!$D$61:$AG$61)</f>
        <v>8</v>
      </c>
      <c r="CO4" s="99">
        <v>8</v>
      </c>
      <c r="CP4" s="143">
        <f>ABS(CN4-CO4)/CN4*100</f>
        <v>0</v>
      </c>
      <c r="CQ4" s="142">
        <f>(CN4-CO4)^2</f>
        <v>0</v>
      </c>
      <c r="CR4" s="210">
        <f>2*ABS(CN4-CO4)/(ABS(CN4)+ABS(CO4))</f>
        <v>0</v>
      </c>
      <c r="CS4" s="142">
        <f>_xlfn.XLOOKUP($A4,'Actual Sales'!$D$41:$AG$41,'Actual Sales'!$D$62:$AG$62)</f>
        <v>1</v>
      </c>
      <c r="CT4" s="99">
        <v>1</v>
      </c>
      <c r="CU4" s="143">
        <f>ABS(CS4-CT4)/CS4*100</f>
        <v>0</v>
      </c>
      <c r="CV4" s="142">
        <f>(CS4-CT4)^2</f>
        <v>0</v>
      </c>
      <c r="CW4" s="210">
        <f>2*ABS(CS4-CT4)/(ABS(CS4)+ABS(CT4))</f>
        <v>0</v>
      </c>
      <c r="CX4" s="142">
        <f>_xlfn.XLOOKUP($A4,'Actual Sales'!$D$41:$AG$41,'Actual Sales'!$D$63:$AG$63)</f>
        <v>1</v>
      </c>
      <c r="CY4" s="99">
        <v>2</v>
      </c>
      <c r="CZ4" s="214">
        <f>ABS(CX4-CY4)/CX4*100</f>
        <v>100</v>
      </c>
      <c r="DA4" s="142">
        <f>(CX4-CY4)^2</f>
        <v>1</v>
      </c>
      <c r="DB4" s="210">
        <f>2*ABS(CX4-CY4)/(ABS(CX4)+ABS(CY4))</f>
        <v>0.66666666666666663</v>
      </c>
      <c r="DC4" s="142">
        <f>_xlfn.XLOOKUP($A4,'Actual Sales'!$D$41:$AG$41,'Actual Sales'!$D$64:$AG$64)</f>
        <v>1</v>
      </c>
      <c r="DD4" s="99">
        <v>1</v>
      </c>
      <c r="DE4" s="143">
        <f>ABS(DC4-DD4)/DC4*100</f>
        <v>0</v>
      </c>
      <c r="DF4" s="142">
        <f>(DC4-DD4)^2</f>
        <v>0</v>
      </c>
      <c r="DG4" s="210">
        <f>2*ABS(DC4-DD4)/(ABS(DC4)+ABS(DD4))</f>
        <v>0</v>
      </c>
      <c r="DH4" s="142">
        <f>_xlfn.XLOOKUP($A4,'Actual Sales'!$D$41:$AG$41,'Actual Sales'!$D$65:$AG$65)</f>
        <v>0</v>
      </c>
      <c r="DI4" s="99">
        <v>1</v>
      </c>
      <c r="DJ4" s="143" t="e">
        <f>ABS(DH4-DI4)/DH4*100</f>
        <v>#DIV/0!</v>
      </c>
      <c r="DK4" s="142">
        <f>(DH4-DI4)^2</f>
        <v>1</v>
      </c>
      <c r="DL4" s="213">
        <f>2*ABS(DH4-DI4)/(ABS(DH4)+ABS(DI4))</f>
        <v>2</v>
      </c>
    </row>
    <row r="5" spans="1:116" x14ac:dyDescent="0.2">
      <c r="A5" s="147">
        <v>2</v>
      </c>
      <c r="B5" s="142">
        <f>_xlfn.XLOOKUP(A5,'Actual Sales'!$D$41:$AG$41,'Actual Sales'!$D$43:$AG$43)</f>
        <v>23</v>
      </c>
      <c r="C5" s="99">
        <v>54</v>
      </c>
      <c r="D5" s="143">
        <f t="shared" ref="D5:D33" si="1">ABS(B5-C5)/B5*100</f>
        <v>134.78260869565219</v>
      </c>
      <c r="E5" s="142">
        <f t="shared" ref="E5:E33" si="2">(B5-C5)^2</f>
        <v>961</v>
      </c>
      <c r="F5" s="210">
        <f t="shared" ref="F5:F33" si="3">2*ABS(B5-C5)/(ABS(B5)+ABS(C5))</f>
        <v>0.80519480519480524</v>
      </c>
      <c r="G5" s="142">
        <f>_xlfn.XLOOKUP($A5,'Actual Sales'!$D$41:$AG$41,'Actual Sales'!$D$44:$AG$44)</f>
        <v>0</v>
      </c>
      <c r="H5" s="99">
        <v>1</v>
      </c>
      <c r="I5" s="143" t="e">
        <f t="shared" si="0"/>
        <v>#DIV/0!</v>
      </c>
      <c r="J5" s="142">
        <f t="shared" ref="J5:J33" si="4">(G5-H5)^2</f>
        <v>1</v>
      </c>
      <c r="K5" s="210">
        <f t="shared" ref="K5:K33" si="5">2*ABS(G5-H5)/(ABS(G5)+ABS(H5))</f>
        <v>2</v>
      </c>
      <c r="L5" s="142">
        <f>_xlfn.XLOOKUP($A5,'Actual Sales'!$D$41:$AG$41,'Actual Sales'!$D$45:$AG$45)</f>
        <v>10</v>
      </c>
      <c r="M5" s="99">
        <v>17</v>
      </c>
      <c r="N5" s="143">
        <f t="shared" ref="N5:N33" si="6">ABS(L5-M5)/L5*100</f>
        <v>70</v>
      </c>
      <c r="O5" s="142">
        <f t="shared" ref="O5:O33" si="7">(L5-M5)^2</f>
        <v>49</v>
      </c>
      <c r="P5" s="210">
        <f t="shared" ref="P5:P33" si="8">2*ABS(L5-M5)/(ABS(L5)+ABS(M5))</f>
        <v>0.51851851851851849</v>
      </c>
      <c r="Q5" s="142">
        <f>_xlfn.XLOOKUP($A5,'Actual Sales'!$D$41:$AG$41,'Actual Sales'!$D$46:$AG$46)</f>
        <v>2</v>
      </c>
      <c r="R5" s="99">
        <v>2</v>
      </c>
      <c r="S5" s="143">
        <f t="shared" ref="S5:S33" si="9">ABS(Q5-R5)/Q5*100</f>
        <v>0</v>
      </c>
      <c r="T5" s="142">
        <f t="shared" ref="T5:T33" si="10">(Q5-R5)^2</f>
        <v>0</v>
      </c>
      <c r="U5" s="210">
        <f t="shared" ref="U5:U33" si="11">2*ABS(Q5-R5)/(ABS(Q5)+ABS(R5))</f>
        <v>0</v>
      </c>
      <c r="V5" s="142">
        <f>_xlfn.XLOOKUP($A5,'Actual Sales'!$D$41:$AG$41,'Actual Sales'!$D$47:$AG$47)</f>
        <v>15</v>
      </c>
      <c r="W5" s="99">
        <v>19</v>
      </c>
      <c r="X5" s="143">
        <f t="shared" ref="X5:X33" si="12">ABS(V5-W5)/V5*100</f>
        <v>26.666666666666668</v>
      </c>
      <c r="Y5" s="142">
        <f t="shared" ref="Y5:Y33" si="13">(V5-W5)^2</f>
        <v>16</v>
      </c>
      <c r="Z5" s="210">
        <f t="shared" ref="Z5:Z33" si="14">2*ABS(V5-W5)/(ABS(V5)+ABS(W5))</f>
        <v>0.23529411764705882</v>
      </c>
      <c r="AA5" s="142">
        <f>_xlfn.XLOOKUP($A5,'Actual Sales'!$D$41:$AG$41,'Actual Sales'!$D$48:$AG$48)</f>
        <v>8</v>
      </c>
      <c r="AB5" s="99">
        <v>11</v>
      </c>
      <c r="AC5" s="143">
        <f t="shared" ref="AC5:AC33" si="15">ABS(AA5-AB5)/AA5*100</f>
        <v>37.5</v>
      </c>
      <c r="AD5" s="142">
        <f t="shared" ref="AD5:AD33" si="16">(AA5-AB5)^2</f>
        <v>9</v>
      </c>
      <c r="AE5" s="210">
        <f t="shared" ref="AE5:AE33" si="17">2*ABS(AA5-AB5)/(ABS(AA5)+ABS(AB5))</f>
        <v>0.31578947368421051</v>
      </c>
      <c r="AF5" s="142">
        <f>_xlfn.XLOOKUP($A5,'Actual Sales'!$D$41:$AG$41,'Actual Sales'!$D$49:$AG$49)</f>
        <v>18</v>
      </c>
      <c r="AG5" s="99">
        <v>25</v>
      </c>
      <c r="AH5" s="143">
        <f t="shared" ref="AH5:AH33" si="18">ABS(AF5-AG5)/AF5*100</f>
        <v>38.888888888888893</v>
      </c>
      <c r="AI5" s="142">
        <f t="shared" ref="AI5:AI33" si="19">(AF5-AG5)^2</f>
        <v>49</v>
      </c>
      <c r="AJ5" s="210">
        <f t="shared" ref="AJ5:AJ33" si="20">2*ABS(AF5-AG5)/(ABS(AF5)+ABS(AG5))</f>
        <v>0.32558139534883723</v>
      </c>
      <c r="AK5" s="142">
        <f>_xlfn.XLOOKUP($A5,'Actual Sales'!$D$41:$AG$41,'Actual Sales'!$D$50:$AG$50)</f>
        <v>4</v>
      </c>
      <c r="AL5" s="99">
        <v>3</v>
      </c>
      <c r="AM5" s="143">
        <f t="shared" ref="AM5:AM33" si="21">ABS(AK5-AL5)/AK5*100</f>
        <v>25</v>
      </c>
      <c r="AN5" s="142">
        <f t="shared" ref="AN5:AN33" si="22">(AK5-AL5)^2</f>
        <v>1</v>
      </c>
      <c r="AO5" s="210">
        <f t="shared" ref="AO5:AO33" si="23">2*ABS(AK5-AL5)/(ABS(AK5)+ABS(AL5))</f>
        <v>0.2857142857142857</v>
      </c>
      <c r="AP5" s="142">
        <f>_xlfn.XLOOKUP($A5,'Actual Sales'!$D$41:$AG$41,'Actual Sales'!$D$51:$AG$51)</f>
        <v>0</v>
      </c>
      <c r="AQ5" s="99">
        <v>4</v>
      </c>
      <c r="AR5" s="143" t="e">
        <f t="shared" ref="AR5:AR33" si="24">ABS(AP5-AQ5)/AP5*100</f>
        <v>#DIV/0!</v>
      </c>
      <c r="AS5" s="142">
        <f t="shared" ref="AS5:AS33" si="25">(AP5-AQ5)^2</f>
        <v>16</v>
      </c>
      <c r="AT5" s="210">
        <f t="shared" ref="AT5:AT33" si="26">2*ABS(AP5-AQ5)/(ABS(AP5)+ABS(AQ5))</f>
        <v>2</v>
      </c>
      <c r="AU5" s="142">
        <f>_xlfn.XLOOKUP($A5,'Actual Sales'!$D$41:$AG$41,'Actual Sales'!$D$52:$AG$52)</f>
        <v>4</v>
      </c>
      <c r="AV5" s="99">
        <v>9</v>
      </c>
      <c r="AW5" s="143">
        <f t="shared" ref="AW5:AW33" si="27">ABS(AU5-AV5)/AU5*100</f>
        <v>125</v>
      </c>
      <c r="AX5" s="142">
        <f t="shared" ref="AX5:AX33" si="28">(AU5-AV5)^2</f>
        <v>25</v>
      </c>
      <c r="AY5" s="210">
        <f t="shared" ref="AY5:AY33" si="29">2*ABS(AU5-AV5)/(ABS(AU5)+ABS(AV5))</f>
        <v>0.76923076923076927</v>
      </c>
      <c r="AZ5" s="142">
        <f>_xlfn.XLOOKUP($A5,'Actual Sales'!$D$41:$AG$41,'Actual Sales'!$D$53:$AG$53)</f>
        <v>2</v>
      </c>
      <c r="BA5" s="99">
        <v>4</v>
      </c>
      <c r="BB5" s="143">
        <f t="shared" ref="BB5:BB33" si="30">ABS(AZ5-BA5)/AZ5*100</f>
        <v>100</v>
      </c>
      <c r="BC5" s="142">
        <f t="shared" ref="BC5:BC33" si="31">(AZ5-BA5)^2</f>
        <v>4</v>
      </c>
      <c r="BD5" s="210">
        <f t="shared" ref="BD5:BD33" si="32">2*ABS(AZ5-BA5)/(ABS(AZ5)+ABS(BA5))</f>
        <v>0.66666666666666663</v>
      </c>
      <c r="BE5" s="142">
        <f>_xlfn.XLOOKUP($A5,'Actual Sales'!$D$41:$AG$41,'Actual Sales'!$D$54:$AG$54)</f>
        <v>7</v>
      </c>
      <c r="BF5" s="99">
        <v>3</v>
      </c>
      <c r="BG5" s="143">
        <f t="shared" ref="BG5:BG33" si="33">ABS(BE5-BF5)/BE5*100</f>
        <v>57.142857142857139</v>
      </c>
      <c r="BH5" s="142">
        <f t="shared" ref="BH5:BH33" si="34">(BE5-BF5)^2</f>
        <v>16</v>
      </c>
      <c r="BI5" s="210">
        <f t="shared" ref="BI5:BI33" si="35">2*ABS(BE5-BF5)/(ABS(BE5)+ABS(BF5))</f>
        <v>0.8</v>
      </c>
      <c r="BJ5" s="142">
        <f>_xlfn.XLOOKUP($A5,'Actual Sales'!$D$41:$AG$41,'Actual Sales'!$D$55:$AG$55)</f>
        <v>3</v>
      </c>
      <c r="BK5" s="99">
        <v>4</v>
      </c>
      <c r="BL5" s="143">
        <f t="shared" ref="BL5:BL33" si="36">ABS(BJ5-BK5)/BJ5*100</f>
        <v>33.333333333333329</v>
      </c>
      <c r="BM5" s="142">
        <f t="shared" ref="BM5:BM33" si="37">(BJ5-BK5)^2</f>
        <v>1</v>
      </c>
      <c r="BN5" s="210">
        <f t="shared" ref="BN5:BN33" si="38">2*ABS(BJ5-BK5)/(ABS(BJ5)+ABS(BK5))</f>
        <v>0.2857142857142857</v>
      </c>
      <c r="BO5" s="142">
        <f>_xlfn.XLOOKUP($A5,'Actual Sales'!$D$41:$AG$41,'Actual Sales'!$D$56:$AG$56)</f>
        <v>0</v>
      </c>
      <c r="BP5" s="99">
        <v>2</v>
      </c>
      <c r="BQ5" s="143" t="e">
        <f t="shared" ref="BQ5:BQ33" si="39">ABS(BO5-BP5)/BO5*100</f>
        <v>#DIV/0!</v>
      </c>
      <c r="BR5" s="142">
        <f t="shared" ref="BR5:BR33" si="40">(BO5-BP5)^2</f>
        <v>4</v>
      </c>
      <c r="BS5" s="210">
        <f t="shared" ref="BS5:BS33" si="41">2*ABS(BO5-BP5)/(ABS(BO5)+ABS(BP5))</f>
        <v>2</v>
      </c>
      <c r="BT5" s="142">
        <f>_xlfn.XLOOKUP($A5,'Actual Sales'!$D$41:$AG$41,'Actual Sales'!$D$57:$AG$57)</f>
        <v>1</v>
      </c>
      <c r="BU5" s="99">
        <v>3</v>
      </c>
      <c r="BV5" s="143">
        <f t="shared" ref="BV5:BV33" si="42">ABS(BT5-BU5)/BT5*100</f>
        <v>200</v>
      </c>
      <c r="BW5" s="142">
        <f t="shared" ref="BW5:BW33" si="43">(BT5-BU5)^2</f>
        <v>4</v>
      </c>
      <c r="BX5" s="210">
        <f t="shared" ref="BX5:BX33" si="44">2*ABS(BT5-BU5)/(ABS(BT5)+ABS(BU5))</f>
        <v>1</v>
      </c>
      <c r="BY5" s="142">
        <f>_xlfn.XLOOKUP($A5,'Actual Sales'!$D$41:$AG$41,'Actual Sales'!$D$58:$AG$58)</f>
        <v>0</v>
      </c>
      <c r="BZ5" s="99">
        <v>1</v>
      </c>
      <c r="CA5" s="143" t="e">
        <f t="shared" ref="CA5:CA33" si="45">ABS(BY5-BZ5)/BY5*100</f>
        <v>#DIV/0!</v>
      </c>
      <c r="CB5" s="142">
        <f t="shared" ref="CB5:CB33" si="46">(BY5-BZ5)^2</f>
        <v>1</v>
      </c>
      <c r="CC5" s="210">
        <f t="shared" ref="CC5:CC33" si="47">2*ABS(BY5-BZ5)/(ABS(BY5)+ABS(BZ5))</f>
        <v>2</v>
      </c>
      <c r="CD5" s="142">
        <f>_xlfn.XLOOKUP($A5,'Actual Sales'!$D$41:$AG$41,'Actual Sales'!$D$59:$AG$59)</f>
        <v>2</v>
      </c>
      <c r="CE5" s="99">
        <v>1</v>
      </c>
      <c r="CF5" s="143">
        <f t="shared" ref="CF5:CF33" si="48">ABS(CD5-CE5)/CD5*100</f>
        <v>50</v>
      </c>
      <c r="CG5" s="142">
        <f t="shared" ref="CG5:CG33" si="49">(CD5-CE5)^2</f>
        <v>1</v>
      </c>
      <c r="CH5" s="210">
        <f t="shared" ref="CH5:CH33" si="50">2*ABS(CD5-CE5)/(ABS(CD5)+ABS(CE5))</f>
        <v>0.66666666666666663</v>
      </c>
      <c r="CI5" s="142">
        <f>_xlfn.XLOOKUP($A5,'Actual Sales'!$D$41:$AG$41,'Actual Sales'!$D$60:$AG$60)</f>
        <v>3</v>
      </c>
      <c r="CJ5" s="99">
        <v>5</v>
      </c>
      <c r="CK5" s="143">
        <f t="shared" ref="CK5:CK33" si="51">ABS(CI5-CJ5)/CI5*100</f>
        <v>66.666666666666657</v>
      </c>
      <c r="CL5" s="142">
        <f t="shared" ref="CL5:CL33" si="52">(CI5-CJ5)^2</f>
        <v>4</v>
      </c>
      <c r="CM5" s="210">
        <f t="shared" ref="CM5:CM33" si="53">2*ABS(CI5-CJ5)/(ABS(CI5)+ABS(CJ5))</f>
        <v>0.5</v>
      </c>
      <c r="CN5" s="142">
        <f>_xlfn.XLOOKUP($A5,'Actual Sales'!$D$41:$AG$41,'Actual Sales'!$D$61:$AG$61)</f>
        <v>11</v>
      </c>
      <c r="CO5" s="99">
        <v>8</v>
      </c>
      <c r="CP5" s="143">
        <f t="shared" ref="CP5:CP33" si="54">ABS(CN5-CO5)/CN5*100</f>
        <v>27.27272727272727</v>
      </c>
      <c r="CQ5" s="142">
        <f t="shared" ref="CQ5:CQ33" si="55">(CN5-CO5)^2</f>
        <v>9</v>
      </c>
      <c r="CR5" s="210">
        <f t="shared" ref="CR5:CR33" si="56">2*ABS(CN5-CO5)/(ABS(CN5)+ABS(CO5))</f>
        <v>0.31578947368421051</v>
      </c>
      <c r="CS5" s="142">
        <f>_xlfn.XLOOKUP($A5,'Actual Sales'!$D$41:$AG$41,'Actual Sales'!$D$62:$AG$62)</f>
        <v>0</v>
      </c>
      <c r="CT5" s="99">
        <v>1</v>
      </c>
      <c r="CU5" s="143" t="e">
        <f t="shared" ref="CU5:CU33" si="57">ABS(CS5-CT5)/CS5*100</f>
        <v>#DIV/0!</v>
      </c>
      <c r="CV5" s="142">
        <f t="shared" ref="CV5:CV33" si="58">(CS5-CT5)^2</f>
        <v>1</v>
      </c>
      <c r="CW5" s="210">
        <f t="shared" ref="CW5:CW33" si="59">2*ABS(CS5-CT5)/(ABS(CS5)+ABS(CT5))</f>
        <v>2</v>
      </c>
      <c r="CX5" s="142">
        <f>_xlfn.XLOOKUP($A5,'Actual Sales'!$D$41:$AG$41,'Actual Sales'!$D$63:$AG$63)</f>
        <v>1</v>
      </c>
      <c r="CY5" s="99">
        <v>2</v>
      </c>
      <c r="CZ5" s="143">
        <f t="shared" ref="CZ5:CZ33" si="60">ABS(CX5-CY5)/CX5*100</f>
        <v>100</v>
      </c>
      <c r="DA5" s="142">
        <f t="shared" ref="DA5:DA33" si="61">(CX5-CY5)^2</f>
        <v>1</v>
      </c>
      <c r="DB5" s="210">
        <f t="shared" ref="DB5:DB33" si="62">2*ABS(CX5-CY5)/(ABS(CX5)+ABS(CY5))</f>
        <v>0.66666666666666663</v>
      </c>
      <c r="DC5" s="142">
        <f>_xlfn.XLOOKUP($A5,'Actual Sales'!$D$41:$AG$41,'Actual Sales'!$D$64:$AG$64)</f>
        <v>2</v>
      </c>
      <c r="DD5" s="99">
        <v>2</v>
      </c>
      <c r="DE5" s="143">
        <f t="shared" ref="DE5:DE33" si="63">ABS(DC5-DD5)/DC5*100</f>
        <v>0</v>
      </c>
      <c r="DF5" s="142">
        <f t="shared" ref="DF5:DF33" si="64">(DC5-DD5)^2</f>
        <v>0</v>
      </c>
      <c r="DG5" s="210">
        <f t="shared" ref="DG5:DG33" si="65">2*ABS(DC5-DD5)/(ABS(DC5)+ABS(DD5))</f>
        <v>0</v>
      </c>
      <c r="DH5" s="142">
        <f>_xlfn.XLOOKUP($A5,'Actual Sales'!$D$41:$AG$41,'Actual Sales'!$D$65:$AG$65)</f>
        <v>0</v>
      </c>
      <c r="DI5" s="99">
        <v>1</v>
      </c>
      <c r="DJ5" s="143" t="e">
        <f t="shared" ref="DJ5:DJ33" si="66">ABS(DH5-DI5)/DH5*100</f>
        <v>#DIV/0!</v>
      </c>
      <c r="DK5" s="142">
        <f t="shared" ref="DK5:DK33" si="67">(DH5-DI5)^2</f>
        <v>1</v>
      </c>
      <c r="DL5" s="213">
        <f t="shared" ref="DL5:DL33" si="68">2*ABS(DH5-DI5)/(ABS(DH5)+ABS(DI5))</f>
        <v>2</v>
      </c>
    </row>
    <row r="6" spans="1:116" x14ac:dyDescent="0.2">
      <c r="A6" s="147">
        <v>3</v>
      </c>
      <c r="B6" s="142">
        <f>_xlfn.XLOOKUP(A6,'Actual Sales'!$D$41:$AG$41,'Actual Sales'!$D$43:$AG$43)</f>
        <v>22</v>
      </c>
      <c r="C6" s="99">
        <v>49</v>
      </c>
      <c r="D6" s="143">
        <f t="shared" si="1"/>
        <v>122.72727272727273</v>
      </c>
      <c r="E6" s="142">
        <f t="shared" si="2"/>
        <v>729</v>
      </c>
      <c r="F6" s="210">
        <f t="shared" si="3"/>
        <v>0.76056338028169013</v>
      </c>
      <c r="G6" s="142">
        <f>_xlfn.XLOOKUP($A6,'Actual Sales'!$D$41:$AG$41,'Actual Sales'!$D$44:$AG$44)</f>
        <v>1</v>
      </c>
      <c r="H6" s="99">
        <v>1</v>
      </c>
      <c r="I6" s="143">
        <f t="shared" si="0"/>
        <v>0</v>
      </c>
      <c r="J6" s="142">
        <f t="shared" si="4"/>
        <v>0</v>
      </c>
      <c r="K6" s="210">
        <f t="shared" si="5"/>
        <v>0</v>
      </c>
      <c r="L6" s="142">
        <f>_xlfn.XLOOKUP($A6,'Actual Sales'!$D$41:$AG$41,'Actual Sales'!$D$45:$AG$45)</f>
        <v>10</v>
      </c>
      <c r="M6" s="99">
        <v>18</v>
      </c>
      <c r="N6" s="143">
        <f t="shared" si="6"/>
        <v>80</v>
      </c>
      <c r="O6" s="142">
        <f t="shared" si="7"/>
        <v>64</v>
      </c>
      <c r="P6" s="210">
        <f t="shared" si="8"/>
        <v>0.5714285714285714</v>
      </c>
      <c r="Q6" s="142">
        <f>_xlfn.XLOOKUP($A6,'Actual Sales'!$D$41:$AG$41,'Actual Sales'!$D$46:$AG$46)</f>
        <v>2</v>
      </c>
      <c r="R6" s="99">
        <v>2</v>
      </c>
      <c r="S6" s="143">
        <f t="shared" si="9"/>
        <v>0</v>
      </c>
      <c r="T6" s="142">
        <f t="shared" si="10"/>
        <v>0</v>
      </c>
      <c r="U6" s="210">
        <f t="shared" si="11"/>
        <v>0</v>
      </c>
      <c r="V6" s="142">
        <f>_xlfn.XLOOKUP($A6,'Actual Sales'!$D$41:$AG$41,'Actual Sales'!$D$47:$AG$47)</f>
        <v>16</v>
      </c>
      <c r="W6" s="99">
        <v>19</v>
      </c>
      <c r="X6" s="143">
        <f t="shared" si="12"/>
        <v>18.75</v>
      </c>
      <c r="Y6" s="142">
        <f t="shared" si="13"/>
        <v>9</v>
      </c>
      <c r="Z6" s="210">
        <f t="shared" si="14"/>
        <v>0.17142857142857143</v>
      </c>
      <c r="AA6" s="142">
        <f>_xlfn.XLOOKUP($A6,'Actual Sales'!$D$41:$AG$41,'Actual Sales'!$D$48:$AG$48)</f>
        <v>9</v>
      </c>
      <c r="AB6" s="99">
        <v>11</v>
      </c>
      <c r="AC6" s="143">
        <f t="shared" si="15"/>
        <v>22.222222222222221</v>
      </c>
      <c r="AD6" s="142">
        <f t="shared" si="16"/>
        <v>4</v>
      </c>
      <c r="AE6" s="210">
        <f t="shared" si="17"/>
        <v>0.2</v>
      </c>
      <c r="AF6" s="142">
        <f>_xlfn.XLOOKUP($A6,'Actual Sales'!$D$41:$AG$41,'Actual Sales'!$D$49:$AG$49)</f>
        <v>22</v>
      </c>
      <c r="AG6" s="99">
        <v>20</v>
      </c>
      <c r="AH6" s="143">
        <f t="shared" si="18"/>
        <v>9.0909090909090917</v>
      </c>
      <c r="AI6" s="142">
        <f t="shared" si="19"/>
        <v>4</v>
      </c>
      <c r="AJ6" s="210">
        <f t="shared" si="20"/>
        <v>9.5238095238095233E-2</v>
      </c>
      <c r="AK6" s="142">
        <f>_xlfn.XLOOKUP($A6,'Actual Sales'!$D$41:$AG$41,'Actual Sales'!$D$50:$AG$50)</f>
        <v>8</v>
      </c>
      <c r="AL6" s="99">
        <v>3</v>
      </c>
      <c r="AM6" s="143">
        <f t="shared" si="21"/>
        <v>62.5</v>
      </c>
      <c r="AN6" s="142">
        <f t="shared" si="22"/>
        <v>25</v>
      </c>
      <c r="AO6" s="210">
        <f t="shared" si="23"/>
        <v>0.90909090909090906</v>
      </c>
      <c r="AP6" s="142">
        <f>_xlfn.XLOOKUP($A6,'Actual Sales'!$D$41:$AG$41,'Actual Sales'!$D$51:$AG$51)</f>
        <v>3</v>
      </c>
      <c r="AQ6" s="99">
        <v>4</v>
      </c>
      <c r="AR6" s="143">
        <f t="shared" si="24"/>
        <v>33.333333333333329</v>
      </c>
      <c r="AS6" s="142">
        <f t="shared" si="25"/>
        <v>1</v>
      </c>
      <c r="AT6" s="210">
        <f t="shared" si="26"/>
        <v>0.2857142857142857</v>
      </c>
      <c r="AU6" s="142">
        <f>_xlfn.XLOOKUP($A6,'Actual Sales'!$D$41:$AG$41,'Actual Sales'!$D$52:$AG$52)</f>
        <v>9</v>
      </c>
      <c r="AV6" s="99">
        <v>9</v>
      </c>
      <c r="AW6" s="143">
        <f t="shared" si="27"/>
        <v>0</v>
      </c>
      <c r="AX6" s="142">
        <f t="shared" si="28"/>
        <v>0</v>
      </c>
      <c r="AY6" s="210">
        <f t="shared" si="29"/>
        <v>0</v>
      </c>
      <c r="AZ6" s="142">
        <f>_xlfn.XLOOKUP($A6,'Actual Sales'!$D$41:$AG$41,'Actual Sales'!$D$53:$AG$53)</f>
        <v>4</v>
      </c>
      <c r="BA6" s="99">
        <v>4</v>
      </c>
      <c r="BB6" s="143">
        <f t="shared" si="30"/>
        <v>0</v>
      </c>
      <c r="BC6" s="142">
        <f t="shared" si="31"/>
        <v>0</v>
      </c>
      <c r="BD6" s="210">
        <f t="shared" si="32"/>
        <v>0</v>
      </c>
      <c r="BE6" s="142">
        <f>_xlfn.XLOOKUP($A6,'Actual Sales'!$D$41:$AG$41,'Actual Sales'!$D$54:$AG$54)</f>
        <v>7</v>
      </c>
      <c r="BF6" s="99">
        <v>3</v>
      </c>
      <c r="BG6" s="143">
        <f t="shared" si="33"/>
        <v>57.142857142857139</v>
      </c>
      <c r="BH6" s="142">
        <f t="shared" si="34"/>
        <v>16</v>
      </c>
      <c r="BI6" s="210">
        <f t="shared" si="35"/>
        <v>0.8</v>
      </c>
      <c r="BJ6" s="142">
        <f>_xlfn.XLOOKUP($A6,'Actual Sales'!$D$41:$AG$41,'Actual Sales'!$D$55:$AG$55)</f>
        <v>3</v>
      </c>
      <c r="BK6" s="99">
        <v>4</v>
      </c>
      <c r="BL6" s="143">
        <f t="shared" si="36"/>
        <v>33.333333333333329</v>
      </c>
      <c r="BM6" s="142">
        <f t="shared" si="37"/>
        <v>1</v>
      </c>
      <c r="BN6" s="210">
        <f t="shared" si="38"/>
        <v>0.2857142857142857</v>
      </c>
      <c r="BO6" s="142">
        <f>_xlfn.XLOOKUP($A6,'Actual Sales'!$D$41:$AG$41,'Actual Sales'!$D$56:$AG$56)</f>
        <v>0</v>
      </c>
      <c r="BP6" s="99">
        <v>2</v>
      </c>
      <c r="BQ6" s="143" t="e">
        <f t="shared" si="39"/>
        <v>#DIV/0!</v>
      </c>
      <c r="BR6" s="142">
        <f t="shared" si="40"/>
        <v>4</v>
      </c>
      <c r="BS6" s="210">
        <f t="shared" si="41"/>
        <v>2</v>
      </c>
      <c r="BT6" s="142">
        <f>_xlfn.XLOOKUP($A6,'Actual Sales'!$D$41:$AG$41,'Actual Sales'!$D$57:$AG$57)</f>
        <v>1</v>
      </c>
      <c r="BU6" s="99">
        <v>3</v>
      </c>
      <c r="BV6" s="143">
        <f t="shared" si="42"/>
        <v>200</v>
      </c>
      <c r="BW6" s="142">
        <f t="shared" si="43"/>
        <v>4</v>
      </c>
      <c r="BX6" s="210">
        <f t="shared" si="44"/>
        <v>1</v>
      </c>
      <c r="BY6" s="142">
        <f>_xlfn.XLOOKUP($A6,'Actual Sales'!$D$41:$AG$41,'Actual Sales'!$D$58:$AG$58)</f>
        <v>0</v>
      </c>
      <c r="BZ6" s="99">
        <v>1</v>
      </c>
      <c r="CA6" s="143" t="e">
        <f t="shared" si="45"/>
        <v>#DIV/0!</v>
      </c>
      <c r="CB6" s="142">
        <f t="shared" si="46"/>
        <v>1</v>
      </c>
      <c r="CC6" s="210">
        <f t="shared" si="47"/>
        <v>2</v>
      </c>
      <c r="CD6" s="142">
        <f>_xlfn.XLOOKUP($A6,'Actual Sales'!$D$41:$AG$41,'Actual Sales'!$D$59:$AG$59)</f>
        <v>2</v>
      </c>
      <c r="CE6" s="99">
        <v>1</v>
      </c>
      <c r="CF6" s="143">
        <f t="shared" si="48"/>
        <v>50</v>
      </c>
      <c r="CG6" s="142">
        <f t="shared" si="49"/>
        <v>1</v>
      </c>
      <c r="CH6" s="210">
        <f t="shared" si="50"/>
        <v>0.66666666666666663</v>
      </c>
      <c r="CI6" s="142">
        <f>_xlfn.XLOOKUP($A6,'Actual Sales'!$D$41:$AG$41,'Actual Sales'!$D$60:$AG$60)</f>
        <v>2</v>
      </c>
      <c r="CJ6" s="99">
        <v>5</v>
      </c>
      <c r="CK6" s="143">
        <f t="shared" si="51"/>
        <v>150</v>
      </c>
      <c r="CL6" s="142">
        <f t="shared" si="52"/>
        <v>9</v>
      </c>
      <c r="CM6" s="210">
        <f t="shared" si="53"/>
        <v>0.8571428571428571</v>
      </c>
      <c r="CN6" s="142">
        <f>_xlfn.XLOOKUP($A6,'Actual Sales'!$D$41:$AG$41,'Actual Sales'!$D$61:$AG$61)</f>
        <v>12</v>
      </c>
      <c r="CO6" s="99">
        <v>8</v>
      </c>
      <c r="CP6" s="143">
        <f t="shared" si="54"/>
        <v>33.333333333333329</v>
      </c>
      <c r="CQ6" s="142">
        <f t="shared" si="55"/>
        <v>16</v>
      </c>
      <c r="CR6" s="210">
        <f t="shared" si="56"/>
        <v>0.4</v>
      </c>
      <c r="CS6" s="142">
        <f>_xlfn.XLOOKUP($A6,'Actual Sales'!$D$41:$AG$41,'Actual Sales'!$D$62:$AG$62)</f>
        <v>0</v>
      </c>
      <c r="CT6" s="99">
        <v>1</v>
      </c>
      <c r="CU6" s="143" t="e">
        <f t="shared" si="57"/>
        <v>#DIV/0!</v>
      </c>
      <c r="CV6" s="142">
        <f t="shared" si="58"/>
        <v>1</v>
      </c>
      <c r="CW6" s="210">
        <f t="shared" si="59"/>
        <v>2</v>
      </c>
      <c r="CX6" s="142">
        <f>_xlfn.XLOOKUP($A6,'Actual Sales'!$D$41:$AG$41,'Actual Sales'!$D$63:$AG$63)</f>
        <v>0</v>
      </c>
      <c r="CY6" s="99">
        <v>3</v>
      </c>
      <c r="CZ6" s="143" t="e">
        <f t="shared" si="60"/>
        <v>#DIV/0!</v>
      </c>
      <c r="DA6" s="142">
        <f t="shared" si="61"/>
        <v>9</v>
      </c>
      <c r="DB6" s="210">
        <f t="shared" si="62"/>
        <v>2</v>
      </c>
      <c r="DC6" s="142">
        <f>_xlfn.XLOOKUP($A6,'Actual Sales'!$D$41:$AG$41,'Actual Sales'!$D$64:$AG$64)</f>
        <v>0</v>
      </c>
      <c r="DD6" s="99">
        <v>2</v>
      </c>
      <c r="DE6" s="143" t="e">
        <f t="shared" si="63"/>
        <v>#DIV/0!</v>
      </c>
      <c r="DF6" s="142">
        <f t="shared" si="64"/>
        <v>4</v>
      </c>
      <c r="DG6" s="210">
        <f t="shared" si="65"/>
        <v>2</v>
      </c>
      <c r="DH6" s="142">
        <f>_xlfn.XLOOKUP($A6,'Actual Sales'!$D$41:$AG$41,'Actual Sales'!$D$65:$AG$65)</f>
        <v>1</v>
      </c>
      <c r="DI6" s="99">
        <v>1</v>
      </c>
      <c r="DJ6" s="143">
        <f t="shared" si="66"/>
        <v>0</v>
      </c>
      <c r="DK6" s="142">
        <f t="shared" si="67"/>
        <v>0</v>
      </c>
      <c r="DL6" s="213">
        <f t="shared" si="68"/>
        <v>0</v>
      </c>
    </row>
    <row r="7" spans="1:116" x14ac:dyDescent="0.2">
      <c r="A7" s="147">
        <v>4</v>
      </c>
      <c r="B7" s="142">
        <f>_xlfn.XLOOKUP(A7,'Actual Sales'!$D$41:$AG$41,'Actual Sales'!$D$43:$AG$43)</f>
        <v>16</v>
      </c>
      <c r="C7" s="99">
        <v>46</v>
      </c>
      <c r="D7" s="143">
        <f t="shared" si="1"/>
        <v>187.5</v>
      </c>
      <c r="E7" s="142">
        <f t="shared" si="2"/>
        <v>900</v>
      </c>
      <c r="F7" s="210">
        <f t="shared" si="3"/>
        <v>0.967741935483871</v>
      </c>
      <c r="G7" s="142">
        <f>_xlfn.XLOOKUP($A7,'Actual Sales'!$D$41:$AG$41,'Actual Sales'!$D$44:$AG$44)</f>
        <v>0</v>
      </c>
      <c r="H7" s="99">
        <v>1</v>
      </c>
      <c r="I7" s="143" t="e">
        <f t="shared" si="0"/>
        <v>#DIV/0!</v>
      </c>
      <c r="J7" s="142">
        <f t="shared" si="4"/>
        <v>1</v>
      </c>
      <c r="K7" s="210">
        <f t="shared" si="5"/>
        <v>2</v>
      </c>
      <c r="L7" s="142">
        <f>_xlfn.XLOOKUP($A7,'Actual Sales'!$D$41:$AG$41,'Actual Sales'!$D$45:$AG$45)</f>
        <v>12</v>
      </c>
      <c r="M7" s="99">
        <v>16</v>
      </c>
      <c r="N7" s="143">
        <f t="shared" si="6"/>
        <v>33.333333333333329</v>
      </c>
      <c r="O7" s="142">
        <f t="shared" si="7"/>
        <v>16</v>
      </c>
      <c r="P7" s="210">
        <f t="shared" si="8"/>
        <v>0.2857142857142857</v>
      </c>
      <c r="Q7" s="142">
        <f>_xlfn.XLOOKUP($A7,'Actual Sales'!$D$41:$AG$41,'Actual Sales'!$D$46:$AG$46)</f>
        <v>2</v>
      </c>
      <c r="R7" s="99">
        <v>2</v>
      </c>
      <c r="S7" s="143">
        <f t="shared" si="9"/>
        <v>0</v>
      </c>
      <c r="T7" s="142">
        <f t="shared" si="10"/>
        <v>0</v>
      </c>
      <c r="U7" s="210">
        <f t="shared" si="11"/>
        <v>0</v>
      </c>
      <c r="V7" s="142">
        <f>_xlfn.XLOOKUP($A7,'Actual Sales'!$D$41:$AG$41,'Actual Sales'!$D$47:$AG$47)</f>
        <v>12</v>
      </c>
      <c r="W7" s="99">
        <v>19</v>
      </c>
      <c r="X7" s="143">
        <f t="shared" si="12"/>
        <v>58.333333333333336</v>
      </c>
      <c r="Y7" s="142">
        <f t="shared" si="13"/>
        <v>49</v>
      </c>
      <c r="Z7" s="210">
        <f t="shared" si="14"/>
        <v>0.45161290322580644</v>
      </c>
      <c r="AA7" s="142">
        <f>_xlfn.XLOOKUP($A7,'Actual Sales'!$D$41:$AG$41,'Actual Sales'!$D$48:$AG$48)</f>
        <v>7</v>
      </c>
      <c r="AB7" s="99">
        <v>11</v>
      </c>
      <c r="AC7" s="143">
        <f t="shared" si="15"/>
        <v>57.142857142857139</v>
      </c>
      <c r="AD7" s="142">
        <f t="shared" si="16"/>
        <v>16</v>
      </c>
      <c r="AE7" s="210">
        <f t="shared" si="17"/>
        <v>0.44444444444444442</v>
      </c>
      <c r="AF7" s="142">
        <f>_xlfn.XLOOKUP($A7,'Actual Sales'!$D$41:$AG$41,'Actual Sales'!$D$49:$AG$49)</f>
        <v>9</v>
      </c>
      <c r="AG7" s="99">
        <v>20</v>
      </c>
      <c r="AH7" s="143">
        <f t="shared" si="18"/>
        <v>122.22222222222223</v>
      </c>
      <c r="AI7" s="142">
        <f t="shared" si="19"/>
        <v>121</v>
      </c>
      <c r="AJ7" s="210">
        <f t="shared" si="20"/>
        <v>0.75862068965517238</v>
      </c>
      <c r="AK7" s="142">
        <f>_xlfn.XLOOKUP($A7,'Actual Sales'!$D$41:$AG$41,'Actual Sales'!$D$50:$AG$50)</f>
        <v>4</v>
      </c>
      <c r="AL7" s="99">
        <v>3</v>
      </c>
      <c r="AM7" s="143">
        <f t="shared" si="21"/>
        <v>25</v>
      </c>
      <c r="AN7" s="142">
        <f t="shared" si="22"/>
        <v>1</v>
      </c>
      <c r="AO7" s="210">
        <f t="shared" si="23"/>
        <v>0.2857142857142857</v>
      </c>
      <c r="AP7" s="142">
        <f>_xlfn.XLOOKUP($A7,'Actual Sales'!$D$41:$AG$41,'Actual Sales'!$D$51:$AG$51)</f>
        <v>2</v>
      </c>
      <c r="AQ7" s="99">
        <v>4</v>
      </c>
      <c r="AR7" s="143">
        <f t="shared" si="24"/>
        <v>100</v>
      </c>
      <c r="AS7" s="142">
        <f t="shared" si="25"/>
        <v>4</v>
      </c>
      <c r="AT7" s="210">
        <f t="shared" si="26"/>
        <v>0.66666666666666663</v>
      </c>
      <c r="AU7" s="142">
        <f>_xlfn.XLOOKUP($A7,'Actual Sales'!$D$41:$AG$41,'Actual Sales'!$D$52:$AG$52)</f>
        <v>10</v>
      </c>
      <c r="AV7" s="99">
        <v>9</v>
      </c>
      <c r="AW7" s="143">
        <f t="shared" si="27"/>
        <v>10</v>
      </c>
      <c r="AX7" s="142">
        <f t="shared" si="28"/>
        <v>1</v>
      </c>
      <c r="AY7" s="210">
        <f t="shared" si="29"/>
        <v>0.10526315789473684</v>
      </c>
      <c r="AZ7" s="142">
        <f>_xlfn.XLOOKUP($A7,'Actual Sales'!$D$41:$AG$41,'Actual Sales'!$D$53:$AG$53)</f>
        <v>1</v>
      </c>
      <c r="BA7" s="99">
        <v>4</v>
      </c>
      <c r="BB7" s="143">
        <f t="shared" si="30"/>
        <v>300</v>
      </c>
      <c r="BC7" s="142">
        <f t="shared" si="31"/>
        <v>9</v>
      </c>
      <c r="BD7" s="210">
        <f t="shared" si="32"/>
        <v>1.2</v>
      </c>
      <c r="BE7" s="142">
        <f>_xlfn.XLOOKUP($A7,'Actual Sales'!$D$41:$AG$41,'Actual Sales'!$D$54:$AG$54)</f>
        <v>4</v>
      </c>
      <c r="BF7" s="99">
        <v>3</v>
      </c>
      <c r="BG7" s="143">
        <f t="shared" si="33"/>
        <v>25</v>
      </c>
      <c r="BH7" s="142">
        <f t="shared" si="34"/>
        <v>1</v>
      </c>
      <c r="BI7" s="210">
        <f t="shared" si="35"/>
        <v>0.2857142857142857</v>
      </c>
      <c r="BJ7" s="142">
        <f>_xlfn.XLOOKUP($A7,'Actual Sales'!$D$41:$AG$41,'Actual Sales'!$D$55:$AG$55)</f>
        <v>2</v>
      </c>
      <c r="BK7" s="99">
        <v>4</v>
      </c>
      <c r="BL7" s="143">
        <f t="shared" si="36"/>
        <v>100</v>
      </c>
      <c r="BM7" s="142">
        <f t="shared" si="37"/>
        <v>4</v>
      </c>
      <c r="BN7" s="210">
        <f t="shared" si="38"/>
        <v>0.66666666666666663</v>
      </c>
      <c r="BO7" s="142">
        <f>_xlfn.XLOOKUP($A7,'Actual Sales'!$D$41:$AG$41,'Actual Sales'!$D$56:$AG$56)</f>
        <v>3</v>
      </c>
      <c r="BP7" s="99">
        <v>1</v>
      </c>
      <c r="BQ7" s="143">
        <f t="shared" si="39"/>
        <v>66.666666666666657</v>
      </c>
      <c r="BR7" s="142">
        <f t="shared" si="40"/>
        <v>4</v>
      </c>
      <c r="BS7" s="210">
        <f t="shared" si="41"/>
        <v>1</v>
      </c>
      <c r="BT7" s="142">
        <f>_xlfn.XLOOKUP($A7,'Actual Sales'!$D$41:$AG$41,'Actual Sales'!$D$57:$AG$57)</f>
        <v>2</v>
      </c>
      <c r="BU7" s="99">
        <v>3</v>
      </c>
      <c r="BV7" s="143">
        <f t="shared" si="42"/>
        <v>50</v>
      </c>
      <c r="BW7" s="142">
        <f t="shared" si="43"/>
        <v>1</v>
      </c>
      <c r="BX7" s="210">
        <f t="shared" si="44"/>
        <v>0.4</v>
      </c>
      <c r="BY7" s="142">
        <f>_xlfn.XLOOKUP($A7,'Actual Sales'!$D$41:$AG$41,'Actual Sales'!$D$58:$AG$58)</f>
        <v>1</v>
      </c>
      <c r="BZ7" s="99">
        <v>1</v>
      </c>
      <c r="CA7" s="143">
        <f t="shared" si="45"/>
        <v>0</v>
      </c>
      <c r="CB7" s="142">
        <f t="shared" si="46"/>
        <v>0</v>
      </c>
      <c r="CC7" s="210">
        <f t="shared" si="47"/>
        <v>0</v>
      </c>
      <c r="CD7" s="142">
        <f>_xlfn.XLOOKUP($A7,'Actual Sales'!$D$41:$AG$41,'Actual Sales'!$D$59:$AG$59)</f>
        <v>1</v>
      </c>
      <c r="CE7" s="99">
        <v>1</v>
      </c>
      <c r="CF7" s="143">
        <f t="shared" si="48"/>
        <v>0</v>
      </c>
      <c r="CG7" s="142">
        <f t="shared" si="49"/>
        <v>0</v>
      </c>
      <c r="CH7" s="210">
        <f t="shared" si="50"/>
        <v>0</v>
      </c>
      <c r="CI7" s="142">
        <f>_xlfn.XLOOKUP($A7,'Actual Sales'!$D$41:$AG$41,'Actual Sales'!$D$60:$AG$60)</f>
        <v>1</v>
      </c>
      <c r="CJ7" s="99">
        <v>5</v>
      </c>
      <c r="CK7" s="143">
        <f t="shared" si="51"/>
        <v>400</v>
      </c>
      <c r="CL7" s="142">
        <f t="shared" si="52"/>
        <v>16</v>
      </c>
      <c r="CM7" s="210">
        <f t="shared" si="53"/>
        <v>1.3333333333333333</v>
      </c>
      <c r="CN7" s="142">
        <f>_xlfn.XLOOKUP($A7,'Actual Sales'!$D$41:$AG$41,'Actual Sales'!$D$61:$AG$61)</f>
        <v>12</v>
      </c>
      <c r="CO7" s="99">
        <v>8</v>
      </c>
      <c r="CP7" s="143">
        <f t="shared" si="54"/>
        <v>33.333333333333329</v>
      </c>
      <c r="CQ7" s="142">
        <f t="shared" si="55"/>
        <v>16</v>
      </c>
      <c r="CR7" s="210">
        <f t="shared" si="56"/>
        <v>0.4</v>
      </c>
      <c r="CS7" s="142">
        <f>_xlfn.XLOOKUP($A7,'Actual Sales'!$D$41:$AG$41,'Actual Sales'!$D$62:$AG$62)</f>
        <v>1</v>
      </c>
      <c r="CT7" s="99">
        <v>1</v>
      </c>
      <c r="CU7" s="143">
        <f t="shared" si="57"/>
        <v>0</v>
      </c>
      <c r="CV7" s="142">
        <f t="shared" si="58"/>
        <v>0</v>
      </c>
      <c r="CW7" s="210">
        <f t="shared" si="59"/>
        <v>0</v>
      </c>
      <c r="CX7" s="142">
        <f>_xlfn.XLOOKUP($A7,'Actual Sales'!$D$41:$AG$41,'Actual Sales'!$D$63:$AG$63)</f>
        <v>0</v>
      </c>
      <c r="CY7" s="99">
        <v>3</v>
      </c>
      <c r="CZ7" s="143" t="e">
        <f t="shared" si="60"/>
        <v>#DIV/0!</v>
      </c>
      <c r="DA7" s="142">
        <f t="shared" si="61"/>
        <v>9</v>
      </c>
      <c r="DB7" s="210">
        <f t="shared" si="62"/>
        <v>2</v>
      </c>
      <c r="DC7" s="142">
        <f>_xlfn.XLOOKUP($A7,'Actual Sales'!$D$41:$AG$41,'Actual Sales'!$D$64:$AG$64)</f>
        <v>1</v>
      </c>
      <c r="DD7" s="99">
        <v>1</v>
      </c>
      <c r="DE7" s="143">
        <f t="shared" si="63"/>
        <v>0</v>
      </c>
      <c r="DF7" s="142">
        <f t="shared" si="64"/>
        <v>0</v>
      </c>
      <c r="DG7" s="210">
        <f t="shared" si="65"/>
        <v>0</v>
      </c>
      <c r="DH7" s="142">
        <f>_xlfn.XLOOKUP($A7,'Actual Sales'!$D$41:$AG$41,'Actual Sales'!$D$65:$AG$65)</f>
        <v>0</v>
      </c>
      <c r="DI7" s="99">
        <v>1</v>
      </c>
      <c r="DJ7" s="143" t="e">
        <f t="shared" si="66"/>
        <v>#DIV/0!</v>
      </c>
      <c r="DK7" s="142">
        <f t="shared" si="67"/>
        <v>1</v>
      </c>
      <c r="DL7" s="213">
        <f t="shared" si="68"/>
        <v>2</v>
      </c>
    </row>
    <row r="8" spans="1:116" x14ac:dyDescent="0.2">
      <c r="A8" s="147">
        <v>5</v>
      </c>
      <c r="B8" s="142">
        <f>_xlfn.XLOOKUP(A8,'Actual Sales'!$D$41:$AG$41,'Actual Sales'!$D$43:$AG$43)</f>
        <v>24</v>
      </c>
      <c r="C8" s="99">
        <v>48</v>
      </c>
      <c r="D8" s="143">
        <f t="shared" si="1"/>
        <v>100</v>
      </c>
      <c r="E8" s="142">
        <f t="shared" si="2"/>
        <v>576</v>
      </c>
      <c r="F8" s="210">
        <f t="shared" si="3"/>
        <v>0.66666666666666663</v>
      </c>
      <c r="G8" s="142">
        <f>_xlfn.XLOOKUP($A8,'Actual Sales'!$D$41:$AG$41,'Actual Sales'!$D$44:$AG$44)</f>
        <v>0</v>
      </c>
      <c r="H8" s="99">
        <v>1</v>
      </c>
      <c r="I8" s="143" t="e">
        <f t="shared" si="0"/>
        <v>#DIV/0!</v>
      </c>
      <c r="J8" s="142">
        <f t="shared" si="4"/>
        <v>1</v>
      </c>
      <c r="K8" s="210">
        <f t="shared" si="5"/>
        <v>2</v>
      </c>
      <c r="L8" s="142">
        <f>_xlfn.XLOOKUP($A8,'Actual Sales'!$D$41:$AG$41,'Actual Sales'!$D$45:$AG$45)</f>
        <v>11</v>
      </c>
      <c r="M8" s="99">
        <v>17</v>
      </c>
      <c r="N8" s="143">
        <f t="shared" si="6"/>
        <v>54.54545454545454</v>
      </c>
      <c r="O8" s="142">
        <f t="shared" si="7"/>
        <v>36</v>
      </c>
      <c r="P8" s="210">
        <f t="shared" si="8"/>
        <v>0.42857142857142855</v>
      </c>
      <c r="Q8" s="142">
        <f>_xlfn.XLOOKUP($A8,'Actual Sales'!$D$41:$AG$41,'Actual Sales'!$D$46:$AG$46)</f>
        <v>2</v>
      </c>
      <c r="R8" s="99">
        <v>2</v>
      </c>
      <c r="S8" s="143">
        <f t="shared" si="9"/>
        <v>0</v>
      </c>
      <c r="T8" s="142">
        <f t="shared" si="10"/>
        <v>0</v>
      </c>
      <c r="U8" s="210">
        <f t="shared" si="11"/>
        <v>0</v>
      </c>
      <c r="V8" s="142">
        <f>_xlfn.XLOOKUP($A8,'Actual Sales'!$D$41:$AG$41,'Actual Sales'!$D$47:$AG$47)</f>
        <v>15</v>
      </c>
      <c r="W8" s="99">
        <v>19</v>
      </c>
      <c r="X8" s="143">
        <f t="shared" si="12"/>
        <v>26.666666666666668</v>
      </c>
      <c r="Y8" s="142">
        <f t="shared" si="13"/>
        <v>16</v>
      </c>
      <c r="Z8" s="210">
        <f t="shared" si="14"/>
        <v>0.23529411764705882</v>
      </c>
      <c r="AA8" s="142">
        <f>_xlfn.XLOOKUP($A8,'Actual Sales'!$D$41:$AG$41,'Actual Sales'!$D$48:$AG$48)</f>
        <v>8</v>
      </c>
      <c r="AB8" s="99">
        <v>10</v>
      </c>
      <c r="AC8" s="143">
        <f t="shared" si="15"/>
        <v>25</v>
      </c>
      <c r="AD8" s="142">
        <f t="shared" si="16"/>
        <v>4</v>
      </c>
      <c r="AE8" s="210">
        <f t="shared" si="17"/>
        <v>0.22222222222222221</v>
      </c>
      <c r="AF8" s="142">
        <f>_xlfn.XLOOKUP($A8,'Actual Sales'!$D$41:$AG$41,'Actual Sales'!$D$49:$AG$49)</f>
        <v>10</v>
      </c>
      <c r="AG8" s="99">
        <v>20</v>
      </c>
      <c r="AH8" s="143">
        <f t="shared" si="18"/>
        <v>100</v>
      </c>
      <c r="AI8" s="142">
        <f t="shared" si="19"/>
        <v>100</v>
      </c>
      <c r="AJ8" s="210">
        <f t="shared" si="20"/>
        <v>0.66666666666666663</v>
      </c>
      <c r="AK8" s="142">
        <f>_xlfn.XLOOKUP($A8,'Actual Sales'!$D$41:$AG$41,'Actual Sales'!$D$50:$AG$50)</f>
        <v>4</v>
      </c>
      <c r="AL8" s="99">
        <v>3</v>
      </c>
      <c r="AM8" s="143">
        <f t="shared" si="21"/>
        <v>25</v>
      </c>
      <c r="AN8" s="142">
        <f t="shared" si="22"/>
        <v>1</v>
      </c>
      <c r="AO8" s="210">
        <f t="shared" si="23"/>
        <v>0.2857142857142857</v>
      </c>
      <c r="AP8" s="142">
        <f>_xlfn.XLOOKUP($A8,'Actual Sales'!$D$41:$AG$41,'Actual Sales'!$D$51:$AG$51)</f>
        <v>1</v>
      </c>
      <c r="AQ8" s="99">
        <v>4</v>
      </c>
      <c r="AR8" s="143">
        <f t="shared" si="24"/>
        <v>300</v>
      </c>
      <c r="AS8" s="142">
        <f t="shared" si="25"/>
        <v>9</v>
      </c>
      <c r="AT8" s="210">
        <f t="shared" si="26"/>
        <v>1.2</v>
      </c>
      <c r="AU8" s="142">
        <f>_xlfn.XLOOKUP($A8,'Actual Sales'!$D$41:$AG$41,'Actual Sales'!$D$52:$AG$52)</f>
        <v>9</v>
      </c>
      <c r="AV8" s="99">
        <v>9</v>
      </c>
      <c r="AW8" s="143">
        <f t="shared" si="27"/>
        <v>0</v>
      </c>
      <c r="AX8" s="142">
        <f t="shared" si="28"/>
        <v>0</v>
      </c>
      <c r="AY8" s="210">
        <f t="shared" si="29"/>
        <v>0</v>
      </c>
      <c r="AZ8" s="142">
        <f>_xlfn.XLOOKUP($A8,'Actual Sales'!$D$41:$AG$41,'Actual Sales'!$D$53:$AG$53)</f>
        <v>3</v>
      </c>
      <c r="BA8" s="99">
        <v>4</v>
      </c>
      <c r="BB8" s="143">
        <f t="shared" si="30"/>
        <v>33.333333333333329</v>
      </c>
      <c r="BC8" s="142">
        <f t="shared" si="31"/>
        <v>1</v>
      </c>
      <c r="BD8" s="210">
        <f t="shared" si="32"/>
        <v>0.2857142857142857</v>
      </c>
      <c r="BE8" s="142">
        <f>_xlfn.XLOOKUP($A8,'Actual Sales'!$D$41:$AG$41,'Actual Sales'!$D$54:$AG$54)</f>
        <v>6</v>
      </c>
      <c r="BF8" s="99">
        <v>3</v>
      </c>
      <c r="BG8" s="143">
        <f t="shared" si="33"/>
        <v>50</v>
      </c>
      <c r="BH8" s="142">
        <f t="shared" si="34"/>
        <v>9</v>
      </c>
      <c r="BI8" s="210">
        <f t="shared" si="35"/>
        <v>0.66666666666666663</v>
      </c>
      <c r="BJ8" s="142">
        <f>_xlfn.XLOOKUP($A8,'Actual Sales'!$D$41:$AG$41,'Actual Sales'!$D$55:$AG$55)</f>
        <v>3</v>
      </c>
      <c r="BK8" s="99">
        <v>4</v>
      </c>
      <c r="BL8" s="143">
        <f t="shared" si="36"/>
        <v>33.333333333333329</v>
      </c>
      <c r="BM8" s="142">
        <f t="shared" si="37"/>
        <v>1</v>
      </c>
      <c r="BN8" s="210">
        <f t="shared" si="38"/>
        <v>0.2857142857142857</v>
      </c>
      <c r="BO8" s="142">
        <f>_xlfn.XLOOKUP($A8,'Actual Sales'!$D$41:$AG$41,'Actual Sales'!$D$56:$AG$56)</f>
        <v>1</v>
      </c>
      <c r="BP8" s="99">
        <v>2</v>
      </c>
      <c r="BQ8" s="143">
        <f t="shared" si="39"/>
        <v>100</v>
      </c>
      <c r="BR8" s="142">
        <f t="shared" si="40"/>
        <v>1</v>
      </c>
      <c r="BS8" s="210">
        <f t="shared" si="41"/>
        <v>0.66666666666666663</v>
      </c>
      <c r="BT8" s="142">
        <f>_xlfn.XLOOKUP($A8,'Actual Sales'!$D$41:$AG$41,'Actual Sales'!$D$57:$AG$57)</f>
        <v>1</v>
      </c>
      <c r="BU8" s="99">
        <v>3</v>
      </c>
      <c r="BV8" s="143">
        <f t="shared" si="42"/>
        <v>200</v>
      </c>
      <c r="BW8" s="142">
        <f t="shared" si="43"/>
        <v>4</v>
      </c>
      <c r="BX8" s="210">
        <f t="shared" si="44"/>
        <v>1</v>
      </c>
      <c r="BY8" s="142">
        <f>_xlfn.XLOOKUP($A8,'Actual Sales'!$D$41:$AG$41,'Actual Sales'!$D$58:$AG$58)</f>
        <v>0</v>
      </c>
      <c r="BZ8" s="99">
        <v>1</v>
      </c>
      <c r="CA8" s="143" t="e">
        <f t="shared" si="45"/>
        <v>#DIV/0!</v>
      </c>
      <c r="CB8" s="142">
        <f t="shared" si="46"/>
        <v>1</v>
      </c>
      <c r="CC8" s="210">
        <f t="shared" si="47"/>
        <v>2</v>
      </c>
      <c r="CD8" s="142">
        <f>_xlfn.XLOOKUP($A8,'Actual Sales'!$D$41:$AG$41,'Actual Sales'!$D$59:$AG$59)</f>
        <v>2</v>
      </c>
      <c r="CE8" s="99">
        <v>1</v>
      </c>
      <c r="CF8" s="143">
        <f t="shared" si="48"/>
        <v>50</v>
      </c>
      <c r="CG8" s="142">
        <f t="shared" si="49"/>
        <v>1</v>
      </c>
      <c r="CH8" s="210">
        <f t="shared" si="50"/>
        <v>0.66666666666666663</v>
      </c>
      <c r="CI8" s="142">
        <f>_xlfn.XLOOKUP($A8,'Actual Sales'!$D$41:$AG$41,'Actual Sales'!$D$60:$AG$60)</f>
        <v>3</v>
      </c>
      <c r="CJ8" s="99">
        <v>6</v>
      </c>
      <c r="CK8" s="143">
        <f t="shared" si="51"/>
        <v>100</v>
      </c>
      <c r="CL8" s="142">
        <f t="shared" si="52"/>
        <v>9</v>
      </c>
      <c r="CM8" s="210">
        <f t="shared" si="53"/>
        <v>0.66666666666666663</v>
      </c>
      <c r="CN8" s="142">
        <f>_xlfn.XLOOKUP($A8,'Actual Sales'!$D$41:$AG$41,'Actual Sales'!$D$61:$AG$61)</f>
        <v>4</v>
      </c>
      <c r="CO8" s="99">
        <v>8</v>
      </c>
      <c r="CP8" s="143">
        <f t="shared" si="54"/>
        <v>100</v>
      </c>
      <c r="CQ8" s="142">
        <f t="shared" si="55"/>
        <v>16</v>
      </c>
      <c r="CR8" s="210">
        <f t="shared" si="56"/>
        <v>0.66666666666666663</v>
      </c>
      <c r="CS8" s="142">
        <f>_xlfn.XLOOKUP($A8,'Actual Sales'!$D$41:$AG$41,'Actual Sales'!$D$62:$AG$62)</f>
        <v>0</v>
      </c>
      <c r="CT8" s="99">
        <v>1</v>
      </c>
      <c r="CU8" s="143" t="e">
        <f t="shared" si="57"/>
        <v>#DIV/0!</v>
      </c>
      <c r="CV8" s="142">
        <f t="shared" si="58"/>
        <v>1</v>
      </c>
      <c r="CW8" s="210">
        <f t="shared" si="59"/>
        <v>2</v>
      </c>
      <c r="CX8" s="142">
        <f>_xlfn.XLOOKUP($A8,'Actual Sales'!$D$41:$AG$41,'Actual Sales'!$D$63:$AG$63)</f>
        <v>0</v>
      </c>
      <c r="CY8" s="99">
        <v>2</v>
      </c>
      <c r="CZ8" s="143" t="e">
        <f t="shared" si="60"/>
        <v>#DIV/0!</v>
      </c>
      <c r="DA8" s="142">
        <f t="shared" si="61"/>
        <v>4</v>
      </c>
      <c r="DB8" s="210">
        <f t="shared" si="62"/>
        <v>2</v>
      </c>
      <c r="DC8" s="142">
        <f>_xlfn.XLOOKUP($A8,'Actual Sales'!$D$41:$AG$41,'Actual Sales'!$D$64:$AG$64)</f>
        <v>0</v>
      </c>
      <c r="DD8" s="99">
        <v>1</v>
      </c>
      <c r="DE8" s="143" t="e">
        <f t="shared" si="63"/>
        <v>#DIV/0!</v>
      </c>
      <c r="DF8" s="142">
        <f t="shared" si="64"/>
        <v>1</v>
      </c>
      <c r="DG8" s="210">
        <f t="shared" si="65"/>
        <v>2</v>
      </c>
      <c r="DH8" s="142">
        <f>_xlfn.XLOOKUP($A8,'Actual Sales'!$D$41:$AG$41,'Actual Sales'!$D$65:$AG$65)</f>
        <v>0</v>
      </c>
      <c r="DI8" s="99">
        <v>1</v>
      </c>
      <c r="DJ8" s="143" t="e">
        <f t="shared" si="66"/>
        <v>#DIV/0!</v>
      </c>
      <c r="DK8" s="142">
        <f t="shared" si="67"/>
        <v>1</v>
      </c>
      <c r="DL8" s="213">
        <f t="shared" si="68"/>
        <v>2</v>
      </c>
    </row>
    <row r="9" spans="1:116" x14ac:dyDescent="0.2">
      <c r="A9" s="147">
        <v>6</v>
      </c>
      <c r="B9" s="142">
        <f>_xlfn.XLOOKUP(A9,'Actual Sales'!$D$41:$AG$41,'Actual Sales'!$D$43:$AG$43)</f>
        <v>37</v>
      </c>
      <c r="C9" s="99">
        <v>45</v>
      </c>
      <c r="D9" s="143">
        <f t="shared" si="1"/>
        <v>21.621621621621621</v>
      </c>
      <c r="E9" s="142">
        <f t="shared" si="2"/>
        <v>64</v>
      </c>
      <c r="F9" s="210">
        <f t="shared" si="3"/>
        <v>0.1951219512195122</v>
      </c>
      <c r="G9" s="142">
        <f>_xlfn.XLOOKUP($A9,'Actual Sales'!$D$41:$AG$41,'Actual Sales'!$D$44:$AG$44)</f>
        <v>0</v>
      </c>
      <c r="H9" s="99">
        <v>1</v>
      </c>
      <c r="I9" s="143" t="e">
        <f t="shared" si="0"/>
        <v>#DIV/0!</v>
      </c>
      <c r="J9" s="142">
        <f t="shared" si="4"/>
        <v>1</v>
      </c>
      <c r="K9" s="210">
        <f t="shared" si="5"/>
        <v>2</v>
      </c>
      <c r="L9" s="142">
        <f>_xlfn.XLOOKUP($A9,'Actual Sales'!$D$41:$AG$41,'Actual Sales'!$D$45:$AG$45)</f>
        <v>11</v>
      </c>
      <c r="M9" s="99">
        <v>18</v>
      </c>
      <c r="N9" s="143">
        <f t="shared" si="6"/>
        <v>63.636363636363633</v>
      </c>
      <c r="O9" s="142">
        <f t="shared" si="7"/>
        <v>49</v>
      </c>
      <c r="P9" s="210">
        <f t="shared" si="8"/>
        <v>0.48275862068965519</v>
      </c>
      <c r="Q9" s="142">
        <f>_xlfn.XLOOKUP($A9,'Actual Sales'!$D$41:$AG$41,'Actual Sales'!$D$46:$AG$46)</f>
        <v>2</v>
      </c>
      <c r="R9" s="99">
        <v>2</v>
      </c>
      <c r="S9" s="143">
        <f t="shared" si="9"/>
        <v>0</v>
      </c>
      <c r="T9" s="142">
        <f t="shared" si="10"/>
        <v>0</v>
      </c>
      <c r="U9" s="210">
        <f t="shared" si="11"/>
        <v>0</v>
      </c>
      <c r="V9" s="142">
        <f>_xlfn.XLOOKUP($A9,'Actual Sales'!$D$41:$AG$41,'Actual Sales'!$D$47:$AG$47)</f>
        <v>23</v>
      </c>
      <c r="W9" s="99">
        <v>19</v>
      </c>
      <c r="X9" s="143">
        <f t="shared" si="12"/>
        <v>17.391304347826086</v>
      </c>
      <c r="Y9" s="142">
        <f t="shared" si="13"/>
        <v>16</v>
      </c>
      <c r="Z9" s="210">
        <f t="shared" si="14"/>
        <v>0.19047619047619047</v>
      </c>
      <c r="AA9" s="142">
        <f>_xlfn.XLOOKUP($A9,'Actual Sales'!$D$41:$AG$41,'Actual Sales'!$D$48:$AG$48)</f>
        <v>6</v>
      </c>
      <c r="AB9" s="99">
        <v>10</v>
      </c>
      <c r="AC9" s="143">
        <f t="shared" si="15"/>
        <v>66.666666666666657</v>
      </c>
      <c r="AD9" s="142">
        <f t="shared" si="16"/>
        <v>16</v>
      </c>
      <c r="AE9" s="210">
        <f t="shared" si="17"/>
        <v>0.5</v>
      </c>
      <c r="AF9" s="142">
        <f>_xlfn.XLOOKUP($A9,'Actual Sales'!$D$41:$AG$41,'Actual Sales'!$D$49:$AG$49)</f>
        <v>24</v>
      </c>
      <c r="AG9" s="99">
        <v>19</v>
      </c>
      <c r="AH9" s="143">
        <f t="shared" si="18"/>
        <v>20.833333333333336</v>
      </c>
      <c r="AI9" s="142">
        <f t="shared" si="19"/>
        <v>25</v>
      </c>
      <c r="AJ9" s="210">
        <f t="shared" si="20"/>
        <v>0.23255813953488372</v>
      </c>
      <c r="AK9" s="142">
        <f>_xlfn.XLOOKUP($A9,'Actual Sales'!$D$41:$AG$41,'Actual Sales'!$D$50:$AG$50)</f>
        <v>15</v>
      </c>
      <c r="AL9" s="99">
        <v>3</v>
      </c>
      <c r="AM9" s="143">
        <f t="shared" si="21"/>
        <v>80</v>
      </c>
      <c r="AN9" s="142">
        <f t="shared" si="22"/>
        <v>144</v>
      </c>
      <c r="AO9" s="210">
        <f t="shared" si="23"/>
        <v>1.3333333333333333</v>
      </c>
      <c r="AP9" s="142">
        <f>_xlfn.XLOOKUP($A9,'Actual Sales'!$D$41:$AG$41,'Actual Sales'!$D$51:$AG$51)</f>
        <v>1</v>
      </c>
      <c r="AQ9" s="99">
        <v>4</v>
      </c>
      <c r="AR9" s="143">
        <f t="shared" si="24"/>
        <v>300</v>
      </c>
      <c r="AS9" s="142">
        <f t="shared" si="25"/>
        <v>9</v>
      </c>
      <c r="AT9" s="210">
        <f t="shared" si="26"/>
        <v>1.2</v>
      </c>
      <c r="AU9" s="142">
        <f>_xlfn.XLOOKUP($A9,'Actual Sales'!$D$41:$AG$41,'Actual Sales'!$D$52:$AG$52)</f>
        <v>9</v>
      </c>
      <c r="AV9" s="99">
        <v>9</v>
      </c>
      <c r="AW9" s="143">
        <f t="shared" si="27"/>
        <v>0</v>
      </c>
      <c r="AX9" s="142">
        <f t="shared" si="28"/>
        <v>0</v>
      </c>
      <c r="AY9" s="210">
        <f t="shared" si="29"/>
        <v>0</v>
      </c>
      <c r="AZ9" s="142">
        <f>_xlfn.XLOOKUP($A9,'Actual Sales'!$D$41:$AG$41,'Actual Sales'!$D$53:$AG$53)</f>
        <v>4</v>
      </c>
      <c r="BA9" s="99">
        <v>4</v>
      </c>
      <c r="BB9" s="143">
        <f t="shared" si="30"/>
        <v>0</v>
      </c>
      <c r="BC9" s="142">
        <f t="shared" si="31"/>
        <v>0</v>
      </c>
      <c r="BD9" s="210">
        <f t="shared" si="32"/>
        <v>0</v>
      </c>
      <c r="BE9" s="142">
        <f>_xlfn.XLOOKUP($A9,'Actual Sales'!$D$41:$AG$41,'Actual Sales'!$D$54:$AG$54)</f>
        <v>12</v>
      </c>
      <c r="BF9" s="99">
        <v>3</v>
      </c>
      <c r="BG9" s="143">
        <f t="shared" si="33"/>
        <v>75</v>
      </c>
      <c r="BH9" s="142">
        <f t="shared" si="34"/>
        <v>81</v>
      </c>
      <c r="BI9" s="210">
        <f t="shared" si="35"/>
        <v>1.2</v>
      </c>
      <c r="BJ9" s="142">
        <f>_xlfn.XLOOKUP($A9,'Actual Sales'!$D$41:$AG$41,'Actual Sales'!$D$55:$AG$55)</f>
        <v>3</v>
      </c>
      <c r="BK9" s="99">
        <v>3</v>
      </c>
      <c r="BL9" s="143">
        <f t="shared" si="36"/>
        <v>0</v>
      </c>
      <c r="BM9" s="142">
        <f t="shared" si="37"/>
        <v>0</v>
      </c>
      <c r="BN9" s="210">
        <f t="shared" si="38"/>
        <v>0</v>
      </c>
      <c r="BO9" s="142">
        <f>_xlfn.XLOOKUP($A9,'Actual Sales'!$D$41:$AG$41,'Actual Sales'!$D$56:$AG$56)</f>
        <v>3</v>
      </c>
      <c r="BP9" s="99">
        <v>1</v>
      </c>
      <c r="BQ9" s="143">
        <f t="shared" si="39"/>
        <v>66.666666666666657</v>
      </c>
      <c r="BR9" s="142">
        <f t="shared" si="40"/>
        <v>4</v>
      </c>
      <c r="BS9" s="210">
        <f t="shared" si="41"/>
        <v>1</v>
      </c>
      <c r="BT9" s="142">
        <f>_xlfn.XLOOKUP($A9,'Actual Sales'!$D$41:$AG$41,'Actual Sales'!$D$57:$AG$57)</f>
        <v>3</v>
      </c>
      <c r="BU9" s="99">
        <v>3</v>
      </c>
      <c r="BV9" s="143">
        <f t="shared" si="42"/>
        <v>0</v>
      </c>
      <c r="BW9" s="142">
        <f t="shared" si="43"/>
        <v>0</v>
      </c>
      <c r="BX9" s="210">
        <f t="shared" si="44"/>
        <v>0</v>
      </c>
      <c r="BY9" s="142">
        <f>_xlfn.XLOOKUP($A9,'Actual Sales'!$D$41:$AG$41,'Actual Sales'!$D$58:$AG$58)</f>
        <v>0</v>
      </c>
      <c r="BZ9" s="99">
        <v>1</v>
      </c>
      <c r="CA9" s="143" t="e">
        <f t="shared" si="45"/>
        <v>#DIV/0!</v>
      </c>
      <c r="CB9" s="142">
        <f t="shared" si="46"/>
        <v>1</v>
      </c>
      <c r="CC9" s="210">
        <f t="shared" si="47"/>
        <v>2</v>
      </c>
      <c r="CD9" s="142">
        <f>_xlfn.XLOOKUP($A9,'Actual Sales'!$D$41:$AG$41,'Actual Sales'!$D$59:$AG$59)</f>
        <v>4</v>
      </c>
      <c r="CE9" s="99">
        <v>1</v>
      </c>
      <c r="CF9" s="143">
        <f t="shared" si="48"/>
        <v>75</v>
      </c>
      <c r="CG9" s="142">
        <f t="shared" si="49"/>
        <v>9</v>
      </c>
      <c r="CH9" s="210">
        <f t="shared" si="50"/>
        <v>1.2</v>
      </c>
      <c r="CI9" s="142">
        <f>_xlfn.XLOOKUP($A9,'Actual Sales'!$D$41:$AG$41,'Actual Sales'!$D$60:$AG$60)</f>
        <v>6</v>
      </c>
      <c r="CJ9" s="99">
        <v>5</v>
      </c>
      <c r="CK9" s="143">
        <f t="shared" si="51"/>
        <v>16.666666666666664</v>
      </c>
      <c r="CL9" s="142">
        <f t="shared" si="52"/>
        <v>1</v>
      </c>
      <c r="CM9" s="210">
        <f t="shared" si="53"/>
        <v>0.18181818181818182</v>
      </c>
      <c r="CN9" s="142">
        <f>_xlfn.XLOOKUP($A9,'Actual Sales'!$D$41:$AG$41,'Actual Sales'!$D$61:$AG$61)</f>
        <v>4</v>
      </c>
      <c r="CO9" s="99">
        <v>9</v>
      </c>
      <c r="CP9" s="143">
        <f t="shared" si="54"/>
        <v>125</v>
      </c>
      <c r="CQ9" s="142">
        <f t="shared" si="55"/>
        <v>25</v>
      </c>
      <c r="CR9" s="210">
        <f t="shared" si="56"/>
        <v>0.76923076923076927</v>
      </c>
      <c r="CS9" s="142">
        <f>_xlfn.XLOOKUP($A9,'Actual Sales'!$D$41:$AG$41,'Actual Sales'!$D$62:$AG$62)</f>
        <v>1</v>
      </c>
      <c r="CT9" s="99">
        <v>1</v>
      </c>
      <c r="CU9" s="143">
        <f t="shared" si="57"/>
        <v>0</v>
      </c>
      <c r="CV9" s="142">
        <f t="shared" si="58"/>
        <v>0</v>
      </c>
      <c r="CW9" s="210">
        <f t="shared" si="59"/>
        <v>0</v>
      </c>
      <c r="CX9" s="142">
        <f>_xlfn.XLOOKUP($A9,'Actual Sales'!$D$41:$AG$41,'Actual Sales'!$D$63:$AG$63)</f>
        <v>0</v>
      </c>
      <c r="CY9" s="99">
        <v>2</v>
      </c>
      <c r="CZ9" s="143" t="e">
        <f t="shared" si="60"/>
        <v>#DIV/0!</v>
      </c>
      <c r="DA9" s="142">
        <f t="shared" si="61"/>
        <v>4</v>
      </c>
      <c r="DB9" s="210">
        <f t="shared" si="62"/>
        <v>2</v>
      </c>
      <c r="DC9" s="142">
        <f>_xlfn.XLOOKUP($A9,'Actual Sales'!$D$41:$AG$41,'Actual Sales'!$D$64:$AG$64)</f>
        <v>0</v>
      </c>
      <c r="DD9" s="99">
        <v>1</v>
      </c>
      <c r="DE9" s="143" t="e">
        <f t="shared" si="63"/>
        <v>#DIV/0!</v>
      </c>
      <c r="DF9" s="142">
        <f t="shared" si="64"/>
        <v>1</v>
      </c>
      <c r="DG9" s="210">
        <f t="shared" si="65"/>
        <v>2</v>
      </c>
      <c r="DH9" s="142">
        <f>_xlfn.XLOOKUP($A9,'Actual Sales'!$D$41:$AG$41,'Actual Sales'!$D$65:$AG$65)</f>
        <v>1</v>
      </c>
      <c r="DI9" s="99">
        <v>1</v>
      </c>
      <c r="DJ9" s="143">
        <f t="shared" si="66"/>
        <v>0</v>
      </c>
      <c r="DK9" s="142">
        <f t="shared" si="67"/>
        <v>0</v>
      </c>
      <c r="DL9" s="213">
        <f t="shared" si="68"/>
        <v>0</v>
      </c>
    </row>
    <row r="10" spans="1:116" x14ac:dyDescent="0.2">
      <c r="A10" s="147">
        <v>7</v>
      </c>
      <c r="B10" s="142">
        <f>_xlfn.XLOOKUP(A10,'Actual Sales'!$D$41:$AG$41,'Actual Sales'!$D$43:$AG$43)</f>
        <v>24</v>
      </c>
      <c r="C10" s="99">
        <v>46</v>
      </c>
      <c r="D10" s="143">
        <f t="shared" si="1"/>
        <v>91.666666666666657</v>
      </c>
      <c r="E10" s="142">
        <f t="shared" si="2"/>
        <v>484</v>
      </c>
      <c r="F10" s="210">
        <f t="shared" si="3"/>
        <v>0.62857142857142856</v>
      </c>
      <c r="G10" s="142">
        <f>_xlfn.XLOOKUP($A10,'Actual Sales'!$D$41:$AG$41,'Actual Sales'!$D$44:$AG$44)</f>
        <v>0</v>
      </c>
      <c r="H10" s="99">
        <v>1</v>
      </c>
      <c r="I10" s="143" t="e">
        <f t="shared" si="0"/>
        <v>#DIV/0!</v>
      </c>
      <c r="J10" s="142">
        <f t="shared" si="4"/>
        <v>1</v>
      </c>
      <c r="K10" s="210">
        <f t="shared" si="5"/>
        <v>2</v>
      </c>
      <c r="L10" s="142">
        <f>_xlfn.XLOOKUP($A10,'Actual Sales'!$D$41:$AG$41,'Actual Sales'!$D$45:$AG$45)</f>
        <v>22</v>
      </c>
      <c r="M10" s="99">
        <v>21</v>
      </c>
      <c r="N10" s="143">
        <f t="shared" si="6"/>
        <v>4.5454545454545459</v>
      </c>
      <c r="O10" s="142">
        <f t="shared" si="7"/>
        <v>1</v>
      </c>
      <c r="P10" s="210">
        <f t="shared" si="8"/>
        <v>4.6511627906976744E-2</v>
      </c>
      <c r="Q10" s="142">
        <f>_xlfn.XLOOKUP($A10,'Actual Sales'!$D$41:$AG$41,'Actual Sales'!$D$46:$AG$46)</f>
        <v>4</v>
      </c>
      <c r="R10" s="99">
        <v>2</v>
      </c>
      <c r="S10" s="143">
        <f t="shared" si="9"/>
        <v>50</v>
      </c>
      <c r="T10" s="142">
        <f t="shared" si="10"/>
        <v>4</v>
      </c>
      <c r="U10" s="210">
        <f t="shared" si="11"/>
        <v>0.66666666666666663</v>
      </c>
      <c r="V10" s="142">
        <f>_xlfn.XLOOKUP($A10,'Actual Sales'!$D$41:$AG$41,'Actual Sales'!$D$47:$AG$47)</f>
        <v>13</v>
      </c>
      <c r="W10" s="99">
        <v>19</v>
      </c>
      <c r="X10" s="143">
        <f t="shared" si="12"/>
        <v>46.153846153846153</v>
      </c>
      <c r="Y10" s="142">
        <f t="shared" si="13"/>
        <v>36</v>
      </c>
      <c r="Z10" s="210">
        <f t="shared" si="14"/>
        <v>0.375</v>
      </c>
      <c r="AA10" s="142">
        <f>_xlfn.XLOOKUP($A10,'Actual Sales'!$D$41:$AG$41,'Actual Sales'!$D$48:$AG$48)</f>
        <v>7</v>
      </c>
      <c r="AB10" s="99">
        <v>10</v>
      </c>
      <c r="AC10" s="143">
        <f t="shared" si="15"/>
        <v>42.857142857142854</v>
      </c>
      <c r="AD10" s="142">
        <f t="shared" si="16"/>
        <v>9</v>
      </c>
      <c r="AE10" s="210">
        <f t="shared" si="17"/>
        <v>0.35294117647058826</v>
      </c>
      <c r="AF10" s="142">
        <f>_xlfn.XLOOKUP($A10,'Actual Sales'!$D$41:$AG$41,'Actual Sales'!$D$49:$AG$49)</f>
        <v>16</v>
      </c>
      <c r="AG10" s="99">
        <v>19</v>
      </c>
      <c r="AH10" s="143">
        <f t="shared" si="18"/>
        <v>18.75</v>
      </c>
      <c r="AI10" s="142">
        <f t="shared" si="19"/>
        <v>9</v>
      </c>
      <c r="AJ10" s="210">
        <f t="shared" si="20"/>
        <v>0.17142857142857143</v>
      </c>
      <c r="AK10" s="142">
        <f>_xlfn.XLOOKUP($A10,'Actual Sales'!$D$41:$AG$41,'Actual Sales'!$D$50:$AG$50)</f>
        <v>9</v>
      </c>
      <c r="AL10" s="99">
        <v>3</v>
      </c>
      <c r="AM10" s="143">
        <f t="shared" si="21"/>
        <v>66.666666666666657</v>
      </c>
      <c r="AN10" s="142">
        <f t="shared" si="22"/>
        <v>36</v>
      </c>
      <c r="AO10" s="210">
        <f t="shared" si="23"/>
        <v>1</v>
      </c>
      <c r="AP10" s="142">
        <f>_xlfn.XLOOKUP($A10,'Actual Sales'!$D$41:$AG$41,'Actual Sales'!$D$51:$AG$51)</f>
        <v>2</v>
      </c>
      <c r="AQ10" s="99">
        <v>4</v>
      </c>
      <c r="AR10" s="143">
        <f t="shared" si="24"/>
        <v>100</v>
      </c>
      <c r="AS10" s="142">
        <f t="shared" si="25"/>
        <v>4</v>
      </c>
      <c r="AT10" s="210">
        <f t="shared" si="26"/>
        <v>0.66666666666666663</v>
      </c>
      <c r="AU10" s="142">
        <f>_xlfn.XLOOKUP($A10,'Actual Sales'!$D$41:$AG$41,'Actual Sales'!$D$52:$AG$52)</f>
        <v>13</v>
      </c>
      <c r="AV10" s="99">
        <v>9</v>
      </c>
      <c r="AW10" s="143">
        <f t="shared" si="27"/>
        <v>30.76923076923077</v>
      </c>
      <c r="AX10" s="142">
        <f t="shared" si="28"/>
        <v>16</v>
      </c>
      <c r="AY10" s="210">
        <f t="shared" si="29"/>
        <v>0.36363636363636365</v>
      </c>
      <c r="AZ10" s="142">
        <f>_xlfn.XLOOKUP($A10,'Actual Sales'!$D$41:$AG$41,'Actual Sales'!$D$53:$AG$53)</f>
        <v>3</v>
      </c>
      <c r="BA10" s="99">
        <v>4</v>
      </c>
      <c r="BB10" s="143">
        <f t="shared" si="30"/>
        <v>33.333333333333329</v>
      </c>
      <c r="BC10" s="142">
        <f t="shared" si="31"/>
        <v>1</v>
      </c>
      <c r="BD10" s="210">
        <f t="shared" si="32"/>
        <v>0.2857142857142857</v>
      </c>
      <c r="BE10" s="142">
        <f>_xlfn.XLOOKUP($A10,'Actual Sales'!$D$41:$AG$41,'Actual Sales'!$D$54:$AG$54)</f>
        <v>7</v>
      </c>
      <c r="BF10" s="99">
        <v>3</v>
      </c>
      <c r="BG10" s="143">
        <f t="shared" si="33"/>
        <v>57.142857142857139</v>
      </c>
      <c r="BH10" s="142">
        <f t="shared" si="34"/>
        <v>16</v>
      </c>
      <c r="BI10" s="210">
        <f t="shared" si="35"/>
        <v>0.8</v>
      </c>
      <c r="BJ10" s="142">
        <f>_xlfn.XLOOKUP($A10,'Actual Sales'!$D$41:$AG$41,'Actual Sales'!$D$55:$AG$55)</f>
        <v>4</v>
      </c>
      <c r="BK10" s="99">
        <v>4</v>
      </c>
      <c r="BL10" s="143">
        <f t="shared" si="36"/>
        <v>0</v>
      </c>
      <c r="BM10" s="142">
        <f t="shared" si="37"/>
        <v>0</v>
      </c>
      <c r="BN10" s="210">
        <f t="shared" si="38"/>
        <v>0</v>
      </c>
      <c r="BO10" s="142">
        <f>_xlfn.XLOOKUP($A10,'Actual Sales'!$D$41:$AG$41,'Actual Sales'!$D$56:$AG$56)</f>
        <v>4</v>
      </c>
      <c r="BP10" s="99">
        <v>2</v>
      </c>
      <c r="BQ10" s="143">
        <f t="shared" si="39"/>
        <v>50</v>
      </c>
      <c r="BR10" s="142">
        <f t="shared" si="40"/>
        <v>4</v>
      </c>
      <c r="BS10" s="210">
        <f t="shared" si="41"/>
        <v>0.66666666666666663</v>
      </c>
      <c r="BT10" s="142">
        <f>_xlfn.XLOOKUP($A10,'Actual Sales'!$D$41:$AG$41,'Actual Sales'!$D$57:$AG$57)</f>
        <v>3</v>
      </c>
      <c r="BU10" s="99">
        <v>3</v>
      </c>
      <c r="BV10" s="143">
        <f t="shared" si="42"/>
        <v>0</v>
      </c>
      <c r="BW10" s="142">
        <f t="shared" si="43"/>
        <v>0</v>
      </c>
      <c r="BX10" s="210">
        <f t="shared" si="44"/>
        <v>0</v>
      </c>
      <c r="BY10" s="142">
        <f>_xlfn.XLOOKUP($A10,'Actual Sales'!$D$41:$AG$41,'Actual Sales'!$D$58:$AG$58)</f>
        <v>0</v>
      </c>
      <c r="BZ10" s="99">
        <v>1</v>
      </c>
      <c r="CA10" s="143" t="e">
        <f t="shared" si="45"/>
        <v>#DIV/0!</v>
      </c>
      <c r="CB10" s="142">
        <f t="shared" si="46"/>
        <v>1</v>
      </c>
      <c r="CC10" s="210">
        <f t="shared" si="47"/>
        <v>2</v>
      </c>
      <c r="CD10" s="142">
        <f>_xlfn.XLOOKUP($A10,'Actual Sales'!$D$41:$AG$41,'Actual Sales'!$D$59:$AG$59)</f>
        <v>2</v>
      </c>
      <c r="CE10" s="99">
        <v>1</v>
      </c>
      <c r="CF10" s="143">
        <f t="shared" si="48"/>
        <v>50</v>
      </c>
      <c r="CG10" s="142">
        <f t="shared" si="49"/>
        <v>1</v>
      </c>
      <c r="CH10" s="210">
        <f t="shared" si="50"/>
        <v>0.66666666666666663</v>
      </c>
      <c r="CI10" s="142">
        <f>_xlfn.XLOOKUP($A10,'Actual Sales'!$D$41:$AG$41,'Actual Sales'!$D$60:$AG$60)</f>
        <v>3</v>
      </c>
      <c r="CJ10" s="99">
        <v>5</v>
      </c>
      <c r="CK10" s="143">
        <f t="shared" si="51"/>
        <v>66.666666666666657</v>
      </c>
      <c r="CL10" s="142">
        <f t="shared" si="52"/>
        <v>4</v>
      </c>
      <c r="CM10" s="210">
        <f t="shared" si="53"/>
        <v>0.5</v>
      </c>
      <c r="CN10" s="142">
        <f>_xlfn.XLOOKUP($A10,'Actual Sales'!$D$41:$AG$41,'Actual Sales'!$D$61:$AG$61)</f>
        <v>9</v>
      </c>
      <c r="CO10" s="99">
        <v>9</v>
      </c>
      <c r="CP10" s="143">
        <f t="shared" si="54"/>
        <v>0</v>
      </c>
      <c r="CQ10" s="142">
        <f t="shared" si="55"/>
        <v>0</v>
      </c>
      <c r="CR10" s="210">
        <f t="shared" si="56"/>
        <v>0</v>
      </c>
      <c r="CS10" s="142">
        <f>_xlfn.XLOOKUP($A10,'Actual Sales'!$D$41:$AG$41,'Actual Sales'!$D$62:$AG$62)</f>
        <v>0</v>
      </c>
      <c r="CT10" s="99">
        <v>2</v>
      </c>
      <c r="CU10" s="143" t="e">
        <f t="shared" si="57"/>
        <v>#DIV/0!</v>
      </c>
      <c r="CV10" s="142">
        <f t="shared" si="58"/>
        <v>4</v>
      </c>
      <c r="CW10" s="210">
        <f t="shared" si="59"/>
        <v>2</v>
      </c>
      <c r="CX10" s="142">
        <f>_xlfn.XLOOKUP($A10,'Actual Sales'!$D$41:$AG$41,'Actual Sales'!$D$63:$AG$63)</f>
        <v>1</v>
      </c>
      <c r="CY10" s="99">
        <v>2</v>
      </c>
      <c r="CZ10" s="143">
        <f t="shared" si="60"/>
        <v>100</v>
      </c>
      <c r="DA10" s="142">
        <f t="shared" si="61"/>
        <v>1</v>
      </c>
      <c r="DB10" s="210">
        <f t="shared" si="62"/>
        <v>0.66666666666666663</v>
      </c>
      <c r="DC10" s="142">
        <f>_xlfn.XLOOKUP($A10,'Actual Sales'!$D$41:$AG$41,'Actual Sales'!$D$64:$AG$64)</f>
        <v>1</v>
      </c>
      <c r="DD10" s="99">
        <v>1</v>
      </c>
      <c r="DE10" s="143">
        <f t="shared" si="63"/>
        <v>0</v>
      </c>
      <c r="DF10" s="142">
        <f t="shared" si="64"/>
        <v>0</v>
      </c>
      <c r="DG10" s="210">
        <f t="shared" si="65"/>
        <v>0</v>
      </c>
      <c r="DH10" s="142">
        <f>_xlfn.XLOOKUP($A10,'Actual Sales'!$D$41:$AG$41,'Actual Sales'!$D$65:$AG$65)</f>
        <v>1</v>
      </c>
      <c r="DI10" s="99">
        <v>1</v>
      </c>
      <c r="DJ10" s="143">
        <f t="shared" si="66"/>
        <v>0</v>
      </c>
      <c r="DK10" s="142">
        <f t="shared" si="67"/>
        <v>0</v>
      </c>
      <c r="DL10" s="213">
        <f t="shared" si="68"/>
        <v>0</v>
      </c>
    </row>
    <row r="11" spans="1:116" x14ac:dyDescent="0.2">
      <c r="A11" s="147">
        <v>8</v>
      </c>
      <c r="B11" s="142">
        <f>_xlfn.XLOOKUP(A11,'Actual Sales'!$D$41:$AG$41,'Actual Sales'!$D$43:$AG$43)</f>
        <v>12</v>
      </c>
      <c r="C11" s="99">
        <v>47</v>
      </c>
      <c r="D11" s="143">
        <f t="shared" si="1"/>
        <v>291.66666666666663</v>
      </c>
      <c r="E11" s="142">
        <f t="shared" si="2"/>
        <v>1225</v>
      </c>
      <c r="F11" s="210">
        <f t="shared" si="3"/>
        <v>1.1864406779661016</v>
      </c>
      <c r="G11" s="142">
        <f>_xlfn.XLOOKUP($A11,'Actual Sales'!$D$41:$AG$41,'Actual Sales'!$D$44:$AG$44)</f>
        <v>0</v>
      </c>
      <c r="H11" s="99">
        <v>1</v>
      </c>
      <c r="I11" s="143" t="e">
        <f t="shared" si="0"/>
        <v>#DIV/0!</v>
      </c>
      <c r="J11" s="142">
        <f t="shared" si="4"/>
        <v>1</v>
      </c>
      <c r="K11" s="210">
        <f t="shared" si="5"/>
        <v>2</v>
      </c>
      <c r="L11" s="142">
        <f>_xlfn.XLOOKUP($A11,'Actual Sales'!$D$41:$AG$41,'Actual Sales'!$D$45:$AG$45)</f>
        <v>8</v>
      </c>
      <c r="M11" s="99">
        <v>17</v>
      </c>
      <c r="N11" s="143">
        <f t="shared" si="6"/>
        <v>112.5</v>
      </c>
      <c r="O11" s="142">
        <f t="shared" si="7"/>
        <v>81</v>
      </c>
      <c r="P11" s="210">
        <f t="shared" si="8"/>
        <v>0.72</v>
      </c>
      <c r="Q11" s="142">
        <f>_xlfn.XLOOKUP($A11,'Actual Sales'!$D$41:$AG$41,'Actual Sales'!$D$46:$AG$46)</f>
        <v>3</v>
      </c>
      <c r="R11" s="99">
        <v>2</v>
      </c>
      <c r="S11" s="143">
        <f t="shared" si="9"/>
        <v>33.333333333333329</v>
      </c>
      <c r="T11" s="142">
        <f t="shared" si="10"/>
        <v>1</v>
      </c>
      <c r="U11" s="210">
        <f t="shared" si="11"/>
        <v>0.4</v>
      </c>
      <c r="V11" s="142">
        <f>_xlfn.XLOOKUP($A11,'Actual Sales'!$D$41:$AG$41,'Actual Sales'!$D$47:$AG$47)</f>
        <v>19</v>
      </c>
      <c r="W11" s="99">
        <v>19</v>
      </c>
      <c r="X11" s="143">
        <f t="shared" si="12"/>
        <v>0</v>
      </c>
      <c r="Y11" s="142">
        <f t="shared" si="13"/>
        <v>0</v>
      </c>
      <c r="Z11" s="210">
        <f t="shared" si="14"/>
        <v>0</v>
      </c>
      <c r="AA11" s="142">
        <f>_xlfn.XLOOKUP($A11,'Actual Sales'!$D$41:$AG$41,'Actual Sales'!$D$48:$AG$48)</f>
        <v>10</v>
      </c>
      <c r="AB11" s="99">
        <v>10</v>
      </c>
      <c r="AC11" s="143">
        <f t="shared" si="15"/>
        <v>0</v>
      </c>
      <c r="AD11" s="142">
        <f t="shared" si="16"/>
        <v>0</v>
      </c>
      <c r="AE11" s="210">
        <f t="shared" si="17"/>
        <v>0</v>
      </c>
      <c r="AF11" s="142">
        <f>_xlfn.XLOOKUP($A11,'Actual Sales'!$D$41:$AG$41,'Actual Sales'!$D$49:$AG$49)</f>
        <v>18</v>
      </c>
      <c r="AG11" s="99">
        <v>22</v>
      </c>
      <c r="AH11" s="143">
        <f t="shared" si="18"/>
        <v>22.222222222222221</v>
      </c>
      <c r="AI11" s="142">
        <f t="shared" si="19"/>
        <v>16</v>
      </c>
      <c r="AJ11" s="210">
        <f t="shared" si="20"/>
        <v>0.2</v>
      </c>
      <c r="AK11" s="142">
        <f>_xlfn.XLOOKUP($A11,'Actual Sales'!$D$41:$AG$41,'Actual Sales'!$D$50:$AG$50)</f>
        <v>6</v>
      </c>
      <c r="AL11" s="99">
        <v>3</v>
      </c>
      <c r="AM11" s="143">
        <f t="shared" si="21"/>
        <v>50</v>
      </c>
      <c r="AN11" s="142">
        <f t="shared" si="22"/>
        <v>9</v>
      </c>
      <c r="AO11" s="210">
        <f t="shared" si="23"/>
        <v>0.66666666666666663</v>
      </c>
      <c r="AP11" s="142">
        <f>_xlfn.XLOOKUP($A11,'Actual Sales'!$D$41:$AG$41,'Actual Sales'!$D$51:$AG$51)</f>
        <v>0</v>
      </c>
      <c r="AQ11" s="99">
        <v>4</v>
      </c>
      <c r="AR11" s="143" t="e">
        <f t="shared" si="24"/>
        <v>#DIV/0!</v>
      </c>
      <c r="AS11" s="142">
        <f t="shared" si="25"/>
        <v>16</v>
      </c>
      <c r="AT11" s="210">
        <f t="shared" si="26"/>
        <v>2</v>
      </c>
      <c r="AU11" s="142">
        <f>_xlfn.XLOOKUP($A11,'Actual Sales'!$D$41:$AG$41,'Actual Sales'!$D$52:$AG$52)</f>
        <v>6</v>
      </c>
      <c r="AV11" s="99">
        <v>9</v>
      </c>
      <c r="AW11" s="143">
        <f t="shared" si="27"/>
        <v>50</v>
      </c>
      <c r="AX11" s="142">
        <f t="shared" si="28"/>
        <v>9</v>
      </c>
      <c r="AY11" s="210">
        <f t="shared" si="29"/>
        <v>0.4</v>
      </c>
      <c r="AZ11" s="142">
        <f>_xlfn.XLOOKUP($A11,'Actual Sales'!$D$41:$AG$41,'Actual Sales'!$D$53:$AG$53)</f>
        <v>4</v>
      </c>
      <c r="BA11" s="99">
        <v>4</v>
      </c>
      <c r="BB11" s="143">
        <f t="shared" si="30"/>
        <v>0</v>
      </c>
      <c r="BC11" s="142">
        <f t="shared" si="31"/>
        <v>0</v>
      </c>
      <c r="BD11" s="210">
        <f t="shared" si="32"/>
        <v>0</v>
      </c>
      <c r="BE11" s="142">
        <f>_xlfn.XLOOKUP($A11,'Actual Sales'!$D$41:$AG$41,'Actual Sales'!$D$54:$AG$54)</f>
        <v>1</v>
      </c>
      <c r="BF11" s="99">
        <v>3</v>
      </c>
      <c r="BG11" s="143">
        <f t="shared" si="33"/>
        <v>200</v>
      </c>
      <c r="BH11" s="142">
        <f t="shared" si="34"/>
        <v>4</v>
      </c>
      <c r="BI11" s="210">
        <f t="shared" si="35"/>
        <v>1</v>
      </c>
      <c r="BJ11" s="142">
        <f>_xlfn.XLOOKUP($A11,'Actual Sales'!$D$41:$AG$41,'Actual Sales'!$D$55:$AG$55)</f>
        <v>0</v>
      </c>
      <c r="BK11" s="99">
        <v>4</v>
      </c>
      <c r="BL11" s="143" t="e">
        <f t="shared" si="36"/>
        <v>#DIV/0!</v>
      </c>
      <c r="BM11" s="142">
        <f t="shared" si="37"/>
        <v>16</v>
      </c>
      <c r="BN11" s="210">
        <f t="shared" si="38"/>
        <v>2</v>
      </c>
      <c r="BO11" s="142">
        <f>_xlfn.XLOOKUP($A11,'Actual Sales'!$D$41:$AG$41,'Actual Sales'!$D$56:$AG$56)</f>
        <v>3</v>
      </c>
      <c r="BP11" s="99">
        <v>2</v>
      </c>
      <c r="BQ11" s="143">
        <f t="shared" si="39"/>
        <v>33.333333333333329</v>
      </c>
      <c r="BR11" s="142">
        <f t="shared" si="40"/>
        <v>1</v>
      </c>
      <c r="BS11" s="210">
        <f t="shared" si="41"/>
        <v>0.4</v>
      </c>
      <c r="BT11" s="142">
        <f>_xlfn.XLOOKUP($A11,'Actual Sales'!$D$41:$AG$41,'Actual Sales'!$D$57:$AG$57)</f>
        <v>1</v>
      </c>
      <c r="BU11" s="99">
        <v>3</v>
      </c>
      <c r="BV11" s="143">
        <f t="shared" si="42"/>
        <v>200</v>
      </c>
      <c r="BW11" s="142">
        <f t="shared" si="43"/>
        <v>4</v>
      </c>
      <c r="BX11" s="210">
        <f t="shared" si="44"/>
        <v>1</v>
      </c>
      <c r="BY11" s="142">
        <f>_xlfn.XLOOKUP($A11,'Actual Sales'!$D$41:$AG$41,'Actual Sales'!$D$58:$AG$58)</f>
        <v>0</v>
      </c>
      <c r="BZ11" s="99">
        <v>1</v>
      </c>
      <c r="CA11" s="143" t="e">
        <f t="shared" si="45"/>
        <v>#DIV/0!</v>
      </c>
      <c r="CB11" s="142">
        <f t="shared" si="46"/>
        <v>1</v>
      </c>
      <c r="CC11" s="210">
        <f t="shared" si="47"/>
        <v>2</v>
      </c>
      <c r="CD11" s="142">
        <f>_xlfn.XLOOKUP($A11,'Actual Sales'!$D$41:$AG$41,'Actual Sales'!$D$59:$AG$59)</f>
        <v>0</v>
      </c>
      <c r="CE11" s="99">
        <v>1</v>
      </c>
      <c r="CF11" s="143" t="e">
        <f t="shared" si="48"/>
        <v>#DIV/0!</v>
      </c>
      <c r="CG11" s="142">
        <f t="shared" si="49"/>
        <v>1</v>
      </c>
      <c r="CH11" s="210">
        <f t="shared" si="50"/>
        <v>2</v>
      </c>
      <c r="CI11" s="142">
        <f>_xlfn.XLOOKUP($A11,'Actual Sales'!$D$41:$AG$41,'Actual Sales'!$D$60:$AG$60)</f>
        <v>6</v>
      </c>
      <c r="CJ11" s="99">
        <v>5</v>
      </c>
      <c r="CK11" s="143">
        <f t="shared" si="51"/>
        <v>16.666666666666664</v>
      </c>
      <c r="CL11" s="142">
        <f t="shared" si="52"/>
        <v>1</v>
      </c>
      <c r="CM11" s="210">
        <f t="shared" si="53"/>
        <v>0.18181818181818182</v>
      </c>
      <c r="CN11" s="142">
        <f>_xlfn.XLOOKUP($A11,'Actual Sales'!$D$41:$AG$41,'Actual Sales'!$D$61:$AG$61)</f>
        <v>8</v>
      </c>
      <c r="CO11" s="99">
        <v>9</v>
      </c>
      <c r="CP11" s="143">
        <f t="shared" si="54"/>
        <v>12.5</v>
      </c>
      <c r="CQ11" s="142">
        <f t="shared" si="55"/>
        <v>1</v>
      </c>
      <c r="CR11" s="210">
        <f t="shared" si="56"/>
        <v>0.11764705882352941</v>
      </c>
      <c r="CS11" s="142">
        <f>_xlfn.XLOOKUP($A11,'Actual Sales'!$D$41:$AG$41,'Actual Sales'!$D$62:$AG$62)</f>
        <v>0</v>
      </c>
      <c r="CT11" s="99">
        <v>1</v>
      </c>
      <c r="CU11" s="143" t="e">
        <f t="shared" si="57"/>
        <v>#DIV/0!</v>
      </c>
      <c r="CV11" s="142">
        <f t="shared" si="58"/>
        <v>1</v>
      </c>
      <c r="CW11" s="210">
        <f t="shared" si="59"/>
        <v>2</v>
      </c>
      <c r="CX11" s="142">
        <f>_xlfn.XLOOKUP($A11,'Actual Sales'!$D$41:$AG$41,'Actual Sales'!$D$63:$AG$63)</f>
        <v>0</v>
      </c>
      <c r="CY11" s="99">
        <v>2</v>
      </c>
      <c r="CZ11" s="143" t="e">
        <f t="shared" si="60"/>
        <v>#DIV/0!</v>
      </c>
      <c r="DA11" s="142">
        <f t="shared" si="61"/>
        <v>4</v>
      </c>
      <c r="DB11" s="210">
        <f t="shared" si="62"/>
        <v>2</v>
      </c>
      <c r="DC11" s="142">
        <f>_xlfn.XLOOKUP($A11,'Actual Sales'!$D$41:$AG$41,'Actual Sales'!$D$64:$AG$64)</f>
        <v>1</v>
      </c>
      <c r="DD11" s="99">
        <v>1</v>
      </c>
      <c r="DE11" s="143">
        <f t="shared" si="63"/>
        <v>0</v>
      </c>
      <c r="DF11" s="142">
        <f t="shared" si="64"/>
        <v>0</v>
      </c>
      <c r="DG11" s="210">
        <f t="shared" si="65"/>
        <v>0</v>
      </c>
      <c r="DH11" s="142">
        <f>_xlfn.XLOOKUP($A11,'Actual Sales'!$D$41:$AG$41,'Actual Sales'!$D$65:$AG$65)</f>
        <v>1</v>
      </c>
      <c r="DI11" s="99">
        <v>1</v>
      </c>
      <c r="DJ11" s="143">
        <f t="shared" si="66"/>
        <v>0</v>
      </c>
      <c r="DK11" s="142">
        <f t="shared" si="67"/>
        <v>0</v>
      </c>
      <c r="DL11" s="213">
        <f t="shared" si="68"/>
        <v>0</v>
      </c>
    </row>
    <row r="12" spans="1:116" x14ac:dyDescent="0.2">
      <c r="A12" s="147">
        <v>9</v>
      </c>
      <c r="B12" s="142">
        <f>_xlfn.XLOOKUP(A12,'Actual Sales'!$D$41:$AG$41,'Actual Sales'!$D$43:$AG$43)</f>
        <v>23</v>
      </c>
      <c r="C12" s="99">
        <v>54</v>
      </c>
      <c r="D12" s="143">
        <f t="shared" si="1"/>
        <v>134.78260869565219</v>
      </c>
      <c r="E12" s="142">
        <f t="shared" si="2"/>
        <v>961</v>
      </c>
      <c r="F12" s="210">
        <f t="shared" si="3"/>
        <v>0.80519480519480524</v>
      </c>
      <c r="G12" s="142">
        <f>_xlfn.XLOOKUP($A12,'Actual Sales'!$D$41:$AG$41,'Actual Sales'!$D$44:$AG$44)</f>
        <v>0</v>
      </c>
      <c r="H12" s="99">
        <v>1</v>
      </c>
      <c r="I12" s="143" t="e">
        <f t="shared" si="0"/>
        <v>#DIV/0!</v>
      </c>
      <c r="J12" s="142">
        <f t="shared" si="4"/>
        <v>1</v>
      </c>
      <c r="K12" s="210">
        <f t="shared" si="5"/>
        <v>2</v>
      </c>
      <c r="L12" s="142">
        <f>_xlfn.XLOOKUP($A12,'Actual Sales'!$D$41:$AG$41,'Actual Sales'!$D$45:$AG$45)</f>
        <v>11</v>
      </c>
      <c r="M12" s="99">
        <v>17</v>
      </c>
      <c r="N12" s="143">
        <f t="shared" si="6"/>
        <v>54.54545454545454</v>
      </c>
      <c r="O12" s="142">
        <f t="shared" si="7"/>
        <v>36</v>
      </c>
      <c r="P12" s="210">
        <f t="shared" si="8"/>
        <v>0.42857142857142855</v>
      </c>
      <c r="Q12" s="142">
        <f>_xlfn.XLOOKUP($A12,'Actual Sales'!$D$41:$AG$41,'Actual Sales'!$D$46:$AG$46)</f>
        <v>0</v>
      </c>
      <c r="R12" s="99">
        <v>2</v>
      </c>
      <c r="S12" s="143" t="e">
        <f t="shared" si="9"/>
        <v>#DIV/0!</v>
      </c>
      <c r="T12" s="142">
        <f t="shared" si="10"/>
        <v>4</v>
      </c>
      <c r="U12" s="210">
        <f t="shared" si="11"/>
        <v>2</v>
      </c>
      <c r="V12" s="142">
        <f>_xlfn.XLOOKUP($A12,'Actual Sales'!$D$41:$AG$41,'Actual Sales'!$D$47:$AG$47)</f>
        <v>8</v>
      </c>
      <c r="W12" s="99">
        <v>19</v>
      </c>
      <c r="X12" s="143">
        <f t="shared" si="12"/>
        <v>137.5</v>
      </c>
      <c r="Y12" s="142">
        <f t="shared" si="13"/>
        <v>121</v>
      </c>
      <c r="Z12" s="210">
        <f t="shared" si="14"/>
        <v>0.81481481481481477</v>
      </c>
      <c r="AA12" s="142">
        <f>_xlfn.XLOOKUP($A12,'Actual Sales'!$D$41:$AG$41,'Actual Sales'!$D$48:$AG$48)</f>
        <v>4</v>
      </c>
      <c r="AB12" s="99">
        <v>11</v>
      </c>
      <c r="AC12" s="143">
        <f t="shared" si="15"/>
        <v>175</v>
      </c>
      <c r="AD12" s="142">
        <f t="shared" si="16"/>
        <v>49</v>
      </c>
      <c r="AE12" s="210">
        <f t="shared" si="17"/>
        <v>0.93333333333333335</v>
      </c>
      <c r="AF12" s="142">
        <f>_xlfn.XLOOKUP($A12,'Actual Sales'!$D$41:$AG$41,'Actual Sales'!$D$49:$AG$49)</f>
        <v>14</v>
      </c>
      <c r="AG12" s="99">
        <v>25</v>
      </c>
      <c r="AH12" s="143">
        <f t="shared" si="18"/>
        <v>78.571428571428569</v>
      </c>
      <c r="AI12" s="142">
        <f t="shared" si="19"/>
        <v>121</v>
      </c>
      <c r="AJ12" s="210">
        <f t="shared" si="20"/>
        <v>0.5641025641025641</v>
      </c>
      <c r="AK12" s="142">
        <f>_xlfn.XLOOKUP($A12,'Actual Sales'!$D$41:$AG$41,'Actual Sales'!$D$50:$AG$50)</f>
        <v>1</v>
      </c>
      <c r="AL12" s="99">
        <v>0</v>
      </c>
      <c r="AM12" s="143">
        <f t="shared" si="21"/>
        <v>100</v>
      </c>
      <c r="AN12" s="142">
        <f t="shared" si="22"/>
        <v>1</v>
      </c>
      <c r="AO12" s="210">
        <f t="shared" si="23"/>
        <v>2</v>
      </c>
      <c r="AP12" s="142">
        <f>_xlfn.XLOOKUP($A12,'Actual Sales'!$D$41:$AG$41,'Actual Sales'!$D$51:$AG$51)</f>
        <v>3</v>
      </c>
      <c r="AQ12" s="99">
        <v>4</v>
      </c>
      <c r="AR12" s="143">
        <f t="shared" si="24"/>
        <v>33.333333333333329</v>
      </c>
      <c r="AS12" s="142">
        <f t="shared" si="25"/>
        <v>1</v>
      </c>
      <c r="AT12" s="210">
        <f t="shared" si="26"/>
        <v>0.2857142857142857</v>
      </c>
      <c r="AU12" s="142">
        <f>_xlfn.XLOOKUP($A12,'Actual Sales'!$D$41:$AG$41,'Actual Sales'!$D$52:$AG$52)</f>
        <v>9</v>
      </c>
      <c r="AV12" s="99">
        <v>9</v>
      </c>
      <c r="AW12" s="143">
        <f t="shared" si="27"/>
        <v>0</v>
      </c>
      <c r="AX12" s="142">
        <f t="shared" si="28"/>
        <v>0</v>
      </c>
      <c r="AY12" s="210">
        <f t="shared" si="29"/>
        <v>0</v>
      </c>
      <c r="AZ12" s="142">
        <f>_xlfn.XLOOKUP($A12,'Actual Sales'!$D$41:$AG$41,'Actual Sales'!$D$53:$AG$53)</f>
        <v>1</v>
      </c>
      <c r="BA12" s="99">
        <v>4</v>
      </c>
      <c r="BB12" s="143">
        <f t="shared" si="30"/>
        <v>300</v>
      </c>
      <c r="BC12" s="142">
        <f t="shared" si="31"/>
        <v>9</v>
      </c>
      <c r="BD12" s="210">
        <f t="shared" si="32"/>
        <v>1.2</v>
      </c>
      <c r="BE12" s="142">
        <f>_xlfn.XLOOKUP($A12,'Actual Sales'!$D$41:$AG$41,'Actual Sales'!$D$54:$AG$54)</f>
        <v>2</v>
      </c>
      <c r="BF12" s="99">
        <v>3</v>
      </c>
      <c r="BG12" s="143">
        <f t="shared" si="33"/>
        <v>50</v>
      </c>
      <c r="BH12" s="142">
        <f t="shared" si="34"/>
        <v>1</v>
      </c>
      <c r="BI12" s="210">
        <f t="shared" si="35"/>
        <v>0.4</v>
      </c>
      <c r="BJ12" s="142">
        <f>_xlfn.XLOOKUP($A12,'Actual Sales'!$D$41:$AG$41,'Actual Sales'!$D$55:$AG$55)</f>
        <v>6</v>
      </c>
      <c r="BK12" s="99">
        <v>4</v>
      </c>
      <c r="BL12" s="143">
        <f t="shared" si="36"/>
        <v>33.333333333333329</v>
      </c>
      <c r="BM12" s="142">
        <f t="shared" si="37"/>
        <v>4</v>
      </c>
      <c r="BN12" s="210">
        <f t="shared" si="38"/>
        <v>0.4</v>
      </c>
      <c r="BO12" s="142">
        <f>_xlfn.XLOOKUP($A12,'Actual Sales'!$D$41:$AG$41,'Actual Sales'!$D$56:$AG$56)</f>
        <v>1</v>
      </c>
      <c r="BP12" s="99">
        <v>2</v>
      </c>
      <c r="BQ12" s="143">
        <f t="shared" si="39"/>
        <v>100</v>
      </c>
      <c r="BR12" s="142">
        <f t="shared" si="40"/>
        <v>1</v>
      </c>
      <c r="BS12" s="210">
        <f t="shared" si="41"/>
        <v>0.66666666666666663</v>
      </c>
      <c r="BT12" s="142">
        <f>_xlfn.XLOOKUP($A12,'Actual Sales'!$D$41:$AG$41,'Actual Sales'!$D$57:$AG$57)</f>
        <v>1</v>
      </c>
      <c r="BU12" s="99">
        <v>3</v>
      </c>
      <c r="BV12" s="143">
        <f t="shared" si="42"/>
        <v>200</v>
      </c>
      <c r="BW12" s="142">
        <f t="shared" si="43"/>
        <v>4</v>
      </c>
      <c r="BX12" s="210">
        <f t="shared" si="44"/>
        <v>1</v>
      </c>
      <c r="BY12" s="142">
        <f>_xlfn.XLOOKUP($A12,'Actual Sales'!$D$41:$AG$41,'Actual Sales'!$D$58:$AG$58)</f>
        <v>0</v>
      </c>
      <c r="BZ12" s="99">
        <v>1</v>
      </c>
      <c r="CA12" s="143" t="e">
        <f t="shared" si="45"/>
        <v>#DIV/0!</v>
      </c>
      <c r="CB12" s="142">
        <f t="shared" si="46"/>
        <v>1</v>
      </c>
      <c r="CC12" s="210">
        <f t="shared" si="47"/>
        <v>2</v>
      </c>
      <c r="CD12" s="142">
        <f>_xlfn.XLOOKUP($A12,'Actual Sales'!$D$41:$AG$41,'Actual Sales'!$D$59:$AG$59)</f>
        <v>1</v>
      </c>
      <c r="CE12" s="99">
        <v>1</v>
      </c>
      <c r="CF12" s="143">
        <f t="shared" si="48"/>
        <v>0</v>
      </c>
      <c r="CG12" s="142">
        <f t="shared" si="49"/>
        <v>0</v>
      </c>
      <c r="CH12" s="210">
        <f t="shared" si="50"/>
        <v>0</v>
      </c>
      <c r="CI12" s="142">
        <f>_xlfn.XLOOKUP($A12,'Actual Sales'!$D$41:$AG$41,'Actual Sales'!$D$60:$AG$60)</f>
        <v>1</v>
      </c>
      <c r="CJ12" s="99">
        <v>5</v>
      </c>
      <c r="CK12" s="143">
        <f t="shared" si="51"/>
        <v>400</v>
      </c>
      <c r="CL12" s="142">
        <f t="shared" si="52"/>
        <v>16</v>
      </c>
      <c r="CM12" s="210">
        <f t="shared" si="53"/>
        <v>1.3333333333333333</v>
      </c>
      <c r="CN12" s="142">
        <f>_xlfn.XLOOKUP($A12,'Actual Sales'!$D$41:$AG$41,'Actual Sales'!$D$61:$AG$61)</f>
        <v>8</v>
      </c>
      <c r="CO12" s="99">
        <v>9</v>
      </c>
      <c r="CP12" s="143">
        <f t="shared" si="54"/>
        <v>12.5</v>
      </c>
      <c r="CQ12" s="142">
        <f t="shared" si="55"/>
        <v>1</v>
      </c>
      <c r="CR12" s="210">
        <f t="shared" si="56"/>
        <v>0.11764705882352941</v>
      </c>
      <c r="CS12" s="142">
        <f>_xlfn.XLOOKUP($A12,'Actual Sales'!$D$41:$AG$41,'Actual Sales'!$D$62:$AG$62)</f>
        <v>0</v>
      </c>
      <c r="CT12" s="99">
        <v>1</v>
      </c>
      <c r="CU12" s="143" t="e">
        <f t="shared" si="57"/>
        <v>#DIV/0!</v>
      </c>
      <c r="CV12" s="142">
        <f t="shared" si="58"/>
        <v>1</v>
      </c>
      <c r="CW12" s="210">
        <f t="shared" si="59"/>
        <v>2</v>
      </c>
      <c r="CX12" s="142">
        <f>_xlfn.XLOOKUP($A12,'Actual Sales'!$D$41:$AG$41,'Actual Sales'!$D$63:$AG$63)</f>
        <v>0</v>
      </c>
      <c r="CY12" s="99">
        <v>2</v>
      </c>
      <c r="CZ12" s="143" t="e">
        <f t="shared" si="60"/>
        <v>#DIV/0!</v>
      </c>
      <c r="DA12" s="142">
        <f t="shared" si="61"/>
        <v>4</v>
      </c>
      <c r="DB12" s="210">
        <f t="shared" si="62"/>
        <v>2</v>
      </c>
      <c r="DC12" s="142">
        <f>_xlfn.XLOOKUP($A12,'Actual Sales'!$D$41:$AG$41,'Actual Sales'!$D$64:$AG$64)</f>
        <v>0</v>
      </c>
      <c r="DD12" s="99">
        <v>2</v>
      </c>
      <c r="DE12" s="143" t="e">
        <f t="shared" si="63"/>
        <v>#DIV/0!</v>
      </c>
      <c r="DF12" s="142">
        <f t="shared" si="64"/>
        <v>4</v>
      </c>
      <c r="DG12" s="210">
        <f t="shared" si="65"/>
        <v>2</v>
      </c>
      <c r="DH12" s="142">
        <f>_xlfn.XLOOKUP($A12,'Actual Sales'!$D$41:$AG$41,'Actual Sales'!$D$65:$AG$65)</f>
        <v>1</v>
      </c>
      <c r="DI12" s="99">
        <v>1</v>
      </c>
      <c r="DJ12" s="143">
        <f t="shared" si="66"/>
        <v>0</v>
      </c>
      <c r="DK12" s="142">
        <f t="shared" si="67"/>
        <v>0</v>
      </c>
      <c r="DL12" s="213">
        <f t="shared" si="68"/>
        <v>0</v>
      </c>
    </row>
    <row r="13" spans="1:116" x14ac:dyDescent="0.2">
      <c r="A13" s="147">
        <v>10</v>
      </c>
      <c r="B13" s="142">
        <f>_xlfn.XLOOKUP(A13,'Actual Sales'!$D$41:$AG$41,'Actual Sales'!$D$43:$AG$43)</f>
        <v>22</v>
      </c>
      <c r="C13" s="99">
        <v>49</v>
      </c>
      <c r="D13" s="143">
        <f t="shared" si="1"/>
        <v>122.72727272727273</v>
      </c>
      <c r="E13" s="142">
        <f t="shared" si="2"/>
        <v>729</v>
      </c>
      <c r="F13" s="210">
        <f t="shared" si="3"/>
        <v>0.76056338028169013</v>
      </c>
      <c r="G13" s="142">
        <f>_xlfn.XLOOKUP($A13,'Actual Sales'!$D$41:$AG$41,'Actual Sales'!$D$44:$AG$44)</f>
        <v>0</v>
      </c>
      <c r="H13" s="99">
        <v>1</v>
      </c>
      <c r="I13" s="143" t="e">
        <f t="shared" si="0"/>
        <v>#DIV/0!</v>
      </c>
      <c r="J13" s="142">
        <f t="shared" si="4"/>
        <v>1</v>
      </c>
      <c r="K13" s="210">
        <f t="shared" si="5"/>
        <v>2</v>
      </c>
      <c r="L13" s="142">
        <f>_xlfn.XLOOKUP($A13,'Actual Sales'!$D$41:$AG$41,'Actual Sales'!$D$45:$AG$45)</f>
        <v>11</v>
      </c>
      <c r="M13" s="99">
        <v>18</v>
      </c>
      <c r="N13" s="143">
        <f t="shared" si="6"/>
        <v>63.636363636363633</v>
      </c>
      <c r="O13" s="142">
        <f t="shared" si="7"/>
        <v>49</v>
      </c>
      <c r="P13" s="210">
        <f t="shared" si="8"/>
        <v>0.48275862068965519</v>
      </c>
      <c r="Q13" s="142">
        <f>_xlfn.XLOOKUP($A13,'Actual Sales'!$D$41:$AG$41,'Actual Sales'!$D$46:$AG$46)</f>
        <v>1</v>
      </c>
      <c r="R13" s="99">
        <v>2</v>
      </c>
      <c r="S13" s="143">
        <f t="shared" si="9"/>
        <v>100</v>
      </c>
      <c r="T13" s="142">
        <f t="shared" si="10"/>
        <v>1</v>
      </c>
      <c r="U13" s="210">
        <f t="shared" si="11"/>
        <v>0.66666666666666663</v>
      </c>
      <c r="V13" s="142">
        <f>_xlfn.XLOOKUP($A13,'Actual Sales'!$D$41:$AG$41,'Actual Sales'!$D$47:$AG$47)</f>
        <v>14</v>
      </c>
      <c r="W13" s="99">
        <v>19</v>
      </c>
      <c r="X13" s="143">
        <f t="shared" si="12"/>
        <v>35.714285714285715</v>
      </c>
      <c r="Y13" s="142">
        <f t="shared" si="13"/>
        <v>25</v>
      </c>
      <c r="Z13" s="210">
        <f t="shared" si="14"/>
        <v>0.30303030303030304</v>
      </c>
      <c r="AA13" s="142">
        <f>_xlfn.XLOOKUP($A13,'Actual Sales'!$D$41:$AG$41,'Actual Sales'!$D$48:$AG$48)</f>
        <v>10</v>
      </c>
      <c r="AB13" s="99">
        <v>11</v>
      </c>
      <c r="AC13" s="143">
        <f t="shared" si="15"/>
        <v>10</v>
      </c>
      <c r="AD13" s="142">
        <f t="shared" si="16"/>
        <v>1</v>
      </c>
      <c r="AE13" s="210">
        <f t="shared" si="17"/>
        <v>9.5238095238095233E-2</v>
      </c>
      <c r="AF13" s="142">
        <f>_xlfn.XLOOKUP($A13,'Actual Sales'!$D$41:$AG$41,'Actual Sales'!$D$49:$AG$49)</f>
        <v>23</v>
      </c>
      <c r="AG13" s="99">
        <v>19</v>
      </c>
      <c r="AH13" s="143">
        <f t="shared" si="18"/>
        <v>17.391304347826086</v>
      </c>
      <c r="AI13" s="142">
        <f t="shared" si="19"/>
        <v>16</v>
      </c>
      <c r="AJ13" s="210">
        <f t="shared" si="20"/>
        <v>0.19047619047619047</v>
      </c>
      <c r="AK13" s="142">
        <f>_xlfn.XLOOKUP($A13,'Actual Sales'!$D$41:$AG$41,'Actual Sales'!$D$50:$AG$50)</f>
        <v>4</v>
      </c>
      <c r="AL13" s="99">
        <v>3</v>
      </c>
      <c r="AM13" s="143">
        <f t="shared" si="21"/>
        <v>25</v>
      </c>
      <c r="AN13" s="142">
        <f t="shared" si="22"/>
        <v>1</v>
      </c>
      <c r="AO13" s="210">
        <f t="shared" si="23"/>
        <v>0.2857142857142857</v>
      </c>
      <c r="AP13" s="142">
        <f>_xlfn.XLOOKUP($A13,'Actual Sales'!$D$41:$AG$41,'Actual Sales'!$D$51:$AG$51)</f>
        <v>0</v>
      </c>
      <c r="AQ13" s="99">
        <v>4</v>
      </c>
      <c r="AR13" s="143" t="e">
        <f t="shared" si="24"/>
        <v>#DIV/0!</v>
      </c>
      <c r="AS13" s="142">
        <f t="shared" si="25"/>
        <v>16</v>
      </c>
      <c r="AT13" s="210">
        <f t="shared" si="26"/>
        <v>2</v>
      </c>
      <c r="AU13" s="142">
        <f>_xlfn.XLOOKUP($A13,'Actual Sales'!$D$41:$AG$41,'Actual Sales'!$D$52:$AG$52)</f>
        <v>9</v>
      </c>
      <c r="AV13" s="99">
        <v>9</v>
      </c>
      <c r="AW13" s="143">
        <f t="shared" si="27"/>
        <v>0</v>
      </c>
      <c r="AX13" s="142">
        <f t="shared" si="28"/>
        <v>0</v>
      </c>
      <c r="AY13" s="210">
        <f t="shared" si="29"/>
        <v>0</v>
      </c>
      <c r="AZ13" s="142">
        <f>_xlfn.XLOOKUP($A13,'Actual Sales'!$D$41:$AG$41,'Actual Sales'!$D$53:$AG$53)</f>
        <v>1</v>
      </c>
      <c r="BA13" s="99">
        <v>4</v>
      </c>
      <c r="BB13" s="143">
        <f t="shared" si="30"/>
        <v>300</v>
      </c>
      <c r="BC13" s="142">
        <f t="shared" si="31"/>
        <v>9</v>
      </c>
      <c r="BD13" s="210">
        <f t="shared" si="32"/>
        <v>1.2</v>
      </c>
      <c r="BE13" s="142">
        <f>_xlfn.XLOOKUP($A13,'Actual Sales'!$D$41:$AG$41,'Actual Sales'!$D$54:$AG$54)</f>
        <v>4</v>
      </c>
      <c r="BF13" s="99">
        <v>2</v>
      </c>
      <c r="BG13" s="143">
        <f t="shared" si="33"/>
        <v>50</v>
      </c>
      <c r="BH13" s="142">
        <f t="shared" si="34"/>
        <v>4</v>
      </c>
      <c r="BI13" s="210">
        <f t="shared" si="35"/>
        <v>0.66666666666666663</v>
      </c>
      <c r="BJ13" s="142">
        <f>_xlfn.XLOOKUP($A13,'Actual Sales'!$D$41:$AG$41,'Actual Sales'!$D$55:$AG$55)</f>
        <v>3</v>
      </c>
      <c r="BK13" s="99">
        <v>4</v>
      </c>
      <c r="BL13" s="143">
        <f t="shared" si="36"/>
        <v>33.333333333333329</v>
      </c>
      <c r="BM13" s="142">
        <f t="shared" si="37"/>
        <v>1</v>
      </c>
      <c r="BN13" s="210">
        <f t="shared" si="38"/>
        <v>0.2857142857142857</v>
      </c>
      <c r="BO13" s="142">
        <f>_xlfn.XLOOKUP($A13,'Actual Sales'!$D$41:$AG$41,'Actual Sales'!$D$56:$AG$56)</f>
        <v>1</v>
      </c>
      <c r="BP13" s="99">
        <v>2</v>
      </c>
      <c r="BQ13" s="143">
        <f t="shared" si="39"/>
        <v>100</v>
      </c>
      <c r="BR13" s="142">
        <f t="shared" si="40"/>
        <v>1</v>
      </c>
      <c r="BS13" s="210">
        <f t="shared" si="41"/>
        <v>0.66666666666666663</v>
      </c>
      <c r="BT13" s="142">
        <f>_xlfn.XLOOKUP($A13,'Actual Sales'!$D$41:$AG$41,'Actual Sales'!$D$57:$AG$57)</f>
        <v>1</v>
      </c>
      <c r="BU13" s="99">
        <v>3</v>
      </c>
      <c r="BV13" s="143">
        <f t="shared" si="42"/>
        <v>200</v>
      </c>
      <c r="BW13" s="142">
        <f t="shared" si="43"/>
        <v>4</v>
      </c>
      <c r="BX13" s="210">
        <f t="shared" si="44"/>
        <v>1</v>
      </c>
      <c r="BY13" s="142">
        <f>_xlfn.XLOOKUP($A13,'Actual Sales'!$D$41:$AG$41,'Actual Sales'!$D$58:$AG$58)</f>
        <v>0</v>
      </c>
      <c r="BZ13" s="99">
        <v>1</v>
      </c>
      <c r="CA13" s="143" t="e">
        <f t="shared" si="45"/>
        <v>#DIV/0!</v>
      </c>
      <c r="CB13" s="142">
        <f t="shared" si="46"/>
        <v>1</v>
      </c>
      <c r="CC13" s="210">
        <f t="shared" si="47"/>
        <v>2</v>
      </c>
      <c r="CD13" s="142">
        <f>_xlfn.XLOOKUP($A13,'Actual Sales'!$D$41:$AG$41,'Actual Sales'!$D$59:$AG$59)</f>
        <v>1</v>
      </c>
      <c r="CE13" s="99">
        <v>1</v>
      </c>
      <c r="CF13" s="143">
        <f t="shared" si="48"/>
        <v>0</v>
      </c>
      <c r="CG13" s="142">
        <f t="shared" si="49"/>
        <v>0</v>
      </c>
      <c r="CH13" s="210">
        <f t="shared" si="50"/>
        <v>0</v>
      </c>
      <c r="CI13" s="142">
        <f>_xlfn.XLOOKUP($A13,'Actual Sales'!$D$41:$AG$41,'Actual Sales'!$D$60:$AG$60)</f>
        <v>5</v>
      </c>
      <c r="CJ13" s="99">
        <v>5</v>
      </c>
      <c r="CK13" s="143">
        <f t="shared" si="51"/>
        <v>0</v>
      </c>
      <c r="CL13" s="142">
        <f t="shared" si="52"/>
        <v>0</v>
      </c>
      <c r="CM13" s="210">
        <f t="shared" si="53"/>
        <v>0</v>
      </c>
      <c r="CN13" s="142">
        <f>_xlfn.XLOOKUP($A13,'Actual Sales'!$D$41:$AG$41,'Actual Sales'!$D$61:$AG$61)</f>
        <v>4</v>
      </c>
      <c r="CO13" s="99">
        <v>9</v>
      </c>
      <c r="CP13" s="143">
        <f t="shared" si="54"/>
        <v>125</v>
      </c>
      <c r="CQ13" s="142">
        <f t="shared" si="55"/>
        <v>25</v>
      </c>
      <c r="CR13" s="210">
        <f t="shared" si="56"/>
        <v>0.76923076923076927</v>
      </c>
      <c r="CS13" s="142">
        <f>_xlfn.XLOOKUP($A13,'Actual Sales'!$D$41:$AG$41,'Actual Sales'!$D$62:$AG$62)</f>
        <v>0</v>
      </c>
      <c r="CT13" s="99">
        <v>1</v>
      </c>
      <c r="CU13" s="143" t="e">
        <f t="shared" si="57"/>
        <v>#DIV/0!</v>
      </c>
      <c r="CV13" s="142">
        <f t="shared" si="58"/>
        <v>1</v>
      </c>
      <c r="CW13" s="210">
        <f t="shared" si="59"/>
        <v>2</v>
      </c>
      <c r="CX13" s="142">
        <f>_xlfn.XLOOKUP($A13,'Actual Sales'!$D$41:$AG$41,'Actual Sales'!$D$63:$AG$63)</f>
        <v>0</v>
      </c>
      <c r="CY13" s="99">
        <v>3</v>
      </c>
      <c r="CZ13" s="143" t="e">
        <f t="shared" si="60"/>
        <v>#DIV/0!</v>
      </c>
      <c r="DA13" s="142">
        <f t="shared" si="61"/>
        <v>9</v>
      </c>
      <c r="DB13" s="210">
        <f t="shared" si="62"/>
        <v>2</v>
      </c>
      <c r="DC13" s="142">
        <f>_xlfn.XLOOKUP($A13,'Actual Sales'!$D$41:$AG$41,'Actual Sales'!$D$64:$AG$64)</f>
        <v>0</v>
      </c>
      <c r="DD13" s="99">
        <v>2</v>
      </c>
      <c r="DE13" s="143" t="e">
        <f t="shared" si="63"/>
        <v>#DIV/0!</v>
      </c>
      <c r="DF13" s="142">
        <f t="shared" si="64"/>
        <v>4</v>
      </c>
      <c r="DG13" s="210">
        <f t="shared" si="65"/>
        <v>2</v>
      </c>
      <c r="DH13" s="142">
        <f>_xlfn.XLOOKUP($A13,'Actual Sales'!$D$41:$AG$41,'Actual Sales'!$D$65:$AG$65)</f>
        <v>2</v>
      </c>
      <c r="DI13" s="99">
        <v>1</v>
      </c>
      <c r="DJ13" s="143">
        <f t="shared" si="66"/>
        <v>50</v>
      </c>
      <c r="DK13" s="142">
        <f t="shared" si="67"/>
        <v>1</v>
      </c>
      <c r="DL13" s="213">
        <f t="shared" si="68"/>
        <v>0.66666666666666663</v>
      </c>
    </row>
    <row r="14" spans="1:116" x14ac:dyDescent="0.2">
      <c r="A14" s="147">
        <v>11</v>
      </c>
      <c r="B14" s="142">
        <f>_xlfn.XLOOKUP(A14,'Actual Sales'!$D$41:$AG$41,'Actual Sales'!$D$43:$AG$43)</f>
        <v>19</v>
      </c>
      <c r="C14" s="99">
        <v>46</v>
      </c>
      <c r="D14" s="143">
        <f t="shared" si="1"/>
        <v>142.10526315789474</v>
      </c>
      <c r="E14" s="142">
        <f t="shared" si="2"/>
        <v>729</v>
      </c>
      <c r="F14" s="210">
        <f t="shared" si="3"/>
        <v>0.83076923076923082</v>
      </c>
      <c r="G14" s="142">
        <f>_xlfn.XLOOKUP($A14,'Actual Sales'!$D$41:$AG$41,'Actual Sales'!$D$44:$AG$44)</f>
        <v>0</v>
      </c>
      <c r="H14" s="99">
        <v>1</v>
      </c>
      <c r="I14" s="143" t="e">
        <f t="shared" si="0"/>
        <v>#DIV/0!</v>
      </c>
      <c r="J14" s="142">
        <f t="shared" si="4"/>
        <v>1</v>
      </c>
      <c r="K14" s="210">
        <f t="shared" si="5"/>
        <v>2</v>
      </c>
      <c r="L14" s="142">
        <f>_xlfn.XLOOKUP($A14,'Actual Sales'!$D$41:$AG$41,'Actual Sales'!$D$45:$AG$45)</f>
        <v>10</v>
      </c>
      <c r="M14" s="99">
        <v>16</v>
      </c>
      <c r="N14" s="143">
        <f t="shared" si="6"/>
        <v>60</v>
      </c>
      <c r="O14" s="142">
        <f t="shared" si="7"/>
        <v>36</v>
      </c>
      <c r="P14" s="210">
        <f t="shared" si="8"/>
        <v>0.46153846153846156</v>
      </c>
      <c r="Q14" s="142">
        <f>_xlfn.XLOOKUP($A14,'Actual Sales'!$D$41:$AG$41,'Actual Sales'!$D$46:$AG$46)</f>
        <v>1</v>
      </c>
      <c r="R14" s="99">
        <v>2</v>
      </c>
      <c r="S14" s="143">
        <f t="shared" si="9"/>
        <v>100</v>
      </c>
      <c r="T14" s="142">
        <f t="shared" si="10"/>
        <v>1</v>
      </c>
      <c r="U14" s="210">
        <f t="shared" si="11"/>
        <v>0.66666666666666663</v>
      </c>
      <c r="V14" s="142">
        <f>_xlfn.XLOOKUP($A14,'Actual Sales'!$D$41:$AG$41,'Actual Sales'!$D$47:$AG$47)</f>
        <v>19</v>
      </c>
      <c r="W14" s="99">
        <v>19</v>
      </c>
      <c r="X14" s="143">
        <f t="shared" si="12"/>
        <v>0</v>
      </c>
      <c r="Y14" s="142">
        <f t="shared" si="13"/>
        <v>0</v>
      </c>
      <c r="Z14" s="210">
        <f t="shared" si="14"/>
        <v>0</v>
      </c>
      <c r="AA14" s="142">
        <f>_xlfn.XLOOKUP($A14,'Actual Sales'!$D$41:$AG$41,'Actual Sales'!$D$48:$AG$48)</f>
        <v>4</v>
      </c>
      <c r="AB14" s="99">
        <v>11</v>
      </c>
      <c r="AC14" s="143">
        <f t="shared" si="15"/>
        <v>175</v>
      </c>
      <c r="AD14" s="142">
        <f t="shared" si="16"/>
        <v>49</v>
      </c>
      <c r="AE14" s="210">
        <f t="shared" si="17"/>
        <v>0.93333333333333335</v>
      </c>
      <c r="AF14" s="142">
        <f>_xlfn.XLOOKUP($A14,'Actual Sales'!$D$41:$AG$41,'Actual Sales'!$D$49:$AG$49)</f>
        <v>15</v>
      </c>
      <c r="AG14" s="99">
        <v>20</v>
      </c>
      <c r="AH14" s="143">
        <f t="shared" si="18"/>
        <v>33.333333333333329</v>
      </c>
      <c r="AI14" s="142">
        <f t="shared" si="19"/>
        <v>25</v>
      </c>
      <c r="AJ14" s="210">
        <f t="shared" si="20"/>
        <v>0.2857142857142857</v>
      </c>
      <c r="AK14" s="142">
        <f>_xlfn.XLOOKUP($A14,'Actual Sales'!$D$41:$AG$41,'Actual Sales'!$D$50:$AG$50)</f>
        <v>4</v>
      </c>
      <c r="AL14" s="99">
        <v>3</v>
      </c>
      <c r="AM14" s="143">
        <f t="shared" si="21"/>
        <v>25</v>
      </c>
      <c r="AN14" s="142">
        <f t="shared" si="22"/>
        <v>1</v>
      </c>
      <c r="AO14" s="210">
        <f t="shared" si="23"/>
        <v>0.2857142857142857</v>
      </c>
      <c r="AP14" s="142">
        <f>_xlfn.XLOOKUP($A14,'Actual Sales'!$D$41:$AG$41,'Actual Sales'!$D$51:$AG$51)</f>
        <v>1</v>
      </c>
      <c r="AQ14" s="99">
        <v>4</v>
      </c>
      <c r="AR14" s="143">
        <f t="shared" si="24"/>
        <v>300</v>
      </c>
      <c r="AS14" s="142">
        <f t="shared" si="25"/>
        <v>9</v>
      </c>
      <c r="AT14" s="210">
        <f t="shared" si="26"/>
        <v>1.2</v>
      </c>
      <c r="AU14" s="142">
        <f>_xlfn.XLOOKUP($A14,'Actual Sales'!$D$41:$AG$41,'Actual Sales'!$D$52:$AG$52)</f>
        <v>10</v>
      </c>
      <c r="AV14" s="99">
        <v>9</v>
      </c>
      <c r="AW14" s="143">
        <f t="shared" si="27"/>
        <v>10</v>
      </c>
      <c r="AX14" s="142">
        <f t="shared" si="28"/>
        <v>1</v>
      </c>
      <c r="AY14" s="210">
        <f t="shared" si="29"/>
        <v>0.10526315789473684</v>
      </c>
      <c r="AZ14" s="142">
        <f>_xlfn.XLOOKUP($A14,'Actual Sales'!$D$41:$AG$41,'Actual Sales'!$D$53:$AG$53)</f>
        <v>0</v>
      </c>
      <c r="BA14" s="99">
        <v>4</v>
      </c>
      <c r="BB14" s="143" t="e">
        <f t="shared" si="30"/>
        <v>#DIV/0!</v>
      </c>
      <c r="BC14" s="142">
        <f t="shared" si="31"/>
        <v>16</v>
      </c>
      <c r="BD14" s="210">
        <f t="shared" si="32"/>
        <v>2</v>
      </c>
      <c r="BE14" s="142">
        <f>_xlfn.XLOOKUP($A14,'Actual Sales'!$D$41:$AG$41,'Actual Sales'!$D$54:$AG$54)</f>
        <v>2</v>
      </c>
      <c r="BF14" s="99">
        <v>3</v>
      </c>
      <c r="BG14" s="143">
        <f t="shared" si="33"/>
        <v>50</v>
      </c>
      <c r="BH14" s="142">
        <f t="shared" si="34"/>
        <v>1</v>
      </c>
      <c r="BI14" s="210">
        <f t="shared" si="35"/>
        <v>0.4</v>
      </c>
      <c r="BJ14" s="142">
        <f>_xlfn.XLOOKUP($A14,'Actual Sales'!$D$41:$AG$41,'Actual Sales'!$D$55:$AG$55)</f>
        <v>1</v>
      </c>
      <c r="BK14" s="99">
        <v>4</v>
      </c>
      <c r="BL14" s="143">
        <f t="shared" si="36"/>
        <v>300</v>
      </c>
      <c r="BM14" s="142">
        <f t="shared" si="37"/>
        <v>9</v>
      </c>
      <c r="BN14" s="210">
        <f t="shared" si="38"/>
        <v>1.2</v>
      </c>
      <c r="BO14" s="142">
        <f>_xlfn.XLOOKUP($A14,'Actual Sales'!$D$41:$AG$41,'Actual Sales'!$D$56:$AG$56)</f>
        <v>3</v>
      </c>
      <c r="BP14" s="99">
        <v>1</v>
      </c>
      <c r="BQ14" s="143">
        <f t="shared" si="39"/>
        <v>66.666666666666657</v>
      </c>
      <c r="BR14" s="142">
        <f t="shared" si="40"/>
        <v>4</v>
      </c>
      <c r="BS14" s="210">
        <f t="shared" si="41"/>
        <v>1</v>
      </c>
      <c r="BT14" s="142">
        <f>_xlfn.XLOOKUP($A14,'Actual Sales'!$D$41:$AG$41,'Actual Sales'!$D$57:$AG$57)</f>
        <v>3</v>
      </c>
      <c r="BU14" s="99">
        <v>3</v>
      </c>
      <c r="BV14" s="143">
        <f t="shared" si="42"/>
        <v>0</v>
      </c>
      <c r="BW14" s="142">
        <f t="shared" si="43"/>
        <v>0</v>
      </c>
      <c r="BX14" s="210">
        <f t="shared" si="44"/>
        <v>0</v>
      </c>
      <c r="BY14" s="142">
        <f>_xlfn.XLOOKUP($A14,'Actual Sales'!$D$41:$AG$41,'Actual Sales'!$D$58:$AG$58)</f>
        <v>0</v>
      </c>
      <c r="BZ14" s="99">
        <v>1</v>
      </c>
      <c r="CA14" s="143" t="e">
        <f t="shared" si="45"/>
        <v>#DIV/0!</v>
      </c>
      <c r="CB14" s="142">
        <f t="shared" si="46"/>
        <v>1</v>
      </c>
      <c r="CC14" s="210">
        <f t="shared" si="47"/>
        <v>2</v>
      </c>
      <c r="CD14" s="142">
        <f>_xlfn.XLOOKUP($A14,'Actual Sales'!$D$41:$AG$41,'Actual Sales'!$D$59:$AG$59)</f>
        <v>0</v>
      </c>
      <c r="CE14" s="99">
        <v>1</v>
      </c>
      <c r="CF14" s="143" t="e">
        <f t="shared" si="48"/>
        <v>#DIV/0!</v>
      </c>
      <c r="CG14" s="142">
        <f t="shared" si="49"/>
        <v>1</v>
      </c>
      <c r="CH14" s="210">
        <f t="shared" si="50"/>
        <v>2</v>
      </c>
      <c r="CI14" s="142">
        <f>_xlfn.XLOOKUP($A14,'Actual Sales'!$D$41:$AG$41,'Actual Sales'!$D$60:$AG$60)</f>
        <v>2</v>
      </c>
      <c r="CJ14" s="99">
        <v>5</v>
      </c>
      <c r="CK14" s="143">
        <f t="shared" si="51"/>
        <v>150</v>
      </c>
      <c r="CL14" s="142">
        <f t="shared" si="52"/>
        <v>9</v>
      </c>
      <c r="CM14" s="210">
        <f t="shared" si="53"/>
        <v>0.8571428571428571</v>
      </c>
      <c r="CN14" s="142">
        <f>_xlfn.XLOOKUP($A14,'Actual Sales'!$D$41:$AG$41,'Actual Sales'!$D$61:$AG$61)</f>
        <v>3</v>
      </c>
      <c r="CO14" s="99">
        <v>9</v>
      </c>
      <c r="CP14" s="143">
        <f t="shared" si="54"/>
        <v>200</v>
      </c>
      <c r="CQ14" s="142">
        <f t="shared" si="55"/>
        <v>36</v>
      </c>
      <c r="CR14" s="210">
        <f t="shared" si="56"/>
        <v>1</v>
      </c>
      <c r="CS14" s="142">
        <f>_xlfn.XLOOKUP($A14,'Actual Sales'!$D$41:$AG$41,'Actual Sales'!$D$62:$AG$62)</f>
        <v>0</v>
      </c>
      <c r="CT14" s="99">
        <v>1</v>
      </c>
      <c r="CU14" s="143" t="e">
        <f t="shared" si="57"/>
        <v>#DIV/0!</v>
      </c>
      <c r="CV14" s="142">
        <f t="shared" si="58"/>
        <v>1</v>
      </c>
      <c r="CW14" s="210">
        <f t="shared" si="59"/>
        <v>2</v>
      </c>
      <c r="CX14" s="142">
        <f>_xlfn.XLOOKUP($A14,'Actual Sales'!$D$41:$AG$41,'Actual Sales'!$D$63:$AG$63)</f>
        <v>1</v>
      </c>
      <c r="CY14" s="99">
        <v>3</v>
      </c>
      <c r="CZ14" s="143">
        <f t="shared" si="60"/>
        <v>200</v>
      </c>
      <c r="DA14" s="142">
        <f t="shared" si="61"/>
        <v>4</v>
      </c>
      <c r="DB14" s="210">
        <f t="shared" si="62"/>
        <v>1</v>
      </c>
      <c r="DC14" s="142">
        <f>_xlfn.XLOOKUP($A14,'Actual Sales'!$D$41:$AG$41,'Actual Sales'!$D$64:$AG$64)</f>
        <v>1</v>
      </c>
      <c r="DD14" s="99">
        <v>1</v>
      </c>
      <c r="DE14" s="143">
        <f t="shared" si="63"/>
        <v>0</v>
      </c>
      <c r="DF14" s="142">
        <f t="shared" si="64"/>
        <v>0</v>
      </c>
      <c r="DG14" s="210">
        <f t="shared" si="65"/>
        <v>0</v>
      </c>
      <c r="DH14" s="142">
        <f>_xlfn.XLOOKUP($A14,'Actual Sales'!$D$41:$AG$41,'Actual Sales'!$D$65:$AG$65)</f>
        <v>0</v>
      </c>
      <c r="DI14" s="99">
        <v>1</v>
      </c>
      <c r="DJ14" s="143" t="e">
        <f t="shared" si="66"/>
        <v>#DIV/0!</v>
      </c>
      <c r="DK14" s="142">
        <f t="shared" si="67"/>
        <v>1</v>
      </c>
      <c r="DL14" s="213">
        <f t="shared" si="68"/>
        <v>2</v>
      </c>
    </row>
    <row r="15" spans="1:116" x14ac:dyDescent="0.2">
      <c r="A15" s="147">
        <v>12</v>
      </c>
      <c r="B15" s="142">
        <f>_xlfn.XLOOKUP(A15,'Actual Sales'!$D$41:$AG$41,'Actual Sales'!$D$43:$AG$43)</f>
        <v>25</v>
      </c>
      <c r="C15" s="99">
        <v>48</v>
      </c>
      <c r="D15" s="143">
        <f t="shared" si="1"/>
        <v>92</v>
      </c>
      <c r="E15" s="142">
        <f t="shared" si="2"/>
        <v>529</v>
      </c>
      <c r="F15" s="210">
        <f t="shared" si="3"/>
        <v>0.63013698630136983</v>
      </c>
      <c r="G15" s="142">
        <f>_xlfn.XLOOKUP($A15,'Actual Sales'!$D$41:$AG$41,'Actual Sales'!$D$44:$AG$44)</f>
        <v>0</v>
      </c>
      <c r="H15" s="99">
        <v>1</v>
      </c>
      <c r="I15" s="143" t="e">
        <f t="shared" si="0"/>
        <v>#DIV/0!</v>
      </c>
      <c r="J15" s="142">
        <f t="shared" si="4"/>
        <v>1</v>
      </c>
      <c r="K15" s="210">
        <f t="shared" si="5"/>
        <v>2</v>
      </c>
      <c r="L15" s="142">
        <f>_xlfn.XLOOKUP($A15,'Actual Sales'!$D$41:$AG$41,'Actual Sales'!$D$45:$AG$45)</f>
        <v>12</v>
      </c>
      <c r="M15" s="99">
        <v>17</v>
      </c>
      <c r="N15" s="143">
        <f t="shared" si="6"/>
        <v>41.666666666666671</v>
      </c>
      <c r="O15" s="142">
        <f t="shared" si="7"/>
        <v>25</v>
      </c>
      <c r="P15" s="210">
        <f t="shared" si="8"/>
        <v>0.34482758620689657</v>
      </c>
      <c r="Q15" s="142">
        <f>_xlfn.XLOOKUP($A15,'Actual Sales'!$D$41:$AG$41,'Actual Sales'!$D$46:$AG$46)</f>
        <v>4</v>
      </c>
      <c r="R15" s="99">
        <v>2</v>
      </c>
      <c r="S15" s="143">
        <f t="shared" si="9"/>
        <v>50</v>
      </c>
      <c r="T15" s="142">
        <f t="shared" si="10"/>
        <v>4</v>
      </c>
      <c r="U15" s="210">
        <f t="shared" si="11"/>
        <v>0.66666666666666663</v>
      </c>
      <c r="V15" s="142">
        <f>_xlfn.XLOOKUP($A15,'Actual Sales'!$D$41:$AG$41,'Actual Sales'!$D$47:$AG$47)</f>
        <v>14</v>
      </c>
      <c r="W15" s="99">
        <v>19</v>
      </c>
      <c r="X15" s="143">
        <f t="shared" si="12"/>
        <v>35.714285714285715</v>
      </c>
      <c r="Y15" s="142">
        <f t="shared" si="13"/>
        <v>25</v>
      </c>
      <c r="Z15" s="210">
        <f t="shared" si="14"/>
        <v>0.30303030303030304</v>
      </c>
      <c r="AA15" s="142">
        <f>_xlfn.XLOOKUP($A15,'Actual Sales'!$D$41:$AG$41,'Actual Sales'!$D$48:$AG$48)</f>
        <v>7</v>
      </c>
      <c r="AB15" s="99">
        <v>10</v>
      </c>
      <c r="AC15" s="143">
        <f t="shared" si="15"/>
        <v>42.857142857142854</v>
      </c>
      <c r="AD15" s="142">
        <f t="shared" si="16"/>
        <v>9</v>
      </c>
      <c r="AE15" s="210">
        <f t="shared" si="17"/>
        <v>0.35294117647058826</v>
      </c>
      <c r="AF15" s="142">
        <f>_xlfn.XLOOKUP($A15,'Actual Sales'!$D$41:$AG$41,'Actual Sales'!$D$49:$AG$49)</f>
        <v>24</v>
      </c>
      <c r="AG15" s="99">
        <v>19</v>
      </c>
      <c r="AH15" s="143">
        <f t="shared" si="18"/>
        <v>20.833333333333336</v>
      </c>
      <c r="AI15" s="142">
        <f t="shared" si="19"/>
        <v>25</v>
      </c>
      <c r="AJ15" s="210">
        <f t="shared" si="20"/>
        <v>0.23255813953488372</v>
      </c>
      <c r="AK15" s="142">
        <f>_xlfn.XLOOKUP($A15,'Actual Sales'!$D$41:$AG$41,'Actual Sales'!$D$50:$AG$50)</f>
        <v>9</v>
      </c>
      <c r="AL15" s="99">
        <v>3</v>
      </c>
      <c r="AM15" s="143">
        <f t="shared" si="21"/>
        <v>66.666666666666657</v>
      </c>
      <c r="AN15" s="142">
        <f t="shared" si="22"/>
        <v>36</v>
      </c>
      <c r="AO15" s="210">
        <f t="shared" si="23"/>
        <v>1</v>
      </c>
      <c r="AP15" s="142">
        <f>_xlfn.XLOOKUP($A15,'Actual Sales'!$D$41:$AG$41,'Actual Sales'!$D$51:$AG$51)</f>
        <v>1</v>
      </c>
      <c r="AQ15" s="99">
        <v>4</v>
      </c>
      <c r="AR15" s="143">
        <f t="shared" si="24"/>
        <v>300</v>
      </c>
      <c r="AS15" s="142">
        <f t="shared" si="25"/>
        <v>9</v>
      </c>
      <c r="AT15" s="210">
        <f t="shared" si="26"/>
        <v>1.2</v>
      </c>
      <c r="AU15" s="142">
        <f>_xlfn.XLOOKUP($A15,'Actual Sales'!$D$41:$AG$41,'Actual Sales'!$D$52:$AG$52)</f>
        <v>8</v>
      </c>
      <c r="AV15" s="99">
        <v>9</v>
      </c>
      <c r="AW15" s="143">
        <f t="shared" si="27"/>
        <v>12.5</v>
      </c>
      <c r="AX15" s="142">
        <f t="shared" si="28"/>
        <v>1</v>
      </c>
      <c r="AY15" s="210">
        <f t="shared" si="29"/>
        <v>0.11764705882352941</v>
      </c>
      <c r="AZ15" s="142">
        <f>_xlfn.XLOOKUP($A15,'Actual Sales'!$D$41:$AG$41,'Actual Sales'!$D$53:$AG$53)</f>
        <v>1</v>
      </c>
      <c r="BA15" s="99">
        <v>4</v>
      </c>
      <c r="BB15" s="143">
        <f t="shared" si="30"/>
        <v>300</v>
      </c>
      <c r="BC15" s="142">
        <f t="shared" si="31"/>
        <v>9</v>
      </c>
      <c r="BD15" s="210">
        <f t="shared" si="32"/>
        <v>1.2</v>
      </c>
      <c r="BE15" s="142">
        <f>_xlfn.XLOOKUP($A15,'Actual Sales'!$D$41:$AG$41,'Actual Sales'!$D$54:$AG$54)</f>
        <v>6</v>
      </c>
      <c r="BF15" s="99">
        <v>2</v>
      </c>
      <c r="BG15" s="143">
        <f t="shared" si="33"/>
        <v>66.666666666666657</v>
      </c>
      <c r="BH15" s="142">
        <f t="shared" si="34"/>
        <v>16</v>
      </c>
      <c r="BI15" s="210">
        <f t="shared" si="35"/>
        <v>1</v>
      </c>
      <c r="BJ15" s="142">
        <f>_xlfn.XLOOKUP($A15,'Actual Sales'!$D$41:$AG$41,'Actual Sales'!$D$55:$AG$55)</f>
        <v>1</v>
      </c>
      <c r="BK15" s="99">
        <v>3</v>
      </c>
      <c r="BL15" s="143">
        <f t="shared" si="36"/>
        <v>200</v>
      </c>
      <c r="BM15" s="142">
        <f t="shared" si="37"/>
        <v>4</v>
      </c>
      <c r="BN15" s="210">
        <f t="shared" si="38"/>
        <v>1</v>
      </c>
      <c r="BO15" s="142">
        <f>_xlfn.XLOOKUP($A15,'Actual Sales'!$D$41:$AG$41,'Actual Sales'!$D$56:$AG$56)</f>
        <v>4</v>
      </c>
      <c r="BP15" s="99">
        <v>2</v>
      </c>
      <c r="BQ15" s="143">
        <f t="shared" si="39"/>
        <v>50</v>
      </c>
      <c r="BR15" s="142">
        <f t="shared" si="40"/>
        <v>4</v>
      </c>
      <c r="BS15" s="210">
        <f t="shared" si="41"/>
        <v>0.66666666666666663</v>
      </c>
      <c r="BT15" s="142">
        <f>_xlfn.XLOOKUP($A15,'Actual Sales'!$D$41:$AG$41,'Actual Sales'!$D$57:$AG$57)</f>
        <v>0</v>
      </c>
      <c r="BU15" s="99">
        <v>3</v>
      </c>
      <c r="BV15" s="143" t="e">
        <f t="shared" si="42"/>
        <v>#DIV/0!</v>
      </c>
      <c r="BW15" s="142">
        <f t="shared" si="43"/>
        <v>9</v>
      </c>
      <c r="BX15" s="210">
        <f t="shared" si="44"/>
        <v>2</v>
      </c>
      <c r="BY15" s="142">
        <f>_xlfn.XLOOKUP($A15,'Actual Sales'!$D$41:$AG$41,'Actual Sales'!$D$58:$AG$58)</f>
        <v>0</v>
      </c>
      <c r="BZ15" s="99">
        <v>1</v>
      </c>
      <c r="CA15" s="143" t="e">
        <f t="shared" si="45"/>
        <v>#DIV/0!</v>
      </c>
      <c r="CB15" s="142">
        <f t="shared" si="46"/>
        <v>1</v>
      </c>
      <c r="CC15" s="210">
        <f t="shared" si="47"/>
        <v>2</v>
      </c>
      <c r="CD15" s="142">
        <f>_xlfn.XLOOKUP($A15,'Actual Sales'!$D$41:$AG$41,'Actual Sales'!$D$59:$AG$59)</f>
        <v>0</v>
      </c>
      <c r="CE15" s="99">
        <v>1</v>
      </c>
      <c r="CF15" s="143" t="e">
        <f t="shared" si="48"/>
        <v>#DIV/0!</v>
      </c>
      <c r="CG15" s="142">
        <f t="shared" si="49"/>
        <v>1</v>
      </c>
      <c r="CH15" s="210">
        <f t="shared" si="50"/>
        <v>2</v>
      </c>
      <c r="CI15" s="142">
        <f>_xlfn.XLOOKUP($A15,'Actual Sales'!$D$41:$AG$41,'Actual Sales'!$D$60:$AG$60)</f>
        <v>3</v>
      </c>
      <c r="CJ15" s="99">
        <v>6</v>
      </c>
      <c r="CK15" s="143">
        <f t="shared" si="51"/>
        <v>100</v>
      </c>
      <c r="CL15" s="142">
        <f t="shared" si="52"/>
        <v>9</v>
      </c>
      <c r="CM15" s="210">
        <f t="shared" si="53"/>
        <v>0.66666666666666663</v>
      </c>
      <c r="CN15" s="142">
        <f>_xlfn.XLOOKUP($A15,'Actual Sales'!$D$41:$AG$41,'Actual Sales'!$D$61:$AG$61)</f>
        <v>6</v>
      </c>
      <c r="CO15" s="99">
        <v>9</v>
      </c>
      <c r="CP15" s="143">
        <f t="shared" si="54"/>
        <v>50</v>
      </c>
      <c r="CQ15" s="142">
        <f t="shared" si="55"/>
        <v>9</v>
      </c>
      <c r="CR15" s="210">
        <f t="shared" si="56"/>
        <v>0.4</v>
      </c>
      <c r="CS15" s="142">
        <f>_xlfn.XLOOKUP($A15,'Actual Sales'!$D$41:$AG$41,'Actual Sales'!$D$62:$AG$62)</f>
        <v>0</v>
      </c>
      <c r="CT15" s="99">
        <v>1</v>
      </c>
      <c r="CU15" s="143" t="e">
        <f t="shared" si="57"/>
        <v>#DIV/0!</v>
      </c>
      <c r="CV15" s="142">
        <f t="shared" si="58"/>
        <v>1</v>
      </c>
      <c r="CW15" s="210">
        <f t="shared" si="59"/>
        <v>2</v>
      </c>
      <c r="CX15" s="142">
        <f>_xlfn.XLOOKUP($A15,'Actual Sales'!$D$41:$AG$41,'Actual Sales'!$D$63:$AG$63)</f>
        <v>2</v>
      </c>
      <c r="CY15" s="99">
        <v>2</v>
      </c>
      <c r="CZ15" s="143">
        <f t="shared" si="60"/>
        <v>0</v>
      </c>
      <c r="DA15" s="142">
        <f t="shared" si="61"/>
        <v>0</v>
      </c>
      <c r="DB15" s="210">
        <f t="shared" si="62"/>
        <v>0</v>
      </c>
      <c r="DC15" s="142">
        <f>_xlfn.XLOOKUP($A15,'Actual Sales'!$D$41:$AG$41,'Actual Sales'!$D$64:$AG$64)</f>
        <v>0</v>
      </c>
      <c r="DD15" s="99">
        <v>1</v>
      </c>
      <c r="DE15" s="143" t="e">
        <f t="shared" si="63"/>
        <v>#DIV/0!</v>
      </c>
      <c r="DF15" s="142">
        <f t="shared" si="64"/>
        <v>1</v>
      </c>
      <c r="DG15" s="210">
        <f t="shared" si="65"/>
        <v>2</v>
      </c>
      <c r="DH15" s="142">
        <f>_xlfn.XLOOKUP($A15,'Actual Sales'!$D$41:$AG$41,'Actual Sales'!$D$65:$AG$65)</f>
        <v>0</v>
      </c>
      <c r="DI15" s="99">
        <v>1</v>
      </c>
      <c r="DJ15" s="143" t="e">
        <f t="shared" si="66"/>
        <v>#DIV/0!</v>
      </c>
      <c r="DK15" s="142">
        <f t="shared" si="67"/>
        <v>1</v>
      </c>
      <c r="DL15" s="213">
        <f t="shared" si="68"/>
        <v>2</v>
      </c>
    </row>
    <row r="16" spans="1:116" x14ac:dyDescent="0.2">
      <c r="A16" s="147">
        <v>13</v>
      </c>
      <c r="B16" s="142">
        <f>_xlfn.XLOOKUP(A16,'Actual Sales'!$D$41:$AG$41,'Actual Sales'!$D$43:$AG$43)</f>
        <v>30</v>
      </c>
      <c r="C16" s="99">
        <v>45</v>
      </c>
      <c r="D16" s="143">
        <f t="shared" si="1"/>
        <v>50</v>
      </c>
      <c r="E16" s="142">
        <f t="shared" si="2"/>
        <v>225</v>
      </c>
      <c r="F16" s="210">
        <f t="shared" si="3"/>
        <v>0.4</v>
      </c>
      <c r="G16" s="142">
        <f>_xlfn.XLOOKUP($A16,'Actual Sales'!$D$41:$AG$41,'Actual Sales'!$D$44:$AG$44)</f>
        <v>0</v>
      </c>
      <c r="H16" s="99">
        <v>1</v>
      </c>
      <c r="I16" s="143" t="e">
        <f t="shared" si="0"/>
        <v>#DIV/0!</v>
      </c>
      <c r="J16" s="142">
        <f t="shared" si="4"/>
        <v>1</v>
      </c>
      <c r="K16" s="210">
        <f t="shared" si="5"/>
        <v>2</v>
      </c>
      <c r="L16" s="142">
        <f>_xlfn.XLOOKUP($A16,'Actual Sales'!$D$41:$AG$41,'Actual Sales'!$D$45:$AG$45)</f>
        <v>6</v>
      </c>
      <c r="M16" s="99">
        <v>18</v>
      </c>
      <c r="N16" s="143">
        <f t="shared" si="6"/>
        <v>200</v>
      </c>
      <c r="O16" s="142">
        <f t="shared" si="7"/>
        <v>144</v>
      </c>
      <c r="P16" s="210">
        <f t="shared" si="8"/>
        <v>1</v>
      </c>
      <c r="Q16" s="142">
        <f>_xlfn.XLOOKUP($A16,'Actual Sales'!$D$41:$AG$41,'Actual Sales'!$D$46:$AG$46)</f>
        <v>3</v>
      </c>
      <c r="R16" s="99">
        <v>2</v>
      </c>
      <c r="S16" s="143">
        <f t="shared" si="9"/>
        <v>33.333333333333329</v>
      </c>
      <c r="T16" s="142">
        <f t="shared" si="10"/>
        <v>1</v>
      </c>
      <c r="U16" s="210">
        <f t="shared" si="11"/>
        <v>0.4</v>
      </c>
      <c r="V16" s="142">
        <f>_xlfn.XLOOKUP($A16,'Actual Sales'!$D$41:$AG$41,'Actual Sales'!$D$47:$AG$47)</f>
        <v>22</v>
      </c>
      <c r="W16" s="99">
        <v>19</v>
      </c>
      <c r="X16" s="143">
        <f t="shared" si="12"/>
        <v>13.636363636363635</v>
      </c>
      <c r="Y16" s="142">
        <f t="shared" si="13"/>
        <v>9</v>
      </c>
      <c r="Z16" s="210">
        <f t="shared" si="14"/>
        <v>0.14634146341463414</v>
      </c>
      <c r="AA16" s="142">
        <f>_xlfn.XLOOKUP($A16,'Actual Sales'!$D$41:$AG$41,'Actual Sales'!$D$48:$AG$48)</f>
        <v>6</v>
      </c>
      <c r="AB16" s="99">
        <v>10</v>
      </c>
      <c r="AC16" s="143">
        <f t="shared" si="15"/>
        <v>66.666666666666657</v>
      </c>
      <c r="AD16" s="142">
        <f t="shared" si="16"/>
        <v>16</v>
      </c>
      <c r="AE16" s="210">
        <f t="shared" si="17"/>
        <v>0.5</v>
      </c>
      <c r="AF16" s="142">
        <f>_xlfn.XLOOKUP($A16,'Actual Sales'!$D$41:$AG$41,'Actual Sales'!$D$49:$AG$49)</f>
        <v>33</v>
      </c>
      <c r="AG16" s="99">
        <v>19</v>
      </c>
      <c r="AH16" s="143">
        <f t="shared" si="18"/>
        <v>42.424242424242422</v>
      </c>
      <c r="AI16" s="142">
        <f t="shared" si="19"/>
        <v>196</v>
      </c>
      <c r="AJ16" s="210">
        <f t="shared" si="20"/>
        <v>0.53846153846153844</v>
      </c>
      <c r="AK16" s="142">
        <f>_xlfn.XLOOKUP($A16,'Actual Sales'!$D$41:$AG$41,'Actual Sales'!$D$50:$AG$50)</f>
        <v>7</v>
      </c>
      <c r="AL16" s="99">
        <v>3</v>
      </c>
      <c r="AM16" s="143">
        <f t="shared" si="21"/>
        <v>57.142857142857139</v>
      </c>
      <c r="AN16" s="142">
        <f t="shared" si="22"/>
        <v>16</v>
      </c>
      <c r="AO16" s="210">
        <f t="shared" si="23"/>
        <v>0.8</v>
      </c>
      <c r="AP16" s="142">
        <f>_xlfn.XLOOKUP($A16,'Actual Sales'!$D$41:$AG$41,'Actual Sales'!$D$51:$AG$51)</f>
        <v>2</v>
      </c>
      <c r="AQ16" s="99">
        <v>4</v>
      </c>
      <c r="AR16" s="143">
        <f t="shared" si="24"/>
        <v>100</v>
      </c>
      <c r="AS16" s="142">
        <f t="shared" si="25"/>
        <v>4</v>
      </c>
      <c r="AT16" s="210">
        <f t="shared" si="26"/>
        <v>0.66666666666666663</v>
      </c>
      <c r="AU16" s="142">
        <f>_xlfn.XLOOKUP($A16,'Actual Sales'!$D$41:$AG$41,'Actual Sales'!$D$52:$AG$52)</f>
        <v>12</v>
      </c>
      <c r="AV16" s="99">
        <v>9</v>
      </c>
      <c r="AW16" s="143">
        <f t="shared" si="27"/>
        <v>25</v>
      </c>
      <c r="AX16" s="142">
        <f t="shared" si="28"/>
        <v>9</v>
      </c>
      <c r="AY16" s="210">
        <f t="shared" si="29"/>
        <v>0.2857142857142857</v>
      </c>
      <c r="AZ16" s="142">
        <f>_xlfn.XLOOKUP($A16,'Actual Sales'!$D$41:$AG$41,'Actual Sales'!$D$53:$AG$53)</f>
        <v>2</v>
      </c>
      <c r="BA16" s="99">
        <v>4</v>
      </c>
      <c r="BB16" s="143">
        <f t="shared" si="30"/>
        <v>100</v>
      </c>
      <c r="BC16" s="142">
        <f t="shared" si="31"/>
        <v>4</v>
      </c>
      <c r="BD16" s="210">
        <f t="shared" si="32"/>
        <v>0.66666666666666663</v>
      </c>
      <c r="BE16" s="142">
        <f>_xlfn.XLOOKUP($A16,'Actual Sales'!$D$41:$AG$41,'Actual Sales'!$D$54:$AG$54)</f>
        <v>7</v>
      </c>
      <c r="BF16" s="99">
        <v>3</v>
      </c>
      <c r="BG16" s="143">
        <f t="shared" si="33"/>
        <v>57.142857142857139</v>
      </c>
      <c r="BH16" s="142">
        <f t="shared" si="34"/>
        <v>16</v>
      </c>
      <c r="BI16" s="210">
        <f t="shared" si="35"/>
        <v>0.8</v>
      </c>
      <c r="BJ16" s="142">
        <f>_xlfn.XLOOKUP($A16,'Actual Sales'!$D$41:$AG$41,'Actual Sales'!$D$55:$AG$55)</f>
        <v>3</v>
      </c>
      <c r="BK16" s="99">
        <v>3</v>
      </c>
      <c r="BL16" s="143">
        <f t="shared" si="36"/>
        <v>0</v>
      </c>
      <c r="BM16" s="142">
        <f t="shared" si="37"/>
        <v>0</v>
      </c>
      <c r="BN16" s="210">
        <f t="shared" si="38"/>
        <v>0</v>
      </c>
      <c r="BO16" s="142">
        <f>_xlfn.XLOOKUP($A16,'Actual Sales'!$D$41:$AG$41,'Actual Sales'!$D$56:$AG$56)</f>
        <v>3</v>
      </c>
      <c r="BP16" s="99">
        <v>1</v>
      </c>
      <c r="BQ16" s="143">
        <f t="shared" si="39"/>
        <v>66.666666666666657</v>
      </c>
      <c r="BR16" s="142">
        <f t="shared" si="40"/>
        <v>4</v>
      </c>
      <c r="BS16" s="210">
        <f t="shared" si="41"/>
        <v>1</v>
      </c>
      <c r="BT16" s="142">
        <f>_xlfn.XLOOKUP($A16,'Actual Sales'!$D$41:$AG$41,'Actual Sales'!$D$57:$AG$57)</f>
        <v>0</v>
      </c>
      <c r="BU16" s="99">
        <v>3</v>
      </c>
      <c r="BV16" s="143" t="e">
        <f t="shared" si="42"/>
        <v>#DIV/0!</v>
      </c>
      <c r="BW16" s="142">
        <f t="shared" si="43"/>
        <v>9</v>
      </c>
      <c r="BX16" s="210">
        <f t="shared" si="44"/>
        <v>2</v>
      </c>
      <c r="BY16" s="142">
        <f>_xlfn.XLOOKUP($A16,'Actual Sales'!$D$41:$AG$41,'Actual Sales'!$D$58:$AG$58)</f>
        <v>0</v>
      </c>
      <c r="BZ16" s="99">
        <v>1</v>
      </c>
      <c r="CA16" s="143" t="e">
        <f t="shared" si="45"/>
        <v>#DIV/0!</v>
      </c>
      <c r="CB16" s="142">
        <f t="shared" si="46"/>
        <v>1</v>
      </c>
      <c r="CC16" s="210">
        <f t="shared" si="47"/>
        <v>2</v>
      </c>
      <c r="CD16" s="142">
        <f>_xlfn.XLOOKUP($A16,'Actual Sales'!$D$41:$AG$41,'Actual Sales'!$D$59:$AG$59)</f>
        <v>2</v>
      </c>
      <c r="CE16" s="99">
        <v>1</v>
      </c>
      <c r="CF16" s="143">
        <f t="shared" si="48"/>
        <v>50</v>
      </c>
      <c r="CG16" s="142">
        <f t="shared" si="49"/>
        <v>1</v>
      </c>
      <c r="CH16" s="210">
        <f t="shared" si="50"/>
        <v>0.66666666666666663</v>
      </c>
      <c r="CI16" s="142">
        <f>_xlfn.XLOOKUP($A16,'Actual Sales'!$D$41:$AG$41,'Actual Sales'!$D$60:$AG$60)</f>
        <v>2</v>
      </c>
      <c r="CJ16" s="99">
        <v>5</v>
      </c>
      <c r="CK16" s="143">
        <f t="shared" si="51"/>
        <v>150</v>
      </c>
      <c r="CL16" s="142">
        <f t="shared" si="52"/>
        <v>9</v>
      </c>
      <c r="CM16" s="210">
        <f t="shared" si="53"/>
        <v>0.8571428571428571</v>
      </c>
      <c r="CN16" s="142">
        <f>_xlfn.XLOOKUP($A16,'Actual Sales'!$D$41:$AG$41,'Actual Sales'!$D$61:$AG$61)</f>
        <v>3</v>
      </c>
      <c r="CO16" s="99">
        <v>9</v>
      </c>
      <c r="CP16" s="143">
        <f t="shared" si="54"/>
        <v>200</v>
      </c>
      <c r="CQ16" s="142">
        <f t="shared" si="55"/>
        <v>36</v>
      </c>
      <c r="CR16" s="210">
        <f t="shared" si="56"/>
        <v>1</v>
      </c>
      <c r="CS16" s="142">
        <f>_xlfn.XLOOKUP($A16,'Actual Sales'!$D$41:$AG$41,'Actual Sales'!$D$62:$AG$62)</f>
        <v>0</v>
      </c>
      <c r="CT16" s="99">
        <v>1</v>
      </c>
      <c r="CU16" s="143" t="e">
        <f t="shared" si="57"/>
        <v>#DIV/0!</v>
      </c>
      <c r="CV16" s="142">
        <f t="shared" si="58"/>
        <v>1</v>
      </c>
      <c r="CW16" s="210">
        <f t="shared" si="59"/>
        <v>2</v>
      </c>
      <c r="CX16" s="142">
        <f>_xlfn.XLOOKUP($A16,'Actual Sales'!$D$41:$AG$41,'Actual Sales'!$D$63:$AG$63)</f>
        <v>1</v>
      </c>
      <c r="CY16" s="99">
        <v>2</v>
      </c>
      <c r="CZ16" s="143">
        <f t="shared" si="60"/>
        <v>100</v>
      </c>
      <c r="DA16" s="142">
        <f t="shared" si="61"/>
        <v>1</v>
      </c>
      <c r="DB16" s="210">
        <f t="shared" si="62"/>
        <v>0.66666666666666663</v>
      </c>
      <c r="DC16" s="142">
        <f>_xlfn.XLOOKUP($A16,'Actual Sales'!$D$41:$AG$41,'Actual Sales'!$D$64:$AG$64)</f>
        <v>0</v>
      </c>
      <c r="DD16" s="99">
        <v>1</v>
      </c>
      <c r="DE16" s="143" t="e">
        <f t="shared" si="63"/>
        <v>#DIV/0!</v>
      </c>
      <c r="DF16" s="142">
        <f t="shared" si="64"/>
        <v>1</v>
      </c>
      <c r="DG16" s="210">
        <f t="shared" si="65"/>
        <v>2</v>
      </c>
      <c r="DH16" s="142">
        <f>_xlfn.XLOOKUP($A16,'Actual Sales'!$D$41:$AG$41,'Actual Sales'!$D$65:$AG$65)</f>
        <v>1</v>
      </c>
      <c r="DI16" s="99">
        <v>1</v>
      </c>
      <c r="DJ16" s="143">
        <f t="shared" si="66"/>
        <v>0</v>
      </c>
      <c r="DK16" s="142">
        <f t="shared" si="67"/>
        <v>0</v>
      </c>
      <c r="DL16" s="213">
        <f t="shared" si="68"/>
        <v>0</v>
      </c>
    </row>
    <row r="17" spans="1:116" x14ac:dyDescent="0.2">
      <c r="A17" s="147">
        <v>14</v>
      </c>
      <c r="B17" s="142">
        <f>_xlfn.XLOOKUP(A17,'Actual Sales'!$D$41:$AG$41,'Actual Sales'!$D$43:$AG$43)</f>
        <v>32</v>
      </c>
      <c r="C17" s="99">
        <v>46</v>
      </c>
      <c r="D17" s="143">
        <f t="shared" si="1"/>
        <v>43.75</v>
      </c>
      <c r="E17" s="142">
        <f t="shared" si="2"/>
        <v>196</v>
      </c>
      <c r="F17" s="210">
        <f t="shared" si="3"/>
        <v>0.35897435897435898</v>
      </c>
      <c r="G17" s="142">
        <f>_xlfn.XLOOKUP($A17,'Actual Sales'!$D$41:$AG$41,'Actual Sales'!$D$44:$AG$44)</f>
        <v>0</v>
      </c>
      <c r="H17" s="99">
        <v>1</v>
      </c>
      <c r="I17" s="143" t="e">
        <f t="shared" si="0"/>
        <v>#DIV/0!</v>
      </c>
      <c r="J17" s="142">
        <f t="shared" si="4"/>
        <v>1</v>
      </c>
      <c r="K17" s="210">
        <f t="shared" si="5"/>
        <v>2</v>
      </c>
      <c r="L17" s="142">
        <f>_xlfn.XLOOKUP($A17,'Actual Sales'!$D$41:$AG$41,'Actual Sales'!$D$45:$AG$45)</f>
        <v>11</v>
      </c>
      <c r="M17" s="99">
        <v>21</v>
      </c>
      <c r="N17" s="143">
        <f t="shared" si="6"/>
        <v>90.909090909090907</v>
      </c>
      <c r="O17" s="142">
        <f t="shared" si="7"/>
        <v>100</v>
      </c>
      <c r="P17" s="210">
        <f t="shared" si="8"/>
        <v>0.625</v>
      </c>
      <c r="Q17" s="142">
        <f>_xlfn.XLOOKUP($A17,'Actual Sales'!$D$41:$AG$41,'Actual Sales'!$D$46:$AG$46)</f>
        <v>5</v>
      </c>
      <c r="R17" s="99">
        <v>2</v>
      </c>
      <c r="S17" s="143">
        <f t="shared" si="9"/>
        <v>60</v>
      </c>
      <c r="T17" s="142">
        <f t="shared" si="10"/>
        <v>9</v>
      </c>
      <c r="U17" s="210">
        <f t="shared" si="11"/>
        <v>0.8571428571428571</v>
      </c>
      <c r="V17" s="142">
        <f>_xlfn.XLOOKUP($A17,'Actual Sales'!$D$41:$AG$41,'Actual Sales'!$D$47:$AG$47)</f>
        <v>14</v>
      </c>
      <c r="W17" s="99">
        <v>19</v>
      </c>
      <c r="X17" s="143">
        <f t="shared" si="12"/>
        <v>35.714285714285715</v>
      </c>
      <c r="Y17" s="142">
        <f t="shared" si="13"/>
        <v>25</v>
      </c>
      <c r="Z17" s="210">
        <f t="shared" si="14"/>
        <v>0.30303030303030304</v>
      </c>
      <c r="AA17" s="142">
        <f>_xlfn.XLOOKUP($A17,'Actual Sales'!$D$41:$AG$41,'Actual Sales'!$D$48:$AG$48)</f>
        <v>3</v>
      </c>
      <c r="AB17" s="99">
        <v>10</v>
      </c>
      <c r="AC17" s="143">
        <f t="shared" si="15"/>
        <v>233.33333333333334</v>
      </c>
      <c r="AD17" s="142">
        <f t="shared" si="16"/>
        <v>49</v>
      </c>
      <c r="AE17" s="210">
        <f t="shared" si="17"/>
        <v>1.0769230769230769</v>
      </c>
      <c r="AF17" s="142">
        <f>_xlfn.XLOOKUP($A17,'Actual Sales'!$D$41:$AG$41,'Actual Sales'!$D$49:$AG$49)</f>
        <v>17</v>
      </c>
      <c r="AG17" s="99">
        <v>19</v>
      </c>
      <c r="AH17" s="143">
        <f t="shared" si="18"/>
        <v>11.76470588235294</v>
      </c>
      <c r="AI17" s="142">
        <f t="shared" si="19"/>
        <v>4</v>
      </c>
      <c r="AJ17" s="210">
        <f t="shared" si="20"/>
        <v>0.1111111111111111</v>
      </c>
      <c r="AK17" s="142">
        <f>_xlfn.XLOOKUP($A17,'Actual Sales'!$D$41:$AG$41,'Actual Sales'!$D$50:$AG$50)</f>
        <v>6</v>
      </c>
      <c r="AL17" s="99">
        <v>3</v>
      </c>
      <c r="AM17" s="143">
        <f t="shared" si="21"/>
        <v>50</v>
      </c>
      <c r="AN17" s="142">
        <f t="shared" si="22"/>
        <v>9</v>
      </c>
      <c r="AO17" s="210">
        <f t="shared" si="23"/>
        <v>0.66666666666666663</v>
      </c>
      <c r="AP17" s="142">
        <f>_xlfn.XLOOKUP($A17,'Actual Sales'!$D$41:$AG$41,'Actual Sales'!$D$51:$AG$51)</f>
        <v>3</v>
      </c>
      <c r="AQ17" s="99">
        <v>4</v>
      </c>
      <c r="AR17" s="143">
        <f t="shared" si="24"/>
        <v>33.333333333333329</v>
      </c>
      <c r="AS17" s="142">
        <f t="shared" si="25"/>
        <v>1</v>
      </c>
      <c r="AT17" s="210">
        <f t="shared" si="26"/>
        <v>0.2857142857142857</v>
      </c>
      <c r="AU17" s="142">
        <f>_xlfn.XLOOKUP($A17,'Actual Sales'!$D$41:$AG$41,'Actual Sales'!$D$52:$AG$52)</f>
        <v>15</v>
      </c>
      <c r="AV17" s="99">
        <v>9</v>
      </c>
      <c r="AW17" s="143">
        <f t="shared" si="27"/>
        <v>40</v>
      </c>
      <c r="AX17" s="142">
        <f t="shared" si="28"/>
        <v>36</v>
      </c>
      <c r="AY17" s="210">
        <f t="shared" si="29"/>
        <v>0.5</v>
      </c>
      <c r="AZ17" s="142">
        <f>_xlfn.XLOOKUP($A17,'Actual Sales'!$D$41:$AG$41,'Actual Sales'!$D$53:$AG$53)</f>
        <v>4</v>
      </c>
      <c r="BA17" s="99">
        <v>4</v>
      </c>
      <c r="BB17" s="143">
        <f t="shared" si="30"/>
        <v>0</v>
      </c>
      <c r="BC17" s="142">
        <f t="shared" si="31"/>
        <v>0</v>
      </c>
      <c r="BD17" s="210">
        <f t="shared" si="32"/>
        <v>0</v>
      </c>
      <c r="BE17" s="142">
        <f>_xlfn.XLOOKUP($A17,'Actual Sales'!$D$41:$AG$41,'Actual Sales'!$D$54:$AG$54)</f>
        <v>2</v>
      </c>
      <c r="BF17" s="99">
        <v>3</v>
      </c>
      <c r="BG17" s="143">
        <f t="shared" si="33"/>
        <v>50</v>
      </c>
      <c r="BH17" s="142">
        <f t="shared" si="34"/>
        <v>1</v>
      </c>
      <c r="BI17" s="210">
        <f t="shared" si="35"/>
        <v>0.4</v>
      </c>
      <c r="BJ17" s="142">
        <f>_xlfn.XLOOKUP($A17,'Actual Sales'!$D$41:$AG$41,'Actual Sales'!$D$55:$AG$55)</f>
        <v>1</v>
      </c>
      <c r="BK17" s="99">
        <v>4</v>
      </c>
      <c r="BL17" s="143">
        <f t="shared" si="36"/>
        <v>300</v>
      </c>
      <c r="BM17" s="142">
        <f t="shared" si="37"/>
        <v>9</v>
      </c>
      <c r="BN17" s="210">
        <f t="shared" si="38"/>
        <v>1.2</v>
      </c>
      <c r="BO17" s="142">
        <f>_xlfn.XLOOKUP($A17,'Actual Sales'!$D$41:$AG$41,'Actual Sales'!$D$56:$AG$56)</f>
        <v>1</v>
      </c>
      <c r="BP17" s="99">
        <v>2</v>
      </c>
      <c r="BQ17" s="143">
        <f t="shared" si="39"/>
        <v>100</v>
      </c>
      <c r="BR17" s="142">
        <f t="shared" si="40"/>
        <v>1</v>
      </c>
      <c r="BS17" s="210">
        <f t="shared" si="41"/>
        <v>0.66666666666666663</v>
      </c>
      <c r="BT17" s="142">
        <f>_xlfn.XLOOKUP($A17,'Actual Sales'!$D$41:$AG$41,'Actual Sales'!$D$57:$AG$57)</f>
        <v>3</v>
      </c>
      <c r="BU17" s="99">
        <v>3</v>
      </c>
      <c r="BV17" s="143">
        <f t="shared" si="42"/>
        <v>0</v>
      </c>
      <c r="BW17" s="142">
        <f t="shared" si="43"/>
        <v>0</v>
      </c>
      <c r="BX17" s="210">
        <f t="shared" si="44"/>
        <v>0</v>
      </c>
      <c r="BY17" s="142">
        <f>_xlfn.XLOOKUP($A17,'Actual Sales'!$D$41:$AG$41,'Actual Sales'!$D$58:$AG$58)</f>
        <v>0</v>
      </c>
      <c r="BZ17" s="99">
        <v>1</v>
      </c>
      <c r="CA17" s="143" t="e">
        <f t="shared" si="45"/>
        <v>#DIV/0!</v>
      </c>
      <c r="CB17" s="142">
        <f t="shared" si="46"/>
        <v>1</v>
      </c>
      <c r="CC17" s="210">
        <f t="shared" si="47"/>
        <v>2</v>
      </c>
      <c r="CD17" s="142">
        <f>_xlfn.XLOOKUP($A17,'Actual Sales'!$D$41:$AG$41,'Actual Sales'!$D$59:$AG$59)</f>
        <v>1</v>
      </c>
      <c r="CE17" s="99">
        <v>1</v>
      </c>
      <c r="CF17" s="143">
        <f t="shared" si="48"/>
        <v>0</v>
      </c>
      <c r="CG17" s="142">
        <f t="shared" si="49"/>
        <v>0</v>
      </c>
      <c r="CH17" s="210">
        <f t="shared" si="50"/>
        <v>0</v>
      </c>
      <c r="CI17" s="142">
        <f>_xlfn.XLOOKUP($A17,'Actual Sales'!$D$41:$AG$41,'Actual Sales'!$D$60:$AG$60)</f>
        <v>2</v>
      </c>
      <c r="CJ17" s="99">
        <v>5</v>
      </c>
      <c r="CK17" s="143">
        <f t="shared" si="51"/>
        <v>150</v>
      </c>
      <c r="CL17" s="142">
        <f t="shared" si="52"/>
        <v>9</v>
      </c>
      <c r="CM17" s="210">
        <f t="shared" si="53"/>
        <v>0.8571428571428571</v>
      </c>
      <c r="CN17" s="142">
        <f>_xlfn.XLOOKUP($A17,'Actual Sales'!$D$41:$AG$41,'Actual Sales'!$D$61:$AG$61)</f>
        <v>8</v>
      </c>
      <c r="CO17" s="99">
        <v>9</v>
      </c>
      <c r="CP17" s="143">
        <f t="shared" si="54"/>
        <v>12.5</v>
      </c>
      <c r="CQ17" s="142">
        <f t="shared" si="55"/>
        <v>1</v>
      </c>
      <c r="CR17" s="210">
        <f t="shared" si="56"/>
        <v>0.11764705882352941</v>
      </c>
      <c r="CS17" s="142">
        <f>_xlfn.XLOOKUP($A17,'Actual Sales'!$D$41:$AG$41,'Actual Sales'!$D$62:$AG$62)</f>
        <v>0</v>
      </c>
      <c r="CT17" s="99">
        <v>2</v>
      </c>
      <c r="CU17" s="143" t="e">
        <f t="shared" si="57"/>
        <v>#DIV/0!</v>
      </c>
      <c r="CV17" s="142">
        <f t="shared" si="58"/>
        <v>4</v>
      </c>
      <c r="CW17" s="210">
        <f t="shared" si="59"/>
        <v>2</v>
      </c>
      <c r="CX17" s="142">
        <f>_xlfn.XLOOKUP($A17,'Actual Sales'!$D$41:$AG$41,'Actual Sales'!$D$63:$AG$63)</f>
        <v>0</v>
      </c>
      <c r="CY17" s="99">
        <v>2</v>
      </c>
      <c r="CZ17" s="143" t="e">
        <f t="shared" si="60"/>
        <v>#DIV/0!</v>
      </c>
      <c r="DA17" s="142">
        <f t="shared" si="61"/>
        <v>4</v>
      </c>
      <c r="DB17" s="210">
        <f t="shared" si="62"/>
        <v>2</v>
      </c>
      <c r="DC17" s="142">
        <f>_xlfn.XLOOKUP($A17,'Actual Sales'!$D$41:$AG$41,'Actual Sales'!$D$64:$AG$64)</f>
        <v>2</v>
      </c>
      <c r="DD17" s="99">
        <v>1</v>
      </c>
      <c r="DE17" s="143">
        <f t="shared" si="63"/>
        <v>50</v>
      </c>
      <c r="DF17" s="142">
        <f t="shared" si="64"/>
        <v>1</v>
      </c>
      <c r="DG17" s="210">
        <f t="shared" si="65"/>
        <v>0.66666666666666663</v>
      </c>
      <c r="DH17" s="142">
        <f>_xlfn.XLOOKUP($A17,'Actual Sales'!$D$41:$AG$41,'Actual Sales'!$D$65:$AG$65)</f>
        <v>0</v>
      </c>
      <c r="DI17" s="99">
        <v>1</v>
      </c>
      <c r="DJ17" s="143" t="e">
        <f t="shared" si="66"/>
        <v>#DIV/0!</v>
      </c>
      <c r="DK17" s="142">
        <f t="shared" si="67"/>
        <v>1</v>
      </c>
      <c r="DL17" s="213">
        <f t="shared" si="68"/>
        <v>2</v>
      </c>
    </row>
    <row r="18" spans="1:116" x14ac:dyDescent="0.2">
      <c r="A18" s="147">
        <v>15</v>
      </c>
      <c r="B18" s="142">
        <f>_xlfn.XLOOKUP(A18,'Actual Sales'!$D$41:$AG$41,'Actual Sales'!$D$43:$AG$43)</f>
        <v>14</v>
      </c>
      <c r="C18" s="99">
        <v>47</v>
      </c>
      <c r="D18" s="143">
        <f t="shared" si="1"/>
        <v>235.71428571428572</v>
      </c>
      <c r="E18" s="142">
        <f t="shared" si="2"/>
        <v>1089</v>
      </c>
      <c r="F18" s="210">
        <f t="shared" si="3"/>
        <v>1.0819672131147542</v>
      </c>
      <c r="G18" s="142">
        <f>_xlfn.XLOOKUP($A18,'Actual Sales'!$D$41:$AG$41,'Actual Sales'!$D$44:$AG$44)</f>
        <v>0</v>
      </c>
      <c r="H18" s="99">
        <v>1</v>
      </c>
      <c r="I18" s="143" t="e">
        <f t="shared" si="0"/>
        <v>#DIV/0!</v>
      </c>
      <c r="J18" s="142">
        <f t="shared" si="4"/>
        <v>1</v>
      </c>
      <c r="K18" s="210">
        <f t="shared" si="5"/>
        <v>2</v>
      </c>
      <c r="L18" s="142">
        <f>_xlfn.XLOOKUP($A18,'Actual Sales'!$D$41:$AG$41,'Actual Sales'!$D$45:$AG$45)</f>
        <v>10</v>
      </c>
      <c r="M18" s="99">
        <v>17</v>
      </c>
      <c r="N18" s="143">
        <f t="shared" si="6"/>
        <v>70</v>
      </c>
      <c r="O18" s="142">
        <f t="shared" si="7"/>
        <v>49</v>
      </c>
      <c r="P18" s="210">
        <f t="shared" si="8"/>
        <v>0.51851851851851849</v>
      </c>
      <c r="Q18" s="142">
        <f>_xlfn.XLOOKUP($A18,'Actual Sales'!$D$41:$AG$41,'Actual Sales'!$D$46:$AG$46)</f>
        <v>2</v>
      </c>
      <c r="R18" s="99">
        <v>2</v>
      </c>
      <c r="S18" s="143">
        <f t="shared" si="9"/>
        <v>0</v>
      </c>
      <c r="T18" s="142">
        <f t="shared" si="10"/>
        <v>0</v>
      </c>
      <c r="U18" s="210">
        <f t="shared" si="11"/>
        <v>0</v>
      </c>
      <c r="V18" s="142">
        <f>_xlfn.XLOOKUP($A18,'Actual Sales'!$D$41:$AG$41,'Actual Sales'!$D$47:$AG$47)</f>
        <v>23</v>
      </c>
      <c r="W18" s="99">
        <v>19</v>
      </c>
      <c r="X18" s="143">
        <f t="shared" si="12"/>
        <v>17.391304347826086</v>
      </c>
      <c r="Y18" s="142">
        <f t="shared" si="13"/>
        <v>16</v>
      </c>
      <c r="Z18" s="210">
        <f t="shared" si="14"/>
        <v>0.19047619047619047</v>
      </c>
      <c r="AA18" s="142">
        <f>_xlfn.XLOOKUP($A18,'Actual Sales'!$D$41:$AG$41,'Actual Sales'!$D$48:$AG$48)</f>
        <v>8</v>
      </c>
      <c r="AB18" s="99">
        <v>10</v>
      </c>
      <c r="AC18" s="143">
        <f t="shared" si="15"/>
        <v>25</v>
      </c>
      <c r="AD18" s="142">
        <f t="shared" si="16"/>
        <v>4</v>
      </c>
      <c r="AE18" s="210">
        <f t="shared" si="17"/>
        <v>0.22222222222222221</v>
      </c>
      <c r="AF18" s="142">
        <f>_xlfn.XLOOKUP($A18,'Actual Sales'!$D$41:$AG$41,'Actual Sales'!$D$49:$AG$49)</f>
        <v>20</v>
      </c>
      <c r="AG18" s="99">
        <v>22</v>
      </c>
      <c r="AH18" s="143">
        <f t="shared" si="18"/>
        <v>10</v>
      </c>
      <c r="AI18" s="142">
        <f t="shared" si="19"/>
        <v>4</v>
      </c>
      <c r="AJ18" s="210">
        <f t="shared" si="20"/>
        <v>9.5238095238095233E-2</v>
      </c>
      <c r="AK18" s="142">
        <f>_xlfn.XLOOKUP($A18,'Actual Sales'!$D$41:$AG$41,'Actual Sales'!$D$50:$AG$50)</f>
        <v>15</v>
      </c>
      <c r="AL18" s="99">
        <v>3</v>
      </c>
      <c r="AM18" s="143">
        <f t="shared" si="21"/>
        <v>80</v>
      </c>
      <c r="AN18" s="142">
        <f t="shared" si="22"/>
        <v>144</v>
      </c>
      <c r="AO18" s="210">
        <f t="shared" si="23"/>
        <v>1.3333333333333333</v>
      </c>
      <c r="AP18" s="142">
        <f>_xlfn.XLOOKUP($A18,'Actual Sales'!$D$41:$AG$41,'Actual Sales'!$D$51:$AG$51)</f>
        <v>2</v>
      </c>
      <c r="AQ18" s="99">
        <v>4</v>
      </c>
      <c r="AR18" s="143">
        <f t="shared" si="24"/>
        <v>100</v>
      </c>
      <c r="AS18" s="142">
        <f t="shared" si="25"/>
        <v>4</v>
      </c>
      <c r="AT18" s="210">
        <f t="shared" si="26"/>
        <v>0.66666666666666663</v>
      </c>
      <c r="AU18" s="142">
        <f>_xlfn.XLOOKUP($A18,'Actual Sales'!$D$41:$AG$41,'Actual Sales'!$D$52:$AG$52)</f>
        <v>8</v>
      </c>
      <c r="AV18" s="99">
        <v>9</v>
      </c>
      <c r="AW18" s="143">
        <f t="shared" si="27"/>
        <v>12.5</v>
      </c>
      <c r="AX18" s="142">
        <f t="shared" si="28"/>
        <v>1</v>
      </c>
      <c r="AY18" s="210">
        <f t="shared" si="29"/>
        <v>0.11764705882352941</v>
      </c>
      <c r="AZ18" s="142">
        <f>_xlfn.XLOOKUP($A18,'Actual Sales'!$D$41:$AG$41,'Actual Sales'!$D$53:$AG$53)</f>
        <v>2</v>
      </c>
      <c r="BA18" s="99">
        <v>4</v>
      </c>
      <c r="BB18" s="143">
        <f t="shared" si="30"/>
        <v>100</v>
      </c>
      <c r="BC18" s="142">
        <f t="shared" si="31"/>
        <v>4</v>
      </c>
      <c r="BD18" s="210">
        <f t="shared" si="32"/>
        <v>0.66666666666666663</v>
      </c>
      <c r="BE18" s="142">
        <f>_xlfn.XLOOKUP($A18,'Actual Sales'!$D$41:$AG$41,'Actual Sales'!$D$54:$AG$54)</f>
        <v>3</v>
      </c>
      <c r="BF18" s="99">
        <v>2</v>
      </c>
      <c r="BG18" s="143">
        <f t="shared" si="33"/>
        <v>33.333333333333329</v>
      </c>
      <c r="BH18" s="142">
        <f t="shared" si="34"/>
        <v>1</v>
      </c>
      <c r="BI18" s="210">
        <f t="shared" si="35"/>
        <v>0.4</v>
      </c>
      <c r="BJ18" s="142">
        <f>_xlfn.XLOOKUP($A18,'Actual Sales'!$D$41:$AG$41,'Actual Sales'!$D$55:$AG$55)</f>
        <v>1</v>
      </c>
      <c r="BK18" s="99">
        <v>3</v>
      </c>
      <c r="BL18" s="143">
        <f t="shared" si="36"/>
        <v>200</v>
      </c>
      <c r="BM18" s="142">
        <f t="shared" si="37"/>
        <v>4</v>
      </c>
      <c r="BN18" s="210">
        <f t="shared" si="38"/>
        <v>1</v>
      </c>
      <c r="BO18" s="142">
        <f>_xlfn.XLOOKUP($A18,'Actual Sales'!$D$41:$AG$41,'Actual Sales'!$D$56:$AG$56)</f>
        <v>0</v>
      </c>
      <c r="BP18" s="99">
        <v>2</v>
      </c>
      <c r="BQ18" s="143" t="e">
        <f t="shared" si="39"/>
        <v>#DIV/0!</v>
      </c>
      <c r="BR18" s="142">
        <f t="shared" si="40"/>
        <v>4</v>
      </c>
      <c r="BS18" s="210">
        <f t="shared" si="41"/>
        <v>2</v>
      </c>
      <c r="BT18" s="142">
        <f>_xlfn.XLOOKUP($A18,'Actual Sales'!$D$41:$AG$41,'Actual Sales'!$D$57:$AG$57)</f>
        <v>2</v>
      </c>
      <c r="BU18" s="99">
        <v>3</v>
      </c>
      <c r="BV18" s="143">
        <f t="shared" si="42"/>
        <v>50</v>
      </c>
      <c r="BW18" s="142">
        <f t="shared" si="43"/>
        <v>1</v>
      </c>
      <c r="BX18" s="210">
        <f t="shared" si="44"/>
        <v>0.4</v>
      </c>
      <c r="BY18" s="142">
        <f>_xlfn.XLOOKUP($A18,'Actual Sales'!$D$41:$AG$41,'Actual Sales'!$D$58:$AG$58)</f>
        <v>0</v>
      </c>
      <c r="BZ18" s="99">
        <v>1</v>
      </c>
      <c r="CA18" s="143" t="e">
        <f t="shared" si="45"/>
        <v>#DIV/0!</v>
      </c>
      <c r="CB18" s="142">
        <f t="shared" si="46"/>
        <v>1</v>
      </c>
      <c r="CC18" s="210">
        <f t="shared" si="47"/>
        <v>2</v>
      </c>
      <c r="CD18" s="142">
        <f>_xlfn.XLOOKUP($A18,'Actual Sales'!$D$41:$AG$41,'Actual Sales'!$D$59:$AG$59)</f>
        <v>2</v>
      </c>
      <c r="CE18" s="99">
        <v>1</v>
      </c>
      <c r="CF18" s="143">
        <f t="shared" si="48"/>
        <v>50</v>
      </c>
      <c r="CG18" s="142">
        <f t="shared" si="49"/>
        <v>1</v>
      </c>
      <c r="CH18" s="210">
        <f t="shared" si="50"/>
        <v>0.66666666666666663</v>
      </c>
      <c r="CI18" s="142">
        <f>_xlfn.XLOOKUP($A18,'Actual Sales'!$D$41:$AG$41,'Actual Sales'!$D$60:$AG$60)</f>
        <v>1</v>
      </c>
      <c r="CJ18" s="99">
        <v>5</v>
      </c>
      <c r="CK18" s="143">
        <f t="shared" si="51"/>
        <v>400</v>
      </c>
      <c r="CL18" s="142">
        <f t="shared" si="52"/>
        <v>16</v>
      </c>
      <c r="CM18" s="210">
        <f t="shared" si="53"/>
        <v>1.3333333333333333</v>
      </c>
      <c r="CN18" s="142">
        <f>_xlfn.XLOOKUP($A18,'Actual Sales'!$D$41:$AG$41,'Actual Sales'!$D$61:$AG$61)</f>
        <v>6</v>
      </c>
      <c r="CO18" s="99">
        <v>9</v>
      </c>
      <c r="CP18" s="143">
        <f t="shared" si="54"/>
        <v>50</v>
      </c>
      <c r="CQ18" s="142">
        <f t="shared" si="55"/>
        <v>9</v>
      </c>
      <c r="CR18" s="210">
        <f t="shared" si="56"/>
        <v>0.4</v>
      </c>
      <c r="CS18" s="142">
        <f>_xlfn.XLOOKUP($A18,'Actual Sales'!$D$41:$AG$41,'Actual Sales'!$D$62:$AG$62)</f>
        <v>0</v>
      </c>
      <c r="CT18" s="99">
        <v>1</v>
      </c>
      <c r="CU18" s="143" t="e">
        <f t="shared" si="57"/>
        <v>#DIV/0!</v>
      </c>
      <c r="CV18" s="142">
        <f t="shared" si="58"/>
        <v>1</v>
      </c>
      <c r="CW18" s="210">
        <f t="shared" si="59"/>
        <v>2</v>
      </c>
      <c r="CX18" s="142">
        <f>_xlfn.XLOOKUP($A18,'Actual Sales'!$D$41:$AG$41,'Actual Sales'!$D$63:$AG$63)</f>
        <v>1</v>
      </c>
      <c r="CY18" s="99">
        <v>2</v>
      </c>
      <c r="CZ18" s="143">
        <f t="shared" si="60"/>
        <v>100</v>
      </c>
      <c r="DA18" s="142">
        <f t="shared" si="61"/>
        <v>1</v>
      </c>
      <c r="DB18" s="210">
        <f t="shared" si="62"/>
        <v>0.66666666666666663</v>
      </c>
      <c r="DC18" s="142">
        <f>_xlfn.XLOOKUP($A18,'Actual Sales'!$D$41:$AG$41,'Actual Sales'!$D$64:$AG$64)</f>
        <v>0</v>
      </c>
      <c r="DD18" s="99">
        <v>1</v>
      </c>
      <c r="DE18" s="143" t="e">
        <f t="shared" si="63"/>
        <v>#DIV/0!</v>
      </c>
      <c r="DF18" s="142">
        <f t="shared" si="64"/>
        <v>1</v>
      </c>
      <c r="DG18" s="210">
        <f t="shared" si="65"/>
        <v>2</v>
      </c>
      <c r="DH18" s="142">
        <f>_xlfn.XLOOKUP($A18,'Actual Sales'!$D$41:$AG$41,'Actual Sales'!$D$65:$AG$65)</f>
        <v>1</v>
      </c>
      <c r="DI18" s="99">
        <v>1</v>
      </c>
      <c r="DJ18" s="143">
        <f t="shared" si="66"/>
        <v>0</v>
      </c>
      <c r="DK18" s="142">
        <f t="shared" si="67"/>
        <v>0</v>
      </c>
      <c r="DL18" s="213">
        <f t="shared" si="68"/>
        <v>0</v>
      </c>
    </row>
    <row r="19" spans="1:116" x14ac:dyDescent="0.2">
      <c r="A19" s="147">
        <v>16</v>
      </c>
      <c r="B19" s="142">
        <f>_xlfn.XLOOKUP(A19,'Actual Sales'!$D$41:$AG$41,'Actual Sales'!$D$43:$AG$43)</f>
        <v>16</v>
      </c>
      <c r="C19" s="99">
        <v>54</v>
      </c>
      <c r="D19" s="143">
        <f t="shared" si="1"/>
        <v>237.5</v>
      </c>
      <c r="E19" s="142">
        <f t="shared" si="2"/>
        <v>1444</v>
      </c>
      <c r="F19" s="210">
        <f t="shared" si="3"/>
        <v>1.0857142857142856</v>
      </c>
      <c r="G19" s="142">
        <f>_xlfn.XLOOKUP($A19,'Actual Sales'!$D$41:$AG$41,'Actual Sales'!$D$44:$AG$44)</f>
        <v>0</v>
      </c>
      <c r="H19" s="99">
        <v>1</v>
      </c>
      <c r="I19" s="143" t="e">
        <f t="shared" si="0"/>
        <v>#DIV/0!</v>
      </c>
      <c r="J19" s="142">
        <f t="shared" si="4"/>
        <v>1</v>
      </c>
      <c r="K19" s="210">
        <f t="shared" si="5"/>
        <v>2</v>
      </c>
      <c r="L19" s="142">
        <f>_xlfn.XLOOKUP($A19,'Actual Sales'!$D$41:$AG$41,'Actual Sales'!$D$45:$AG$45)</f>
        <v>16</v>
      </c>
      <c r="M19" s="99">
        <v>17</v>
      </c>
      <c r="N19" s="143">
        <f t="shared" si="6"/>
        <v>6.25</v>
      </c>
      <c r="O19" s="142">
        <f t="shared" si="7"/>
        <v>1</v>
      </c>
      <c r="P19" s="210">
        <f t="shared" si="8"/>
        <v>6.0606060606060608E-2</v>
      </c>
      <c r="Q19" s="142">
        <f>_xlfn.XLOOKUP($A19,'Actual Sales'!$D$41:$AG$41,'Actual Sales'!$D$46:$AG$46)</f>
        <v>3</v>
      </c>
      <c r="R19" s="99">
        <v>2</v>
      </c>
      <c r="S19" s="143">
        <f t="shared" si="9"/>
        <v>33.333333333333329</v>
      </c>
      <c r="T19" s="142">
        <f t="shared" si="10"/>
        <v>1</v>
      </c>
      <c r="U19" s="210">
        <f t="shared" si="11"/>
        <v>0.4</v>
      </c>
      <c r="V19" s="142">
        <f>_xlfn.XLOOKUP($A19,'Actual Sales'!$D$41:$AG$41,'Actual Sales'!$D$47:$AG$47)</f>
        <v>18</v>
      </c>
      <c r="W19" s="99">
        <v>19</v>
      </c>
      <c r="X19" s="143">
        <f t="shared" si="12"/>
        <v>5.5555555555555554</v>
      </c>
      <c r="Y19" s="142">
        <f t="shared" si="13"/>
        <v>1</v>
      </c>
      <c r="Z19" s="210">
        <f t="shared" si="14"/>
        <v>5.4054054054054057E-2</v>
      </c>
      <c r="AA19" s="142">
        <f>_xlfn.XLOOKUP($A19,'Actual Sales'!$D$41:$AG$41,'Actual Sales'!$D$48:$AG$48)</f>
        <v>8</v>
      </c>
      <c r="AB19" s="99">
        <v>11</v>
      </c>
      <c r="AC19" s="143">
        <f t="shared" si="15"/>
        <v>37.5</v>
      </c>
      <c r="AD19" s="142">
        <f t="shared" si="16"/>
        <v>9</v>
      </c>
      <c r="AE19" s="210">
        <f t="shared" si="17"/>
        <v>0.31578947368421051</v>
      </c>
      <c r="AF19" s="142">
        <f>_xlfn.XLOOKUP($A19,'Actual Sales'!$D$41:$AG$41,'Actual Sales'!$D$49:$AG$49)</f>
        <v>32</v>
      </c>
      <c r="AG19" s="99">
        <v>24</v>
      </c>
      <c r="AH19" s="143">
        <f t="shared" si="18"/>
        <v>25</v>
      </c>
      <c r="AI19" s="142">
        <f t="shared" si="19"/>
        <v>64</v>
      </c>
      <c r="AJ19" s="210">
        <f t="shared" si="20"/>
        <v>0.2857142857142857</v>
      </c>
      <c r="AK19" s="142">
        <f>_xlfn.XLOOKUP($A19,'Actual Sales'!$D$41:$AG$41,'Actual Sales'!$D$50:$AG$50)</f>
        <v>5</v>
      </c>
      <c r="AL19" s="99">
        <v>3</v>
      </c>
      <c r="AM19" s="143">
        <f t="shared" si="21"/>
        <v>40</v>
      </c>
      <c r="AN19" s="142">
        <f t="shared" si="22"/>
        <v>4</v>
      </c>
      <c r="AO19" s="210">
        <f t="shared" si="23"/>
        <v>0.5</v>
      </c>
      <c r="AP19" s="142">
        <f>_xlfn.XLOOKUP($A19,'Actual Sales'!$D$41:$AG$41,'Actual Sales'!$D$51:$AG$51)</f>
        <v>0</v>
      </c>
      <c r="AQ19" s="99">
        <v>4</v>
      </c>
      <c r="AR19" s="143" t="e">
        <f t="shared" si="24"/>
        <v>#DIV/0!</v>
      </c>
      <c r="AS19" s="142">
        <f t="shared" si="25"/>
        <v>16</v>
      </c>
      <c r="AT19" s="210">
        <f t="shared" si="26"/>
        <v>2</v>
      </c>
      <c r="AU19" s="142">
        <f>_xlfn.XLOOKUP($A19,'Actual Sales'!$D$41:$AG$41,'Actual Sales'!$D$52:$AG$52)</f>
        <v>6</v>
      </c>
      <c r="AV19" s="99">
        <v>9</v>
      </c>
      <c r="AW19" s="143">
        <f t="shared" si="27"/>
        <v>50</v>
      </c>
      <c r="AX19" s="142">
        <f t="shared" si="28"/>
        <v>9</v>
      </c>
      <c r="AY19" s="210">
        <f t="shared" si="29"/>
        <v>0.4</v>
      </c>
      <c r="AZ19" s="142">
        <f>_xlfn.XLOOKUP($A19,'Actual Sales'!$D$41:$AG$41,'Actual Sales'!$D$53:$AG$53)</f>
        <v>1</v>
      </c>
      <c r="BA19" s="99">
        <v>4</v>
      </c>
      <c r="BB19" s="143">
        <f t="shared" si="30"/>
        <v>300</v>
      </c>
      <c r="BC19" s="142">
        <f t="shared" si="31"/>
        <v>9</v>
      </c>
      <c r="BD19" s="210">
        <f t="shared" si="32"/>
        <v>1.2</v>
      </c>
      <c r="BE19" s="142">
        <f>_xlfn.XLOOKUP($A19,'Actual Sales'!$D$41:$AG$41,'Actual Sales'!$D$54:$AG$54)</f>
        <v>4</v>
      </c>
      <c r="BF19" s="99">
        <v>3</v>
      </c>
      <c r="BG19" s="143">
        <f t="shared" si="33"/>
        <v>25</v>
      </c>
      <c r="BH19" s="142">
        <f t="shared" si="34"/>
        <v>1</v>
      </c>
      <c r="BI19" s="210">
        <f t="shared" si="35"/>
        <v>0.2857142857142857</v>
      </c>
      <c r="BJ19" s="142">
        <f>_xlfn.XLOOKUP($A19,'Actual Sales'!$D$41:$AG$41,'Actual Sales'!$D$55:$AG$55)</f>
        <v>2</v>
      </c>
      <c r="BK19" s="99">
        <v>3</v>
      </c>
      <c r="BL19" s="143">
        <f t="shared" si="36"/>
        <v>50</v>
      </c>
      <c r="BM19" s="142">
        <f t="shared" si="37"/>
        <v>1</v>
      </c>
      <c r="BN19" s="210">
        <f t="shared" si="38"/>
        <v>0.4</v>
      </c>
      <c r="BO19" s="142">
        <f>_xlfn.XLOOKUP($A19,'Actual Sales'!$D$41:$AG$41,'Actual Sales'!$D$56:$AG$56)</f>
        <v>1</v>
      </c>
      <c r="BP19" s="99">
        <v>2</v>
      </c>
      <c r="BQ19" s="143">
        <f t="shared" si="39"/>
        <v>100</v>
      </c>
      <c r="BR19" s="142">
        <f t="shared" si="40"/>
        <v>1</v>
      </c>
      <c r="BS19" s="210">
        <f t="shared" si="41"/>
        <v>0.66666666666666663</v>
      </c>
      <c r="BT19" s="142">
        <f>_xlfn.XLOOKUP($A19,'Actual Sales'!$D$41:$AG$41,'Actual Sales'!$D$57:$AG$57)</f>
        <v>2</v>
      </c>
      <c r="BU19" s="99">
        <v>3</v>
      </c>
      <c r="BV19" s="143">
        <f t="shared" si="42"/>
        <v>50</v>
      </c>
      <c r="BW19" s="142">
        <f t="shared" si="43"/>
        <v>1</v>
      </c>
      <c r="BX19" s="210">
        <f t="shared" si="44"/>
        <v>0.4</v>
      </c>
      <c r="BY19" s="142">
        <f>_xlfn.XLOOKUP($A19,'Actual Sales'!$D$41:$AG$41,'Actual Sales'!$D$58:$AG$58)</f>
        <v>0</v>
      </c>
      <c r="BZ19" s="99">
        <v>1</v>
      </c>
      <c r="CA19" s="143" t="e">
        <f t="shared" si="45"/>
        <v>#DIV/0!</v>
      </c>
      <c r="CB19" s="142">
        <f t="shared" si="46"/>
        <v>1</v>
      </c>
      <c r="CC19" s="210">
        <f t="shared" si="47"/>
        <v>2</v>
      </c>
      <c r="CD19" s="142">
        <f>_xlfn.XLOOKUP($A19,'Actual Sales'!$D$41:$AG$41,'Actual Sales'!$D$59:$AG$59)</f>
        <v>1</v>
      </c>
      <c r="CE19" s="99">
        <v>1</v>
      </c>
      <c r="CF19" s="143">
        <f t="shared" si="48"/>
        <v>0</v>
      </c>
      <c r="CG19" s="142">
        <f t="shared" si="49"/>
        <v>0</v>
      </c>
      <c r="CH19" s="210">
        <f t="shared" si="50"/>
        <v>0</v>
      </c>
      <c r="CI19" s="142">
        <f>_xlfn.XLOOKUP($A19,'Actual Sales'!$D$41:$AG$41,'Actual Sales'!$D$60:$AG$60)</f>
        <v>1</v>
      </c>
      <c r="CJ19" s="99">
        <v>5</v>
      </c>
      <c r="CK19" s="143">
        <f t="shared" si="51"/>
        <v>400</v>
      </c>
      <c r="CL19" s="142">
        <f t="shared" si="52"/>
        <v>16</v>
      </c>
      <c r="CM19" s="210">
        <f t="shared" si="53"/>
        <v>1.3333333333333333</v>
      </c>
      <c r="CN19" s="142">
        <f>_xlfn.XLOOKUP($A19,'Actual Sales'!$D$41:$AG$41,'Actual Sales'!$D$61:$AG$61)</f>
        <v>9</v>
      </c>
      <c r="CO19" s="99">
        <v>9</v>
      </c>
      <c r="CP19" s="143">
        <f t="shared" si="54"/>
        <v>0</v>
      </c>
      <c r="CQ19" s="142">
        <f t="shared" si="55"/>
        <v>0</v>
      </c>
      <c r="CR19" s="210">
        <f t="shared" si="56"/>
        <v>0</v>
      </c>
      <c r="CS19" s="142">
        <f>_xlfn.XLOOKUP($A19,'Actual Sales'!$D$41:$AG$41,'Actual Sales'!$D$62:$AG$62)</f>
        <v>0</v>
      </c>
      <c r="CT19" s="99">
        <v>1</v>
      </c>
      <c r="CU19" s="143" t="e">
        <f t="shared" si="57"/>
        <v>#DIV/0!</v>
      </c>
      <c r="CV19" s="142">
        <f t="shared" si="58"/>
        <v>1</v>
      </c>
      <c r="CW19" s="210">
        <f t="shared" si="59"/>
        <v>2</v>
      </c>
      <c r="CX19" s="142">
        <f>_xlfn.XLOOKUP($A19,'Actual Sales'!$D$41:$AG$41,'Actual Sales'!$D$63:$AG$63)</f>
        <v>1</v>
      </c>
      <c r="CY19" s="99">
        <v>2</v>
      </c>
      <c r="CZ19" s="143">
        <f t="shared" si="60"/>
        <v>100</v>
      </c>
      <c r="DA19" s="142">
        <f t="shared" si="61"/>
        <v>1</v>
      </c>
      <c r="DB19" s="210">
        <f t="shared" si="62"/>
        <v>0.66666666666666663</v>
      </c>
      <c r="DC19" s="142">
        <f>_xlfn.XLOOKUP($A19,'Actual Sales'!$D$41:$AG$41,'Actual Sales'!$D$64:$AG$64)</f>
        <v>0</v>
      </c>
      <c r="DD19" s="99">
        <v>2</v>
      </c>
      <c r="DE19" s="143" t="e">
        <f t="shared" si="63"/>
        <v>#DIV/0!</v>
      </c>
      <c r="DF19" s="142">
        <f t="shared" si="64"/>
        <v>4</v>
      </c>
      <c r="DG19" s="210">
        <f t="shared" si="65"/>
        <v>2</v>
      </c>
      <c r="DH19" s="142">
        <f>_xlfn.XLOOKUP($A19,'Actual Sales'!$D$41:$AG$41,'Actual Sales'!$D$65:$AG$65)</f>
        <v>2</v>
      </c>
      <c r="DI19" s="99">
        <v>1</v>
      </c>
      <c r="DJ19" s="143">
        <f t="shared" si="66"/>
        <v>50</v>
      </c>
      <c r="DK19" s="142">
        <f t="shared" si="67"/>
        <v>1</v>
      </c>
      <c r="DL19" s="213">
        <f t="shared" si="68"/>
        <v>0.66666666666666663</v>
      </c>
    </row>
    <row r="20" spans="1:116" x14ac:dyDescent="0.2">
      <c r="A20" s="147">
        <v>17</v>
      </c>
      <c r="B20" s="142">
        <f>_xlfn.XLOOKUP(A20,'Actual Sales'!$D$41:$AG$41,'Actual Sales'!$D$43:$AG$43)</f>
        <v>31</v>
      </c>
      <c r="C20" s="99">
        <v>49</v>
      </c>
      <c r="D20" s="143">
        <f t="shared" si="1"/>
        <v>58.064516129032263</v>
      </c>
      <c r="E20" s="142">
        <f t="shared" si="2"/>
        <v>324</v>
      </c>
      <c r="F20" s="210">
        <f t="shared" si="3"/>
        <v>0.45</v>
      </c>
      <c r="G20" s="142">
        <f>_xlfn.XLOOKUP($A20,'Actual Sales'!$D$41:$AG$41,'Actual Sales'!$D$44:$AG$44)</f>
        <v>0</v>
      </c>
      <c r="H20" s="99">
        <v>1</v>
      </c>
      <c r="I20" s="143" t="e">
        <f t="shared" si="0"/>
        <v>#DIV/0!</v>
      </c>
      <c r="J20" s="142">
        <f t="shared" si="4"/>
        <v>1</v>
      </c>
      <c r="K20" s="210">
        <f t="shared" si="5"/>
        <v>2</v>
      </c>
      <c r="L20" s="142">
        <f>_xlfn.XLOOKUP($A20,'Actual Sales'!$D$41:$AG$41,'Actual Sales'!$D$45:$AG$45)</f>
        <v>7</v>
      </c>
      <c r="M20" s="99">
        <v>18</v>
      </c>
      <c r="N20" s="143">
        <f t="shared" si="6"/>
        <v>157.14285714285714</v>
      </c>
      <c r="O20" s="142">
        <f t="shared" si="7"/>
        <v>121</v>
      </c>
      <c r="P20" s="210">
        <f t="shared" si="8"/>
        <v>0.88</v>
      </c>
      <c r="Q20" s="142">
        <f>_xlfn.XLOOKUP($A20,'Actual Sales'!$D$41:$AG$41,'Actual Sales'!$D$46:$AG$46)</f>
        <v>3</v>
      </c>
      <c r="R20" s="99">
        <v>2</v>
      </c>
      <c r="S20" s="143">
        <f t="shared" si="9"/>
        <v>33.333333333333329</v>
      </c>
      <c r="T20" s="142">
        <f t="shared" si="10"/>
        <v>1</v>
      </c>
      <c r="U20" s="210">
        <f t="shared" si="11"/>
        <v>0.4</v>
      </c>
      <c r="V20" s="142">
        <f>_xlfn.XLOOKUP($A20,'Actual Sales'!$D$41:$AG$41,'Actual Sales'!$D$47:$AG$47)</f>
        <v>15</v>
      </c>
      <c r="W20" s="99">
        <v>19</v>
      </c>
      <c r="X20" s="143">
        <f t="shared" si="12"/>
        <v>26.666666666666668</v>
      </c>
      <c r="Y20" s="142">
        <f t="shared" si="13"/>
        <v>16</v>
      </c>
      <c r="Z20" s="210">
        <f t="shared" si="14"/>
        <v>0.23529411764705882</v>
      </c>
      <c r="AA20" s="142">
        <f>_xlfn.XLOOKUP($A20,'Actual Sales'!$D$41:$AG$41,'Actual Sales'!$D$48:$AG$48)</f>
        <v>8</v>
      </c>
      <c r="AB20" s="99">
        <v>11</v>
      </c>
      <c r="AC20" s="143">
        <f t="shared" si="15"/>
        <v>37.5</v>
      </c>
      <c r="AD20" s="142">
        <f t="shared" si="16"/>
        <v>9</v>
      </c>
      <c r="AE20" s="210">
        <f t="shared" si="17"/>
        <v>0.31578947368421051</v>
      </c>
      <c r="AF20" s="142">
        <f>_xlfn.XLOOKUP($A20,'Actual Sales'!$D$41:$AG$41,'Actual Sales'!$D$49:$AG$49)</f>
        <v>30</v>
      </c>
      <c r="AG20" s="99">
        <v>19</v>
      </c>
      <c r="AH20" s="143">
        <f t="shared" si="18"/>
        <v>36.666666666666664</v>
      </c>
      <c r="AI20" s="142">
        <f t="shared" si="19"/>
        <v>121</v>
      </c>
      <c r="AJ20" s="210">
        <f t="shared" si="20"/>
        <v>0.44897959183673469</v>
      </c>
      <c r="AK20" s="142">
        <f>_xlfn.XLOOKUP($A20,'Actual Sales'!$D$41:$AG$41,'Actual Sales'!$D$50:$AG$50)</f>
        <v>9</v>
      </c>
      <c r="AL20" s="99">
        <v>3</v>
      </c>
      <c r="AM20" s="143">
        <f t="shared" si="21"/>
        <v>66.666666666666657</v>
      </c>
      <c r="AN20" s="142">
        <f t="shared" si="22"/>
        <v>36</v>
      </c>
      <c r="AO20" s="210">
        <f t="shared" si="23"/>
        <v>1</v>
      </c>
      <c r="AP20" s="142">
        <f>_xlfn.XLOOKUP($A20,'Actual Sales'!$D$41:$AG$41,'Actual Sales'!$D$51:$AG$51)</f>
        <v>0</v>
      </c>
      <c r="AQ20" s="99">
        <v>4</v>
      </c>
      <c r="AR20" s="143" t="e">
        <f t="shared" si="24"/>
        <v>#DIV/0!</v>
      </c>
      <c r="AS20" s="142">
        <f t="shared" si="25"/>
        <v>16</v>
      </c>
      <c r="AT20" s="210">
        <f t="shared" si="26"/>
        <v>2</v>
      </c>
      <c r="AU20" s="142">
        <f>_xlfn.XLOOKUP($A20,'Actual Sales'!$D$41:$AG$41,'Actual Sales'!$D$52:$AG$52)</f>
        <v>8</v>
      </c>
      <c r="AV20" s="99">
        <v>9</v>
      </c>
      <c r="AW20" s="143">
        <f t="shared" si="27"/>
        <v>12.5</v>
      </c>
      <c r="AX20" s="142">
        <f t="shared" si="28"/>
        <v>1</v>
      </c>
      <c r="AY20" s="210">
        <f t="shared" si="29"/>
        <v>0.11764705882352941</v>
      </c>
      <c r="AZ20" s="142">
        <f>_xlfn.XLOOKUP($A20,'Actual Sales'!$D$41:$AG$41,'Actual Sales'!$D$53:$AG$53)</f>
        <v>3</v>
      </c>
      <c r="BA20" s="99">
        <v>4</v>
      </c>
      <c r="BB20" s="143">
        <f t="shared" si="30"/>
        <v>33.333333333333329</v>
      </c>
      <c r="BC20" s="142">
        <f t="shared" si="31"/>
        <v>1</v>
      </c>
      <c r="BD20" s="210">
        <f t="shared" si="32"/>
        <v>0.2857142857142857</v>
      </c>
      <c r="BE20" s="142">
        <f>_xlfn.XLOOKUP($A20,'Actual Sales'!$D$41:$AG$41,'Actual Sales'!$D$54:$AG$54)</f>
        <v>5</v>
      </c>
      <c r="BF20" s="99">
        <v>3</v>
      </c>
      <c r="BG20" s="143">
        <f t="shared" si="33"/>
        <v>40</v>
      </c>
      <c r="BH20" s="142">
        <f t="shared" si="34"/>
        <v>4</v>
      </c>
      <c r="BI20" s="210">
        <f t="shared" si="35"/>
        <v>0.5</v>
      </c>
      <c r="BJ20" s="142">
        <f>_xlfn.XLOOKUP($A20,'Actual Sales'!$D$41:$AG$41,'Actual Sales'!$D$55:$AG$55)</f>
        <v>2</v>
      </c>
      <c r="BK20" s="99">
        <v>3</v>
      </c>
      <c r="BL20" s="143">
        <f t="shared" si="36"/>
        <v>50</v>
      </c>
      <c r="BM20" s="142">
        <f t="shared" si="37"/>
        <v>1</v>
      </c>
      <c r="BN20" s="210">
        <f t="shared" si="38"/>
        <v>0.4</v>
      </c>
      <c r="BO20" s="142">
        <f>_xlfn.XLOOKUP($A20,'Actual Sales'!$D$41:$AG$41,'Actual Sales'!$D$56:$AG$56)</f>
        <v>1</v>
      </c>
      <c r="BP20" s="99">
        <v>2</v>
      </c>
      <c r="BQ20" s="143">
        <f t="shared" si="39"/>
        <v>100</v>
      </c>
      <c r="BR20" s="142">
        <f t="shared" si="40"/>
        <v>1</v>
      </c>
      <c r="BS20" s="210">
        <f t="shared" si="41"/>
        <v>0.66666666666666663</v>
      </c>
      <c r="BT20" s="142">
        <f>_xlfn.XLOOKUP($A20,'Actual Sales'!$D$41:$AG$41,'Actual Sales'!$D$57:$AG$57)</f>
        <v>4</v>
      </c>
      <c r="BU20" s="99">
        <v>3</v>
      </c>
      <c r="BV20" s="143">
        <f t="shared" si="42"/>
        <v>25</v>
      </c>
      <c r="BW20" s="142">
        <f t="shared" si="43"/>
        <v>1</v>
      </c>
      <c r="BX20" s="210">
        <f t="shared" si="44"/>
        <v>0.2857142857142857</v>
      </c>
      <c r="BY20" s="142">
        <f>_xlfn.XLOOKUP($A20,'Actual Sales'!$D$41:$AG$41,'Actual Sales'!$D$58:$AG$58)</f>
        <v>0</v>
      </c>
      <c r="BZ20" s="99">
        <v>1</v>
      </c>
      <c r="CA20" s="143" t="e">
        <f t="shared" si="45"/>
        <v>#DIV/0!</v>
      </c>
      <c r="CB20" s="142">
        <f t="shared" si="46"/>
        <v>1</v>
      </c>
      <c r="CC20" s="210">
        <f t="shared" si="47"/>
        <v>2</v>
      </c>
      <c r="CD20" s="142">
        <f>_xlfn.XLOOKUP($A20,'Actual Sales'!$D$41:$AG$41,'Actual Sales'!$D$59:$AG$59)</f>
        <v>1</v>
      </c>
      <c r="CE20" s="99">
        <v>1</v>
      </c>
      <c r="CF20" s="143">
        <f t="shared" si="48"/>
        <v>0</v>
      </c>
      <c r="CG20" s="142">
        <f t="shared" si="49"/>
        <v>0</v>
      </c>
      <c r="CH20" s="210">
        <f t="shared" si="50"/>
        <v>0</v>
      </c>
      <c r="CI20" s="142">
        <f>_xlfn.XLOOKUP($A20,'Actual Sales'!$D$41:$AG$41,'Actual Sales'!$D$60:$AG$60)</f>
        <v>3</v>
      </c>
      <c r="CJ20" s="99">
        <v>5</v>
      </c>
      <c r="CK20" s="143">
        <f t="shared" si="51"/>
        <v>66.666666666666657</v>
      </c>
      <c r="CL20" s="142">
        <f t="shared" si="52"/>
        <v>4</v>
      </c>
      <c r="CM20" s="210">
        <f t="shared" si="53"/>
        <v>0.5</v>
      </c>
      <c r="CN20" s="142">
        <f>_xlfn.XLOOKUP($A20,'Actual Sales'!$D$41:$AG$41,'Actual Sales'!$D$61:$AG$61)</f>
        <v>7</v>
      </c>
      <c r="CO20" s="99">
        <v>9</v>
      </c>
      <c r="CP20" s="143">
        <f t="shared" si="54"/>
        <v>28.571428571428569</v>
      </c>
      <c r="CQ20" s="142">
        <f t="shared" si="55"/>
        <v>4</v>
      </c>
      <c r="CR20" s="210">
        <f t="shared" si="56"/>
        <v>0.25</v>
      </c>
      <c r="CS20" s="142">
        <f>_xlfn.XLOOKUP($A20,'Actual Sales'!$D$41:$AG$41,'Actual Sales'!$D$62:$AG$62)</f>
        <v>0</v>
      </c>
      <c r="CT20" s="99">
        <v>1</v>
      </c>
      <c r="CU20" s="143" t="e">
        <f t="shared" si="57"/>
        <v>#DIV/0!</v>
      </c>
      <c r="CV20" s="142">
        <f t="shared" si="58"/>
        <v>1</v>
      </c>
      <c r="CW20" s="210">
        <f t="shared" si="59"/>
        <v>2</v>
      </c>
      <c r="CX20" s="142">
        <f>_xlfn.XLOOKUP($A20,'Actual Sales'!$D$41:$AG$41,'Actual Sales'!$D$63:$AG$63)</f>
        <v>1</v>
      </c>
      <c r="CY20" s="99">
        <v>3</v>
      </c>
      <c r="CZ20" s="143">
        <f t="shared" si="60"/>
        <v>200</v>
      </c>
      <c r="DA20" s="142">
        <f t="shared" si="61"/>
        <v>4</v>
      </c>
      <c r="DB20" s="210">
        <f t="shared" si="62"/>
        <v>1</v>
      </c>
      <c r="DC20" s="142">
        <f>_xlfn.XLOOKUP($A20,'Actual Sales'!$D$41:$AG$41,'Actual Sales'!$D$64:$AG$64)</f>
        <v>1</v>
      </c>
      <c r="DD20" s="99">
        <v>2</v>
      </c>
      <c r="DE20" s="143">
        <f t="shared" si="63"/>
        <v>100</v>
      </c>
      <c r="DF20" s="142">
        <f t="shared" si="64"/>
        <v>1</v>
      </c>
      <c r="DG20" s="210">
        <f t="shared" si="65"/>
        <v>0.66666666666666663</v>
      </c>
      <c r="DH20" s="142">
        <f>_xlfn.XLOOKUP($A20,'Actual Sales'!$D$41:$AG$41,'Actual Sales'!$D$65:$AG$65)</f>
        <v>1</v>
      </c>
      <c r="DI20" s="99">
        <v>1</v>
      </c>
      <c r="DJ20" s="143">
        <f t="shared" si="66"/>
        <v>0</v>
      </c>
      <c r="DK20" s="142">
        <f t="shared" si="67"/>
        <v>0</v>
      </c>
      <c r="DL20" s="213">
        <f t="shared" si="68"/>
        <v>0</v>
      </c>
    </row>
    <row r="21" spans="1:116" x14ac:dyDescent="0.2">
      <c r="A21" s="147">
        <v>18</v>
      </c>
      <c r="B21" s="142">
        <f>_xlfn.XLOOKUP(A21,'Actual Sales'!$D$41:$AG$41,'Actual Sales'!$D$43:$AG$43)</f>
        <v>20</v>
      </c>
      <c r="C21" s="99">
        <v>46</v>
      </c>
      <c r="D21" s="143">
        <f t="shared" si="1"/>
        <v>130</v>
      </c>
      <c r="E21" s="142">
        <f t="shared" si="2"/>
        <v>676</v>
      </c>
      <c r="F21" s="210">
        <f t="shared" si="3"/>
        <v>0.78787878787878785</v>
      </c>
      <c r="G21" s="142">
        <f>_xlfn.XLOOKUP($A21,'Actual Sales'!$D$41:$AG$41,'Actual Sales'!$D$44:$AG$44)</f>
        <v>0</v>
      </c>
      <c r="H21" s="99">
        <v>1</v>
      </c>
      <c r="I21" s="143" t="e">
        <f t="shared" si="0"/>
        <v>#DIV/0!</v>
      </c>
      <c r="J21" s="142">
        <f t="shared" si="4"/>
        <v>1</v>
      </c>
      <c r="K21" s="210">
        <f t="shared" si="5"/>
        <v>2</v>
      </c>
      <c r="L21" s="142">
        <f>_xlfn.XLOOKUP($A21,'Actual Sales'!$D$41:$AG$41,'Actual Sales'!$D$45:$AG$45)</f>
        <v>9</v>
      </c>
      <c r="M21" s="99">
        <v>16</v>
      </c>
      <c r="N21" s="143">
        <f t="shared" si="6"/>
        <v>77.777777777777786</v>
      </c>
      <c r="O21" s="142">
        <f t="shared" si="7"/>
        <v>49</v>
      </c>
      <c r="P21" s="210">
        <f t="shared" si="8"/>
        <v>0.56000000000000005</v>
      </c>
      <c r="Q21" s="142">
        <f>_xlfn.XLOOKUP($A21,'Actual Sales'!$D$41:$AG$41,'Actual Sales'!$D$46:$AG$46)</f>
        <v>3</v>
      </c>
      <c r="R21" s="99">
        <v>2</v>
      </c>
      <c r="S21" s="143">
        <f t="shared" si="9"/>
        <v>33.333333333333329</v>
      </c>
      <c r="T21" s="142">
        <f t="shared" si="10"/>
        <v>1</v>
      </c>
      <c r="U21" s="210">
        <f t="shared" si="11"/>
        <v>0.4</v>
      </c>
      <c r="V21" s="142">
        <f>_xlfn.XLOOKUP($A21,'Actual Sales'!$D$41:$AG$41,'Actual Sales'!$D$47:$AG$47)</f>
        <v>11</v>
      </c>
      <c r="W21" s="99">
        <v>19</v>
      </c>
      <c r="X21" s="143">
        <f t="shared" si="12"/>
        <v>72.727272727272734</v>
      </c>
      <c r="Y21" s="142">
        <f t="shared" si="13"/>
        <v>64</v>
      </c>
      <c r="Z21" s="210">
        <f t="shared" si="14"/>
        <v>0.53333333333333333</v>
      </c>
      <c r="AA21" s="142">
        <f>_xlfn.XLOOKUP($A21,'Actual Sales'!$D$41:$AG$41,'Actual Sales'!$D$48:$AG$48)</f>
        <v>5</v>
      </c>
      <c r="AB21" s="99">
        <v>11</v>
      </c>
      <c r="AC21" s="143">
        <f t="shared" si="15"/>
        <v>120</v>
      </c>
      <c r="AD21" s="142">
        <f t="shared" si="16"/>
        <v>36</v>
      </c>
      <c r="AE21" s="210">
        <f t="shared" si="17"/>
        <v>0.75</v>
      </c>
      <c r="AF21" s="142">
        <f>_xlfn.XLOOKUP($A21,'Actual Sales'!$D$41:$AG$41,'Actual Sales'!$D$49:$AG$49)</f>
        <v>32</v>
      </c>
      <c r="AG21" s="99">
        <v>20</v>
      </c>
      <c r="AH21" s="143">
        <f t="shared" si="18"/>
        <v>37.5</v>
      </c>
      <c r="AI21" s="142">
        <f t="shared" si="19"/>
        <v>144</v>
      </c>
      <c r="AJ21" s="210">
        <f t="shared" si="20"/>
        <v>0.46153846153846156</v>
      </c>
      <c r="AK21" s="142">
        <f>_xlfn.XLOOKUP($A21,'Actual Sales'!$D$41:$AG$41,'Actual Sales'!$D$50:$AG$50)</f>
        <v>9</v>
      </c>
      <c r="AL21" s="99">
        <v>3</v>
      </c>
      <c r="AM21" s="143">
        <f t="shared" si="21"/>
        <v>66.666666666666657</v>
      </c>
      <c r="AN21" s="142">
        <f t="shared" si="22"/>
        <v>36</v>
      </c>
      <c r="AO21" s="210">
        <f t="shared" si="23"/>
        <v>1</v>
      </c>
      <c r="AP21" s="142">
        <f>_xlfn.XLOOKUP($A21,'Actual Sales'!$D$41:$AG$41,'Actual Sales'!$D$51:$AG$51)</f>
        <v>0</v>
      </c>
      <c r="AQ21" s="99">
        <v>4</v>
      </c>
      <c r="AR21" s="143" t="e">
        <f t="shared" si="24"/>
        <v>#DIV/0!</v>
      </c>
      <c r="AS21" s="142">
        <f t="shared" si="25"/>
        <v>16</v>
      </c>
      <c r="AT21" s="210">
        <f t="shared" si="26"/>
        <v>2</v>
      </c>
      <c r="AU21" s="142">
        <f>_xlfn.XLOOKUP($A21,'Actual Sales'!$D$41:$AG$41,'Actual Sales'!$D$52:$AG$52)</f>
        <v>10</v>
      </c>
      <c r="AV21" s="99">
        <v>9</v>
      </c>
      <c r="AW21" s="143">
        <f t="shared" si="27"/>
        <v>10</v>
      </c>
      <c r="AX21" s="142">
        <f t="shared" si="28"/>
        <v>1</v>
      </c>
      <c r="AY21" s="210">
        <f t="shared" si="29"/>
        <v>0.10526315789473684</v>
      </c>
      <c r="AZ21" s="142">
        <f>_xlfn.XLOOKUP($A21,'Actual Sales'!$D$41:$AG$41,'Actual Sales'!$D$53:$AG$53)</f>
        <v>2</v>
      </c>
      <c r="BA21" s="99">
        <v>4</v>
      </c>
      <c r="BB21" s="143">
        <f t="shared" si="30"/>
        <v>100</v>
      </c>
      <c r="BC21" s="142">
        <f t="shared" si="31"/>
        <v>4</v>
      </c>
      <c r="BD21" s="210">
        <f t="shared" si="32"/>
        <v>0.66666666666666663</v>
      </c>
      <c r="BE21" s="142">
        <f>_xlfn.XLOOKUP($A21,'Actual Sales'!$D$41:$AG$41,'Actual Sales'!$D$54:$AG$54)</f>
        <v>9</v>
      </c>
      <c r="BF21" s="99">
        <v>3</v>
      </c>
      <c r="BG21" s="143">
        <f t="shared" si="33"/>
        <v>66.666666666666657</v>
      </c>
      <c r="BH21" s="142">
        <f t="shared" si="34"/>
        <v>36</v>
      </c>
      <c r="BI21" s="210">
        <f t="shared" si="35"/>
        <v>1</v>
      </c>
      <c r="BJ21" s="142">
        <f>_xlfn.XLOOKUP($A21,'Actual Sales'!$D$41:$AG$41,'Actual Sales'!$D$55:$AG$55)</f>
        <v>1</v>
      </c>
      <c r="BK21" s="99">
        <v>3</v>
      </c>
      <c r="BL21" s="143">
        <f t="shared" si="36"/>
        <v>200</v>
      </c>
      <c r="BM21" s="142">
        <f t="shared" si="37"/>
        <v>4</v>
      </c>
      <c r="BN21" s="210">
        <f t="shared" si="38"/>
        <v>1</v>
      </c>
      <c r="BO21" s="142">
        <f>_xlfn.XLOOKUP($A21,'Actual Sales'!$D$41:$AG$41,'Actual Sales'!$D$56:$AG$56)</f>
        <v>2</v>
      </c>
      <c r="BP21" s="99">
        <v>1</v>
      </c>
      <c r="BQ21" s="143">
        <f t="shared" si="39"/>
        <v>50</v>
      </c>
      <c r="BR21" s="142">
        <f t="shared" si="40"/>
        <v>1</v>
      </c>
      <c r="BS21" s="210">
        <f t="shared" si="41"/>
        <v>0.66666666666666663</v>
      </c>
      <c r="BT21" s="142">
        <f>_xlfn.XLOOKUP($A21,'Actual Sales'!$D$41:$AG$41,'Actual Sales'!$D$57:$AG$57)</f>
        <v>2</v>
      </c>
      <c r="BU21" s="99">
        <v>3</v>
      </c>
      <c r="BV21" s="143">
        <f t="shared" si="42"/>
        <v>50</v>
      </c>
      <c r="BW21" s="142">
        <f t="shared" si="43"/>
        <v>1</v>
      </c>
      <c r="BX21" s="210">
        <f t="shared" si="44"/>
        <v>0.4</v>
      </c>
      <c r="BY21" s="142">
        <f>_xlfn.XLOOKUP($A21,'Actual Sales'!$D$41:$AG$41,'Actual Sales'!$D$58:$AG$58)</f>
        <v>1</v>
      </c>
      <c r="BZ21" s="99">
        <v>1</v>
      </c>
      <c r="CA21" s="143">
        <f t="shared" si="45"/>
        <v>0</v>
      </c>
      <c r="CB21" s="142">
        <f t="shared" si="46"/>
        <v>0</v>
      </c>
      <c r="CC21" s="210">
        <f t="shared" si="47"/>
        <v>0</v>
      </c>
      <c r="CD21" s="142">
        <f>_xlfn.XLOOKUP($A21,'Actual Sales'!$D$41:$AG$41,'Actual Sales'!$D$59:$AG$59)</f>
        <v>1</v>
      </c>
      <c r="CE21" s="99">
        <v>1</v>
      </c>
      <c r="CF21" s="143">
        <f t="shared" si="48"/>
        <v>0</v>
      </c>
      <c r="CG21" s="142">
        <f t="shared" si="49"/>
        <v>0</v>
      </c>
      <c r="CH21" s="210">
        <f t="shared" si="50"/>
        <v>0</v>
      </c>
      <c r="CI21" s="142">
        <f>_xlfn.XLOOKUP($A21,'Actual Sales'!$D$41:$AG$41,'Actual Sales'!$D$60:$AG$60)</f>
        <v>5</v>
      </c>
      <c r="CJ21" s="99">
        <v>5</v>
      </c>
      <c r="CK21" s="143">
        <f t="shared" si="51"/>
        <v>0</v>
      </c>
      <c r="CL21" s="142">
        <f t="shared" si="52"/>
        <v>0</v>
      </c>
      <c r="CM21" s="210">
        <f t="shared" si="53"/>
        <v>0</v>
      </c>
      <c r="CN21" s="142">
        <f>_xlfn.XLOOKUP($A21,'Actual Sales'!$D$41:$AG$41,'Actual Sales'!$D$61:$AG$61)</f>
        <v>6</v>
      </c>
      <c r="CO21" s="99">
        <v>9</v>
      </c>
      <c r="CP21" s="143">
        <f t="shared" si="54"/>
        <v>50</v>
      </c>
      <c r="CQ21" s="142">
        <f t="shared" si="55"/>
        <v>9</v>
      </c>
      <c r="CR21" s="210">
        <f t="shared" si="56"/>
        <v>0.4</v>
      </c>
      <c r="CS21" s="142">
        <f>_xlfn.XLOOKUP($A21,'Actual Sales'!$D$41:$AG$41,'Actual Sales'!$D$62:$AG$62)</f>
        <v>0</v>
      </c>
      <c r="CT21" s="99">
        <v>1</v>
      </c>
      <c r="CU21" s="143" t="e">
        <f t="shared" si="57"/>
        <v>#DIV/0!</v>
      </c>
      <c r="CV21" s="142">
        <f t="shared" si="58"/>
        <v>1</v>
      </c>
      <c r="CW21" s="210">
        <f t="shared" si="59"/>
        <v>2</v>
      </c>
      <c r="CX21" s="142">
        <f>_xlfn.XLOOKUP($A21,'Actual Sales'!$D$41:$AG$41,'Actual Sales'!$D$63:$AG$63)</f>
        <v>0</v>
      </c>
      <c r="CY21" s="99">
        <v>3</v>
      </c>
      <c r="CZ21" s="143" t="e">
        <f t="shared" si="60"/>
        <v>#DIV/0!</v>
      </c>
      <c r="DA21" s="142">
        <f t="shared" si="61"/>
        <v>9</v>
      </c>
      <c r="DB21" s="210">
        <f t="shared" si="62"/>
        <v>2</v>
      </c>
      <c r="DC21" s="142">
        <f>_xlfn.XLOOKUP($A21,'Actual Sales'!$D$41:$AG$41,'Actual Sales'!$D$64:$AG$64)</f>
        <v>0</v>
      </c>
      <c r="DD21" s="99">
        <v>1</v>
      </c>
      <c r="DE21" s="143" t="e">
        <f t="shared" si="63"/>
        <v>#DIV/0!</v>
      </c>
      <c r="DF21" s="142">
        <f t="shared" si="64"/>
        <v>1</v>
      </c>
      <c r="DG21" s="210">
        <f t="shared" si="65"/>
        <v>2</v>
      </c>
      <c r="DH21" s="142">
        <f>_xlfn.XLOOKUP($A21,'Actual Sales'!$D$41:$AG$41,'Actual Sales'!$D$65:$AG$65)</f>
        <v>3</v>
      </c>
      <c r="DI21" s="99">
        <v>1</v>
      </c>
      <c r="DJ21" s="143">
        <f t="shared" si="66"/>
        <v>66.666666666666657</v>
      </c>
      <c r="DK21" s="142">
        <f t="shared" si="67"/>
        <v>4</v>
      </c>
      <c r="DL21" s="213">
        <f t="shared" si="68"/>
        <v>1</v>
      </c>
    </row>
    <row r="22" spans="1:116" x14ac:dyDescent="0.2">
      <c r="A22" s="147">
        <v>19</v>
      </c>
      <c r="B22" s="142">
        <f>_xlfn.XLOOKUP(A22,'Actual Sales'!$D$41:$AG$41,'Actual Sales'!$D$43:$AG$43)</f>
        <v>47</v>
      </c>
      <c r="C22" s="99">
        <v>48</v>
      </c>
      <c r="D22" s="143">
        <f t="shared" si="1"/>
        <v>2.1276595744680851</v>
      </c>
      <c r="E22" s="142">
        <f t="shared" si="2"/>
        <v>1</v>
      </c>
      <c r="F22" s="210">
        <f t="shared" si="3"/>
        <v>2.1052631578947368E-2</v>
      </c>
      <c r="G22" s="142">
        <f>_xlfn.XLOOKUP($A22,'Actual Sales'!$D$41:$AG$41,'Actual Sales'!$D$44:$AG$44)</f>
        <v>0</v>
      </c>
      <c r="H22" s="99">
        <v>1</v>
      </c>
      <c r="I22" s="143" t="e">
        <f t="shared" si="0"/>
        <v>#DIV/0!</v>
      </c>
      <c r="J22" s="142">
        <f t="shared" si="4"/>
        <v>1</v>
      </c>
      <c r="K22" s="210">
        <f t="shared" si="5"/>
        <v>2</v>
      </c>
      <c r="L22" s="142">
        <f>_xlfn.XLOOKUP($A22,'Actual Sales'!$D$41:$AG$41,'Actual Sales'!$D$45:$AG$45)</f>
        <v>17</v>
      </c>
      <c r="M22" s="99">
        <v>17</v>
      </c>
      <c r="N22" s="143">
        <f t="shared" si="6"/>
        <v>0</v>
      </c>
      <c r="O22" s="142">
        <f t="shared" si="7"/>
        <v>0</v>
      </c>
      <c r="P22" s="210">
        <f t="shared" si="8"/>
        <v>0</v>
      </c>
      <c r="Q22" s="142">
        <f>_xlfn.XLOOKUP($A22,'Actual Sales'!$D$41:$AG$41,'Actual Sales'!$D$46:$AG$46)</f>
        <v>1</v>
      </c>
      <c r="R22" s="99">
        <v>2</v>
      </c>
      <c r="S22" s="143">
        <f t="shared" si="9"/>
        <v>100</v>
      </c>
      <c r="T22" s="142">
        <f t="shared" si="10"/>
        <v>1</v>
      </c>
      <c r="U22" s="210">
        <f t="shared" si="11"/>
        <v>0.66666666666666663</v>
      </c>
      <c r="V22" s="142">
        <f>_xlfn.XLOOKUP($A22,'Actual Sales'!$D$41:$AG$41,'Actual Sales'!$D$47:$AG$47)</f>
        <v>22</v>
      </c>
      <c r="W22" s="99">
        <v>19</v>
      </c>
      <c r="X22" s="143">
        <f t="shared" si="12"/>
        <v>13.636363636363635</v>
      </c>
      <c r="Y22" s="142">
        <f t="shared" si="13"/>
        <v>9</v>
      </c>
      <c r="Z22" s="210">
        <f t="shared" si="14"/>
        <v>0.14634146341463414</v>
      </c>
      <c r="AA22" s="142">
        <f>_xlfn.XLOOKUP($A22,'Actual Sales'!$D$41:$AG$41,'Actual Sales'!$D$48:$AG$48)</f>
        <v>6</v>
      </c>
      <c r="AB22" s="99">
        <v>10</v>
      </c>
      <c r="AC22" s="143">
        <f t="shared" si="15"/>
        <v>66.666666666666657</v>
      </c>
      <c r="AD22" s="142">
        <f t="shared" si="16"/>
        <v>16</v>
      </c>
      <c r="AE22" s="210">
        <f t="shared" si="17"/>
        <v>0.5</v>
      </c>
      <c r="AF22" s="142">
        <f>_xlfn.XLOOKUP($A22,'Actual Sales'!$D$41:$AG$41,'Actual Sales'!$D$49:$AG$49)</f>
        <v>53</v>
      </c>
      <c r="AG22" s="99">
        <v>19</v>
      </c>
      <c r="AH22" s="143">
        <f t="shared" si="18"/>
        <v>64.15094339622641</v>
      </c>
      <c r="AI22" s="142">
        <f t="shared" si="19"/>
        <v>1156</v>
      </c>
      <c r="AJ22" s="210">
        <f t="shared" si="20"/>
        <v>0.94444444444444442</v>
      </c>
      <c r="AK22" s="142">
        <f>_xlfn.XLOOKUP($A22,'Actual Sales'!$D$41:$AG$41,'Actual Sales'!$D$50:$AG$50)</f>
        <v>10</v>
      </c>
      <c r="AL22" s="99">
        <v>5</v>
      </c>
      <c r="AM22" s="143">
        <f t="shared" si="21"/>
        <v>50</v>
      </c>
      <c r="AN22" s="142">
        <f t="shared" si="22"/>
        <v>25</v>
      </c>
      <c r="AO22" s="210">
        <f t="shared" si="23"/>
        <v>0.66666666666666663</v>
      </c>
      <c r="AP22" s="142">
        <f>_xlfn.XLOOKUP($A22,'Actual Sales'!$D$41:$AG$41,'Actual Sales'!$D$51:$AG$51)</f>
        <v>7</v>
      </c>
      <c r="AQ22" s="99">
        <v>4</v>
      </c>
      <c r="AR22" s="143">
        <f t="shared" si="24"/>
        <v>42.857142857142854</v>
      </c>
      <c r="AS22" s="142">
        <f t="shared" si="25"/>
        <v>9</v>
      </c>
      <c r="AT22" s="210">
        <f t="shared" si="26"/>
        <v>0.54545454545454541</v>
      </c>
      <c r="AU22" s="142">
        <f>_xlfn.XLOOKUP($A22,'Actual Sales'!$D$41:$AG$41,'Actual Sales'!$D$52:$AG$52)</f>
        <v>14</v>
      </c>
      <c r="AV22" s="99">
        <v>9</v>
      </c>
      <c r="AW22" s="143">
        <f t="shared" si="27"/>
        <v>35.714285714285715</v>
      </c>
      <c r="AX22" s="142">
        <f t="shared" si="28"/>
        <v>25</v>
      </c>
      <c r="AY22" s="210">
        <f t="shared" si="29"/>
        <v>0.43478260869565216</v>
      </c>
      <c r="AZ22" s="142">
        <f>_xlfn.XLOOKUP($A22,'Actual Sales'!$D$41:$AG$41,'Actual Sales'!$D$53:$AG$53)</f>
        <v>5</v>
      </c>
      <c r="BA22" s="99">
        <v>4</v>
      </c>
      <c r="BB22" s="143">
        <f t="shared" si="30"/>
        <v>20</v>
      </c>
      <c r="BC22" s="142">
        <f t="shared" si="31"/>
        <v>1</v>
      </c>
      <c r="BD22" s="210">
        <f t="shared" si="32"/>
        <v>0.22222222222222221</v>
      </c>
      <c r="BE22" s="142">
        <f>_xlfn.XLOOKUP($A22,'Actual Sales'!$D$41:$AG$41,'Actual Sales'!$D$54:$AG$54)</f>
        <v>14</v>
      </c>
      <c r="BF22" s="99">
        <v>3</v>
      </c>
      <c r="BG22" s="143">
        <f t="shared" si="33"/>
        <v>78.571428571428569</v>
      </c>
      <c r="BH22" s="142">
        <f t="shared" si="34"/>
        <v>121</v>
      </c>
      <c r="BI22" s="210">
        <f t="shared" si="35"/>
        <v>1.2941176470588236</v>
      </c>
      <c r="BJ22" s="142">
        <f>_xlfn.XLOOKUP($A22,'Actual Sales'!$D$41:$AG$41,'Actual Sales'!$D$55:$AG$55)</f>
        <v>1</v>
      </c>
      <c r="BK22" s="99">
        <v>3</v>
      </c>
      <c r="BL22" s="143">
        <f t="shared" si="36"/>
        <v>200</v>
      </c>
      <c r="BM22" s="142">
        <f t="shared" si="37"/>
        <v>4</v>
      </c>
      <c r="BN22" s="210">
        <f t="shared" si="38"/>
        <v>1</v>
      </c>
      <c r="BO22" s="142">
        <f>_xlfn.XLOOKUP($A22,'Actual Sales'!$D$41:$AG$41,'Actual Sales'!$D$56:$AG$56)</f>
        <v>9</v>
      </c>
      <c r="BP22" s="99">
        <v>2</v>
      </c>
      <c r="BQ22" s="143">
        <f t="shared" si="39"/>
        <v>77.777777777777786</v>
      </c>
      <c r="BR22" s="142">
        <f t="shared" si="40"/>
        <v>49</v>
      </c>
      <c r="BS22" s="210">
        <f t="shared" si="41"/>
        <v>1.2727272727272727</v>
      </c>
      <c r="BT22" s="142">
        <f>_xlfn.XLOOKUP($A22,'Actual Sales'!$D$41:$AG$41,'Actual Sales'!$D$57:$AG$57)</f>
        <v>3</v>
      </c>
      <c r="BU22" s="99">
        <v>3</v>
      </c>
      <c r="BV22" s="143">
        <f t="shared" si="42"/>
        <v>0</v>
      </c>
      <c r="BW22" s="142">
        <f t="shared" si="43"/>
        <v>0</v>
      </c>
      <c r="BX22" s="210">
        <f t="shared" si="44"/>
        <v>0</v>
      </c>
      <c r="BY22" s="142">
        <f>_xlfn.XLOOKUP($A22,'Actual Sales'!$D$41:$AG$41,'Actual Sales'!$D$58:$AG$58)</f>
        <v>3</v>
      </c>
      <c r="BZ22" s="99">
        <v>1</v>
      </c>
      <c r="CA22" s="143">
        <f t="shared" si="45"/>
        <v>66.666666666666657</v>
      </c>
      <c r="CB22" s="142">
        <f t="shared" si="46"/>
        <v>4</v>
      </c>
      <c r="CC22" s="210">
        <f t="shared" si="47"/>
        <v>1</v>
      </c>
      <c r="CD22" s="142">
        <f>_xlfn.XLOOKUP($A22,'Actual Sales'!$D$41:$AG$41,'Actual Sales'!$D$59:$AG$59)</f>
        <v>9</v>
      </c>
      <c r="CE22" s="99">
        <v>1</v>
      </c>
      <c r="CF22" s="143">
        <f t="shared" si="48"/>
        <v>88.888888888888886</v>
      </c>
      <c r="CG22" s="142">
        <f t="shared" si="49"/>
        <v>64</v>
      </c>
      <c r="CH22" s="210">
        <f t="shared" si="50"/>
        <v>1.6</v>
      </c>
      <c r="CI22" s="142">
        <f>_xlfn.XLOOKUP($A22,'Actual Sales'!$D$41:$AG$41,'Actual Sales'!$D$60:$AG$60)</f>
        <v>8</v>
      </c>
      <c r="CJ22" s="99">
        <v>6</v>
      </c>
      <c r="CK22" s="143">
        <f t="shared" si="51"/>
        <v>25</v>
      </c>
      <c r="CL22" s="142">
        <f t="shared" si="52"/>
        <v>4</v>
      </c>
      <c r="CM22" s="210">
        <f t="shared" si="53"/>
        <v>0.2857142857142857</v>
      </c>
      <c r="CN22" s="142">
        <f>_xlfn.XLOOKUP($A22,'Actual Sales'!$D$41:$AG$41,'Actual Sales'!$D$61:$AG$61)</f>
        <v>19</v>
      </c>
      <c r="CO22" s="99">
        <v>9</v>
      </c>
      <c r="CP22" s="143">
        <f t="shared" si="54"/>
        <v>52.631578947368418</v>
      </c>
      <c r="CQ22" s="142">
        <f t="shared" si="55"/>
        <v>100</v>
      </c>
      <c r="CR22" s="210">
        <f t="shared" si="56"/>
        <v>0.7142857142857143</v>
      </c>
      <c r="CS22" s="142">
        <f>_xlfn.XLOOKUP($A22,'Actual Sales'!$D$41:$AG$41,'Actual Sales'!$D$62:$AG$62)</f>
        <v>0</v>
      </c>
      <c r="CT22" s="99">
        <v>1</v>
      </c>
      <c r="CU22" s="143" t="e">
        <f t="shared" si="57"/>
        <v>#DIV/0!</v>
      </c>
      <c r="CV22" s="142">
        <f t="shared" si="58"/>
        <v>1</v>
      </c>
      <c r="CW22" s="210">
        <f t="shared" si="59"/>
        <v>2</v>
      </c>
      <c r="CX22" s="142">
        <f>_xlfn.XLOOKUP($A22,'Actual Sales'!$D$41:$AG$41,'Actual Sales'!$D$63:$AG$63)</f>
        <v>4</v>
      </c>
      <c r="CY22" s="99">
        <v>2</v>
      </c>
      <c r="CZ22" s="143">
        <f t="shared" si="60"/>
        <v>50</v>
      </c>
      <c r="DA22" s="142">
        <f t="shared" si="61"/>
        <v>4</v>
      </c>
      <c r="DB22" s="210">
        <f t="shared" si="62"/>
        <v>0.66666666666666663</v>
      </c>
      <c r="DC22" s="142">
        <f>_xlfn.XLOOKUP($A22,'Actual Sales'!$D$41:$AG$41,'Actual Sales'!$D$64:$AG$64)</f>
        <v>0</v>
      </c>
      <c r="DD22" s="99">
        <v>1</v>
      </c>
      <c r="DE22" s="143" t="e">
        <f t="shared" si="63"/>
        <v>#DIV/0!</v>
      </c>
      <c r="DF22" s="142">
        <f t="shared" si="64"/>
        <v>1</v>
      </c>
      <c r="DG22" s="210">
        <f t="shared" si="65"/>
        <v>2</v>
      </c>
      <c r="DH22" s="142">
        <f>_xlfn.XLOOKUP($A22,'Actual Sales'!$D$41:$AG$41,'Actual Sales'!$D$65:$AG$65)</f>
        <v>4</v>
      </c>
      <c r="DI22" s="99">
        <v>1</v>
      </c>
      <c r="DJ22" s="143">
        <f t="shared" si="66"/>
        <v>75</v>
      </c>
      <c r="DK22" s="142">
        <f t="shared" si="67"/>
        <v>9</v>
      </c>
      <c r="DL22" s="213">
        <f t="shared" si="68"/>
        <v>1.2</v>
      </c>
    </row>
    <row r="23" spans="1:116" x14ac:dyDescent="0.2">
      <c r="A23" s="147">
        <v>20</v>
      </c>
      <c r="B23" s="142">
        <f>_xlfn.XLOOKUP(A23,'Actual Sales'!$D$41:$AG$41,'Actual Sales'!$D$43:$AG$43)</f>
        <v>41</v>
      </c>
      <c r="C23" s="99">
        <v>45</v>
      </c>
      <c r="D23" s="143">
        <f t="shared" si="1"/>
        <v>9.7560975609756095</v>
      </c>
      <c r="E23" s="142">
        <f t="shared" si="2"/>
        <v>16</v>
      </c>
      <c r="F23" s="210">
        <f t="shared" si="3"/>
        <v>9.3023255813953487E-2</v>
      </c>
      <c r="G23" s="142">
        <f>_xlfn.XLOOKUP($A23,'Actual Sales'!$D$41:$AG$41,'Actual Sales'!$D$44:$AG$44)</f>
        <v>2</v>
      </c>
      <c r="H23" s="99">
        <v>1</v>
      </c>
      <c r="I23" s="143">
        <f t="shared" si="0"/>
        <v>50</v>
      </c>
      <c r="J23" s="142">
        <f t="shared" si="4"/>
        <v>1</v>
      </c>
      <c r="K23" s="210">
        <f t="shared" si="5"/>
        <v>0.66666666666666663</v>
      </c>
      <c r="L23" s="142">
        <f>_xlfn.XLOOKUP($A23,'Actual Sales'!$D$41:$AG$41,'Actual Sales'!$D$45:$AG$45)</f>
        <v>20</v>
      </c>
      <c r="M23" s="99">
        <v>18</v>
      </c>
      <c r="N23" s="143">
        <f t="shared" si="6"/>
        <v>10</v>
      </c>
      <c r="O23" s="142">
        <f t="shared" si="7"/>
        <v>4</v>
      </c>
      <c r="P23" s="210">
        <f t="shared" si="8"/>
        <v>0.10526315789473684</v>
      </c>
      <c r="Q23" s="142">
        <f>_xlfn.XLOOKUP($A23,'Actual Sales'!$D$41:$AG$41,'Actual Sales'!$D$46:$AG$46)</f>
        <v>8</v>
      </c>
      <c r="R23" s="99">
        <v>2</v>
      </c>
      <c r="S23" s="143">
        <f t="shared" si="9"/>
        <v>75</v>
      </c>
      <c r="T23" s="142">
        <f t="shared" si="10"/>
        <v>36</v>
      </c>
      <c r="U23" s="210">
        <f t="shared" si="11"/>
        <v>1.2</v>
      </c>
      <c r="V23" s="142">
        <f>_xlfn.XLOOKUP($A23,'Actual Sales'!$D$41:$AG$41,'Actual Sales'!$D$47:$AG$47)</f>
        <v>22</v>
      </c>
      <c r="W23" s="99">
        <v>19</v>
      </c>
      <c r="X23" s="143">
        <f t="shared" si="12"/>
        <v>13.636363636363635</v>
      </c>
      <c r="Y23" s="142">
        <f t="shared" si="13"/>
        <v>9</v>
      </c>
      <c r="Z23" s="210">
        <f t="shared" si="14"/>
        <v>0.14634146341463414</v>
      </c>
      <c r="AA23" s="142">
        <f>_xlfn.XLOOKUP($A23,'Actual Sales'!$D$41:$AG$41,'Actual Sales'!$D$48:$AG$48)</f>
        <v>17</v>
      </c>
      <c r="AB23" s="99">
        <v>10</v>
      </c>
      <c r="AC23" s="143">
        <f t="shared" si="15"/>
        <v>41.17647058823529</v>
      </c>
      <c r="AD23" s="142">
        <f t="shared" si="16"/>
        <v>49</v>
      </c>
      <c r="AE23" s="210">
        <f t="shared" si="17"/>
        <v>0.51851851851851849</v>
      </c>
      <c r="AF23" s="142">
        <f>_xlfn.XLOOKUP($A23,'Actual Sales'!$D$41:$AG$41,'Actual Sales'!$D$49:$AG$49)</f>
        <v>51</v>
      </c>
      <c r="AG23" s="99">
        <v>18</v>
      </c>
      <c r="AH23" s="143">
        <f t="shared" si="18"/>
        <v>64.705882352941174</v>
      </c>
      <c r="AI23" s="142">
        <f t="shared" si="19"/>
        <v>1089</v>
      </c>
      <c r="AJ23" s="210">
        <f t="shared" si="20"/>
        <v>0.95652173913043481</v>
      </c>
      <c r="AK23" s="142">
        <f>_xlfn.XLOOKUP($A23,'Actual Sales'!$D$41:$AG$41,'Actual Sales'!$D$50:$AG$50)</f>
        <v>11</v>
      </c>
      <c r="AL23" s="99">
        <v>3</v>
      </c>
      <c r="AM23" s="143">
        <f t="shared" si="21"/>
        <v>72.727272727272734</v>
      </c>
      <c r="AN23" s="142">
        <f t="shared" si="22"/>
        <v>64</v>
      </c>
      <c r="AO23" s="210">
        <f t="shared" si="23"/>
        <v>1.1428571428571428</v>
      </c>
      <c r="AP23" s="142">
        <f>_xlfn.XLOOKUP($A23,'Actual Sales'!$D$41:$AG$41,'Actual Sales'!$D$51:$AG$51)</f>
        <v>4</v>
      </c>
      <c r="AQ23" s="99">
        <v>4</v>
      </c>
      <c r="AR23" s="143">
        <f t="shared" si="24"/>
        <v>0</v>
      </c>
      <c r="AS23" s="142">
        <f t="shared" si="25"/>
        <v>0</v>
      </c>
      <c r="AT23" s="210">
        <f t="shared" si="26"/>
        <v>0</v>
      </c>
      <c r="AU23" s="142">
        <f>_xlfn.XLOOKUP($A23,'Actual Sales'!$D$41:$AG$41,'Actual Sales'!$D$52:$AG$52)</f>
        <v>18</v>
      </c>
      <c r="AV23" s="99">
        <v>9</v>
      </c>
      <c r="AW23" s="143">
        <f t="shared" si="27"/>
        <v>50</v>
      </c>
      <c r="AX23" s="142">
        <f t="shared" si="28"/>
        <v>81</v>
      </c>
      <c r="AY23" s="210">
        <f t="shared" si="29"/>
        <v>0.66666666666666663</v>
      </c>
      <c r="AZ23" s="142">
        <f>_xlfn.XLOOKUP($A23,'Actual Sales'!$D$41:$AG$41,'Actual Sales'!$D$53:$AG$53)</f>
        <v>1</v>
      </c>
      <c r="BA23" s="99">
        <v>4</v>
      </c>
      <c r="BB23" s="143">
        <f t="shared" si="30"/>
        <v>300</v>
      </c>
      <c r="BC23" s="142">
        <f t="shared" si="31"/>
        <v>9</v>
      </c>
      <c r="BD23" s="210">
        <f t="shared" si="32"/>
        <v>1.2</v>
      </c>
      <c r="BE23" s="142">
        <f>_xlfn.XLOOKUP($A23,'Actual Sales'!$D$41:$AG$41,'Actual Sales'!$D$54:$AG$54)</f>
        <v>12</v>
      </c>
      <c r="BF23" s="99">
        <v>6</v>
      </c>
      <c r="BG23" s="143">
        <f t="shared" si="33"/>
        <v>50</v>
      </c>
      <c r="BH23" s="142">
        <f t="shared" si="34"/>
        <v>36</v>
      </c>
      <c r="BI23" s="210">
        <f t="shared" si="35"/>
        <v>0.66666666666666663</v>
      </c>
      <c r="BJ23" s="142">
        <f>_xlfn.XLOOKUP($A23,'Actual Sales'!$D$41:$AG$41,'Actual Sales'!$D$55:$AG$55)</f>
        <v>1</v>
      </c>
      <c r="BK23" s="99">
        <v>4</v>
      </c>
      <c r="BL23" s="143">
        <f t="shared" si="36"/>
        <v>300</v>
      </c>
      <c r="BM23" s="142">
        <f t="shared" si="37"/>
        <v>9</v>
      </c>
      <c r="BN23" s="210">
        <f t="shared" si="38"/>
        <v>1.2</v>
      </c>
      <c r="BO23" s="142">
        <f>_xlfn.XLOOKUP($A23,'Actual Sales'!$D$41:$AG$41,'Actual Sales'!$D$56:$AG$56)</f>
        <v>3</v>
      </c>
      <c r="BP23" s="99">
        <v>1</v>
      </c>
      <c r="BQ23" s="143">
        <f t="shared" si="39"/>
        <v>66.666666666666657</v>
      </c>
      <c r="BR23" s="142">
        <f t="shared" si="40"/>
        <v>4</v>
      </c>
      <c r="BS23" s="210">
        <f t="shared" si="41"/>
        <v>1</v>
      </c>
      <c r="BT23" s="142">
        <f>_xlfn.XLOOKUP($A23,'Actual Sales'!$D$41:$AG$41,'Actual Sales'!$D$57:$AG$57)</f>
        <v>7</v>
      </c>
      <c r="BU23" s="99">
        <v>3</v>
      </c>
      <c r="BV23" s="143">
        <f t="shared" si="42"/>
        <v>57.142857142857139</v>
      </c>
      <c r="BW23" s="142">
        <f t="shared" si="43"/>
        <v>16</v>
      </c>
      <c r="BX23" s="210">
        <f t="shared" si="44"/>
        <v>0.8</v>
      </c>
      <c r="BY23" s="142">
        <f>_xlfn.XLOOKUP($A23,'Actual Sales'!$D$41:$AG$41,'Actual Sales'!$D$58:$AG$58)</f>
        <v>0</v>
      </c>
      <c r="BZ23" s="99">
        <v>1</v>
      </c>
      <c r="CA23" s="143" t="e">
        <f t="shared" si="45"/>
        <v>#DIV/0!</v>
      </c>
      <c r="CB23" s="142">
        <f t="shared" si="46"/>
        <v>1</v>
      </c>
      <c r="CC23" s="210">
        <f t="shared" si="47"/>
        <v>2</v>
      </c>
      <c r="CD23" s="142">
        <f>_xlfn.XLOOKUP($A23,'Actual Sales'!$D$41:$AG$41,'Actual Sales'!$D$59:$AG$59)</f>
        <v>0</v>
      </c>
      <c r="CE23" s="99">
        <v>1</v>
      </c>
      <c r="CF23" s="143" t="e">
        <f t="shared" si="48"/>
        <v>#DIV/0!</v>
      </c>
      <c r="CG23" s="142">
        <f t="shared" si="49"/>
        <v>1</v>
      </c>
      <c r="CH23" s="210">
        <f t="shared" si="50"/>
        <v>2</v>
      </c>
      <c r="CI23" s="142">
        <f>_xlfn.XLOOKUP($A23,'Actual Sales'!$D$41:$AG$41,'Actual Sales'!$D$60:$AG$60)</f>
        <v>3</v>
      </c>
      <c r="CJ23" s="99">
        <v>5</v>
      </c>
      <c r="CK23" s="143">
        <f t="shared" si="51"/>
        <v>66.666666666666657</v>
      </c>
      <c r="CL23" s="142">
        <f t="shared" si="52"/>
        <v>4</v>
      </c>
      <c r="CM23" s="210">
        <f t="shared" si="53"/>
        <v>0.5</v>
      </c>
      <c r="CN23" s="142">
        <f>_xlfn.XLOOKUP($A23,'Actual Sales'!$D$41:$AG$41,'Actual Sales'!$D$61:$AG$61)</f>
        <v>27</v>
      </c>
      <c r="CO23" s="99">
        <v>9</v>
      </c>
      <c r="CP23" s="143">
        <f t="shared" si="54"/>
        <v>66.666666666666657</v>
      </c>
      <c r="CQ23" s="142">
        <f t="shared" si="55"/>
        <v>324</v>
      </c>
      <c r="CR23" s="210">
        <f t="shared" si="56"/>
        <v>1</v>
      </c>
      <c r="CS23" s="142">
        <f>_xlfn.XLOOKUP($A23,'Actual Sales'!$D$41:$AG$41,'Actual Sales'!$D$62:$AG$62)</f>
        <v>6</v>
      </c>
      <c r="CT23" s="99">
        <v>1</v>
      </c>
      <c r="CU23" s="143">
        <f t="shared" si="57"/>
        <v>83.333333333333343</v>
      </c>
      <c r="CV23" s="142">
        <f t="shared" si="58"/>
        <v>25</v>
      </c>
      <c r="CW23" s="210">
        <f t="shared" si="59"/>
        <v>1.4285714285714286</v>
      </c>
      <c r="CX23" s="142">
        <f>_xlfn.XLOOKUP($A23,'Actual Sales'!$D$41:$AG$41,'Actual Sales'!$D$63:$AG$63)</f>
        <v>6</v>
      </c>
      <c r="CY23" s="99">
        <v>2</v>
      </c>
      <c r="CZ23" s="143">
        <f t="shared" si="60"/>
        <v>66.666666666666657</v>
      </c>
      <c r="DA23" s="142">
        <f t="shared" si="61"/>
        <v>16</v>
      </c>
      <c r="DB23" s="210">
        <f t="shared" si="62"/>
        <v>1</v>
      </c>
      <c r="DC23" s="142">
        <f>_xlfn.XLOOKUP($A23,'Actual Sales'!$D$41:$AG$41,'Actual Sales'!$D$64:$AG$64)</f>
        <v>0</v>
      </c>
      <c r="DD23" s="99">
        <v>1</v>
      </c>
      <c r="DE23" s="143" t="e">
        <f t="shared" si="63"/>
        <v>#DIV/0!</v>
      </c>
      <c r="DF23" s="142">
        <f t="shared" si="64"/>
        <v>1</v>
      </c>
      <c r="DG23" s="210">
        <f t="shared" si="65"/>
        <v>2</v>
      </c>
      <c r="DH23" s="142">
        <f>_xlfn.XLOOKUP($A23,'Actual Sales'!$D$41:$AG$41,'Actual Sales'!$D$65:$AG$65)</f>
        <v>2</v>
      </c>
      <c r="DI23" s="99">
        <v>1</v>
      </c>
      <c r="DJ23" s="143">
        <f t="shared" si="66"/>
        <v>50</v>
      </c>
      <c r="DK23" s="142">
        <f t="shared" si="67"/>
        <v>1</v>
      </c>
      <c r="DL23" s="213">
        <f t="shared" si="68"/>
        <v>0.66666666666666663</v>
      </c>
    </row>
    <row r="24" spans="1:116" x14ac:dyDescent="0.2">
      <c r="A24" s="147">
        <v>21</v>
      </c>
      <c r="B24" s="142">
        <f>_xlfn.XLOOKUP(A24,'Actual Sales'!$D$41:$AG$41,'Actual Sales'!$D$43:$AG$43)</f>
        <v>18</v>
      </c>
      <c r="C24" s="99">
        <v>46</v>
      </c>
      <c r="D24" s="143">
        <f t="shared" si="1"/>
        <v>155.55555555555557</v>
      </c>
      <c r="E24" s="142">
        <f t="shared" si="2"/>
        <v>784</v>
      </c>
      <c r="F24" s="210">
        <f t="shared" si="3"/>
        <v>0.875</v>
      </c>
      <c r="G24" s="142">
        <f>_xlfn.XLOOKUP($A24,'Actual Sales'!$D$41:$AG$41,'Actual Sales'!$D$44:$AG$44)</f>
        <v>0</v>
      </c>
      <c r="H24" s="99">
        <v>1</v>
      </c>
      <c r="I24" s="143" t="e">
        <f t="shared" si="0"/>
        <v>#DIV/0!</v>
      </c>
      <c r="J24" s="142">
        <f t="shared" si="4"/>
        <v>1</v>
      </c>
      <c r="K24" s="210">
        <f t="shared" si="5"/>
        <v>2</v>
      </c>
      <c r="L24" s="142">
        <f>_xlfn.XLOOKUP($A24,'Actual Sales'!$D$41:$AG$41,'Actual Sales'!$D$45:$AG$45)</f>
        <v>18</v>
      </c>
      <c r="M24" s="99">
        <v>21</v>
      </c>
      <c r="N24" s="143">
        <f t="shared" si="6"/>
        <v>16.666666666666664</v>
      </c>
      <c r="O24" s="142">
        <f t="shared" si="7"/>
        <v>9</v>
      </c>
      <c r="P24" s="210">
        <f t="shared" si="8"/>
        <v>0.15384615384615385</v>
      </c>
      <c r="Q24" s="142">
        <f>_xlfn.XLOOKUP($A24,'Actual Sales'!$D$41:$AG$41,'Actual Sales'!$D$46:$AG$46)</f>
        <v>1</v>
      </c>
      <c r="R24" s="99">
        <v>2</v>
      </c>
      <c r="S24" s="143">
        <f t="shared" si="9"/>
        <v>100</v>
      </c>
      <c r="T24" s="142">
        <f t="shared" si="10"/>
        <v>1</v>
      </c>
      <c r="U24" s="210">
        <f t="shared" si="11"/>
        <v>0.66666666666666663</v>
      </c>
      <c r="V24" s="142">
        <f>_xlfn.XLOOKUP($A24,'Actual Sales'!$D$41:$AG$41,'Actual Sales'!$D$47:$AG$47)</f>
        <v>22</v>
      </c>
      <c r="W24" s="99">
        <v>19</v>
      </c>
      <c r="X24" s="143">
        <f t="shared" si="12"/>
        <v>13.636363636363635</v>
      </c>
      <c r="Y24" s="142">
        <f t="shared" si="13"/>
        <v>9</v>
      </c>
      <c r="Z24" s="210">
        <f t="shared" si="14"/>
        <v>0.14634146341463414</v>
      </c>
      <c r="AA24" s="142">
        <f>_xlfn.XLOOKUP($A24,'Actual Sales'!$D$41:$AG$41,'Actual Sales'!$D$48:$AG$48)</f>
        <v>15</v>
      </c>
      <c r="AB24" s="99">
        <v>10</v>
      </c>
      <c r="AC24" s="143">
        <f t="shared" si="15"/>
        <v>33.333333333333329</v>
      </c>
      <c r="AD24" s="142">
        <f t="shared" si="16"/>
        <v>25</v>
      </c>
      <c r="AE24" s="210">
        <f t="shared" si="17"/>
        <v>0.4</v>
      </c>
      <c r="AF24" s="142">
        <f>_xlfn.XLOOKUP($A24,'Actual Sales'!$D$41:$AG$41,'Actual Sales'!$D$49:$AG$49)</f>
        <v>28</v>
      </c>
      <c r="AG24" s="99">
        <v>18</v>
      </c>
      <c r="AH24" s="143">
        <f t="shared" si="18"/>
        <v>35.714285714285715</v>
      </c>
      <c r="AI24" s="142">
        <f t="shared" si="19"/>
        <v>100</v>
      </c>
      <c r="AJ24" s="210">
        <f t="shared" si="20"/>
        <v>0.43478260869565216</v>
      </c>
      <c r="AK24" s="142">
        <f>_xlfn.XLOOKUP($A24,'Actual Sales'!$D$41:$AG$41,'Actual Sales'!$D$50:$AG$50)</f>
        <v>3</v>
      </c>
      <c r="AL24" s="99">
        <v>3</v>
      </c>
      <c r="AM24" s="143">
        <f t="shared" si="21"/>
        <v>0</v>
      </c>
      <c r="AN24" s="142">
        <f t="shared" si="22"/>
        <v>0</v>
      </c>
      <c r="AO24" s="210">
        <f t="shared" si="23"/>
        <v>0</v>
      </c>
      <c r="AP24" s="142">
        <f>_xlfn.XLOOKUP($A24,'Actual Sales'!$D$41:$AG$41,'Actual Sales'!$D$51:$AG$51)</f>
        <v>5</v>
      </c>
      <c r="AQ24" s="99">
        <v>4</v>
      </c>
      <c r="AR24" s="143">
        <f t="shared" si="24"/>
        <v>20</v>
      </c>
      <c r="AS24" s="142">
        <f t="shared" si="25"/>
        <v>1</v>
      </c>
      <c r="AT24" s="210">
        <f t="shared" si="26"/>
        <v>0.22222222222222221</v>
      </c>
      <c r="AU24" s="142">
        <f>_xlfn.XLOOKUP($A24,'Actual Sales'!$D$41:$AG$41,'Actual Sales'!$D$52:$AG$52)</f>
        <v>15</v>
      </c>
      <c r="AV24" s="99">
        <v>9</v>
      </c>
      <c r="AW24" s="143">
        <f t="shared" si="27"/>
        <v>40</v>
      </c>
      <c r="AX24" s="142">
        <f t="shared" si="28"/>
        <v>36</v>
      </c>
      <c r="AY24" s="210">
        <f t="shared" si="29"/>
        <v>0.5</v>
      </c>
      <c r="AZ24" s="142">
        <f>_xlfn.XLOOKUP($A24,'Actual Sales'!$D$41:$AG$41,'Actual Sales'!$D$53:$AG$53)</f>
        <v>0</v>
      </c>
      <c r="BA24" s="99">
        <v>4</v>
      </c>
      <c r="BB24" s="143" t="e">
        <f t="shared" si="30"/>
        <v>#DIV/0!</v>
      </c>
      <c r="BC24" s="142">
        <f t="shared" si="31"/>
        <v>16</v>
      </c>
      <c r="BD24" s="210">
        <f t="shared" si="32"/>
        <v>2</v>
      </c>
      <c r="BE24" s="142">
        <f>_xlfn.XLOOKUP($A24,'Actual Sales'!$D$41:$AG$41,'Actual Sales'!$D$54:$AG$54)</f>
        <v>5</v>
      </c>
      <c r="BF24" s="99">
        <v>3</v>
      </c>
      <c r="BG24" s="143">
        <f t="shared" si="33"/>
        <v>40</v>
      </c>
      <c r="BH24" s="142">
        <f t="shared" si="34"/>
        <v>4</v>
      </c>
      <c r="BI24" s="210">
        <f t="shared" si="35"/>
        <v>0.5</v>
      </c>
      <c r="BJ24" s="142">
        <f>_xlfn.XLOOKUP($A24,'Actual Sales'!$D$41:$AG$41,'Actual Sales'!$D$55:$AG$55)</f>
        <v>6</v>
      </c>
      <c r="BK24" s="99">
        <v>3</v>
      </c>
      <c r="BL24" s="143">
        <f t="shared" si="36"/>
        <v>50</v>
      </c>
      <c r="BM24" s="142">
        <f t="shared" si="37"/>
        <v>9</v>
      </c>
      <c r="BN24" s="210">
        <f t="shared" si="38"/>
        <v>0.66666666666666663</v>
      </c>
      <c r="BO24" s="142">
        <f>_xlfn.XLOOKUP($A24,'Actual Sales'!$D$41:$AG$41,'Actual Sales'!$D$56:$AG$56)</f>
        <v>0</v>
      </c>
      <c r="BP24" s="99">
        <v>2</v>
      </c>
      <c r="BQ24" s="143" t="e">
        <f t="shared" si="39"/>
        <v>#DIV/0!</v>
      </c>
      <c r="BR24" s="142">
        <f t="shared" si="40"/>
        <v>4</v>
      </c>
      <c r="BS24" s="210">
        <f t="shared" si="41"/>
        <v>2</v>
      </c>
      <c r="BT24" s="142">
        <f>_xlfn.XLOOKUP($A24,'Actual Sales'!$D$41:$AG$41,'Actual Sales'!$D$57:$AG$57)</f>
        <v>3</v>
      </c>
      <c r="BU24" s="99">
        <v>3</v>
      </c>
      <c r="BV24" s="143">
        <f t="shared" si="42"/>
        <v>0</v>
      </c>
      <c r="BW24" s="142">
        <f t="shared" si="43"/>
        <v>0</v>
      </c>
      <c r="BX24" s="210">
        <f t="shared" si="44"/>
        <v>0</v>
      </c>
      <c r="BY24" s="142">
        <f>_xlfn.XLOOKUP($A24,'Actual Sales'!$D$41:$AG$41,'Actual Sales'!$D$58:$AG$58)</f>
        <v>0</v>
      </c>
      <c r="BZ24" s="99">
        <v>1</v>
      </c>
      <c r="CA24" s="143" t="e">
        <f t="shared" si="45"/>
        <v>#DIV/0!</v>
      </c>
      <c r="CB24" s="142">
        <f t="shared" si="46"/>
        <v>1</v>
      </c>
      <c r="CC24" s="210">
        <f t="shared" si="47"/>
        <v>2</v>
      </c>
      <c r="CD24" s="142">
        <f>_xlfn.XLOOKUP($A24,'Actual Sales'!$D$41:$AG$41,'Actual Sales'!$D$59:$AG$59)</f>
        <v>1</v>
      </c>
      <c r="CE24" s="99">
        <v>1</v>
      </c>
      <c r="CF24" s="143">
        <f t="shared" si="48"/>
        <v>0</v>
      </c>
      <c r="CG24" s="142">
        <f t="shared" si="49"/>
        <v>0</v>
      </c>
      <c r="CH24" s="210">
        <f t="shared" si="50"/>
        <v>0</v>
      </c>
      <c r="CI24" s="142">
        <f>_xlfn.XLOOKUP($A24,'Actual Sales'!$D$41:$AG$41,'Actual Sales'!$D$60:$AG$60)</f>
        <v>3</v>
      </c>
      <c r="CJ24" s="99">
        <v>6</v>
      </c>
      <c r="CK24" s="143">
        <f t="shared" si="51"/>
        <v>100</v>
      </c>
      <c r="CL24" s="142">
        <f t="shared" si="52"/>
        <v>9</v>
      </c>
      <c r="CM24" s="210">
        <f t="shared" si="53"/>
        <v>0.66666666666666663</v>
      </c>
      <c r="CN24" s="142">
        <f>_xlfn.XLOOKUP($A24,'Actual Sales'!$D$41:$AG$41,'Actual Sales'!$D$61:$AG$61)</f>
        <v>9</v>
      </c>
      <c r="CO24" s="99">
        <v>9</v>
      </c>
      <c r="CP24" s="143">
        <f t="shared" si="54"/>
        <v>0</v>
      </c>
      <c r="CQ24" s="142">
        <f t="shared" si="55"/>
        <v>0</v>
      </c>
      <c r="CR24" s="210">
        <f t="shared" si="56"/>
        <v>0</v>
      </c>
      <c r="CS24" s="142">
        <f>_xlfn.XLOOKUP($A24,'Actual Sales'!$D$41:$AG$41,'Actual Sales'!$D$62:$AG$62)</f>
        <v>2</v>
      </c>
      <c r="CT24" s="99">
        <v>2</v>
      </c>
      <c r="CU24" s="143">
        <f t="shared" si="57"/>
        <v>0</v>
      </c>
      <c r="CV24" s="142">
        <f t="shared" si="58"/>
        <v>0</v>
      </c>
      <c r="CW24" s="210">
        <f t="shared" si="59"/>
        <v>0</v>
      </c>
      <c r="CX24" s="142">
        <f>_xlfn.XLOOKUP($A24,'Actual Sales'!$D$41:$AG$41,'Actual Sales'!$D$63:$AG$63)</f>
        <v>2</v>
      </c>
      <c r="CY24" s="99">
        <v>2</v>
      </c>
      <c r="CZ24" s="143">
        <f t="shared" si="60"/>
        <v>0</v>
      </c>
      <c r="DA24" s="142">
        <f t="shared" si="61"/>
        <v>0</v>
      </c>
      <c r="DB24" s="210">
        <f t="shared" si="62"/>
        <v>0</v>
      </c>
      <c r="DC24" s="142">
        <f>_xlfn.XLOOKUP($A24,'Actual Sales'!$D$41:$AG$41,'Actual Sales'!$D$64:$AG$64)</f>
        <v>0</v>
      </c>
      <c r="DD24" s="99">
        <v>1</v>
      </c>
      <c r="DE24" s="143" t="e">
        <f t="shared" si="63"/>
        <v>#DIV/0!</v>
      </c>
      <c r="DF24" s="142">
        <f t="shared" si="64"/>
        <v>1</v>
      </c>
      <c r="DG24" s="210">
        <f t="shared" si="65"/>
        <v>2</v>
      </c>
      <c r="DH24" s="142">
        <f>_xlfn.XLOOKUP($A24,'Actual Sales'!$D$41:$AG$41,'Actual Sales'!$D$65:$AG$65)</f>
        <v>2</v>
      </c>
      <c r="DI24" s="99">
        <v>1</v>
      </c>
      <c r="DJ24" s="143">
        <f t="shared" si="66"/>
        <v>50</v>
      </c>
      <c r="DK24" s="142">
        <f t="shared" si="67"/>
        <v>1</v>
      </c>
      <c r="DL24" s="213">
        <f t="shared" si="68"/>
        <v>0.66666666666666663</v>
      </c>
    </row>
    <row r="25" spans="1:116" x14ac:dyDescent="0.2">
      <c r="A25" s="147">
        <v>22</v>
      </c>
      <c r="B25" s="142">
        <f>_xlfn.XLOOKUP(A25,'Actual Sales'!$D$41:$AG$41,'Actual Sales'!$D$43:$AG$43)</f>
        <v>35</v>
      </c>
      <c r="C25" s="99">
        <v>47</v>
      </c>
      <c r="D25" s="143">
        <f t="shared" si="1"/>
        <v>34.285714285714285</v>
      </c>
      <c r="E25" s="142">
        <f t="shared" si="2"/>
        <v>144</v>
      </c>
      <c r="F25" s="210">
        <f t="shared" si="3"/>
        <v>0.29268292682926828</v>
      </c>
      <c r="G25" s="142">
        <f>_xlfn.XLOOKUP($A25,'Actual Sales'!$D$41:$AG$41,'Actual Sales'!$D$44:$AG$44)</f>
        <v>0</v>
      </c>
      <c r="H25" s="99">
        <v>1</v>
      </c>
      <c r="I25" s="143" t="e">
        <f t="shared" si="0"/>
        <v>#DIV/0!</v>
      </c>
      <c r="J25" s="142">
        <f t="shared" si="4"/>
        <v>1</v>
      </c>
      <c r="K25" s="210">
        <f t="shared" si="5"/>
        <v>2</v>
      </c>
      <c r="L25" s="142">
        <f>_xlfn.XLOOKUP($A25,'Actual Sales'!$D$41:$AG$41,'Actual Sales'!$D$45:$AG$45)</f>
        <v>20</v>
      </c>
      <c r="M25" s="99">
        <v>17</v>
      </c>
      <c r="N25" s="143">
        <f t="shared" si="6"/>
        <v>15</v>
      </c>
      <c r="O25" s="142">
        <f t="shared" si="7"/>
        <v>9</v>
      </c>
      <c r="P25" s="210">
        <f t="shared" si="8"/>
        <v>0.16216216216216217</v>
      </c>
      <c r="Q25" s="142">
        <f>_xlfn.XLOOKUP($A25,'Actual Sales'!$D$41:$AG$41,'Actual Sales'!$D$46:$AG$46)</f>
        <v>0</v>
      </c>
      <c r="R25" s="99">
        <v>2</v>
      </c>
      <c r="S25" s="143" t="e">
        <f t="shared" si="9"/>
        <v>#DIV/0!</v>
      </c>
      <c r="T25" s="142">
        <f t="shared" si="10"/>
        <v>4</v>
      </c>
      <c r="U25" s="210">
        <f t="shared" si="11"/>
        <v>2</v>
      </c>
      <c r="V25" s="142">
        <f>_xlfn.XLOOKUP($A25,'Actual Sales'!$D$41:$AG$41,'Actual Sales'!$D$47:$AG$47)</f>
        <v>17</v>
      </c>
      <c r="W25" s="99">
        <v>19</v>
      </c>
      <c r="X25" s="143">
        <f t="shared" si="12"/>
        <v>11.76470588235294</v>
      </c>
      <c r="Y25" s="142">
        <f t="shared" si="13"/>
        <v>4</v>
      </c>
      <c r="Z25" s="210">
        <f t="shared" si="14"/>
        <v>0.1111111111111111</v>
      </c>
      <c r="AA25" s="142">
        <f>_xlfn.XLOOKUP($A25,'Actual Sales'!$D$41:$AG$41,'Actual Sales'!$D$48:$AG$48)</f>
        <v>4</v>
      </c>
      <c r="AB25" s="99">
        <v>10</v>
      </c>
      <c r="AC25" s="143">
        <f t="shared" si="15"/>
        <v>150</v>
      </c>
      <c r="AD25" s="142">
        <f t="shared" si="16"/>
        <v>36</v>
      </c>
      <c r="AE25" s="210">
        <f t="shared" si="17"/>
        <v>0.8571428571428571</v>
      </c>
      <c r="AF25" s="142">
        <f>_xlfn.XLOOKUP($A25,'Actual Sales'!$D$41:$AG$41,'Actual Sales'!$D$49:$AG$49)</f>
        <v>44</v>
      </c>
      <c r="AG25" s="99">
        <v>22</v>
      </c>
      <c r="AH25" s="143">
        <f t="shared" si="18"/>
        <v>50</v>
      </c>
      <c r="AI25" s="142">
        <f t="shared" si="19"/>
        <v>484</v>
      </c>
      <c r="AJ25" s="210">
        <f t="shared" si="20"/>
        <v>0.66666666666666663</v>
      </c>
      <c r="AK25" s="142">
        <f>_xlfn.XLOOKUP($A25,'Actual Sales'!$D$41:$AG$41,'Actual Sales'!$D$50:$AG$50)</f>
        <v>4</v>
      </c>
      <c r="AL25" s="99">
        <v>3</v>
      </c>
      <c r="AM25" s="143">
        <f t="shared" si="21"/>
        <v>25</v>
      </c>
      <c r="AN25" s="142">
        <f t="shared" si="22"/>
        <v>1</v>
      </c>
      <c r="AO25" s="210">
        <f t="shared" si="23"/>
        <v>0.2857142857142857</v>
      </c>
      <c r="AP25" s="142">
        <f>_xlfn.XLOOKUP($A25,'Actual Sales'!$D$41:$AG$41,'Actual Sales'!$D$51:$AG$51)</f>
        <v>10</v>
      </c>
      <c r="AQ25" s="99">
        <v>4</v>
      </c>
      <c r="AR25" s="143">
        <f t="shared" si="24"/>
        <v>60</v>
      </c>
      <c r="AS25" s="142">
        <f t="shared" si="25"/>
        <v>36</v>
      </c>
      <c r="AT25" s="210">
        <f t="shared" si="26"/>
        <v>0.8571428571428571</v>
      </c>
      <c r="AU25" s="142">
        <f>_xlfn.XLOOKUP($A25,'Actual Sales'!$D$41:$AG$41,'Actual Sales'!$D$52:$AG$52)</f>
        <v>25</v>
      </c>
      <c r="AV25" s="99">
        <v>9</v>
      </c>
      <c r="AW25" s="143">
        <f t="shared" si="27"/>
        <v>64</v>
      </c>
      <c r="AX25" s="142">
        <f t="shared" si="28"/>
        <v>256</v>
      </c>
      <c r="AY25" s="210">
        <f t="shared" si="29"/>
        <v>0.94117647058823528</v>
      </c>
      <c r="AZ25" s="142">
        <f>_xlfn.XLOOKUP($A25,'Actual Sales'!$D$41:$AG$41,'Actual Sales'!$D$53:$AG$53)</f>
        <v>0</v>
      </c>
      <c r="BA25" s="99">
        <v>4</v>
      </c>
      <c r="BB25" s="143" t="e">
        <f t="shared" si="30"/>
        <v>#DIV/0!</v>
      </c>
      <c r="BC25" s="142">
        <f t="shared" si="31"/>
        <v>16</v>
      </c>
      <c r="BD25" s="210">
        <f t="shared" si="32"/>
        <v>2</v>
      </c>
      <c r="BE25" s="142">
        <f>_xlfn.XLOOKUP($A25,'Actual Sales'!$D$41:$AG$41,'Actual Sales'!$D$54:$AG$54)</f>
        <v>9</v>
      </c>
      <c r="BF25" s="99">
        <v>3</v>
      </c>
      <c r="BG25" s="143">
        <f t="shared" si="33"/>
        <v>66.666666666666657</v>
      </c>
      <c r="BH25" s="142">
        <f t="shared" si="34"/>
        <v>36</v>
      </c>
      <c r="BI25" s="210">
        <f t="shared" si="35"/>
        <v>1</v>
      </c>
      <c r="BJ25" s="142">
        <f>_xlfn.XLOOKUP($A25,'Actual Sales'!$D$41:$AG$41,'Actual Sales'!$D$55:$AG$55)</f>
        <v>7</v>
      </c>
      <c r="BK25" s="99">
        <v>4</v>
      </c>
      <c r="BL25" s="143">
        <f t="shared" si="36"/>
        <v>42.857142857142854</v>
      </c>
      <c r="BM25" s="142">
        <f t="shared" si="37"/>
        <v>9</v>
      </c>
      <c r="BN25" s="210">
        <f t="shared" si="38"/>
        <v>0.54545454545454541</v>
      </c>
      <c r="BO25" s="142">
        <f>_xlfn.XLOOKUP($A25,'Actual Sales'!$D$41:$AG$41,'Actual Sales'!$D$56:$AG$56)</f>
        <v>0</v>
      </c>
      <c r="BP25" s="99">
        <v>2</v>
      </c>
      <c r="BQ25" s="143" t="e">
        <f t="shared" si="39"/>
        <v>#DIV/0!</v>
      </c>
      <c r="BR25" s="142">
        <f t="shared" si="40"/>
        <v>4</v>
      </c>
      <c r="BS25" s="210">
        <f t="shared" si="41"/>
        <v>2</v>
      </c>
      <c r="BT25" s="142">
        <f>_xlfn.XLOOKUP($A25,'Actual Sales'!$D$41:$AG$41,'Actual Sales'!$D$57:$AG$57)</f>
        <v>4</v>
      </c>
      <c r="BU25" s="99">
        <v>3</v>
      </c>
      <c r="BV25" s="143">
        <f t="shared" si="42"/>
        <v>25</v>
      </c>
      <c r="BW25" s="142">
        <f t="shared" si="43"/>
        <v>1</v>
      </c>
      <c r="BX25" s="210">
        <f t="shared" si="44"/>
        <v>0.2857142857142857</v>
      </c>
      <c r="BY25" s="142">
        <f>_xlfn.XLOOKUP($A25,'Actual Sales'!$D$41:$AG$41,'Actual Sales'!$D$58:$AG$58)</f>
        <v>0</v>
      </c>
      <c r="BZ25" s="99">
        <v>1</v>
      </c>
      <c r="CA25" s="143" t="e">
        <f t="shared" si="45"/>
        <v>#DIV/0!</v>
      </c>
      <c r="CB25" s="142">
        <f t="shared" si="46"/>
        <v>1</v>
      </c>
      <c r="CC25" s="210">
        <f t="shared" si="47"/>
        <v>2</v>
      </c>
      <c r="CD25" s="142">
        <f>_xlfn.XLOOKUP($A25,'Actual Sales'!$D$41:$AG$41,'Actual Sales'!$D$59:$AG$59)</f>
        <v>0</v>
      </c>
      <c r="CE25" s="99">
        <v>1</v>
      </c>
      <c r="CF25" s="143" t="e">
        <f t="shared" si="48"/>
        <v>#DIV/0!</v>
      </c>
      <c r="CG25" s="142">
        <f t="shared" si="49"/>
        <v>1</v>
      </c>
      <c r="CH25" s="210">
        <f t="shared" si="50"/>
        <v>2</v>
      </c>
      <c r="CI25" s="142">
        <f>_xlfn.XLOOKUP($A25,'Actual Sales'!$D$41:$AG$41,'Actual Sales'!$D$60:$AG$60)</f>
        <v>11</v>
      </c>
      <c r="CJ25" s="99">
        <v>5</v>
      </c>
      <c r="CK25" s="143">
        <f t="shared" si="51"/>
        <v>54.54545454545454</v>
      </c>
      <c r="CL25" s="142">
        <f t="shared" si="52"/>
        <v>36</v>
      </c>
      <c r="CM25" s="210">
        <f t="shared" si="53"/>
        <v>0.75</v>
      </c>
      <c r="CN25" s="142">
        <f>_xlfn.XLOOKUP($A25,'Actual Sales'!$D$41:$AG$41,'Actual Sales'!$D$61:$AG$61)</f>
        <v>17</v>
      </c>
      <c r="CO25" s="99">
        <v>9</v>
      </c>
      <c r="CP25" s="143">
        <f t="shared" si="54"/>
        <v>47.058823529411761</v>
      </c>
      <c r="CQ25" s="142">
        <f t="shared" si="55"/>
        <v>64</v>
      </c>
      <c r="CR25" s="210">
        <f t="shared" si="56"/>
        <v>0.61538461538461542</v>
      </c>
      <c r="CS25" s="142">
        <f>_xlfn.XLOOKUP($A25,'Actual Sales'!$D$41:$AG$41,'Actual Sales'!$D$62:$AG$62)</f>
        <v>0</v>
      </c>
      <c r="CT25" s="99">
        <v>1</v>
      </c>
      <c r="CU25" s="143" t="e">
        <f t="shared" si="57"/>
        <v>#DIV/0!</v>
      </c>
      <c r="CV25" s="142">
        <f t="shared" si="58"/>
        <v>1</v>
      </c>
      <c r="CW25" s="210">
        <f t="shared" si="59"/>
        <v>2</v>
      </c>
      <c r="CX25" s="142">
        <f>_xlfn.XLOOKUP($A25,'Actual Sales'!$D$41:$AG$41,'Actual Sales'!$D$63:$AG$63)</f>
        <v>5</v>
      </c>
      <c r="CY25" s="99">
        <v>2</v>
      </c>
      <c r="CZ25" s="143">
        <f t="shared" si="60"/>
        <v>60</v>
      </c>
      <c r="DA25" s="142">
        <f t="shared" si="61"/>
        <v>9</v>
      </c>
      <c r="DB25" s="210">
        <f t="shared" si="62"/>
        <v>0.8571428571428571</v>
      </c>
      <c r="DC25" s="142">
        <f>_xlfn.XLOOKUP($A25,'Actual Sales'!$D$41:$AG$41,'Actual Sales'!$D$64:$AG$64)</f>
        <v>0</v>
      </c>
      <c r="DD25" s="99">
        <v>1</v>
      </c>
      <c r="DE25" s="143" t="e">
        <f t="shared" si="63"/>
        <v>#DIV/0!</v>
      </c>
      <c r="DF25" s="142">
        <f t="shared" si="64"/>
        <v>1</v>
      </c>
      <c r="DG25" s="210">
        <f t="shared" si="65"/>
        <v>2</v>
      </c>
      <c r="DH25" s="142">
        <f>_xlfn.XLOOKUP($A25,'Actual Sales'!$D$41:$AG$41,'Actual Sales'!$D$65:$AG$65)</f>
        <v>1</v>
      </c>
      <c r="DI25" s="99">
        <v>1</v>
      </c>
      <c r="DJ25" s="143">
        <f t="shared" si="66"/>
        <v>0</v>
      </c>
      <c r="DK25" s="142">
        <f t="shared" si="67"/>
        <v>0</v>
      </c>
      <c r="DL25" s="213">
        <f t="shared" si="68"/>
        <v>0</v>
      </c>
    </row>
    <row r="26" spans="1:116" x14ac:dyDescent="0.2">
      <c r="A26" s="147">
        <v>23</v>
      </c>
      <c r="B26" s="142">
        <f>_xlfn.XLOOKUP(A26,'Actual Sales'!$D$41:$AG$41,'Actual Sales'!$D$43:$AG$43)</f>
        <v>40</v>
      </c>
      <c r="C26" s="99">
        <v>54</v>
      </c>
      <c r="D26" s="143">
        <f t="shared" si="1"/>
        <v>35</v>
      </c>
      <c r="E26" s="142">
        <f t="shared" si="2"/>
        <v>196</v>
      </c>
      <c r="F26" s="210">
        <f t="shared" si="3"/>
        <v>0.2978723404255319</v>
      </c>
      <c r="G26" s="142">
        <f>_xlfn.XLOOKUP($A26,'Actual Sales'!$D$41:$AG$41,'Actual Sales'!$D$44:$AG$44)</f>
        <v>1</v>
      </c>
      <c r="H26" s="99">
        <v>1</v>
      </c>
      <c r="I26" s="143">
        <f t="shared" si="0"/>
        <v>0</v>
      </c>
      <c r="J26" s="142">
        <f t="shared" si="4"/>
        <v>0</v>
      </c>
      <c r="K26" s="210">
        <f t="shared" si="5"/>
        <v>0</v>
      </c>
      <c r="L26" s="142">
        <f>_xlfn.XLOOKUP($A26,'Actual Sales'!$D$41:$AG$41,'Actual Sales'!$D$45:$AG$45)</f>
        <v>27</v>
      </c>
      <c r="M26" s="99">
        <v>17</v>
      </c>
      <c r="N26" s="143">
        <f t="shared" si="6"/>
        <v>37.037037037037038</v>
      </c>
      <c r="O26" s="142">
        <f t="shared" si="7"/>
        <v>100</v>
      </c>
      <c r="P26" s="210">
        <f t="shared" si="8"/>
        <v>0.45454545454545453</v>
      </c>
      <c r="Q26" s="142">
        <f>_xlfn.XLOOKUP($A26,'Actual Sales'!$D$41:$AG$41,'Actual Sales'!$D$46:$AG$46)</f>
        <v>0</v>
      </c>
      <c r="R26" s="99">
        <v>2</v>
      </c>
      <c r="S26" s="143" t="e">
        <f t="shared" si="9"/>
        <v>#DIV/0!</v>
      </c>
      <c r="T26" s="142">
        <f t="shared" si="10"/>
        <v>4</v>
      </c>
      <c r="U26" s="210">
        <f t="shared" si="11"/>
        <v>2</v>
      </c>
      <c r="V26" s="142">
        <f>_xlfn.XLOOKUP($A26,'Actual Sales'!$D$41:$AG$41,'Actual Sales'!$D$47:$AG$47)</f>
        <v>29</v>
      </c>
      <c r="W26" s="99">
        <v>19</v>
      </c>
      <c r="X26" s="143">
        <f t="shared" si="12"/>
        <v>34.482758620689658</v>
      </c>
      <c r="Y26" s="142">
        <f t="shared" si="13"/>
        <v>100</v>
      </c>
      <c r="Z26" s="210">
        <f t="shared" si="14"/>
        <v>0.41666666666666669</v>
      </c>
      <c r="AA26" s="142">
        <f>_xlfn.XLOOKUP($A26,'Actual Sales'!$D$41:$AG$41,'Actual Sales'!$D$48:$AG$48)</f>
        <v>7</v>
      </c>
      <c r="AB26" s="99">
        <v>11</v>
      </c>
      <c r="AC26" s="143">
        <f t="shared" si="15"/>
        <v>57.142857142857139</v>
      </c>
      <c r="AD26" s="142">
        <f t="shared" si="16"/>
        <v>16</v>
      </c>
      <c r="AE26" s="210">
        <f t="shared" si="17"/>
        <v>0.44444444444444442</v>
      </c>
      <c r="AF26" s="142">
        <f>_xlfn.XLOOKUP($A26,'Actual Sales'!$D$41:$AG$41,'Actual Sales'!$D$49:$AG$49)</f>
        <v>22</v>
      </c>
      <c r="AG26" s="99">
        <v>24</v>
      </c>
      <c r="AH26" s="143">
        <f t="shared" si="18"/>
        <v>9.0909090909090917</v>
      </c>
      <c r="AI26" s="142">
        <f t="shared" si="19"/>
        <v>4</v>
      </c>
      <c r="AJ26" s="210">
        <f t="shared" si="20"/>
        <v>8.6956521739130432E-2</v>
      </c>
      <c r="AK26" s="142">
        <f>_xlfn.XLOOKUP($A26,'Actual Sales'!$D$41:$AG$41,'Actual Sales'!$D$50:$AG$50)</f>
        <v>5</v>
      </c>
      <c r="AL26" s="99">
        <v>3</v>
      </c>
      <c r="AM26" s="143">
        <f t="shared" si="21"/>
        <v>40</v>
      </c>
      <c r="AN26" s="142">
        <f t="shared" si="22"/>
        <v>4</v>
      </c>
      <c r="AO26" s="210">
        <f t="shared" si="23"/>
        <v>0.5</v>
      </c>
      <c r="AP26" s="142">
        <f>_xlfn.XLOOKUP($A26,'Actual Sales'!$D$41:$AG$41,'Actual Sales'!$D$51:$AG$51)</f>
        <v>4</v>
      </c>
      <c r="AQ26" s="99">
        <v>4</v>
      </c>
      <c r="AR26" s="143">
        <f t="shared" si="24"/>
        <v>0</v>
      </c>
      <c r="AS26" s="142">
        <f t="shared" si="25"/>
        <v>0</v>
      </c>
      <c r="AT26" s="210">
        <f t="shared" si="26"/>
        <v>0</v>
      </c>
      <c r="AU26" s="142">
        <f>_xlfn.XLOOKUP($A26,'Actual Sales'!$D$41:$AG$41,'Actual Sales'!$D$52:$AG$52)</f>
        <v>12</v>
      </c>
      <c r="AV26" s="99">
        <v>9</v>
      </c>
      <c r="AW26" s="143">
        <f t="shared" si="27"/>
        <v>25</v>
      </c>
      <c r="AX26" s="142">
        <f t="shared" si="28"/>
        <v>9</v>
      </c>
      <c r="AY26" s="210">
        <f t="shared" si="29"/>
        <v>0.2857142857142857</v>
      </c>
      <c r="AZ26" s="142">
        <f>_xlfn.XLOOKUP($A26,'Actual Sales'!$D$41:$AG$41,'Actual Sales'!$D$53:$AG$53)</f>
        <v>0</v>
      </c>
      <c r="BA26" s="99">
        <v>4</v>
      </c>
      <c r="BB26" s="143" t="e">
        <f t="shared" si="30"/>
        <v>#DIV/0!</v>
      </c>
      <c r="BC26" s="142">
        <f t="shared" si="31"/>
        <v>16</v>
      </c>
      <c r="BD26" s="210">
        <f t="shared" si="32"/>
        <v>2</v>
      </c>
      <c r="BE26" s="142">
        <f>_xlfn.XLOOKUP($A26,'Actual Sales'!$D$41:$AG$41,'Actual Sales'!$D$54:$AG$54)</f>
        <v>7</v>
      </c>
      <c r="BF26" s="99">
        <v>3</v>
      </c>
      <c r="BG26" s="143">
        <f t="shared" si="33"/>
        <v>57.142857142857139</v>
      </c>
      <c r="BH26" s="142">
        <f t="shared" si="34"/>
        <v>16</v>
      </c>
      <c r="BI26" s="210">
        <f t="shared" si="35"/>
        <v>0.8</v>
      </c>
      <c r="BJ26" s="142">
        <f>_xlfn.XLOOKUP($A26,'Actual Sales'!$D$41:$AG$41,'Actual Sales'!$D$55:$AG$55)</f>
        <v>5</v>
      </c>
      <c r="BK26" s="99">
        <v>4</v>
      </c>
      <c r="BL26" s="143">
        <f t="shared" si="36"/>
        <v>20</v>
      </c>
      <c r="BM26" s="142">
        <f t="shared" si="37"/>
        <v>1</v>
      </c>
      <c r="BN26" s="210">
        <f t="shared" si="38"/>
        <v>0.22222222222222221</v>
      </c>
      <c r="BO26" s="142">
        <f>_xlfn.XLOOKUP($A26,'Actual Sales'!$D$41:$AG$41,'Actual Sales'!$D$56:$AG$56)</f>
        <v>0</v>
      </c>
      <c r="BP26" s="99">
        <v>2</v>
      </c>
      <c r="BQ26" s="143" t="e">
        <f t="shared" si="39"/>
        <v>#DIV/0!</v>
      </c>
      <c r="BR26" s="142">
        <f t="shared" si="40"/>
        <v>4</v>
      </c>
      <c r="BS26" s="210">
        <f t="shared" si="41"/>
        <v>2</v>
      </c>
      <c r="BT26" s="142">
        <f>_xlfn.XLOOKUP($A26,'Actual Sales'!$D$41:$AG$41,'Actual Sales'!$D$57:$AG$57)</f>
        <v>9</v>
      </c>
      <c r="BU26" s="99">
        <v>3</v>
      </c>
      <c r="BV26" s="143">
        <f t="shared" si="42"/>
        <v>66.666666666666657</v>
      </c>
      <c r="BW26" s="142">
        <f t="shared" si="43"/>
        <v>36</v>
      </c>
      <c r="BX26" s="210">
        <f t="shared" si="44"/>
        <v>1</v>
      </c>
      <c r="BY26" s="142">
        <f>_xlfn.XLOOKUP($A26,'Actual Sales'!$D$41:$AG$41,'Actual Sales'!$D$58:$AG$58)</f>
        <v>0</v>
      </c>
      <c r="BZ26" s="99">
        <v>1</v>
      </c>
      <c r="CA26" s="143" t="e">
        <f t="shared" si="45"/>
        <v>#DIV/0!</v>
      </c>
      <c r="CB26" s="142">
        <f t="shared" si="46"/>
        <v>1</v>
      </c>
      <c r="CC26" s="210">
        <f t="shared" si="47"/>
        <v>2</v>
      </c>
      <c r="CD26" s="142">
        <f>_xlfn.XLOOKUP($A26,'Actual Sales'!$D$41:$AG$41,'Actual Sales'!$D$59:$AG$59)</f>
        <v>3</v>
      </c>
      <c r="CE26" s="99">
        <v>1</v>
      </c>
      <c r="CF26" s="143">
        <f t="shared" si="48"/>
        <v>66.666666666666657</v>
      </c>
      <c r="CG26" s="142">
        <f t="shared" si="49"/>
        <v>4</v>
      </c>
      <c r="CH26" s="210">
        <f t="shared" si="50"/>
        <v>1</v>
      </c>
      <c r="CI26" s="142">
        <f>_xlfn.XLOOKUP($A26,'Actual Sales'!$D$41:$AG$41,'Actual Sales'!$D$60:$AG$60)</f>
        <v>7</v>
      </c>
      <c r="CJ26" s="99">
        <v>6</v>
      </c>
      <c r="CK26" s="143">
        <f t="shared" si="51"/>
        <v>14.285714285714285</v>
      </c>
      <c r="CL26" s="142">
        <f t="shared" si="52"/>
        <v>1</v>
      </c>
      <c r="CM26" s="210">
        <f t="shared" si="53"/>
        <v>0.15384615384615385</v>
      </c>
      <c r="CN26" s="142">
        <f>_xlfn.XLOOKUP($A26,'Actual Sales'!$D$41:$AG$41,'Actual Sales'!$D$61:$AG$61)</f>
        <v>17</v>
      </c>
      <c r="CO26" s="99">
        <v>9</v>
      </c>
      <c r="CP26" s="143">
        <f t="shared" si="54"/>
        <v>47.058823529411761</v>
      </c>
      <c r="CQ26" s="142">
        <f t="shared" si="55"/>
        <v>64</v>
      </c>
      <c r="CR26" s="210">
        <f t="shared" si="56"/>
        <v>0.61538461538461542</v>
      </c>
      <c r="CS26" s="142">
        <f>_xlfn.XLOOKUP($A26,'Actual Sales'!$D$41:$AG$41,'Actual Sales'!$D$62:$AG$62)</f>
        <v>0</v>
      </c>
      <c r="CT26" s="99">
        <v>1</v>
      </c>
      <c r="CU26" s="143" t="e">
        <f t="shared" si="57"/>
        <v>#DIV/0!</v>
      </c>
      <c r="CV26" s="142">
        <f t="shared" si="58"/>
        <v>1</v>
      </c>
      <c r="CW26" s="210">
        <f t="shared" si="59"/>
        <v>2</v>
      </c>
      <c r="CX26" s="142">
        <f>_xlfn.XLOOKUP($A26,'Actual Sales'!$D$41:$AG$41,'Actual Sales'!$D$63:$AG$63)</f>
        <v>2</v>
      </c>
      <c r="CY26" s="99">
        <v>2</v>
      </c>
      <c r="CZ26" s="143">
        <f t="shared" si="60"/>
        <v>0</v>
      </c>
      <c r="DA26" s="142">
        <f t="shared" si="61"/>
        <v>0</v>
      </c>
      <c r="DB26" s="210">
        <f t="shared" si="62"/>
        <v>0</v>
      </c>
      <c r="DC26" s="142">
        <f>_xlfn.XLOOKUP($A26,'Actual Sales'!$D$41:$AG$41,'Actual Sales'!$D$64:$AG$64)</f>
        <v>0</v>
      </c>
      <c r="DD26" s="99">
        <v>2</v>
      </c>
      <c r="DE26" s="143" t="e">
        <f t="shared" si="63"/>
        <v>#DIV/0!</v>
      </c>
      <c r="DF26" s="142">
        <f t="shared" si="64"/>
        <v>4</v>
      </c>
      <c r="DG26" s="210">
        <f t="shared" si="65"/>
        <v>2</v>
      </c>
      <c r="DH26" s="142">
        <f>_xlfn.XLOOKUP($A26,'Actual Sales'!$D$41:$AG$41,'Actual Sales'!$D$65:$AG$65)</f>
        <v>0</v>
      </c>
      <c r="DI26" s="99">
        <v>1</v>
      </c>
      <c r="DJ26" s="143" t="e">
        <f t="shared" si="66"/>
        <v>#DIV/0!</v>
      </c>
      <c r="DK26" s="142">
        <f t="shared" si="67"/>
        <v>1</v>
      </c>
      <c r="DL26" s="213">
        <f t="shared" si="68"/>
        <v>2</v>
      </c>
    </row>
    <row r="27" spans="1:116" x14ac:dyDescent="0.2">
      <c r="A27" s="147">
        <v>24</v>
      </c>
      <c r="B27" s="142">
        <f>_xlfn.XLOOKUP(A27,'Actual Sales'!$D$41:$AG$41,'Actual Sales'!$D$43:$AG$43)</f>
        <v>27</v>
      </c>
      <c r="C27" s="99">
        <v>49</v>
      </c>
      <c r="D27" s="143">
        <f t="shared" si="1"/>
        <v>81.481481481481481</v>
      </c>
      <c r="E27" s="142">
        <f t="shared" si="2"/>
        <v>484</v>
      </c>
      <c r="F27" s="210">
        <f t="shared" si="3"/>
        <v>0.57894736842105265</v>
      </c>
      <c r="G27" s="142">
        <f>_xlfn.XLOOKUP($A27,'Actual Sales'!$D$41:$AG$41,'Actual Sales'!$D$44:$AG$44)</f>
        <v>1</v>
      </c>
      <c r="H27" s="99">
        <v>1</v>
      </c>
      <c r="I27" s="143">
        <f t="shared" si="0"/>
        <v>0</v>
      </c>
      <c r="J27" s="142">
        <f t="shared" si="4"/>
        <v>0</v>
      </c>
      <c r="K27" s="210">
        <f t="shared" si="5"/>
        <v>0</v>
      </c>
      <c r="L27" s="142">
        <f>_xlfn.XLOOKUP($A27,'Actual Sales'!$D$41:$AG$41,'Actual Sales'!$D$45:$AG$45)</f>
        <v>21</v>
      </c>
      <c r="M27" s="99">
        <v>18</v>
      </c>
      <c r="N27" s="143">
        <f t="shared" si="6"/>
        <v>14.285714285714285</v>
      </c>
      <c r="O27" s="142">
        <f t="shared" si="7"/>
        <v>9</v>
      </c>
      <c r="P27" s="210">
        <f t="shared" si="8"/>
        <v>0.15384615384615385</v>
      </c>
      <c r="Q27" s="142">
        <f>_xlfn.XLOOKUP($A27,'Actual Sales'!$D$41:$AG$41,'Actual Sales'!$D$46:$AG$46)</f>
        <v>3</v>
      </c>
      <c r="R27" s="99">
        <v>2</v>
      </c>
      <c r="S27" s="143">
        <f t="shared" si="9"/>
        <v>33.333333333333329</v>
      </c>
      <c r="T27" s="142">
        <f t="shared" si="10"/>
        <v>1</v>
      </c>
      <c r="U27" s="210">
        <f t="shared" si="11"/>
        <v>0.4</v>
      </c>
      <c r="V27" s="142">
        <f>_xlfn.XLOOKUP($A27,'Actual Sales'!$D$41:$AG$41,'Actual Sales'!$D$47:$AG$47)</f>
        <v>19</v>
      </c>
      <c r="W27" s="99">
        <v>19</v>
      </c>
      <c r="X27" s="143">
        <f t="shared" si="12"/>
        <v>0</v>
      </c>
      <c r="Y27" s="142">
        <f t="shared" si="13"/>
        <v>0</v>
      </c>
      <c r="Z27" s="210">
        <f t="shared" si="14"/>
        <v>0</v>
      </c>
      <c r="AA27" s="142">
        <f>_xlfn.XLOOKUP($A27,'Actual Sales'!$D$41:$AG$41,'Actual Sales'!$D$48:$AG$48)</f>
        <v>7</v>
      </c>
      <c r="AB27" s="99">
        <v>11</v>
      </c>
      <c r="AC27" s="143">
        <f t="shared" si="15"/>
        <v>57.142857142857139</v>
      </c>
      <c r="AD27" s="142">
        <f t="shared" si="16"/>
        <v>16</v>
      </c>
      <c r="AE27" s="210">
        <f t="shared" si="17"/>
        <v>0.44444444444444442</v>
      </c>
      <c r="AF27" s="142">
        <f>_xlfn.XLOOKUP($A27,'Actual Sales'!$D$41:$AG$41,'Actual Sales'!$D$49:$AG$49)</f>
        <v>32</v>
      </c>
      <c r="AG27" s="99">
        <v>18</v>
      </c>
      <c r="AH27" s="143">
        <f t="shared" si="18"/>
        <v>43.75</v>
      </c>
      <c r="AI27" s="142">
        <f t="shared" si="19"/>
        <v>196</v>
      </c>
      <c r="AJ27" s="210">
        <f t="shared" si="20"/>
        <v>0.56000000000000005</v>
      </c>
      <c r="AK27" s="142">
        <f>_xlfn.XLOOKUP($A27,'Actual Sales'!$D$41:$AG$41,'Actual Sales'!$D$50:$AG$50)</f>
        <v>2</v>
      </c>
      <c r="AL27" s="99">
        <v>2</v>
      </c>
      <c r="AM27" s="143">
        <f t="shared" si="21"/>
        <v>0</v>
      </c>
      <c r="AN27" s="142">
        <f t="shared" si="22"/>
        <v>0</v>
      </c>
      <c r="AO27" s="210">
        <f t="shared" si="23"/>
        <v>0</v>
      </c>
      <c r="AP27" s="142">
        <f>_xlfn.XLOOKUP($A27,'Actual Sales'!$D$41:$AG$41,'Actual Sales'!$D$51:$AG$51)</f>
        <v>3</v>
      </c>
      <c r="AQ27" s="99">
        <v>4</v>
      </c>
      <c r="AR27" s="143">
        <f t="shared" si="24"/>
        <v>33.333333333333329</v>
      </c>
      <c r="AS27" s="142">
        <f t="shared" si="25"/>
        <v>1</v>
      </c>
      <c r="AT27" s="210">
        <f t="shared" si="26"/>
        <v>0.2857142857142857</v>
      </c>
      <c r="AU27" s="142">
        <f>_xlfn.XLOOKUP($A27,'Actual Sales'!$D$41:$AG$41,'Actual Sales'!$D$52:$AG$52)</f>
        <v>26</v>
      </c>
      <c r="AV27" s="99">
        <v>9</v>
      </c>
      <c r="AW27" s="143">
        <f t="shared" si="27"/>
        <v>65.384615384615387</v>
      </c>
      <c r="AX27" s="142">
        <f t="shared" si="28"/>
        <v>289</v>
      </c>
      <c r="AY27" s="210">
        <f t="shared" si="29"/>
        <v>0.97142857142857142</v>
      </c>
      <c r="AZ27" s="142">
        <f>_xlfn.XLOOKUP($A27,'Actual Sales'!$D$41:$AG$41,'Actual Sales'!$D$53:$AG$53)</f>
        <v>13</v>
      </c>
      <c r="BA27" s="99">
        <v>4</v>
      </c>
      <c r="BB27" s="143">
        <f t="shared" si="30"/>
        <v>69.230769230769226</v>
      </c>
      <c r="BC27" s="142">
        <f t="shared" si="31"/>
        <v>81</v>
      </c>
      <c r="BD27" s="210">
        <f t="shared" si="32"/>
        <v>1.0588235294117647</v>
      </c>
      <c r="BE27" s="142">
        <f>_xlfn.XLOOKUP($A27,'Actual Sales'!$D$41:$AG$41,'Actual Sales'!$D$54:$AG$54)</f>
        <v>7</v>
      </c>
      <c r="BF27" s="99">
        <v>3</v>
      </c>
      <c r="BG27" s="143">
        <f t="shared" si="33"/>
        <v>57.142857142857139</v>
      </c>
      <c r="BH27" s="142">
        <f t="shared" si="34"/>
        <v>16</v>
      </c>
      <c r="BI27" s="210">
        <f t="shared" si="35"/>
        <v>0.8</v>
      </c>
      <c r="BJ27" s="142">
        <f>_xlfn.XLOOKUP($A27,'Actual Sales'!$D$41:$AG$41,'Actual Sales'!$D$55:$AG$55)</f>
        <v>4</v>
      </c>
      <c r="BK27" s="99">
        <v>4</v>
      </c>
      <c r="BL27" s="143">
        <f t="shared" si="36"/>
        <v>0</v>
      </c>
      <c r="BM27" s="142">
        <f t="shared" si="37"/>
        <v>0</v>
      </c>
      <c r="BN27" s="210">
        <f t="shared" si="38"/>
        <v>0</v>
      </c>
      <c r="BO27" s="142">
        <f>_xlfn.XLOOKUP($A27,'Actual Sales'!$D$41:$AG$41,'Actual Sales'!$D$56:$AG$56)</f>
        <v>2</v>
      </c>
      <c r="BP27" s="99">
        <v>2</v>
      </c>
      <c r="BQ27" s="143">
        <f t="shared" si="39"/>
        <v>0</v>
      </c>
      <c r="BR27" s="142">
        <f t="shared" si="40"/>
        <v>0</v>
      </c>
      <c r="BS27" s="210">
        <f t="shared" si="41"/>
        <v>0</v>
      </c>
      <c r="BT27" s="142">
        <f>_xlfn.XLOOKUP($A27,'Actual Sales'!$D$41:$AG$41,'Actual Sales'!$D$57:$AG$57)</f>
        <v>2</v>
      </c>
      <c r="BU27" s="99">
        <v>3</v>
      </c>
      <c r="BV27" s="143">
        <f t="shared" si="42"/>
        <v>50</v>
      </c>
      <c r="BW27" s="142">
        <f t="shared" si="43"/>
        <v>1</v>
      </c>
      <c r="BX27" s="210">
        <f t="shared" si="44"/>
        <v>0.4</v>
      </c>
      <c r="BY27" s="142">
        <f>_xlfn.XLOOKUP($A27,'Actual Sales'!$D$41:$AG$41,'Actual Sales'!$D$58:$AG$58)</f>
        <v>1</v>
      </c>
      <c r="BZ27" s="99">
        <v>1</v>
      </c>
      <c r="CA27" s="143">
        <f t="shared" si="45"/>
        <v>0</v>
      </c>
      <c r="CB27" s="142">
        <f t="shared" si="46"/>
        <v>0</v>
      </c>
      <c r="CC27" s="210">
        <f t="shared" si="47"/>
        <v>0</v>
      </c>
      <c r="CD27" s="142">
        <f>_xlfn.XLOOKUP($A27,'Actual Sales'!$D$41:$AG$41,'Actual Sales'!$D$59:$AG$59)</f>
        <v>1</v>
      </c>
      <c r="CE27" s="99">
        <v>1</v>
      </c>
      <c r="CF27" s="143">
        <f t="shared" si="48"/>
        <v>0</v>
      </c>
      <c r="CG27" s="142">
        <f t="shared" si="49"/>
        <v>0</v>
      </c>
      <c r="CH27" s="210">
        <f t="shared" si="50"/>
        <v>0</v>
      </c>
      <c r="CI27" s="142">
        <f>_xlfn.XLOOKUP($A27,'Actual Sales'!$D$41:$AG$41,'Actual Sales'!$D$60:$AG$60)</f>
        <v>3</v>
      </c>
      <c r="CJ27" s="99">
        <v>5</v>
      </c>
      <c r="CK27" s="143">
        <f t="shared" si="51"/>
        <v>66.666666666666657</v>
      </c>
      <c r="CL27" s="142">
        <f t="shared" si="52"/>
        <v>4</v>
      </c>
      <c r="CM27" s="210">
        <f t="shared" si="53"/>
        <v>0.5</v>
      </c>
      <c r="CN27" s="142">
        <f>_xlfn.XLOOKUP($A27,'Actual Sales'!$D$41:$AG$41,'Actual Sales'!$D$61:$AG$61)</f>
        <v>10</v>
      </c>
      <c r="CO27" s="99">
        <v>9</v>
      </c>
      <c r="CP27" s="143">
        <f t="shared" si="54"/>
        <v>10</v>
      </c>
      <c r="CQ27" s="142">
        <f t="shared" si="55"/>
        <v>1</v>
      </c>
      <c r="CR27" s="210">
        <f t="shared" si="56"/>
        <v>0.10526315789473684</v>
      </c>
      <c r="CS27" s="142">
        <f>_xlfn.XLOOKUP($A27,'Actual Sales'!$D$41:$AG$41,'Actual Sales'!$D$62:$AG$62)</f>
        <v>0</v>
      </c>
      <c r="CT27" s="99">
        <v>1</v>
      </c>
      <c r="CU27" s="143" t="e">
        <f t="shared" si="57"/>
        <v>#DIV/0!</v>
      </c>
      <c r="CV27" s="142">
        <f t="shared" si="58"/>
        <v>1</v>
      </c>
      <c r="CW27" s="210">
        <f t="shared" si="59"/>
        <v>2</v>
      </c>
      <c r="CX27" s="142">
        <f>_xlfn.XLOOKUP($A27,'Actual Sales'!$D$41:$AG$41,'Actual Sales'!$D$63:$AG$63)</f>
        <v>1</v>
      </c>
      <c r="CY27" s="99">
        <v>3</v>
      </c>
      <c r="CZ27" s="143">
        <f t="shared" si="60"/>
        <v>200</v>
      </c>
      <c r="DA27" s="142">
        <f t="shared" si="61"/>
        <v>4</v>
      </c>
      <c r="DB27" s="210">
        <f t="shared" si="62"/>
        <v>1</v>
      </c>
      <c r="DC27" s="142">
        <f>_xlfn.XLOOKUP($A27,'Actual Sales'!$D$41:$AG$41,'Actual Sales'!$D$64:$AG$64)</f>
        <v>0</v>
      </c>
      <c r="DD27" s="99">
        <v>2</v>
      </c>
      <c r="DE27" s="143" t="e">
        <f t="shared" si="63"/>
        <v>#DIV/0!</v>
      </c>
      <c r="DF27" s="142">
        <f t="shared" si="64"/>
        <v>4</v>
      </c>
      <c r="DG27" s="210">
        <f t="shared" si="65"/>
        <v>2</v>
      </c>
      <c r="DH27" s="142">
        <f>_xlfn.XLOOKUP($A27,'Actual Sales'!$D$41:$AG$41,'Actual Sales'!$D$65:$AG$65)</f>
        <v>1</v>
      </c>
      <c r="DI27" s="99">
        <v>1</v>
      </c>
      <c r="DJ27" s="143">
        <f t="shared" si="66"/>
        <v>0</v>
      </c>
      <c r="DK27" s="142">
        <f t="shared" si="67"/>
        <v>0</v>
      </c>
      <c r="DL27" s="213">
        <f t="shared" si="68"/>
        <v>0</v>
      </c>
    </row>
    <row r="28" spans="1:116" x14ac:dyDescent="0.2">
      <c r="A28" s="147">
        <v>25</v>
      </c>
      <c r="B28" s="142">
        <f>_xlfn.XLOOKUP(A28,'Actual Sales'!$D$41:$AG$41,'Actual Sales'!$D$43:$AG$43)</f>
        <v>28</v>
      </c>
      <c r="C28" s="99">
        <v>46</v>
      </c>
      <c r="D28" s="143">
        <f t="shared" si="1"/>
        <v>64.285714285714292</v>
      </c>
      <c r="E28" s="142">
        <f t="shared" si="2"/>
        <v>324</v>
      </c>
      <c r="F28" s="210">
        <f t="shared" si="3"/>
        <v>0.48648648648648651</v>
      </c>
      <c r="G28" s="142">
        <f>_xlfn.XLOOKUP($A28,'Actual Sales'!$D$41:$AG$41,'Actual Sales'!$D$44:$AG$44)</f>
        <v>0</v>
      </c>
      <c r="H28" s="99">
        <v>1</v>
      </c>
      <c r="I28" s="143" t="e">
        <f t="shared" si="0"/>
        <v>#DIV/0!</v>
      </c>
      <c r="J28" s="142">
        <f t="shared" si="4"/>
        <v>1</v>
      </c>
      <c r="K28" s="210">
        <f t="shared" si="5"/>
        <v>2</v>
      </c>
      <c r="L28" s="142">
        <f>_xlfn.XLOOKUP($A28,'Actual Sales'!$D$41:$AG$41,'Actual Sales'!$D$45:$AG$45)</f>
        <v>17</v>
      </c>
      <c r="M28" s="99">
        <v>16</v>
      </c>
      <c r="N28" s="143">
        <f t="shared" si="6"/>
        <v>5.8823529411764701</v>
      </c>
      <c r="O28" s="142">
        <f t="shared" si="7"/>
        <v>1</v>
      </c>
      <c r="P28" s="210">
        <f t="shared" si="8"/>
        <v>6.0606060606060608E-2</v>
      </c>
      <c r="Q28" s="142">
        <f>_xlfn.XLOOKUP($A28,'Actual Sales'!$D$41:$AG$41,'Actual Sales'!$D$46:$AG$46)</f>
        <v>7</v>
      </c>
      <c r="R28" s="99">
        <v>2</v>
      </c>
      <c r="S28" s="143">
        <f t="shared" si="9"/>
        <v>71.428571428571431</v>
      </c>
      <c r="T28" s="142">
        <f t="shared" si="10"/>
        <v>25</v>
      </c>
      <c r="U28" s="210">
        <f t="shared" si="11"/>
        <v>1.1111111111111112</v>
      </c>
      <c r="V28" s="142">
        <f>_xlfn.XLOOKUP($A28,'Actual Sales'!$D$41:$AG$41,'Actual Sales'!$D$47:$AG$47)</f>
        <v>15</v>
      </c>
      <c r="W28" s="99">
        <v>19</v>
      </c>
      <c r="X28" s="143">
        <f t="shared" si="12"/>
        <v>26.666666666666668</v>
      </c>
      <c r="Y28" s="142">
        <f t="shared" si="13"/>
        <v>16</v>
      </c>
      <c r="Z28" s="210">
        <f t="shared" si="14"/>
        <v>0.23529411764705882</v>
      </c>
      <c r="AA28" s="142">
        <f>_xlfn.XLOOKUP($A28,'Actual Sales'!$D$41:$AG$41,'Actual Sales'!$D$48:$AG$48)</f>
        <v>2</v>
      </c>
      <c r="AB28" s="99">
        <v>11</v>
      </c>
      <c r="AC28" s="143">
        <f t="shared" si="15"/>
        <v>450</v>
      </c>
      <c r="AD28" s="142">
        <f t="shared" si="16"/>
        <v>81</v>
      </c>
      <c r="AE28" s="210">
        <f t="shared" si="17"/>
        <v>1.3846153846153846</v>
      </c>
      <c r="AF28" s="142">
        <f>_xlfn.XLOOKUP($A28,'Actual Sales'!$D$41:$AG$41,'Actual Sales'!$D$49:$AG$49)</f>
        <v>33</v>
      </c>
      <c r="AG28" s="99">
        <v>19</v>
      </c>
      <c r="AH28" s="143">
        <f t="shared" si="18"/>
        <v>42.424242424242422</v>
      </c>
      <c r="AI28" s="142">
        <f t="shared" si="19"/>
        <v>196</v>
      </c>
      <c r="AJ28" s="210">
        <f t="shared" si="20"/>
        <v>0.53846153846153844</v>
      </c>
      <c r="AK28" s="142">
        <f>_xlfn.XLOOKUP($A28,'Actual Sales'!$D$41:$AG$41,'Actual Sales'!$D$50:$AG$50)</f>
        <v>2</v>
      </c>
      <c r="AL28" s="99">
        <v>2</v>
      </c>
      <c r="AM28" s="143">
        <f t="shared" si="21"/>
        <v>0</v>
      </c>
      <c r="AN28" s="142">
        <f t="shared" si="22"/>
        <v>0</v>
      </c>
      <c r="AO28" s="210">
        <f t="shared" si="23"/>
        <v>0</v>
      </c>
      <c r="AP28" s="142">
        <f>_xlfn.XLOOKUP($A28,'Actual Sales'!$D$41:$AG$41,'Actual Sales'!$D$51:$AG$51)</f>
        <v>2</v>
      </c>
      <c r="AQ28" s="99">
        <v>4</v>
      </c>
      <c r="AR28" s="143">
        <f t="shared" si="24"/>
        <v>100</v>
      </c>
      <c r="AS28" s="142">
        <f t="shared" si="25"/>
        <v>4</v>
      </c>
      <c r="AT28" s="210">
        <f t="shared" si="26"/>
        <v>0.66666666666666663</v>
      </c>
      <c r="AU28" s="142">
        <f>_xlfn.XLOOKUP($A28,'Actual Sales'!$D$41:$AG$41,'Actual Sales'!$D$52:$AG$52)</f>
        <v>11</v>
      </c>
      <c r="AV28" s="99">
        <v>9</v>
      </c>
      <c r="AW28" s="143">
        <f t="shared" si="27"/>
        <v>18.181818181818183</v>
      </c>
      <c r="AX28" s="142">
        <f t="shared" si="28"/>
        <v>4</v>
      </c>
      <c r="AY28" s="210">
        <f t="shared" si="29"/>
        <v>0.2</v>
      </c>
      <c r="AZ28" s="142">
        <f>_xlfn.XLOOKUP($A28,'Actual Sales'!$D$41:$AG$41,'Actual Sales'!$D$53:$AG$53)</f>
        <v>5</v>
      </c>
      <c r="BA28" s="99">
        <v>4</v>
      </c>
      <c r="BB28" s="143">
        <f t="shared" si="30"/>
        <v>20</v>
      </c>
      <c r="BC28" s="142">
        <f t="shared" si="31"/>
        <v>1</v>
      </c>
      <c r="BD28" s="210">
        <f t="shared" si="32"/>
        <v>0.22222222222222221</v>
      </c>
      <c r="BE28" s="142">
        <f>_xlfn.XLOOKUP($A28,'Actual Sales'!$D$41:$AG$41,'Actual Sales'!$D$54:$AG$54)</f>
        <v>4</v>
      </c>
      <c r="BF28" s="99">
        <v>3</v>
      </c>
      <c r="BG28" s="143">
        <f t="shared" si="33"/>
        <v>25</v>
      </c>
      <c r="BH28" s="142">
        <f t="shared" si="34"/>
        <v>1</v>
      </c>
      <c r="BI28" s="210">
        <f t="shared" si="35"/>
        <v>0.2857142857142857</v>
      </c>
      <c r="BJ28" s="142">
        <f>_xlfn.XLOOKUP($A28,'Actual Sales'!$D$41:$AG$41,'Actual Sales'!$D$55:$AG$55)</f>
        <v>5</v>
      </c>
      <c r="BK28" s="99">
        <v>4</v>
      </c>
      <c r="BL28" s="143">
        <f t="shared" si="36"/>
        <v>20</v>
      </c>
      <c r="BM28" s="142">
        <f t="shared" si="37"/>
        <v>1</v>
      </c>
      <c r="BN28" s="210">
        <f t="shared" si="38"/>
        <v>0.22222222222222221</v>
      </c>
      <c r="BO28" s="142">
        <f>_xlfn.XLOOKUP($A28,'Actual Sales'!$D$41:$AG$41,'Actual Sales'!$D$56:$AG$56)</f>
        <v>0</v>
      </c>
      <c r="BP28" s="99">
        <v>1</v>
      </c>
      <c r="BQ28" s="143" t="e">
        <f t="shared" si="39"/>
        <v>#DIV/0!</v>
      </c>
      <c r="BR28" s="142">
        <f t="shared" si="40"/>
        <v>1</v>
      </c>
      <c r="BS28" s="210">
        <f t="shared" si="41"/>
        <v>2</v>
      </c>
      <c r="BT28" s="142">
        <f>_xlfn.XLOOKUP($A28,'Actual Sales'!$D$41:$AG$41,'Actual Sales'!$D$57:$AG$57)</f>
        <v>2</v>
      </c>
      <c r="BU28" s="99">
        <v>3</v>
      </c>
      <c r="BV28" s="143">
        <f t="shared" si="42"/>
        <v>50</v>
      </c>
      <c r="BW28" s="142">
        <f t="shared" si="43"/>
        <v>1</v>
      </c>
      <c r="BX28" s="210">
        <f t="shared" si="44"/>
        <v>0.4</v>
      </c>
      <c r="BY28" s="142">
        <f>_xlfn.XLOOKUP($A28,'Actual Sales'!$D$41:$AG$41,'Actual Sales'!$D$58:$AG$58)</f>
        <v>0</v>
      </c>
      <c r="BZ28" s="99">
        <v>1</v>
      </c>
      <c r="CA28" s="143" t="e">
        <f t="shared" si="45"/>
        <v>#DIV/0!</v>
      </c>
      <c r="CB28" s="142">
        <f t="shared" si="46"/>
        <v>1</v>
      </c>
      <c r="CC28" s="210">
        <f t="shared" si="47"/>
        <v>2</v>
      </c>
      <c r="CD28" s="142">
        <f>_xlfn.XLOOKUP($A28,'Actual Sales'!$D$41:$AG$41,'Actual Sales'!$D$59:$AG$59)</f>
        <v>2</v>
      </c>
      <c r="CE28" s="99">
        <v>1</v>
      </c>
      <c r="CF28" s="143">
        <f t="shared" si="48"/>
        <v>50</v>
      </c>
      <c r="CG28" s="142">
        <f t="shared" si="49"/>
        <v>1</v>
      </c>
      <c r="CH28" s="210">
        <f t="shared" si="50"/>
        <v>0.66666666666666663</v>
      </c>
      <c r="CI28" s="142">
        <f>_xlfn.XLOOKUP($A28,'Actual Sales'!$D$41:$AG$41,'Actual Sales'!$D$60:$AG$60)</f>
        <v>2</v>
      </c>
      <c r="CJ28" s="99">
        <v>6</v>
      </c>
      <c r="CK28" s="143">
        <f t="shared" si="51"/>
        <v>200</v>
      </c>
      <c r="CL28" s="142">
        <f t="shared" si="52"/>
        <v>16</v>
      </c>
      <c r="CM28" s="210">
        <f t="shared" si="53"/>
        <v>1</v>
      </c>
      <c r="CN28" s="142">
        <f>_xlfn.XLOOKUP($A28,'Actual Sales'!$D$41:$AG$41,'Actual Sales'!$D$61:$AG$61)</f>
        <v>20</v>
      </c>
      <c r="CO28" s="99">
        <v>9</v>
      </c>
      <c r="CP28" s="143">
        <f t="shared" si="54"/>
        <v>55.000000000000007</v>
      </c>
      <c r="CQ28" s="142">
        <f t="shared" si="55"/>
        <v>121</v>
      </c>
      <c r="CR28" s="210">
        <f t="shared" si="56"/>
        <v>0.75862068965517238</v>
      </c>
      <c r="CS28" s="142">
        <f>_xlfn.XLOOKUP($A28,'Actual Sales'!$D$41:$AG$41,'Actual Sales'!$D$62:$AG$62)</f>
        <v>0</v>
      </c>
      <c r="CT28" s="99">
        <v>1</v>
      </c>
      <c r="CU28" s="143" t="e">
        <f t="shared" si="57"/>
        <v>#DIV/0!</v>
      </c>
      <c r="CV28" s="142">
        <f t="shared" si="58"/>
        <v>1</v>
      </c>
      <c r="CW28" s="210">
        <f t="shared" si="59"/>
        <v>2</v>
      </c>
      <c r="CX28" s="142">
        <f>_xlfn.XLOOKUP($A28,'Actual Sales'!$D$41:$AG$41,'Actual Sales'!$D$63:$AG$63)</f>
        <v>1</v>
      </c>
      <c r="CY28" s="99">
        <v>3</v>
      </c>
      <c r="CZ28" s="143">
        <f t="shared" si="60"/>
        <v>200</v>
      </c>
      <c r="DA28" s="142">
        <f t="shared" si="61"/>
        <v>4</v>
      </c>
      <c r="DB28" s="210">
        <f t="shared" si="62"/>
        <v>1</v>
      </c>
      <c r="DC28" s="142">
        <f>_xlfn.XLOOKUP($A28,'Actual Sales'!$D$41:$AG$41,'Actual Sales'!$D$64:$AG$64)</f>
        <v>0</v>
      </c>
      <c r="DD28" s="99">
        <v>1</v>
      </c>
      <c r="DE28" s="143" t="e">
        <f t="shared" si="63"/>
        <v>#DIV/0!</v>
      </c>
      <c r="DF28" s="142">
        <f t="shared" si="64"/>
        <v>1</v>
      </c>
      <c r="DG28" s="210">
        <f t="shared" si="65"/>
        <v>2</v>
      </c>
      <c r="DH28" s="142">
        <f>_xlfn.XLOOKUP($A28,'Actual Sales'!$D$41:$AG$41,'Actual Sales'!$D$65:$AG$65)</f>
        <v>0</v>
      </c>
      <c r="DI28" s="99">
        <v>1</v>
      </c>
      <c r="DJ28" s="143" t="e">
        <f t="shared" si="66"/>
        <v>#DIV/0!</v>
      </c>
      <c r="DK28" s="142">
        <f t="shared" si="67"/>
        <v>1</v>
      </c>
      <c r="DL28" s="213">
        <f t="shared" si="68"/>
        <v>2</v>
      </c>
    </row>
    <row r="29" spans="1:116" x14ac:dyDescent="0.2">
      <c r="A29" s="147">
        <v>26</v>
      </c>
      <c r="B29" s="142">
        <f>_xlfn.XLOOKUP(A29,'Actual Sales'!$D$41:$AG$41,'Actual Sales'!$D$43:$AG$43)</f>
        <v>22</v>
      </c>
      <c r="C29" s="99">
        <v>48</v>
      </c>
      <c r="D29" s="143">
        <f t="shared" si="1"/>
        <v>118.18181818181819</v>
      </c>
      <c r="E29" s="142">
        <f t="shared" si="2"/>
        <v>676</v>
      </c>
      <c r="F29" s="210">
        <f t="shared" si="3"/>
        <v>0.74285714285714288</v>
      </c>
      <c r="G29" s="142">
        <f>_xlfn.XLOOKUP($A29,'Actual Sales'!$D$41:$AG$41,'Actual Sales'!$D$44:$AG$44)</f>
        <v>0</v>
      </c>
      <c r="H29" s="99">
        <v>1</v>
      </c>
      <c r="I29" s="143" t="e">
        <f t="shared" si="0"/>
        <v>#DIV/0!</v>
      </c>
      <c r="J29" s="142">
        <f t="shared" si="4"/>
        <v>1</v>
      </c>
      <c r="K29" s="210">
        <f t="shared" si="5"/>
        <v>2</v>
      </c>
      <c r="L29" s="142">
        <f>_xlfn.XLOOKUP($A29,'Actual Sales'!$D$41:$AG$41,'Actual Sales'!$D$45:$AG$45)</f>
        <v>12</v>
      </c>
      <c r="M29" s="99">
        <v>17</v>
      </c>
      <c r="N29" s="143">
        <f t="shared" si="6"/>
        <v>41.666666666666671</v>
      </c>
      <c r="O29" s="142">
        <f t="shared" si="7"/>
        <v>25</v>
      </c>
      <c r="P29" s="210">
        <f t="shared" si="8"/>
        <v>0.34482758620689657</v>
      </c>
      <c r="Q29" s="142">
        <f>_xlfn.XLOOKUP($A29,'Actual Sales'!$D$41:$AG$41,'Actual Sales'!$D$46:$AG$46)</f>
        <v>4</v>
      </c>
      <c r="R29" s="99">
        <v>2</v>
      </c>
      <c r="S29" s="143">
        <f t="shared" si="9"/>
        <v>50</v>
      </c>
      <c r="T29" s="142">
        <f t="shared" si="10"/>
        <v>4</v>
      </c>
      <c r="U29" s="210">
        <f t="shared" si="11"/>
        <v>0.66666666666666663</v>
      </c>
      <c r="V29" s="142">
        <f>_xlfn.XLOOKUP($A29,'Actual Sales'!$D$41:$AG$41,'Actual Sales'!$D$47:$AG$47)</f>
        <v>17</v>
      </c>
      <c r="W29" s="99">
        <v>19</v>
      </c>
      <c r="X29" s="143">
        <f t="shared" si="12"/>
        <v>11.76470588235294</v>
      </c>
      <c r="Y29" s="142">
        <f t="shared" si="13"/>
        <v>4</v>
      </c>
      <c r="Z29" s="210">
        <f t="shared" si="14"/>
        <v>0.1111111111111111</v>
      </c>
      <c r="AA29" s="142">
        <f>_xlfn.XLOOKUP($A29,'Actual Sales'!$D$41:$AG$41,'Actual Sales'!$D$48:$AG$48)</f>
        <v>5</v>
      </c>
      <c r="AB29" s="99">
        <v>10</v>
      </c>
      <c r="AC29" s="143">
        <f t="shared" si="15"/>
        <v>100</v>
      </c>
      <c r="AD29" s="142">
        <f t="shared" si="16"/>
        <v>25</v>
      </c>
      <c r="AE29" s="210">
        <f t="shared" si="17"/>
        <v>0.66666666666666663</v>
      </c>
      <c r="AF29" s="142">
        <f>_xlfn.XLOOKUP($A29,'Actual Sales'!$D$41:$AG$41,'Actual Sales'!$D$49:$AG$49)</f>
        <v>18</v>
      </c>
      <c r="AG29" s="99">
        <v>18</v>
      </c>
      <c r="AH29" s="143">
        <f t="shared" si="18"/>
        <v>0</v>
      </c>
      <c r="AI29" s="142">
        <f t="shared" si="19"/>
        <v>0</v>
      </c>
      <c r="AJ29" s="210">
        <f t="shared" si="20"/>
        <v>0</v>
      </c>
      <c r="AK29" s="142">
        <f>_xlfn.XLOOKUP($A29,'Actual Sales'!$D$41:$AG$41,'Actual Sales'!$D$50:$AG$50)</f>
        <v>6</v>
      </c>
      <c r="AL29" s="99">
        <v>3</v>
      </c>
      <c r="AM29" s="143">
        <f t="shared" si="21"/>
        <v>50</v>
      </c>
      <c r="AN29" s="142">
        <f t="shared" si="22"/>
        <v>9</v>
      </c>
      <c r="AO29" s="210">
        <f t="shared" si="23"/>
        <v>0.66666666666666663</v>
      </c>
      <c r="AP29" s="142">
        <f>_xlfn.XLOOKUP($A29,'Actual Sales'!$D$41:$AG$41,'Actual Sales'!$D$51:$AG$51)</f>
        <v>3</v>
      </c>
      <c r="AQ29" s="99">
        <v>4</v>
      </c>
      <c r="AR29" s="143">
        <f t="shared" si="24"/>
        <v>33.333333333333329</v>
      </c>
      <c r="AS29" s="142">
        <f t="shared" si="25"/>
        <v>1</v>
      </c>
      <c r="AT29" s="210">
        <f t="shared" si="26"/>
        <v>0.2857142857142857</v>
      </c>
      <c r="AU29" s="142">
        <f>_xlfn.XLOOKUP($A29,'Actual Sales'!$D$41:$AG$41,'Actual Sales'!$D$52:$AG$52)</f>
        <v>18</v>
      </c>
      <c r="AV29" s="99">
        <v>9</v>
      </c>
      <c r="AW29" s="143">
        <f t="shared" si="27"/>
        <v>50</v>
      </c>
      <c r="AX29" s="142">
        <f t="shared" si="28"/>
        <v>81</v>
      </c>
      <c r="AY29" s="210">
        <f t="shared" si="29"/>
        <v>0.66666666666666663</v>
      </c>
      <c r="AZ29" s="142">
        <f>_xlfn.XLOOKUP($A29,'Actual Sales'!$D$41:$AG$41,'Actual Sales'!$D$53:$AG$53)</f>
        <v>7</v>
      </c>
      <c r="BA29" s="99">
        <v>4</v>
      </c>
      <c r="BB29" s="143">
        <f t="shared" si="30"/>
        <v>42.857142857142854</v>
      </c>
      <c r="BC29" s="142">
        <f t="shared" si="31"/>
        <v>9</v>
      </c>
      <c r="BD29" s="210">
        <f t="shared" si="32"/>
        <v>0.54545454545454541</v>
      </c>
      <c r="BE29" s="142">
        <f>_xlfn.XLOOKUP($A29,'Actual Sales'!$D$41:$AG$41,'Actual Sales'!$D$54:$AG$54)</f>
        <v>2</v>
      </c>
      <c r="BF29" s="99">
        <v>3</v>
      </c>
      <c r="BG29" s="143">
        <f t="shared" si="33"/>
        <v>50</v>
      </c>
      <c r="BH29" s="142">
        <f t="shared" si="34"/>
        <v>1</v>
      </c>
      <c r="BI29" s="210">
        <f t="shared" si="35"/>
        <v>0.4</v>
      </c>
      <c r="BJ29" s="142">
        <f>_xlfn.XLOOKUP($A29,'Actual Sales'!$D$41:$AG$41,'Actual Sales'!$D$55:$AG$55)</f>
        <v>0</v>
      </c>
      <c r="BK29" s="99">
        <v>4</v>
      </c>
      <c r="BL29" s="143" t="e">
        <f t="shared" si="36"/>
        <v>#DIV/0!</v>
      </c>
      <c r="BM29" s="142">
        <f t="shared" si="37"/>
        <v>16</v>
      </c>
      <c r="BN29" s="210">
        <f t="shared" si="38"/>
        <v>2</v>
      </c>
      <c r="BO29" s="142">
        <f>_xlfn.XLOOKUP($A29,'Actual Sales'!$D$41:$AG$41,'Actual Sales'!$D$56:$AG$56)</f>
        <v>2</v>
      </c>
      <c r="BP29" s="99">
        <v>2</v>
      </c>
      <c r="BQ29" s="143">
        <f t="shared" si="39"/>
        <v>0</v>
      </c>
      <c r="BR29" s="142">
        <f t="shared" si="40"/>
        <v>0</v>
      </c>
      <c r="BS29" s="210">
        <f t="shared" si="41"/>
        <v>0</v>
      </c>
      <c r="BT29" s="142">
        <f>_xlfn.XLOOKUP($A29,'Actual Sales'!$D$41:$AG$41,'Actual Sales'!$D$57:$AG$57)</f>
        <v>1</v>
      </c>
      <c r="BU29" s="99">
        <v>3</v>
      </c>
      <c r="BV29" s="143">
        <f t="shared" si="42"/>
        <v>200</v>
      </c>
      <c r="BW29" s="142">
        <f t="shared" si="43"/>
        <v>4</v>
      </c>
      <c r="BX29" s="210">
        <f t="shared" si="44"/>
        <v>1</v>
      </c>
      <c r="BY29" s="142">
        <f>_xlfn.XLOOKUP($A29,'Actual Sales'!$D$41:$AG$41,'Actual Sales'!$D$58:$AG$58)</f>
        <v>2</v>
      </c>
      <c r="BZ29" s="99">
        <v>1</v>
      </c>
      <c r="CA29" s="143">
        <f t="shared" si="45"/>
        <v>50</v>
      </c>
      <c r="CB29" s="142">
        <f t="shared" si="46"/>
        <v>1</v>
      </c>
      <c r="CC29" s="210">
        <f t="shared" si="47"/>
        <v>0.66666666666666663</v>
      </c>
      <c r="CD29" s="142">
        <f>_xlfn.XLOOKUP($A29,'Actual Sales'!$D$41:$AG$41,'Actual Sales'!$D$59:$AG$59)</f>
        <v>1</v>
      </c>
      <c r="CE29" s="99">
        <v>1</v>
      </c>
      <c r="CF29" s="143">
        <f t="shared" si="48"/>
        <v>0</v>
      </c>
      <c r="CG29" s="142">
        <f t="shared" si="49"/>
        <v>0</v>
      </c>
      <c r="CH29" s="210">
        <f t="shared" si="50"/>
        <v>0</v>
      </c>
      <c r="CI29" s="142">
        <f>_xlfn.XLOOKUP($A29,'Actual Sales'!$D$41:$AG$41,'Actual Sales'!$D$60:$AG$60)</f>
        <v>3</v>
      </c>
      <c r="CJ29" s="99">
        <v>5</v>
      </c>
      <c r="CK29" s="143">
        <f t="shared" si="51"/>
        <v>66.666666666666657</v>
      </c>
      <c r="CL29" s="142">
        <f t="shared" si="52"/>
        <v>4</v>
      </c>
      <c r="CM29" s="210">
        <f t="shared" si="53"/>
        <v>0.5</v>
      </c>
      <c r="CN29" s="142">
        <f>_xlfn.XLOOKUP($A29,'Actual Sales'!$D$41:$AG$41,'Actual Sales'!$D$61:$AG$61)</f>
        <v>15</v>
      </c>
      <c r="CO29" s="99">
        <v>9</v>
      </c>
      <c r="CP29" s="143">
        <f t="shared" si="54"/>
        <v>40</v>
      </c>
      <c r="CQ29" s="142">
        <f t="shared" si="55"/>
        <v>36</v>
      </c>
      <c r="CR29" s="210">
        <f t="shared" si="56"/>
        <v>0.5</v>
      </c>
      <c r="CS29" s="142">
        <f>_xlfn.XLOOKUP($A29,'Actual Sales'!$D$41:$AG$41,'Actual Sales'!$D$62:$AG$62)</f>
        <v>0</v>
      </c>
      <c r="CT29" s="99">
        <v>1</v>
      </c>
      <c r="CU29" s="143" t="e">
        <f t="shared" si="57"/>
        <v>#DIV/0!</v>
      </c>
      <c r="CV29" s="142">
        <f t="shared" si="58"/>
        <v>1</v>
      </c>
      <c r="CW29" s="210">
        <f t="shared" si="59"/>
        <v>2</v>
      </c>
      <c r="CX29" s="142">
        <f>_xlfn.XLOOKUP($A29,'Actual Sales'!$D$41:$AG$41,'Actual Sales'!$D$63:$AG$63)</f>
        <v>0</v>
      </c>
      <c r="CY29" s="99">
        <v>2</v>
      </c>
      <c r="CZ29" s="143" t="e">
        <f t="shared" si="60"/>
        <v>#DIV/0!</v>
      </c>
      <c r="DA29" s="142">
        <f t="shared" si="61"/>
        <v>4</v>
      </c>
      <c r="DB29" s="210">
        <f t="shared" si="62"/>
        <v>2</v>
      </c>
      <c r="DC29" s="142">
        <f>_xlfn.XLOOKUP($A29,'Actual Sales'!$D$41:$AG$41,'Actual Sales'!$D$64:$AG$64)</f>
        <v>0</v>
      </c>
      <c r="DD29" s="99">
        <v>1</v>
      </c>
      <c r="DE29" s="143" t="e">
        <f t="shared" si="63"/>
        <v>#DIV/0!</v>
      </c>
      <c r="DF29" s="142">
        <f t="shared" si="64"/>
        <v>1</v>
      </c>
      <c r="DG29" s="210">
        <f t="shared" si="65"/>
        <v>2</v>
      </c>
      <c r="DH29" s="142">
        <f>_xlfn.XLOOKUP($A29,'Actual Sales'!$D$41:$AG$41,'Actual Sales'!$D$65:$AG$65)</f>
        <v>2</v>
      </c>
      <c r="DI29" s="99">
        <v>1</v>
      </c>
      <c r="DJ29" s="143">
        <f t="shared" si="66"/>
        <v>50</v>
      </c>
      <c r="DK29" s="142">
        <f t="shared" si="67"/>
        <v>1</v>
      </c>
      <c r="DL29" s="213">
        <f t="shared" si="68"/>
        <v>0.66666666666666663</v>
      </c>
    </row>
    <row r="30" spans="1:116" x14ac:dyDescent="0.2">
      <c r="A30" s="147">
        <v>27</v>
      </c>
      <c r="B30" s="142">
        <f>_xlfn.XLOOKUP(A30,'Actual Sales'!$D$41:$AG$41,'Actual Sales'!$D$43:$AG$43)</f>
        <v>42</v>
      </c>
      <c r="C30" s="99">
        <v>45</v>
      </c>
      <c r="D30" s="143">
        <f t="shared" si="1"/>
        <v>7.1428571428571423</v>
      </c>
      <c r="E30" s="142">
        <f t="shared" si="2"/>
        <v>9</v>
      </c>
      <c r="F30" s="210">
        <f t="shared" si="3"/>
        <v>6.8965517241379309E-2</v>
      </c>
      <c r="G30" s="142">
        <f>_xlfn.XLOOKUP($A30,'Actual Sales'!$D$41:$AG$41,'Actual Sales'!$D$44:$AG$44)</f>
        <v>0</v>
      </c>
      <c r="H30" s="99">
        <v>1</v>
      </c>
      <c r="I30" s="143" t="e">
        <f t="shared" si="0"/>
        <v>#DIV/0!</v>
      </c>
      <c r="J30" s="142">
        <f t="shared" si="4"/>
        <v>1</v>
      </c>
      <c r="K30" s="210">
        <f t="shared" si="5"/>
        <v>2</v>
      </c>
      <c r="L30" s="142">
        <f>_xlfn.XLOOKUP($A30,'Actual Sales'!$D$41:$AG$41,'Actual Sales'!$D$45:$AG$45)</f>
        <v>16</v>
      </c>
      <c r="M30" s="99">
        <v>18</v>
      </c>
      <c r="N30" s="143">
        <f t="shared" si="6"/>
        <v>12.5</v>
      </c>
      <c r="O30" s="142">
        <f t="shared" si="7"/>
        <v>4</v>
      </c>
      <c r="P30" s="210">
        <f t="shared" si="8"/>
        <v>0.11764705882352941</v>
      </c>
      <c r="Q30" s="142">
        <f>_xlfn.XLOOKUP($A30,'Actual Sales'!$D$41:$AG$41,'Actual Sales'!$D$46:$AG$46)</f>
        <v>5</v>
      </c>
      <c r="R30" s="99">
        <v>2</v>
      </c>
      <c r="S30" s="143">
        <f t="shared" si="9"/>
        <v>60</v>
      </c>
      <c r="T30" s="142">
        <f t="shared" si="10"/>
        <v>9</v>
      </c>
      <c r="U30" s="210">
        <f t="shared" si="11"/>
        <v>0.8571428571428571</v>
      </c>
      <c r="V30" s="142">
        <f>_xlfn.XLOOKUP($A30,'Actual Sales'!$D$41:$AG$41,'Actual Sales'!$D$47:$AG$47)</f>
        <v>16</v>
      </c>
      <c r="W30" s="99">
        <v>19</v>
      </c>
      <c r="X30" s="143">
        <f t="shared" si="12"/>
        <v>18.75</v>
      </c>
      <c r="Y30" s="142">
        <f t="shared" si="13"/>
        <v>9</v>
      </c>
      <c r="Z30" s="210">
        <f t="shared" si="14"/>
        <v>0.17142857142857143</v>
      </c>
      <c r="AA30" s="142">
        <f>_xlfn.XLOOKUP($A30,'Actual Sales'!$D$41:$AG$41,'Actual Sales'!$D$48:$AG$48)</f>
        <v>6</v>
      </c>
      <c r="AB30" s="99">
        <v>11</v>
      </c>
      <c r="AC30" s="143">
        <f t="shared" si="15"/>
        <v>83.333333333333343</v>
      </c>
      <c r="AD30" s="142">
        <f t="shared" si="16"/>
        <v>25</v>
      </c>
      <c r="AE30" s="210">
        <f t="shared" si="17"/>
        <v>0.58823529411764708</v>
      </c>
      <c r="AF30" s="142">
        <f>_xlfn.XLOOKUP($A30,'Actual Sales'!$D$41:$AG$41,'Actual Sales'!$D$49:$AG$49)</f>
        <v>31</v>
      </c>
      <c r="AG30" s="99">
        <v>18</v>
      </c>
      <c r="AH30" s="143">
        <f t="shared" si="18"/>
        <v>41.935483870967744</v>
      </c>
      <c r="AI30" s="142">
        <f t="shared" si="19"/>
        <v>169</v>
      </c>
      <c r="AJ30" s="210">
        <f t="shared" si="20"/>
        <v>0.53061224489795922</v>
      </c>
      <c r="AK30" s="142">
        <f>_xlfn.XLOOKUP($A30,'Actual Sales'!$D$41:$AG$41,'Actual Sales'!$D$50:$AG$50)</f>
        <v>16</v>
      </c>
      <c r="AL30" s="99">
        <v>3</v>
      </c>
      <c r="AM30" s="143">
        <f t="shared" si="21"/>
        <v>81.25</v>
      </c>
      <c r="AN30" s="142">
        <f t="shared" si="22"/>
        <v>169</v>
      </c>
      <c r="AO30" s="210">
        <f t="shared" si="23"/>
        <v>1.368421052631579</v>
      </c>
      <c r="AP30" s="142">
        <f>_xlfn.XLOOKUP($A30,'Actual Sales'!$D$41:$AG$41,'Actual Sales'!$D$51:$AG$51)</f>
        <v>6</v>
      </c>
      <c r="AQ30" s="99">
        <v>4</v>
      </c>
      <c r="AR30" s="143">
        <f t="shared" si="24"/>
        <v>33.333333333333329</v>
      </c>
      <c r="AS30" s="142">
        <f t="shared" si="25"/>
        <v>4</v>
      </c>
      <c r="AT30" s="210">
        <f t="shared" si="26"/>
        <v>0.4</v>
      </c>
      <c r="AU30" s="142">
        <f>_xlfn.XLOOKUP($A30,'Actual Sales'!$D$41:$AG$41,'Actual Sales'!$D$52:$AG$52)</f>
        <v>20</v>
      </c>
      <c r="AV30" s="99">
        <v>9</v>
      </c>
      <c r="AW30" s="143">
        <f t="shared" si="27"/>
        <v>55.000000000000007</v>
      </c>
      <c r="AX30" s="142">
        <f t="shared" si="28"/>
        <v>121</v>
      </c>
      <c r="AY30" s="210">
        <f t="shared" si="29"/>
        <v>0.75862068965517238</v>
      </c>
      <c r="AZ30" s="142">
        <f>_xlfn.XLOOKUP($A30,'Actual Sales'!$D$41:$AG$41,'Actual Sales'!$D$53:$AG$53)</f>
        <v>10</v>
      </c>
      <c r="BA30" s="99">
        <v>4</v>
      </c>
      <c r="BB30" s="143">
        <f t="shared" si="30"/>
        <v>60</v>
      </c>
      <c r="BC30" s="142">
        <f t="shared" si="31"/>
        <v>36</v>
      </c>
      <c r="BD30" s="210">
        <f t="shared" si="32"/>
        <v>0.8571428571428571</v>
      </c>
      <c r="BE30" s="142">
        <f>_xlfn.XLOOKUP($A30,'Actual Sales'!$D$41:$AG$41,'Actual Sales'!$D$54:$AG$54)</f>
        <v>0</v>
      </c>
      <c r="BF30" s="99">
        <v>2</v>
      </c>
      <c r="BG30" s="143" t="e">
        <f t="shared" si="33"/>
        <v>#DIV/0!</v>
      </c>
      <c r="BH30" s="142">
        <f t="shared" si="34"/>
        <v>4</v>
      </c>
      <c r="BI30" s="210">
        <f t="shared" si="35"/>
        <v>2</v>
      </c>
      <c r="BJ30" s="142">
        <f>_xlfn.XLOOKUP($A30,'Actual Sales'!$D$41:$AG$41,'Actual Sales'!$D$55:$AG$55)</f>
        <v>6</v>
      </c>
      <c r="BK30" s="99">
        <v>4</v>
      </c>
      <c r="BL30" s="143">
        <f t="shared" si="36"/>
        <v>33.333333333333329</v>
      </c>
      <c r="BM30" s="142">
        <f t="shared" si="37"/>
        <v>4</v>
      </c>
      <c r="BN30" s="210">
        <f t="shared" si="38"/>
        <v>0.4</v>
      </c>
      <c r="BO30" s="142">
        <f>_xlfn.XLOOKUP($A30,'Actual Sales'!$D$41:$AG$41,'Actual Sales'!$D$56:$AG$56)</f>
        <v>1</v>
      </c>
      <c r="BP30" s="99">
        <v>1</v>
      </c>
      <c r="BQ30" s="143">
        <f t="shared" si="39"/>
        <v>0</v>
      </c>
      <c r="BR30" s="142">
        <f t="shared" si="40"/>
        <v>0</v>
      </c>
      <c r="BS30" s="210">
        <f t="shared" si="41"/>
        <v>0</v>
      </c>
      <c r="BT30" s="142">
        <f>_xlfn.XLOOKUP($A30,'Actual Sales'!$D$41:$AG$41,'Actual Sales'!$D$57:$AG$57)</f>
        <v>0</v>
      </c>
      <c r="BU30" s="99">
        <v>3</v>
      </c>
      <c r="BV30" s="143" t="e">
        <f t="shared" si="42"/>
        <v>#DIV/0!</v>
      </c>
      <c r="BW30" s="142">
        <f t="shared" si="43"/>
        <v>9</v>
      </c>
      <c r="BX30" s="210">
        <f t="shared" si="44"/>
        <v>2</v>
      </c>
      <c r="BY30" s="142">
        <f>_xlfn.XLOOKUP($A30,'Actual Sales'!$D$41:$AG$41,'Actual Sales'!$D$58:$AG$58)</f>
        <v>0</v>
      </c>
      <c r="BZ30" s="99">
        <v>1</v>
      </c>
      <c r="CA30" s="143" t="e">
        <f t="shared" si="45"/>
        <v>#DIV/0!</v>
      </c>
      <c r="CB30" s="142">
        <f t="shared" si="46"/>
        <v>1</v>
      </c>
      <c r="CC30" s="210">
        <f t="shared" si="47"/>
        <v>2</v>
      </c>
      <c r="CD30" s="142">
        <f>_xlfn.XLOOKUP($A30,'Actual Sales'!$D$41:$AG$41,'Actual Sales'!$D$59:$AG$59)</f>
        <v>1</v>
      </c>
      <c r="CE30" s="99">
        <v>1</v>
      </c>
      <c r="CF30" s="143">
        <f t="shared" si="48"/>
        <v>0</v>
      </c>
      <c r="CG30" s="142">
        <f t="shared" si="49"/>
        <v>0</v>
      </c>
      <c r="CH30" s="210">
        <f t="shared" si="50"/>
        <v>0</v>
      </c>
      <c r="CI30" s="142">
        <f>_xlfn.XLOOKUP($A30,'Actual Sales'!$D$41:$AG$41,'Actual Sales'!$D$60:$AG$60)</f>
        <v>5</v>
      </c>
      <c r="CJ30" s="99">
        <v>6</v>
      </c>
      <c r="CK30" s="143">
        <f t="shared" si="51"/>
        <v>20</v>
      </c>
      <c r="CL30" s="142">
        <f t="shared" si="52"/>
        <v>1</v>
      </c>
      <c r="CM30" s="210">
        <f t="shared" si="53"/>
        <v>0.18181818181818182</v>
      </c>
      <c r="CN30" s="142">
        <f>_xlfn.XLOOKUP($A30,'Actual Sales'!$D$41:$AG$41,'Actual Sales'!$D$61:$AG$61)</f>
        <v>13</v>
      </c>
      <c r="CO30" s="99">
        <v>9</v>
      </c>
      <c r="CP30" s="143">
        <f t="shared" si="54"/>
        <v>30.76923076923077</v>
      </c>
      <c r="CQ30" s="142">
        <f t="shared" si="55"/>
        <v>16</v>
      </c>
      <c r="CR30" s="210">
        <f t="shared" si="56"/>
        <v>0.36363636363636365</v>
      </c>
      <c r="CS30" s="142">
        <f>_xlfn.XLOOKUP($A30,'Actual Sales'!$D$41:$AG$41,'Actual Sales'!$D$62:$AG$62)</f>
        <v>3</v>
      </c>
      <c r="CT30" s="99">
        <v>1</v>
      </c>
      <c r="CU30" s="143">
        <f t="shared" si="57"/>
        <v>66.666666666666657</v>
      </c>
      <c r="CV30" s="142">
        <f t="shared" si="58"/>
        <v>4</v>
      </c>
      <c r="CW30" s="210">
        <f t="shared" si="59"/>
        <v>1</v>
      </c>
      <c r="CX30" s="142">
        <f>_xlfn.XLOOKUP($A30,'Actual Sales'!$D$41:$AG$41,'Actual Sales'!$D$63:$AG$63)</f>
        <v>3</v>
      </c>
      <c r="CY30" s="99">
        <v>2</v>
      </c>
      <c r="CZ30" s="143">
        <f t="shared" si="60"/>
        <v>33.333333333333329</v>
      </c>
      <c r="DA30" s="142">
        <f t="shared" si="61"/>
        <v>1</v>
      </c>
      <c r="DB30" s="210">
        <f t="shared" si="62"/>
        <v>0.4</v>
      </c>
      <c r="DC30" s="142">
        <f>_xlfn.XLOOKUP($A30,'Actual Sales'!$D$41:$AG$41,'Actual Sales'!$D$64:$AG$64)</f>
        <v>0</v>
      </c>
      <c r="DD30" s="99">
        <v>1</v>
      </c>
      <c r="DE30" s="143" t="e">
        <f t="shared" si="63"/>
        <v>#DIV/0!</v>
      </c>
      <c r="DF30" s="142">
        <f t="shared" si="64"/>
        <v>1</v>
      </c>
      <c r="DG30" s="210">
        <f t="shared" si="65"/>
        <v>2</v>
      </c>
      <c r="DH30" s="142">
        <f>_xlfn.XLOOKUP($A30,'Actual Sales'!$D$41:$AG$41,'Actual Sales'!$D$65:$AG$65)</f>
        <v>1</v>
      </c>
      <c r="DI30" s="99">
        <v>1</v>
      </c>
      <c r="DJ30" s="143">
        <f t="shared" si="66"/>
        <v>0</v>
      </c>
      <c r="DK30" s="142">
        <f t="shared" si="67"/>
        <v>0</v>
      </c>
      <c r="DL30" s="213">
        <f t="shared" si="68"/>
        <v>0</v>
      </c>
    </row>
    <row r="31" spans="1:116" x14ac:dyDescent="0.2">
      <c r="A31" s="147">
        <v>28</v>
      </c>
      <c r="B31" s="142">
        <f>_xlfn.XLOOKUP(A31,'Actual Sales'!$D$41:$AG$41,'Actual Sales'!$D$43:$AG$43)</f>
        <v>33</v>
      </c>
      <c r="C31" s="99">
        <v>46</v>
      </c>
      <c r="D31" s="143">
        <f t="shared" si="1"/>
        <v>39.393939393939391</v>
      </c>
      <c r="E31" s="142">
        <f t="shared" si="2"/>
        <v>169</v>
      </c>
      <c r="F31" s="210">
        <f t="shared" si="3"/>
        <v>0.32911392405063289</v>
      </c>
      <c r="G31" s="142">
        <f>_xlfn.XLOOKUP($A31,'Actual Sales'!$D$41:$AG$41,'Actual Sales'!$D$44:$AG$44)</f>
        <v>0</v>
      </c>
      <c r="H31" s="99">
        <v>1</v>
      </c>
      <c r="I31" s="143" t="e">
        <f t="shared" si="0"/>
        <v>#DIV/0!</v>
      </c>
      <c r="J31" s="142">
        <f t="shared" si="4"/>
        <v>1</v>
      </c>
      <c r="K31" s="210">
        <f t="shared" si="5"/>
        <v>2</v>
      </c>
      <c r="L31" s="142">
        <f>_xlfn.XLOOKUP($A31,'Actual Sales'!$D$41:$AG$41,'Actual Sales'!$D$45:$AG$45)</f>
        <v>14</v>
      </c>
      <c r="M31" s="99">
        <v>21</v>
      </c>
      <c r="N31" s="143">
        <f t="shared" si="6"/>
        <v>50</v>
      </c>
      <c r="O31" s="142">
        <f t="shared" si="7"/>
        <v>49</v>
      </c>
      <c r="P31" s="210">
        <f t="shared" si="8"/>
        <v>0.4</v>
      </c>
      <c r="Q31" s="142">
        <f>_xlfn.XLOOKUP($A31,'Actual Sales'!$D$41:$AG$41,'Actual Sales'!$D$46:$AG$46)</f>
        <v>5</v>
      </c>
      <c r="R31" s="99">
        <v>2</v>
      </c>
      <c r="S31" s="143">
        <f t="shared" si="9"/>
        <v>60</v>
      </c>
      <c r="T31" s="142">
        <f t="shared" si="10"/>
        <v>9</v>
      </c>
      <c r="U31" s="210">
        <f t="shared" si="11"/>
        <v>0.8571428571428571</v>
      </c>
      <c r="V31" s="142">
        <f>_xlfn.XLOOKUP($A31,'Actual Sales'!$D$41:$AG$41,'Actual Sales'!$D$47:$AG$47)</f>
        <v>22</v>
      </c>
      <c r="W31" s="99">
        <v>19</v>
      </c>
      <c r="X31" s="143">
        <f t="shared" si="12"/>
        <v>13.636363636363635</v>
      </c>
      <c r="Y31" s="142">
        <f t="shared" si="13"/>
        <v>9</v>
      </c>
      <c r="Z31" s="210">
        <f t="shared" si="14"/>
        <v>0.14634146341463414</v>
      </c>
      <c r="AA31" s="142">
        <f>_xlfn.XLOOKUP($A31,'Actual Sales'!$D$41:$AG$41,'Actual Sales'!$D$48:$AG$48)</f>
        <v>11</v>
      </c>
      <c r="AB31" s="99">
        <v>10</v>
      </c>
      <c r="AC31" s="143">
        <f t="shared" si="15"/>
        <v>9.0909090909090917</v>
      </c>
      <c r="AD31" s="142">
        <f t="shared" si="16"/>
        <v>1</v>
      </c>
      <c r="AE31" s="210">
        <f t="shared" si="17"/>
        <v>9.5238095238095233E-2</v>
      </c>
      <c r="AF31" s="142">
        <f>_xlfn.XLOOKUP($A31,'Actual Sales'!$D$41:$AG$41,'Actual Sales'!$D$49:$AG$49)</f>
        <v>28</v>
      </c>
      <c r="AG31" s="99">
        <v>18</v>
      </c>
      <c r="AH31" s="143">
        <f t="shared" si="18"/>
        <v>35.714285714285715</v>
      </c>
      <c r="AI31" s="142">
        <f t="shared" si="19"/>
        <v>100</v>
      </c>
      <c r="AJ31" s="210">
        <f t="shared" si="20"/>
        <v>0.43478260869565216</v>
      </c>
      <c r="AK31" s="142">
        <f>_xlfn.XLOOKUP($A31,'Actual Sales'!$D$41:$AG$41,'Actual Sales'!$D$50:$AG$50)</f>
        <v>5</v>
      </c>
      <c r="AL31" s="99">
        <v>3</v>
      </c>
      <c r="AM31" s="143">
        <f t="shared" si="21"/>
        <v>40</v>
      </c>
      <c r="AN31" s="142">
        <f t="shared" si="22"/>
        <v>4</v>
      </c>
      <c r="AO31" s="210">
        <f t="shared" si="23"/>
        <v>0.5</v>
      </c>
      <c r="AP31" s="142">
        <f>_xlfn.XLOOKUP($A31,'Actual Sales'!$D$41:$AG$41,'Actual Sales'!$D$51:$AG$51)</f>
        <v>7</v>
      </c>
      <c r="AQ31" s="99">
        <v>4</v>
      </c>
      <c r="AR31" s="143">
        <f t="shared" si="24"/>
        <v>42.857142857142854</v>
      </c>
      <c r="AS31" s="142">
        <f t="shared" si="25"/>
        <v>9</v>
      </c>
      <c r="AT31" s="210">
        <f t="shared" si="26"/>
        <v>0.54545454545454541</v>
      </c>
      <c r="AU31" s="142">
        <f>_xlfn.XLOOKUP($A31,'Actual Sales'!$D$41:$AG$41,'Actual Sales'!$D$52:$AG$52)</f>
        <v>11</v>
      </c>
      <c r="AV31" s="99">
        <v>9</v>
      </c>
      <c r="AW31" s="143">
        <f t="shared" si="27"/>
        <v>18.181818181818183</v>
      </c>
      <c r="AX31" s="142">
        <f t="shared" si="28"/>
        <v>4</v>
      </c>
      <c r="AY31" s="210">
        <f t="shared" si="29"/>
        <v>0.2</v>
      </c>
      <c r="AZ31" s="142">
        <f>_xlfn.XLOOKUP($A31,'Actual Sales'!$D$41:$AG$41,'Actual Sales'!$D$53:$AG$53)</f>
        <v>6</v>
      </c>
      <c r="BA31" s="99">
        <v>4</v>
      </c>
      <c r="BB31" s="143">
        <f t="shared" si="30"/>
        <v>33.333333333333329</v>
      </c>
      <c r="BC31" s="142">
        <f t="shared" si="31"/>
        <v>4</v>
      </c>
      <c r="BD31" s="210">
        <f t="shared" si="32"/>
        <v>0.4</v>
      </c>
      <c r="BE31" s="142">
        <f>_xlfn.XLOOKUP($A31,'Actual Sales'!$D$41:$AG$41,'Actual Sales'!$D$54:$AG$54)</f>
        <v>9</v>
      </c>
      <c r="BF31" s="99">
        <v>3</v>
      </c>
      <c r="BG31" s="143">
        <f t="shared" si="33"/>
        <v>66.666666666666657</v>
      </c>
      <c r="BH31" s="142">
        <f t="shared" si="34"/>
        <v>36</v>
      </c>
      <c r="BI31" s="210">
        <f t="shared" si="35"/>
        <v>1</v>
      </c>
      <c r="BJ31" s="142">
        <f>_xlfn.XLOOKUP($A31,'Actual Sales'!$D$41:$AG$41,'Actual Sales'!$D$55:$AG$55)</f>
        <v>3</v>
      </c>
      <c r="BK31" s="99">
        <v>3</v>
      </c>
      <c r="BL31" s="143">
        <f t="shared" si="36"/>
        <v>0</v>
      </c>
      <c r="BM31" s="142">
        <f t="shared" si="37"/>
        <v>0</v>
      </c>
      <c r="BN31" s="210">
        <f t="shared" si="38"/>
        <v>0</v>
      </c>
      <c r="BO31" s="142">
        <f>_xlfn.XLOOKUP($A31,'Actual Sales'!$D$41:$AG$41,'Actual Sales'!$D$56:$AG$56)</f>
        <v>7</v>
      </c>
      <c r="BP31" s="99">
        <v>2</v>
      </c>
      <c r="BQ31" s="143">
        <f t="shared" si="39"/>
        <v>71.428571428571431</v>
      </c>
      <c r="BR31" s="142">
        <f t="shared" si="40"/>
        <v>25</v>
      </c>
      <c r="BS31" s="210">
        <f t="shared" si="41"/>
        <v>1.1111111111111112</v>
      </c>
      <c r="BT31" s="142">
        <f>_xlfn.XLOOKUP($A31,'Actual Sales'!$D$41:$AG$41,'Actual Sales'!$D$57:$AG$57)</f>
        <v>0</v>
      </c>
      <c r="BU31" s="99">
        <v>3</v>
      </c>
      <c r="BV31" s="143" t="e">
        <f t="shared" si="42"/>
        <v>#DIV/0!</v>
      </c>
      <c r="BW31" s="142">
        <f t="shared" si="43"/>
        <v>9</v>
      </c>
      <c r="BX31" s="210">
        <f t="shared" si="44"/>
        <v>2</v>
      </c>
      <c r="BY31" s="142">
        <f>_xlfn.XLOOKUP($A31,'Actual Sales'!$D$41:$AG$41,'Actual Sales'!$D$58:$AG$58)</f>
        <v>0</v>
      </c>
      <c r="BZ31" s="99">
        <v>1</v>
      </c>
      <c r="CA31" s="143" t="e">
        <f t="shared" si="45"/>
        <v>#DIV/0!</v>
      </c>
      <c r="CB31" s="142">
        <f t="shared" si="46"/>
        <v>1</v>
      </c>
      <c r="CC31" s="210">
        <f t="shared" si="47"/>
        <v>2</v>
      </c>
      <c r="CD31" s="142">
        <f>_xlfn.XLOOKUP($A31,'Actual Sales'!$D$41:$AG$41,'Actual Sales'!$D$59:$AG$59)</f>
        <v>3</v>
      </c>
      <c r="CE31" s="99">
        <v>1</v>
      </c>
      <c r="CF31" s="143">
        <f t="shared" si="48"/>
        <v>66.666666666666657</v>
      </c>
      <c r="CG31" s="142">
        <f t="shared" si="49"/>
        <v>4</v>
      </c>
      <c r="CH31" s="210">
        <f t="shared" si="50"/>
        <v>1</v>
      </c>
      <c r="CI31" s="142">
        <f>_xlfn.XLOOKUP($A31,'Actual Sales'!$D$41:$AG$41,'Actual Sales'!$D$60:$AG$60)</f>
        <v>7</v>
      </c>
      <c r="CJ31" s="99">
        <v>5</v>
      </c>
      <c r="CK31" s="143">
        <f t="shared" si="51"/>
        <v>28.571428571428569</v>
      </c>
      <c r="CL31" s="142">
        <f t="shared" si="52"/>
        <v>4</v>
      </c>
      <c r="CM31" s="210">
        <f t="shared" si="53"/>
        <v>0.33333333333333331</v>
      </c>
      <c r="CN31" s="142">
        <f>_xlfn.XLOOKUP($A31,'Actual Sales'!$D$41:$AG$41,'Actual Sales'!$D$61:$AG$61)</f>
        <v>13</v>
      </c>
      <c r="CO31" s="99">
        <v>9</v>
      </c>
      <c r="CP31" s="143">
        <f t="shared" si="54"/>
        <v>30.76923076923077</v>
      </c>
      <c r="CQ31" s="142">
        <f t="shared" si="55"/>
        <v>16</v>
      </c>
      <c r="CR31" s="210">
        <f t="shared" si="56"/>
        <v>0.36363636363636365</v>
      </c>
      <c r="CS31" s="142">
        <f>_xlfn.XLOOKUP($A31,'Actual Sales'!$D$41:$AG$41,'Actual Sales'!$D$62:$AG$62)</f>
        <v>1</v>
      </c>
      <c r="CT31" s="99">
        <v>2</v>
      </c>
      <c r="CU31" s="143">
        <f t="shared" si="57"/>
        <v>100</v>
      </c>
      <c r="CV31" s="142">
        <f t="shared" si="58"/>
        <v>1</v>
      </c>
      <c r="CW31" s="210">
        <f t="shared" si="59"/>
        <v>0.66666666666666663</v>
      </c>
      <c r="CX31" s="142">
        <f>_xlfn.XLOOKUP($A31,'Actual Sales'!$D$41:$AG$41,'Actual Sales'!$D$63:$AG$63)</f>
        <v>2</v>
      </c>
      <c r="CY31" s="99">
        <v>2</v>
      </c>
      <c r="CZ31" s="143">
        <f t="shared" si="60"/>
        <v>0</v>
      </c>
      <c r="DA31" s="142">
        <f t="shared" si="61"/>
        <v>0</v>
      </c>
      <c r="DB31" s="210">
        <f t="shared" si="62"/>
        <v>0</v>
      </c>
      <c r="DC31" s="142">
        <f>_xlfn.XLOOKUP($A31,'Actual Sales'!$D$41:$AG$41,'Actual Sales'!$D$64:$AG$64)</f>
        <v>0</v>
      </c>
      <c r="DD31" s="99">
        <v>1</v>
      </c>
      <c r="DE31" s="143" t="e">
        <f t="shared" si="63"/>
        <v>#DIV/0!</v>
      </c>
      <c r="DF31" s="142">
        <f t="shared" si="64"/>
        <v>1</v>
      </c>
      <c r="DG31" s="210">
        <f t="shared" si="65"/>
        <v>2</v>
      </c>
      <c r="DH31" s="142">
        <f>_xlfn.XLOOKUP($A31,'Actual Sales'!$D$41:$AG$41,'Actual Sales'!$D$65:$AG$65)</f>
        <v>0</v>
      </c>
      <c r="DI31" s="99">
        <v>1</v>
      </c>
      <c r="DJ31" s="143" t="e">
        <f t="shared" si="66"/>
        <v>#DIV/0!</v>
      </c>
      <c r="DK31" s="142">
        <f t="shared" si="67"/>
        <v>1</v>
      </c>
      <c r="DL31" s="213">
        <f t="shared" si="68"/>
        <v>2</v>
      </c>
    </row>
    <row r="32" spans="1:116" x14ac:dyDescent="0.2">
      <c r="A32" s="147">
        <v>29</v>
      </c>
      <c r="B32" s="142">
        <f>_xlfn.XLOOKUP(A32,'Actual Sales'!$D$41:$AG$41,'Actual Sales'!$D$43:$AG$43)</f>
        <v>28</v>
      </c>
      <c r="C32" s="99">
        <v>47</v>
      </c>
      <c r="D32" s="143">
        <f t="shared" si="1"/>
        <v>67.857142857142861</v>
      </c>
      <c r="E32" s="142">
        <f t="shared" si="2"/>
        <v>361</v>
      </c>
      <c r="F32" s="210">
        <f t="shared" si="3"/>
        <v>0.50666666666666671</v>
      </c>
      <c r="G32" s="142">
        <f>_xlfn.XLOOKUP($A32,'Actual Sales'!$D$41:$AG$41,'Actual Sales'!$D$44:$AG$44)</f>
        <v>0</v>
      </c>
      <c r="H32" s="99">
        <v>1</v>
      </c>
      <c r="I32" s="143" t="e">
        <f t="shared" si="0"/>
        <v>#DIV/0!</v>
      </c>
      <c r="J32" s="142">
        <f t="shared" si="4"/>
        <v>1</v>
      </c>
      <c r="K32" s="210">
        <f t="shared" si="5"/>
        <v>2</v>
      </c>
      <c r="L32" s="142">
        <f>_xlfn.XLOOKUP($A32,'Actual Sales'!$D$41:$AG$41,'Actual Sales'!$D$45:$AG$45)</f>
        <v>13</v>
      </c>
      <c r="M32" s="99">
        <v>17</v>
      </c>
      <c r="N32" s="143">
        <f t="shared" si="6"/>
        <v>30.76923076923077</v>
      </c>
      <c r="O32" s="142">
        <f t="shared" si="7"/>
        <v>16</v>
      </c>
      <c r="P32" s="210">
        <f t="shared" si="8"/>
        <v>0.26666666666666666</v>
      </c>
      <c r="Q32" s="142">
        <f>_xlfn.XLOOKUP($A32,'Actual Sales'!$D$41:$AG$41,'Actual Sales'!$D$46:$AG$46)</f>
        <v>4</v>
      </c>
      <c r="R32" s="99">
        <v>2</v>
      </c>
      <c r="S32" s="143">
        <f t="shared" si="9"/>
        <v>50</v>
      </c>
      <c r="T32" s="142">
        <f t="shared" si="10"/>
        <v>4</v>
      </c>
      <c r="U32" s="210">
        <f t="shared" si="11"/>
        <v>0.66666666666666663</v>
      </c>
      <c r="V32" s="142">
        <f>_xlfn.XLOOKUP($A32,'Actual Sales'!$D$41:$AG$41,'Actual Sales'!$D$47:$AG$47)</f>
        <v>17</v>
      </c>
      <c r="W32" s="99">
        <v>19</v>
      </c>
      <c r="X32" s="143">
        <f t="shared" si="12"/>
        <v>11.76470588235294</v>
      </c>
      <c r="Y32" s="142">
        <f t="shared" si="13"/>
        <v>4</v>
      </c>
      <c r="Z32" s="210">
        <f t="shared" si="14"/>
        <v>0.1111111111111111</v>
      </c>
      <c r="AA32" s="142">
        <f>_xlfn.XLOOKUP($A32,'Actual Sales'!$D$41:$AG$41,'Actual Sales'!$D$48:$AG$48)</f>
        <v>10</v>
      </c>
      <c r="AB32" s="99">
        <v>10</v>
      </c>
      <c r="AC32" s="143">
        <f t="shared" si="15"/>
        <v>0</v>
      </c>
      <c r="AD32" s="142">
        <f t="shared" si="16"/>
        <v>0</v>
      </c>
      <c r="AE32" s="210">
        <f t="shared" si="17"/>
        <v>0</v>
      </c>
      <c r="AF32" s="142">
        <f>_xlfn.XLOOKUP($A32,'Actual Sales'!$D$41:$AG$41,'Actual Sales'!$D$49:$AG$49)</f>
        <v>14</v>
      </c>
      <c r="AG32" s="99">
        <v>21</v>
      </c>
      <c r="AH32" s="143">
        <f t="shared" si="18"/>
        <v>50</v>
      </c>
      <c r="AI32" s="142">
        <f t="shared" si="19"/>
        <v>49</v>
      </c>
      <c r="AJ32" s="210">
        <f t="shared" si="20"/>
        <v>0.4</v>
      </c>
      <c r="AK32" s="142">
        <f>_xlfn.XLOOKUP($A32,'Actual Sales'!$D$41:$AG$41,'Actual Sales'!$D$50:$AG$50)</f>
        <v>6</v>
      </c>
      <c r="AL32" s="99">
        <v>3</v>
      </c>
      <c r="AM32" s="143">
        <f t="shared" si="21"/>
        <v>50</v>
      </c>
      <c r="AN32" s="142">
        <f t="shared" si="22"/>
        <v>9</v>
      </c>
      <c r="AO32" s="210">
        <f t="shared" si="23"/>
        <v>0.66666666666666663</v>
      </c>
      <c r="AP32" s="142">
        <f>_xlfn.XLOOKUP($A32,'Actual Sales'!$D$41:$AG$41,'Actual Sales'!$D$51:$AG$51)</f>
        <v>5</v>
      </c>
      <c r="AQ32" s="99">
        <v>4</v>
      </c>
      <c r="AR32" s="143">
        <f t="shared" si="24"/>
        <v>20</v>
      </c>
      <c r="AS32" s="142">
        <f t="shared" si="25"/>
        <v>1</v>
      </c>
      <c r="AT32" s="210">
        <f t="shared" si="26"/>
        <v>0.22222222222222221</v>
      </c>
      <c r="AU32" s="142">
        <f>_xlfn.XLOOKUP($A32,'Actual Sales'!$D$41:$AG$41,'Actual Sales'!$D$52:$AG$52)</f>
        <v>14</v>
      </c>
      <c r="AV32" s="99">
        <v>9</v>
      </c>
      <c r="AW32" s="143">
        <f t="shared" si="27"/>
        <v>35.714285714285715</v>
      </c>
      <c r="AX32" s="142">
        <f t="shared" si="28"/>
        <v>25</v>
      </c>
      <c r="AY32" s="210">
        <f t="shared" si="29"/>
        <v>0.43478260869565216</v>
      </c>
      <c r="AZ32" s="142">
        <f>_xlfn.XLOOKUP($A32,'Actual Sales'!$D$41:$AG$41,'Actual Sales'!$D$53:$AG$53)</f>
        <v>5</v>
      </c>
      <c r="BA32" s="99">
        <v>4</v>
      </c>
      <c r="BB32" s="143">
        <f t="shared" si="30"/>
        <v>20</v>
      </c>
      <c r="BC32" s="142">
        <f t="shared" si="31"/>
        <v>1</v>
      </c>
      <c r="BD32" s="210">
        <f t="shared" si="32"/>
        <v>0.22222222222222221</v>
      </c>
      <c r="BE32" s="142">
        <f>_xlfn.XLOOKUP($A32,'Actual Sales'!$D$41:$AG$41,'Actual Sales'!$D$54:$AG$54)</f>
        <v>9</v>
      </c>
      <c r="BF32" s="99">
        <v>3</v>
      </c>
      <c r="BG32" s="143">
        <f t="shared" si="33"/>
        <v>66.666666666666657</v>
      </c>
      <c r="BH32" s="142">
        <f t="shared" si="34"/>
        <v>36</v>
      </c>
      <c r="BI32" s="210">
        <f t="shared" si="35"/>
        <v>1</v>
      </c>
      <c r="BJ32" s="142">
        <f>_xlfn.XLOOKUP($A32,'Actual Sales'!$D$41:$AG$41,'Actual Sales'!$D$55:$AG$55)</f>
        <v>1</v>
      </c>
      <c r="BK32" s="99">
        <v>3</v>
      </c>
      <c r="BL32" s="143">
        <f t="shared" si="36"/>
        <v>200</v>
      </c>
      <c r="BM32" s="142">
        <f t="shared" si="37"/>
        <v>4</v>
      </c>
      <c r="BN32" s="210">
        <f t="shared" si="38"/>
        <v>1</v>
      </c>
      <c r="BO32" s="142">
        <f>_xlfn.XLOOKUP($A32,'Actual Sales'!$D$41:$AG$41,'Actual Sales'!$D$56:$AG$56)</f>
        <v>4</v>
      </c>
      <c r="BP32" s="99">
        <v>2</v>
      </c>
      <c r="BQ32" s="143">
        <f t="shared" si="39"/>
        <v>50</v>
      </c>
      <c r="BR32" s="142">
        <f t="shared" si="40"/>
        <v>4</v>
      </c>
      <c r="BS32" s="210">
        <f t="shared" si="41"/>
        <v>0.66666666666666663</v>
      </c>
      <c r="BT32" s="142">
        <f>_xlfn.XLOOKUP($A32,'Actual Sales'!$D$41:$AG$41,'Actual Sales'!$D$57:$AG$57)</f>
        <v>0</v>
      </c>
      <c r="BU32" s="99">
        <v>3</v>
      </c>
      <c r="BV32" s="143" t="e">
        <f t="shared" si="42"/>
        <v>#DIV/0!</v>
      </c>
      <c r="BW32" s="142">
        <f t="shared" si="43"/>
        <v>9</v>
      </c>
      <c r="BX32" s="210">
        <f t="shared" si="44"/>
        <v>2</v>
      </c>
      <c r="BY32" s="142">
        <f>_xlfn.XLOOKUP($A32,'Actual Sales'!$D$41:$AG$41,'Actual Sales'!$D$58:$AG$58)</f>
        <v>1</v>
      </c>
      <c r="BZ32" s="99">
        <v>1</v>
      </c>
      <c r="CA32" s="143">
        <f t="shared" si="45"/>
        <v>0</v>
      </c>
      <c r="CB32" s="142">
        <f t="shared" si="46"/>
        <v>0</v>
      </c>
      <c r="CC32" s="210">
        <f t="shared" si="47"/>
        <v>0</v>
      </c>
      <c r="CD32" s="142">
        <f>_xlfn.XLOOKUP($A32,'Actual Sales'!$D$41:$AG$41,'Actual Sales'!$D$59:$AG$59)</f>
        <v>1</v>
      </c>
      <c r="CE32" s="99">
        <v>1</v>
      </c>
      <c r="CF32" s="143">
        <f t="shared" si="48"/>
        <v>0</v>
      </c>
      <c r="CG32" s="142">
        <f t="shared" si="49"/>
        <v>0</v>
      </c>
      <c r="CH32" s="210">
        <f t="shared" si="50"/>
        <v>0</v>
      </c>
      <c r="CI32" s="142">
        <f>_xlfn.XLOOKUP($A32,'Actual Sales'!$D$41:$AG$41,'Actual Sales'!$D$60:$AG$60)</f>
        <v>1</v>
      </c>
      <c r="CJ32" s="99">
        <v>5</v>
      </c>
      <c r="CK32" s="143">
        <f t="shared" si="51"/>
        <v>400</v>
      </c>
      <c r="CL32" s="142">
        <f t="shared" si="52"/>
        <v>16</v>
      </c>
      <c r="CM32" s="210">
        <f t="shared" si="53"/>
        <v>1.3333333333333333</v>
      </c>
      <c r="CN32" s="142">
        <f>_xlfn.XLOOKUP($A32,'Actual Sales'!$D$41:$AG$41,'Actual Sales'!$D$61:$AG$61)</f>
        <v>17</v>
      </c>
      <c r="CO32" s="99">
        <v>9</v>
      </c>
      <c r="CP32" s="143">
        <f t="shared" si="54"/>
        <v>47.058823529411761</v>
      </c>
      <c r="CQ32" s="142">
        <f t="shared" si="55"/>
        <v>64</v>
      </c>
      <c r="CR32" s="210">
        <f t="shared" si="56"/>
        <v>0.61538461538461542</v>
      </c>
      <c r="CS32" s="142">
        <f>_xlfn.XLOOKUP($A32,'Actual Sales'!$D$41:$AG$41,'Actual Sales'!$D$62:$AG$62)</f>
        <v>1</v>
      </c>
      <c r="CT32" s="99">
        <v>1</v>
      </c>
      <c r="CU32" s="143">
        <f t="shared" si="57"/>
        <v>0</v>
      </c>
      <c r="CV32" s="142">
        <f t="shared" si="58"/>
        <v>0</v>
      </c>
      <c r="CW32" s="210">
        <f t="shared" si="59"/>
        <v>0</v>
      </c>
      <c r="CX32" s="142">
        <f>_xlfn.XLOOKUP($A32,'Actual Sales'!$D$41:$AG$41,'Actual Sales'!$D$63:$AG$63)</f>
        <v>0</v>
      </c>
      <c r="CY32" s="99">
        <v>2</v>
      </c>
      <c r="CZ32" s="143" t="e">
        <f t="shared" si="60"/>
        <v>#DIV/0!</v>
      </c>
      <c r="DA32" s="142">
        <f t="shared" si="61"/>
        <v>4</v>
      </c>
      <c r="DB32" s="210">
        <f t="shared" si="62"/>
        <v>2</v>
      </c>
      <c r="DC32" s="142">
        <f>_xlfn.XLOOKUP($A32,'Actual Sales'!$D$41:$AG$41,'Actual Sales'!$D$64:$AG$64)</f>
        <v>0</v>
      </c>
      <c r="DD32" s="99">
        <v>1</v>
      </c>
      <c r="DE32" s="143" t="e">
        <f t="shared" si="63"/>
        <v>#DIV/0!</v>
      </c>
      <c r="DF32" s="142">
        <f t="shared" si="64"/>
        <v>1</v>
      </c>
      <c r="DG32" s="210">
        <f t="shared" si="65"/>
        <v>2</v>
      </c>
      <c r="DH32" s="142">
        <f>_xlfn.XLOOKUP($A32,'Actual Sales'!$D$41:$AG$41,'Actual Sales'!$D$65:$AG$65)</f>
        <v>1</v>
      </c>
      <c r="DI32" s="99">
        <v>1</v>
      </c>
      <c r="DJ32" s="143">
        <f t="shared" si="66"/>
        <v>0</v>
      </c>
      <c r="DK32" s="142">
        <f t="shared" si="67"/>
        <v>0</v>
      </c>
      <c r="DL32" s="213">
        <f t="shared" si="68"/>
        <v>0</v>
      </c>
    </row>
    <row r="33" spans="1:119" x14ac:dyDescent="0.2">
      <c r="A33" s="147">
        <v>30</v>
      </c>
      <c r="B33" s="142">
        <f>_xlfn.XLOOKUP(A33,'Actual Sales'!$D$41:$AG$41,'Actual Sales'!$D$43:$AG$43)</f>
        <v>26</v>
      </c>
      <c r="C33" s="99">
        <v>53</v>
      </c>
      <c r="D33" s="143">
        <f t="shared" si="1"/>
        <v>103.84615384615385</v>
      </c>
      <c r="E33" s="142">
        <f t="shared" si="2"/>
        <v>729</v>
      </c>
      <c r="F33" s="210">
        <f t="shared" si="3"/>
        <v>0.68354430379746833</v>
      </c>
      <c r="G33" s="142">
        <f>_xlfn.XLOOKUP($A33,'Actual Sales'!$D$41:$AG$41,'Actual Sales'!$D$44:$AG$44)</f>
        <v>0</v>
      </c>
      <c r="H33" s="99">
        <v>1</v>
      </c>
      <c r="I33" s="143" t="e">
        <f t="shared" si="0"/>
        <v>#DIV/0!</v>
      </c>
      <c r="J33" s="142">
        <f t="shared" si="4"/>
        <v>1</v>
      </c>
      <c r="K33" s="210">
        <f t="shared" si="5"/>
        <v>2</v>
      </c>
      <c r="L33" s="142">
        <f>_xlfn.XLOOKUP($A33,'Actual Sales'!$D$41:$AG$41,'Actual Sales'!$D$45:$AG$45)</f>
        <v>13</v>
      </c>
      <c r="M33" s="99">
        <v>18</v>
      </c>
      <c r="N33" s="143">
        <f t="shared" si="6"/>
        <v>38.461538461538467</v>
      </c>
      <c r="O33" s="142">
        <f t="shared" si="7"/>
        <v>25</v>
      </c>
      <c r="P33" s="210">
        <f t="shared" si="8"/>
        <v>0.32258064516129031</v>
      </c>
      <c r="Q33" s="142">
        <f>_xlfn.XLOOKUP($A33,'Actual Sales'!$D$41:$AG$41,'Actual Sales'!$D$46:$AG$46)</f>
        <v>2</v>
      </c>
      <c r="R33" s="99">
        <v>2</v>
      </c>
      <c r="S33" s="143">
        <f t="shared" si="9"/>
        <v>0</v>
      </c>
      <c r="T33" s="142">
        <f t="shared" si="10"/>
        <v>0</v>
      </c>
      <c r="U33" s="210">
        <f t="shared" si="11"/>
        <v>0</v>
      </c>
      <c r="V33" s="142">
        <f>_xlfn.XLOOKUP($A33,'Actual Sales'!$D$41:$AG$41,'Actual Sales'!$D$47:$AG$47)</f>
        <v>16</v>
      </c>
      <c r="W33" s="99">
        <v>19</v>
      </c>
      <c r="X33" s="143">
        <f t="shared" si="12"/>
        <v>18.75</v>
      </c>
      <c r="Y33" s="142">
        <f t="shared" si="13"/>
        <v>9</v>
      </c>
      <c r="Z33" s="210">
        <f t="shared" si="14"/>
        <v>0.17142857142857143</v>
      </c>
      <c r="AA33" s="142">
        <f>_xlfn.XLOOKUP($A33,'Actual Sales'!$D$41:$AG$41,'Actual Sales'!$D$48:$AG$48)</f>
        <v>9</v>
      </c>
      <c r="AB33" s="99">
        <v>11</v>
      </c>
      <c r="AC33" s="143">
        <f t="shared" si="15"/>
        <v>22.222222222222221</v>
      </c>
      <c r="AD33" s="142">
        <f t="shared" si="16"/>
        <v>4</v>
      </c>
      <c r="AE33" s="210">
        <f t="shared" si="17"/>
        <v>0.2</v>
      </c>
      <c r="AF33" s="142">
        <f>_xlfn.XLOOKUP($A33,'Actual Sales'!$D$41:$AG$41,'Actual Sales'!$D$49:$AG$49)</f>
        <v>24</v>
      </c>
      <c r="AG33" s="99">
        <v>24</v>
      </c>
      <c r="AH33" s="143">
        <f t="shared" si="18"/>
        <v>0</v>
      </c>
      <c r="AI33" s="142">
        <f t="shared" si="19"/>
        <v>0</v>
      </c>
      <c r="AJ33" s="210">
        <f t="shared" si="20"/>
        <v>0</v>
      </c>
      <c r="AK33" s="142">
        <f>_xlfn.XLOOKUP($A33,'Actual Sales'!$D$41:$AG$41,'Actual Sales'!$D$50:$AG$50)</f>
        <v>4</v>
      </c>
      <c r="AL33" s="99">
        <v>3</v>
      </c>
      <c r="AM33" s="143">
        <f t="shared" si="21"/>
        <v>25</v>
      </c>
      <c r="AN33" s="142">
        <f t="shared" si="22"/>
        <v>1</v>
      </c>
      <c r="AO33" s="210">
        <f t="shared" si="23"/>
        <v>0.2857142857142857</v>
      </c>
      <c r="AP33" s="142">
        <f>_xlfn.XLOOKUP($A33,'Actual Sales'!$D$41:$AG$41,'Actual Sales'!$D$51:$AG$51)</f>
        <v>5</v>
      </c>
      <c r="AQ33" s="99">
        <v>4</v>
      </c>
      <c r="AR33" s="143">
        <f t="shared" si="24"/>
        <v>20</v>
      </c>
      <c r="AS33" s="142">
        <f t="shared" si="25"/>
        <v>1</v>
      </c>
      <c r="AT33" s="210">
        <f t="shared" si="26"/>
        <v>0.22222222222222221</v>
      </c>
      <c r="AU33" s="142">
        <f>_xlfn.XLOOKUP($A33,'Actual Sales'!$D$41:$AG$41,'Actual Sales'!$D$52:$AG$52)</f>
        <v>18</v>
      </c>
      <c r="AV33" s="99">
        <v>9</v>
      </c>
      <c r="AW33" s="143">
        <f t="shared" si="27"/>
        <v>50</v>
      </c>
      <c r="AX33" s="142">
        <f t="shared" si="28"/>
        <v>81</v>
      </c>
      <c r="AY33" s="210">
        <f t="shared" si="29"/>
        <v>0.66666666666666663</v>
      </c>
      <c r="AZ33" s="142">
        <f>_xlfn.XLOOKUP($A33,'Actual Sales'!$D$41:$AG$41,'Actual Sales'!$D$53:$AG$53)</f>
        <v>7</v>
      </c>
      <c r="BA33" s="99">
        <v>4</v>
      </c>
      <c r="BB33" s="143">
        <f t="shared" si="30"/>
        <v>42.857142857142854</v>
      </c>
      <c r="BC33" s="142">
        <f t="shared" si="31"/>
        <v>9</v>
      </c>
      <c r="BD33" s="210">
        <f t="shared" si="32"/>
        <v>0.54545454545454541</v>
      </c>
      <c r="BE33" s="142">
        <f>_xlfn.XLOOKUP($A33,'Actual Sales'!$D$41:$AG$41,'Actual Sales'!$D$54:$AG$54)</f>
        <v>6</v>
      </c>
      <c r="BF33" s="99">
        <v>3</v>
      </c>
      <c r="BG33" s="143">
        <f t="shared" si="33"/>
        <v>50</v>
      </c>
      <c r="BH33" s="142">
        <f t="shared" si="34"/>
        <v>9</v>
      </c>
      <c r="BI33" s="210">
        <f t="shared" si="35"/>
        <v>0.66666666666666663</v>
      </c>
      <c r="BJ33" s="142">
        <f>_xlfn.XLOOKUP($A33,'Actual Sales'!$D$41:$AG$41,'Actual Sales'!$D$55:$AG$55)</f>
        <v>3</v>
      </c>
      <c r="BK33" s="99">
        <v>3</v>
      </c>
      <c r="BL33" s="143">
        <f t="shared" si="36"/>
        <v>0</v>
      </c>
      <c r="BM33" s="142">
        <f t="shared" si="37"/>
        <v>0</v>
      </c>
      <c r="BN33" s="210">
        <f t="shared" si="38"/>
        <v>0</v>
      </c>
      <c r="BO33" s="142">
        <f>_xlfn.XLOOKUP($A33,'Actual Sales'!$D$41:$AG$41,'Actual Sales'!$D$56:$AG$56)</f>
        <v>6</v>
      </c>
      <c r="BP33" s="99">
        <v>2</v>
      </c>
      <c r="BQ33" s="143">
        <f t="shared" si="39"/>
        <v>66.666666666666657</v>
      </c>
      <c r="BR33" s="142">
        <f t="shared" si="40"/>
        <v>16</v>
      </c>
      <c r="BS33" s="210">
        <f t="shared" si="41"/>
        <v>1</v>
      </c>
      <c r="BT33" s="142">
        <f>_xlfn.XLOOKUP($A33,'Actual Sales'!$D$41:$AG$41,'Actual Sales'!$D$57:$AG$57)</f>
        <v>2</v>
      </c>
      <c r="BU33" s="99">
        <v>3</v>
      </c>
      <c r="BV33" s="143">
        <f t="shared" si="42"/>
        <v>50</v>
      </c>
      <c r="BW33" s="142">
        <f t="shared" si="43"/>
        <v>1</v>
      </c>
      <c r="BX33" s="210">
        <f t="shared" si="44"/>
        <v>0.4</v>
      </c>
      <c r="BY33" s="142">
        <f>_xlfn.XLOOKUP($A33,'Actual Sales'!$D$41:$AG$41,'Actual Sales'!$D$58:$AG$58)</f>
        <v>1</v>
      </c>
      <c r="BZ33" s="99">
        <v>1</v>
      </c>
      <c r="CA33" s="143">
        <f t="shared" si="45"/>
        <v>0</v>
      </c>
      <c r="CB33" s="142">
        <f t="shared" si="46"/>
        <v>0</v>
      </c>
      <c r="CC33" s="210">
        <f t="shared" si="47"/>
        <v>0</v>
      </c>
      <c r="CD33" s="142">
        <f>_xlfn.XLOOKUP($A33,'Actual Sales'!$D$41:$AG$41,'Actual Sales'!$D$59:$AG$59)</f>
        <v>3</v>
      </c>
      <c r="CE33" s="99">
        <v>1</v>
      </c>
      <c r="CF33" s="143">
        <f t="shared" si="48"/>
        <v>66.666666666666657</v>
      </c>
      <c r="CG33" s="142">
        <f t="shared" si="49"/>
        <v>4</v>
      </c>
      <c r="CH33" s="210">
        <f t="shared" si="50"/>
        <v>1</v>
      </c>
      <c r="CI33" s="142">
        <f>_xlfn.XLOOKUP($A33,'Actual Sales'!$D$41:$AG$41,'Actual Sales'!$D$60:$AG$60)</f>
        <v>4</v>
      </c>
      <c r="CJ33" s="99">
        <v>6</v>
      </c>
      <c r="CK33" s="143">
        <f t="shared" si="51"/>
        <v>50</v>
      </c>
      <c r="CL33" s="142">
        <f t="shared" si="52"/>
        <v>4</v>
      </c>
      <c r="CM33" s="210">
        <f t="shared" si="53"/>
        <v>0.4</v>
      </c>
      <c r="CN33" s="142">
        <f>_xlfn.XLOOKUP($A33,'Actual Sales'!$D$41:$AG$41,'Actual Sales'!$D$61:$AG$61)</f>
        <v>11</v>
      </c>
      <c r="CO33" s="99">
        <v>9</v>
      </c>
      <c r="CP33" s="143">
        <f t="shared" si="54"/>
        <v>18.181818181818183</v>
      </c>
      <c r="CQ33" s="142">
        <f t="shared" si="55"/>
        <v>4</v>
      </c>
      <c r="CR33" s="210">
        <f t="shared" si="56"/>
        <v>0.2</v>
      </c>
      <c r="CS33" s="142">
        <f>_xlfn.XLOOKUP($A33,'Actual Sales'!$D$41:$AG$41,'Actual Sales'!$D$62:$AG$62)</f>
        <v>0</v>
      </c>
      <c r="CT33" s="99">
        <v>1</v>
      </c>
      <c r="CU33" s="143" t="e">
        <f t="shared" si="57"/>
        <v>#DIV/0!</v>
      </c>
      <c r="CV33" s="142">
        <f t="shared" si="58"/>
        <v>1</v>
      </c>
      <c r="CW33" s="210">
        <f t="shared" si="59"/>
        <v>2</v>
      </c>
      <c r="CX33" s="142">
        <f>_xlfn.XLOOKUP($A33,'Actual Sales'!$D$41:$AG$41,'Actual Sales'!$D$63:$AG$63)</f>
        <v>1</v>
      </c>
      <c r="CY33" s="99">
        <v>2</v>
      </c>
      <c r="CZ33" s="143">
        <f t="shared" si="60"/>
        <v>100</v>
      </c>
      <c r="DA33" s="142">
        <f t="shared" si="61"/>
        <v>1</v>
      </c>
      <c r="DB33" s="210">
        <f t="shared" si="62"/>
        <v>0.66666666666666663</v>
      </c>
      <c r="DC33" s="142">
        <f>_xlfn.XLOOKUP($A33,'Actual Sales'!$D$41:$AG$41,'Actual Sales'!$D$64:$AG$64)</f>
        <v>0</v>
      </c>
      <c r="DD33" s="99">
        <v>2</v>
      </c>
      <c r="DE33" s="143" t="e">
        <f t="shared" si="63"/>
        <v>#DIV/0!</v>
      </c>
      <c r="DF33" s="142">
        <f t="shared" si="64"/>
        <v>4</v>
      </c>
      <c r="DG33" s="210">
        <f t="shared" si="65"/>
        <v>2</v>
      </c>
      <c r="DH33" s="142">
        <f>_xlfn.XLOOKUP($A33,'Actual Sales'!$D$41:$AG$41,'Actual Sales'!$D$65:$AG$65)</f>
        <v>1</v>
      </c>
      <c r="DI33" s="99">
        <v>1</v>
      </c>
      <c r="DJ33" s="143">
        <f t="shared" si="66"/>
        <v>0</v>
      </c>
      <c r="DK33" s="142">
        <f t="shared" si="67"/>
        <v>0</v>
      </c>
      <c r="DL33" s="213">
        <f t="shared" si="68"/>
        <v>0</v>
      </c>
    </row>
    <row r="34" spans="1:119" ht="25" thickBot="1" x14ac:dyDescent="0.25">
      <c r="A34" s="146" t="s">
        <v>26</v>
      </c>
      <c r="C34" s="99" t="s">
        <v>103</v>
      </c>
      <c r="E34" s="143"/>
      <c r="F34" s="148"/>
      <c r="G34" s="142"/>
      <c r="H34" s="99" t="s">
        <v>64</v>
      </c>
      <c r="I34" s="143"/>
      <c r="J34" s="143"/>
      <c r="K34" s="148"/>
      <c r="L34" s="142"/>
      <c r="M34" s="99" t="s">
        <v>90</v>
      </c>
      <c r="N34" s="143"/>
      <c r="O34" s="143"/>
      <c r="P34" s="148"/>
      <c r="Q34" s="142"/>
      <c r="R34" s="99" t="s">
        <v>85</v>
      </c>
      <c r="S34" s="143"/>
      <c r="T34" s="143"/>
      <c r="U34" s="148"/>
      <c r="V34" s="142"/>
      <c r="W34" s="99" t="s">
        <v>73</v>
      </c>
      <c r="X34" s="143"/>
      <c r="Y34" s="143"/>
      <c r="Z34" s="148"/>
      <c r="AA34" s="142"/>
      <c r="AB34" s="99" t="s">
        <v>104</v>
      </c>
      <c r="AC34" s="143"/>
      <c r="AD34" s="143"/>
      <c r="AE34" s="148"/>
      <c r="AF34" s="142"/>
      <c r="AG34" s="99" t="s">
        <v>105</v>
      </c>
      <c r="AH34" s="143"/>
      <c r="AI34" s="143"/>
      <c r="AJ34" s="148"/>
      <c r="AK34" s="142"/>
      <c r="AL34" s="99" t="s">
        <v>79</v>
      </c>
      <c r="AM34" s="143"/>
      <c r="AN34" s="143"/>
      <c r="AO34" s="148"/>
      <c r="AP34" s="142"/>
      <c r="AQ34" s="99" t="s">
        <v>108</v>
      </c>
      <c r="AR34" s="143"/>
      <c r="AS34" s="143"/>
      <c r="AT34" s="148"/>
      <c r="AU34" s="142"/>
      <c r="AV34" s="99" t="s">
        <v>109</v>
      </c>
      <c r="AW34" s="143"/>
      <c r="AX34" s="143"/>
      <c r="AY34" s="148"/>
      <c r="AZ34" s="142"/>
      <c r="BA34" s="99" t="s">
        <v>110</v>
      </c>
      <c r="BB34" s="143"/>
      <c r="BC34" s="143"/>
      <c r="BD34" s="148"/>
      <c r="BE34" s="142"/>
      <c r="BF34" s="99" t="s">
        <v>70</v>
      </c>
      <c r="BG34" s="143"/>
      <c r="BH34" s="143"/>
      <c r="BI34" s="148"/>
      <c r="BJ34" s="142"/>
      <c r="BK34" s="99" t="s">
        <v>111</v>
      </c>
      <c r="BL34" s="143"/>
      <c r="BM34" s="143"/>
      <c r="BN34" s="148"/>
      <c r="BO34" s="142"/>
      <c r="BP34" s="99" t="s">
        <v>89</v>
      </c>
      <c r="BQ34" s="143"/>
      <c r="BR34" s="143"/>
      <c r="BS34" s="148"/>
      <c r="BT34" s="142"/>
      <c r="BU34" s="99" t="s">
        <v>81</v>
      </c>
      <c r="BV34" s="143"/>
      <c r="BW34" s="143"/>
      <c r="BX34" s="148"/>
      <c r="BY34" s="142"/>
      <c r="BZ34" s="99" t="s">
        <v>93</v>
      </c>
      <c r="CA34" s="143"/>
      <c r="CB34" s="143"/>
      <c r="CC34" s="148"/>
      <c r="CD34" s="142"/>
      <c r="CE34" s="99" t="s">
        <v>83</v>
      </c>
      <c r="CF34" s="143"/>
      <c r="CG34" s="143"/>
      <c r="CH34" s="148"/>
      <c r="CI34" s="142"/>
      <c r="CJ34" s="99" t="s">
        <v>66</v>
      </c>
      <c r="CK34" s="143"/>
      <c r="CL34" s="143"/>
      <c r="CM34" s="148"/>
      <c r="CN34" s="142"/>
      <c r="CO34" s="99" t="s">
        <v>113</v>
      </c>
      <c r="CP34" s="143"/>
      <c r="CQ34" s="143"/>
      <c r="CR34" s="148"/>
      <c r="CS34" s="142"/>
      <c r="CT34" s="99" t="s">
        <v>116</v>
      </c>
      <c r="CU34" s="143"/>
      <c r="CV34" s="143"/>
      <c r="CW34" s="148"/>
      <c r="CX34" s="142"/>
      <c r="CY34" s="99" t="s">
        <v>118</v>
      </c>
      <c r="CZ34" s="143"/>
      <c r="DA34" s="143"/>
      <c r="DB34" s="148"/>
      <c r="DC34" s="142"/>
      <c r="DD34" s="99" t="s">
        <v>87</v>
      </c>
      <c r="DE34" s="143"/>
      <c r="DF34" s="143"/>
      <c r="DG34" s="148"/>
      <c r="DH34" s="142"/>
      <c r="DI34" s="99" t="s">
        <v>120</v>
      </c>
      <c r="DJ34" s="143"/>
      <c r="DK34" s="143"/>
      <c r="DL34" s="153"/>
    </row>
    <row r="35" spans="1:119" s="157" customFormat="1" ht="25" thickBot="1" x14ac:dyDescent="0.25">
      <c r="A35" s="154" t="s">
        <v>151</v>
      </c>
      <c r="B35" s="220"/>
      <c r="C35" s="221"/>
      <c r="D35" s="202">
        <f>AVERAGE(D4:D33)</f>
        <v>98.74659723226128</v>
      </c>
      <c r="E35" s="222"/>
      <c r="F35" s="155"/>
      <c r="G35" s="220"/>
      <c r="H35" s="221"/>
      <c r="I35" s="202" t="e">
        <f>AVERAGE(I4:I33)</f>
        <v>#DIV/0!</v>
      </c>
      <c r="J35" s="222"/>
      <c r="K35" s="155"/>
      <c r="L35" s="220"/>
      <c r="M35" s="221"/>
      <c r="N35" s="202">
        <f>AVERAGE(N4:N33)</f>
        <v>51.139553166513949</v>
      </c>
      <c r="O35" s="222"/>
      <c r="P35" s="155"/>
      <c r="Q35" s="220"/>
      <c r="R35" s="221"/>
      <c r="S35" s="202" t="e">
        <f>AVERAGE(S4:S33)</f>
        <v>#DIV/0!</v>
      </c>
      <c r="T35" s="222"/>
      <c r="U35" s="155"/>
      <c r="V35" s="220"/>
      <c r="W35" s="221"/>
      <c r="X35" s="202">
        <f>AVERAGE(X4:X33)</f>
        <v>26.060694490825011</v>
      </c>
      <c r="Y35" s="222"/>
      <c r="Z35" s="155"/>
      <c r="AA35" s="220"/>
      <c r="AB35" s="221"/>
      <c r="AC35" s="202">
        <f>AVERAGE(AC4:AC33)</f>
        <v>74.811822708881536</v>
      </c>
      <c r="AD35" s="222"/>
      <c r="AE35" s="155"/>
      <c r="AF35" s="220"/>
      <c r="AG35" s="221"/>
      <c r="AH35" s="202">
        <f>AVERAGE(AH4:AH33)</f>
        <v>36.416747746814231</v>
      </c>
      <c r="AI35" s="222"/>
      <c r="AJ35" s="155"/>
      <c r="AK35" s="220"/>
      <c r="AL35" s="221"/>
      <c r="AM35" s="202" t="e">
        <f>AVERAGE(AM4:AM33)</f>
        <v>#DIV/0!</v>
      </c>
      <c r="AN35" s="222"/>
      <c r="AO35" s="155"/>
      <c r="AP35" s="220"/>
      <c r="AQ35" s="221"/>
      <c r="AR35" s="202" t="e">
        <f>AVERAGE(AR4:AR33)</f>
        <v>#DIV/0!</v>
      </c>
      <c r="AS35" s="222"/>
      <c r="AT35" s="155"/>
      <c r="AU35" s="220"/>
      <c r="AV35" s="221"/>
      <c r="AW35" s="202">
        <f>AVERAGE(AW4:AW33)</f>
        <v>30.181535131535124</v>
      </c>
      <c r="AX35" s="222"/>
      <c r="AY35" s="155"/>
      <c r="AZ35" s="220"/>
      <c r="BA35" s="221"/>
      <c r="BB35" s="202" t="e">
        <f>AVERAGE(BB4:BB33)</f>
        <v>#DIV/0!</v>
      </c>
      <c r="BC35" s="222"/>
      <c r="BD35" s="155"/>
      <c r="BE35" s="220"/>
      <c r="BF35" s="221"/>
      <c r="BG35" s="202" t="e">
        <f>AVERAGE(BG4:BG33)</f>
        <v>#DIV/0!</v>
      </c>
      <c r="BH35" s="222"/>
      <c r="BI35" s="155"/>
      <c r="BJ35" s="220"/>
      <c r="BK35" s="221"/>
      <c r="BL35" s="202" t="e">
        <f>AVERAGE(BL4:BL33)</f>
        <v>#DIV/0!</v>
      </c>
      <c r="BM35" s="222"/>
      <c r="BN35" s="155"/>
      <c r="BO35" s="220"/>
      <c r="BP35" s="221"/>
      <c r="BQ35" s="202" t="e">
        <f>AVERAGE(BQ4:BQ33)</f>
        <v>#DIV/0!</v>
      </c>
      <c r="BR35" s="222"/>
      <c r="BS35" s="155"/>
      <c r="BT35" s="220"/>
      <c r="BU35" s="221"/>
      <c r="BV35" s="202" t="e">
        <f>AVERAGE(BV4:BV33)</f>
        <v>#DIV/0!</v>
      </c>
      <c r="BW35" s="222"/>
      <c r="BX35" s="155"/>
      <c r="BY35" s="220"/>
      <c r="BZ35" s="221"/>
      <c r="CA35" s="202" t="e">
        <f>AVERAGE(CA4:CA33)</f>
        <v>#DIV/0!</v>
      </c>
      <c r="CB35" s="222"/>
      <c r="CC35" s="155"/>
      <c r="CD35" s="220"/>
      <c r="CE35" s="221"/>
      <c r="CF35" s="202" t="e">
        <f>AVERAGE(CF4:CF33)</f>
        <v>#DIV/0!</v>
      </c>
      <c r="CG35" s="144"/>
      <c r="CH35" s="155"/>
      <c r="CI35" s="220"/>
      <c r="CJ35" s="221"/>
      <c r="CK35" s="202">
        <f>AVERAGE(CK4:CK33)</f>
        <v>125.02453102453099</v>
      </c>
      <c r="CL35" s="222"/>
      <c r="CM35" s="155"/>
      <c r="CN35" s="220"/>
      <c r="CO35" s="221"/>
      <c r="CP35" s="202">
        <f>AVERAGE(CP4:CP33)</f>
        <v>50.173527281112413</v>
      </c>
      <c r="CQ35" s="222"/>
      <c r="CR35" s="155"/>
      <c r="CS35" s="220"/>
      <c r="CT35" s="221"/>
      <c r="CU35" s="202" t="e">
        <f>AVERAGE(CU4:CU33)</f>
        <v>#DIV/0!</v>
      </c>
      <c r="CV35" s="222"/>
      <c r="CW35" s="155"/>
      <c r="CX35" s="220"/>
      <c r="CY35" s="221"/>
      <c r="CZ35" s="202" t="e">
        <f>AVERAGE(CZ4:CZ33)</f>
        <v>#DIV/0!</v>
      </c>
      <c r="DA35" s="222"/>
      <c r="DB35" s="155"/>
      <c r="DC35" s="220"/>
      <c r="DD35" s="221"/>
      <c r="DE35" s="202" t="e">
        <f>AVERAGE(DE4:DE33)</f>
        <v>#DIV/0!</v>
      </c>
      <c r="DF35" s="222"/>
      <c r="DG35" s="155"/>
      <c r="DH35" s="220"/>
      <c r="DI35" s="221"/>
      <c r="DJ35" s="202" t="e">
        <f>AVERAGE(DJ4:DJ33)</f>
        <v>#DIV/0!</v>
      </c>
      <c r="DK35" s="222"/>
      <c r="DL35" s="156"/>
      <c r="DM35" s="158" t="e">
        <f>AVERAGE(B35:DL35)</f>
        <v>#DIV/0!</v>
      </c>
    </row>
    <row r="36" spans="1:119" x14ac:dyDescent="0.2">
      <c r="A36" s="208" t="s">
        <v>39</v>
      </c>
      <c r="D36" s="206"/>
      <c r="E36" s="207">
        <f>SUM(E4:E33)</f>
        <v>15959</v>
      </c>
      <c r="F36" s="210">
        <f>SUM(F4:F33)</f>
        <v>17.757459293224926</v>
      </c>
      <c r="J36" s="207">
        <f>SUM(J4:J33)</f>
        <v>27</v>
      </c>
      <c r="K36" s="210">
        <f>SUM(K4:K33)</f>
        <v>52.666666666666664</v>
      </c>
      <c r="O36" s="207">
        <f>SUM(O4:O33)</f>
        <v>1166</v>
      </c>
      <c r="P36" s="210">
        <f>SUM(P4:P33)</f>
        <v>11.150863215816335</v>
      </c>
      <c r="T36" s="207">
        <f>SUM(T4:T33)</f>
        <v>127</v>
      </c>
      <c r="U36" s="210">
        <f>SUM(U4:U33)</f>
        <v>19.282539682539685</v>
      </c>
      <c r="Y36" s="207">
        <f>SUM(Y4:Y33)</f>
        <v>635</v>
      </c>
      <c r="Z36" s="210">
        <f>SUM(Z4:Z33)</f>
        <v>6.627456468846991</v>
      </c>
      <c r="AD36" s="207">
        <f>SUM(AD4:AD33)</f>
        <v>583</v>
      </c>
      <c r="AE36" s="210">
        <f>SUM(AE4:AE33)</f>
        <v>13.630273206898593</v>
      </c>
      <c r="AI36" s="207">
        <f>SUM(AI4:AI33)</f>
        <v>4591</v>
      </c>
      <c r="AJ36" s="210">
        <f>SUM(AJ4:AJ33)</f>
        <v>11.308125285240946</v>
      </c>
      <c r="AN36" s="207">
        <f>SUM(AN4:AN33)</f>
        <v>796</v>
      </c>
      <c r="AO36" s="210">
        <f>SUM(AO4:AO33)</f>
        <v>21.720369104579632</v>
      </c>
      <c r="AS36" s="207">
        <f>SUM(AS4:AS33)</f>
        <v>222</v>
      </c>
      <c r="AT36" s="210">
        <f>SUM(AT4:AT33)</f>
        <v>25.243290043290042</v>
      </c>
      <c r="AX36" s="207">
        <f>SUM(AX4:AX33)</f>
        <v>1123</v>
      </c>
      <c r="AY36" s="210">
        <f>SUM(AY4:AY33)</f>
        <v>10.219080461408522</v>
      </c>
      <c r="BC36" s="207">
        <f>SUM(BC4:BC33)</f>
        <v>288</v>
      </c>
      <c r="BD36" s="210">
        <f>SUM(BD4:BD33)</f>
        <v>23.997351667939899</v>
      </c>
      <c r="BH36" s="207">
        <f>SUM(BH4:BH33)</f>
        <v>544</v>
      </c>
      <c r="BI36" s="210">
        <f>SUM(BI4:BI33)</f>
        <v>22.817927170868348</v>
      </c>
      <c r="BM36" s="207">
        <f>SUM(BM4:BM33)</f>
        <v>118</v>
      </c>
      <c r="BN36" s="210">
        <f>SUM(BN4:BN33)</f>
        <v>17.951803751803748</v>
      </c>
      <c r="BR36" s="207">
        <f>SUM(BR4:BR33)</f>
        <v>155</v>
      </c>
      <c r="BS36" s="210">
        <f>SUM(BS4:BS33)</f>
        <v>29.450505050505051</v>
      </c>
      <c r="BW36" s="207">
        <f>SUM(BW4:BW33)</f>
        <v>135</v>
      </c>
      <c r="BX36" s="210">
        <f>SUM(BX4:BX33)</f>
        <v>22.571428571428577</v>
      </c>
      <c r="CB36" s="207">
        <f>SUM(CB4:CB33)</f>
        <v>28</v>
      </c>
      <c r="CC36" s="210">
        <f>SUM(CC4:CC33)</f>
        <v>47.666666666666664</v>
      </c>
      <c r="CG36" s="142">
        <f>SUM(CG4:CG33)</f>
        <v>98</v>
      </c>
      <c r="CH36" s="210">
        <f>SUM(CH4:CH33)</f>
        <v>21.133333333333333</v>
      </c>
      <c r="CL36" s="207">
        <f>SUM(CL4:CL33)</f>
        <v>236</v>
      </c>
      <c r="CM36" s="210">
        <f>SUM(CM4:CM33)</f>
        <v>18.785808635808632</v>
      </c>
      <c r="CQ36" s="207">
        <f>SUM(CQ4:CQ33)</f>
        <v>1023</v>
      </c>
      <c r="CR36" s="210">
        <f>SUM(CR4:CR33)</f>
        <v>12.975454990545199</v>
      </c>
      <c r="CV36" s="207">
        <f>SUM(CV4:CV33)</f>
        <v>58</v>
      </c>
      <c r="CW36" s="210">
        <f>SUM(CW4:CW33)</f>
        <v>47.095238095238095</v>
      </c>
      <c r="DA36" s="207">
        <f>SUM(DA4:DA33)</f>
        <v>117</v>
      </c>
      <c r="DB36" s="210">
        <f>SUM(DB4:DB33)</f>
        <v>33.590476190476188</v>
      </c>
      <c r="DF36" s="207">
        <f>SUM(DF4:DF33)</f>
        <v>45</v>
      </c>
      <c r="DG36" s="210">
        <f>SUM(DG4:DG33)</f>
        <v>45.333333333333329</v>
      </c>
      <c r="DJ36" s="203"/>
      <c r="DK36" s="207">
        <f>SUM(DK4:DK33)</f>
        <v>28</v>
      </c>
      <c r="DL36" s="213">
        <f>SUM(DL4:DL33)</f>
        <v>25.533333333333335</v>
      </c>
    </row>
    <row r="37" spans="1:119" ht="25" thickBot="1" x14ac:dyDescent="0.25">
      <c r="A37" s="209" t="s">
        <v>178</v>
      </c>
      <c r="E37" s="216">
        <f>AVERAGE(E4:E33)</f>
        <v>531.9666666666667</v>
      </c>
      <c r="F37" s="209"/>
      <c r="J37" s="216">
        <f>AVERAGE(J4:J33)</f>
        <v>0.9</v>
      </c>
      <c r="K37" s="209"/>
      <c r="O37" s="216">
        <f>AVERAGE(O4:O33)</f>
        <v>38.866666666666667</v>
      </c>
      <c r="P37" s="209"/>
      <c r="T37" s="216">
        <f>AVERAGE(T4:T33)</f>
        <v>4.2333333333333334</v>
      </c>
      <c r="U37" s="209"/>
      <c r="Y37" s="216">
        <f>AVERAGE(Y4:Y33)</f>
        <v>21.166666666666668</v>
      </c>
      <c r="Z37" s="209"/>
      <c r="AD37" s="216">
        <f>AVERAGE(AD4:AD33)</f>
        <v>19.433333333333334</v>
      </c>
      <c r="AE37" s="209"/>
      <c r="AI37" s="216">
        <f>AVERAGE(AI4:AI33)</f>
        <v>153.03333333333333</v>
      </c>
      <c r="AJ37" s="209"/>
      <c r="AN37" s="216">
        <f>AVERAGE(AN4:AN33)</f>
        <v>26.533333333333335</v>
      </c>
      <c r="AO37" s="209"/>
      <c r="AS37" s="216">
        <f>AVERAGE(AS4:AS33)</f>
        <v>7.4</v>
      </c>
      <c r="AT37" s="209"/>
      <c r="AX37" s="216">
        <f>AVERAGE(AX4:AX33)</f>
        <v>37.43333333333333</v>
      </c>
      <c r="AY37" s="209"/>
      <c r="BC37" s="216">
        <f>AVERAGE(BC4:BC33)</f>
        <v>9.6</v>
      </c>
      <c r="BD37" s="209"/>
      <c r="BH37" s="216">
        <f>AVERAGE(BH4:BH33)</f>
        <v>18.133333333333333</v>
      </c>
      <c r="BI37" s="209"/>
      <c r="BM37" s="216">
        <f>AVERAGE(BM4:BM33)</f>
        <v>3.9333333333333331</v>
      </c>
      <c r="BN37" s="209"/>
      <c r="BR37" s="216">
        <f>AVERAGE(BR4:BR33)</f>
        <v>5.166666666666667</v>
      </c>
      <c r="BS37" s="209"/>
      <c r="BW37" s="216">
        <f>AVERAGE(BW4:BW33)</f>
        <v>4.5</v>
      </c>
      <c r="BX37" s="209"/>
      <c r="CB37" s="216">
        <f>AVERAGE(CB4:CB33)</f>
        <v>0.93333333333333335</v>
      </c>
      <c r="CC37" s="209"/>
      <c r="CG37" s="216">
        <f>AVERAGE(CG4:CG33)</f>
        <v>3.2666666666666666</v>
      </c>
      <c r="CH37" s="209"/>
      <c r="CL37" s="216">
        <f>AVERAGE(CL4:CL33)</f>
        <v>7.8666666666666663</v>
      </c>
      <c r="CM37" s="209"/>
      <c r="CN37" s="204"/>
      <c r="CO37" s="204"/>
      <c r="CP37" s="204"/>
      <c r="CQ37" s="216">
        <f>AVERAGE(CQ4:CQ33)</f>
        <v>34.1</v>
      </c>
      <c r="CR37" s="209"/>
      <c r="CS37" s="204"/>
      <c r="CT37" s="204"/>
      <c r="CU37" s="204"/>
      <c r="CV37" s="216">
        <f>AVERAGE(CV4:CV33)</f>
        <v>1.9333333333333333</v>
      </c>
      <c r="CW37" s="209"/>
      <c r="CX37" s="204"/>
      <c r="CY37" s="204"/>
      <c r="CZ37" s="204"/>
      <c r="DA37" s="216">
        <f>AVERAGE(DA4:DA33)</f>
        <v>3.9</v>
      </c>
      <c r="DB37" s="209"/>
      <c r="DC37" s="204"/>
      <c r="DD37" s="204"/>
      <c r="DE37" s="204"/>
      <c r="DF37" s="216">
        <f>AVERAGE(DF4:DF33)</f>
        <v>1.5</v>
      </c>
      <c r="DG37" s="209"/>
      <c r="DH37" s="204"/>
      <c r="DI37" s="204"/>
      <c r="DJ37" s="204"/>
      <c r="DK37" s="216">
        <f>AVERAGE(DK4:DK33)</f>
        <v>0.93333333333333335</v>
      </c>
      <c r="DL37" s="205"/>
      <c r="DO37" s="234"/>
    </row>
    <row r="38" spans="1:119" s="157" customFormat="1" ht="26" x14ac:dyDescent="0.2">
      <c r="A38" s="211" t="s">
        <v>58</v>
      </c>
      <c r="B38" s="223"/>
      <c r="C38" s="224"/>
      <c r="D38" s="217"/>
      <c r="E38" s="217">
        <f>SQRT(E37)</f>
        <v>23.064402586381178</v>
      </c>
      <c r="F38" s="225"/>
      <c r="G38" s="224"/>
      <c r="H38" s="224"/>
      <c r="I38" s="224"/>
      <c r="J38" s="217">
        <f>SQRT(J37)</f>
        <v>0.94868329805051377</v>
      </c>
      <c r="K38" s="225"/>
      <c r="L38" s="224"/>
      <c r="M38" s="224"/>
      <c r="N38" s="224"/>
      <c r="O38" s="217">
        <f>SQRT(O37)</f>
        <v>6.2343136484032202</v>
      </c>
      <c r="P38" s="225"/>
      <c r="Q38" s="224"/>
      <c r="R38" s="224"/>
      <c r="S38" s="224"/>
      <c r="T38" s="217">
        <f>SQRT(T37)</f>
        <v>2.0575065816014622</v>
      </c>
      <c r="U38" s="225"/>
      <c r="V38" s="224"/>
      <c r="W38" s="224"/>
      <c r="X38" s="224"/>
      <c r="Y38" s="217">
        <f>SQRT(Y37)</f>
        <v>4.6007245806140871</v>
      </c>
      <c r="Z38" s="225"/>
      <c r="AA38" s="224"/>
      <c r="AB38" s="224"/>
      <c r="AC38" s="224"/>
      <c r="AD38" s="217">
        <f>SQRT(AD37)</f>
        <v>4.4083254568297621</v>
      </c>
      <c r="AE38" s="225"/>
      <c r="AF38" s="224"/>
      <c r="AG38" s="224"/>
      <c r="AH38" s="224"/>
      <c r="AI38" s="217">
        <f>SQRT(AI37)</f>
        <v>12.370664223611168</v>
      </c>
      <c r="AJ38" s="225"/>
      <c r="AK38" s="224"/>
      <c r="AL38" s="224"/>
      <c r="AM38" s="224"/>
      <c r="AN38" s="217">
        <f>SQRT(AN37)</f>
        <v>5.1510516725551625</v>
      </c>
      <c r="AO38" s="225"/>
      <c r="AP38" s="224"/>
      <c r="AQ38" s="224"/>
      <c r="AR38" s="224"/>
      <c r="AS38" s="217">
        <f>SQRT(AS37)</f>
        <v>2.7202941017470885</v>
      </c>
      <c r="AT38" s="225"/>
      <c r="AU38" s="224"/>
      <c r="AV38" s="224"/>
      <c r="AW38" s="224"/>
      <c r="AX38" s="217">
        <f>SQRT(AX37)</f>
        <v>6.1182786250164618</v>
      </c>
      <c r="AY38" s="225"/>
      <c r="AZ38" s="224"/>
      <c r="BA38" s="224"/>
      <c r="BB38" s="224"/>
      <c r="BC38" s="217">
        <f>SQRT(BC37)</f>
        <v>3.0983866769659336</v>
      </c>
      <c r="BD38" s="225"/>
      <c r="BE38" s="224"/>
      <c r="BF38" s="224"/>
      <c r="BG38" s="224"/>
      <c r="BH38" s="217">
        <f>SQRT(BH37)</f>
        <v>4.2583251793790167</v>
      </c>
      <c r="BI38" s="225"/>
      <c r="BJ38" s="224"/>
      <c r="BK38" s="224"/>
      <c r="BL38" s="224"/>
      <c r="BM38" s="217">
        <f>SQRT(BM37)</f>
        <v>1.9832633040858021</v>
      </c>
      <c r="BN38" s="225"/>
      <c r="BO38" s="224"/>
      <c r="BP38" s="224"/>
      <c r="BQ38" s="224"/>
      <c r="BR38" s="217">
        <f>SQRT(BR37)</f>
        <v>2.2730302828309759</v>
      </c>
      <c r="BS38" s="225"/>
      <c r="BT38" s="224"/>
      <c r="BU38" s="224"/>
      <c r="BV38" s="224"/>
      <c r="BW38" s="217">
        <f>SQRT(BW37)</f>
        <v>2.1213203435596424</v>
      </c>
      <c r="BX38" s="225"/>
      <c r="BY38" s="224"/>
      <c r="BZ38" s="224"/>
      <c r="CA38" s="224"/>
      <c r="CB38" s="217">
        <f>SQRT(CB37)</f>
        <v>0.96609178307929588</v>
      </c>
      <c r="CC38" s="225"/>
      <c r="CD38" s="224"/>
      <c r="CE38" s="224"/>
      <c r="CF38" s="224"/>
      <c r="CG38" s="217">
        <f>SQRT(CG37)</f>
        <v>1.8073922282301278</v>
      </c>
      <c r="CH38" s="225"/>
      <c r="CI38" s="224"/>
      <c r="CJ38" s="224"/>
      <c r="CK38" s="224"/>
      <c r="CL38" s="217">
        <f>SQRT(CL37)</f>
        <v>2.8047578623950171</v>
      </c>
      <c r="CM38" s="225"/>
      <c r="CN38" s="224"/>
      <c r="CO38" s="226"/>
      <c r="CP38" s="226"/>
      <c r="CQ38" s="217">
        <f>SQRT(CQ37)</f>
        <v>5.8395205282625735</v>
      </c>
      <c r="CR38" s="225"/>
      <c r="CS38" s="226"/>
      <c r="CT38" s="226"/>
      <c r="CU38" s="226"/>
      <c r="CV38" s="217">
        <f>SQRT(CV37)</f>
        <v>1.390443574307614</v>
      </c>
      <c r="CW38" s="225"/>
      <c r="CX38" s="226"/>
      <c r="CY38" s="226"/>
      <c r="CZ38" s="226"/>
      <c r="DA38" s="217">
        <f>SQRT(DA37)</f>
        <v>1.9748417658131499</v>
      </c>
      <c r="DB38" s="225"/>
      <c r="DC38" s="226"/>
      <c r="DD38" s="226"/>
      <c r="DE38" s="226"/>
      <c r="DF38" s="217">
        <f>SQRT(DF37)</f>
        <v>1.2247448713915889</v>
      </c>
      <c r="DG38" s="225"/>
      <c r="DH38" s="226"/>
      <c r="DI38" s="226"/>
      <c r="DJ38" s="226"/>
      <c r="DK38" s="217">
        <f>SQRT(DK37)</f>
        <v>0.96609178307929588</v>
      </c>
      <c r="DL38" s="227"/>
      <c r="DM38" s="233">
        <f>AVERAGE(B38:DL38)</f>
        <v>4.27749804166044</v>
      </c>
      <c r="DN38" s="215"/>
    </row>
    <row r="39" spans="1:119" s="157" customFormat="1" ht="27" thickBot="1" x14ac:dyDescent="0.25">
      <c r="A39" s="212" t="s">
        <v>179</v>
      </c>
      <c r="B39" s="228"/>
      <c r="C39" s="229"/>
      <c r="D39" s="230"/>
      <c r="E39" s="230"/>
      <c r="F39" s="218">
        <f>AVERAGE(F4:F33)</f>
        <v>0.59191530977416418</v>
      </c>
      <c r="G39" s="229"/>
      <c r="H39" s="229"/>
      <c r="I39" s="229"/>
      <c r="J39" s="230"/>
      <c r="K39" s="218">
        <f>AVERAGE(K4:K33)</f>
        <v>1.7555555555555555</v>
      </c>
      <c r="L39" s="229"/>
      <c r="M39" s="229"/>
      <c r="N39" s="229"/>
      <c r="O39" s="230"/>
      <c r="P39" s="218">
        <f>AVERAGE(P4:P33)</f>
        <v>0.37169544052721115</v>
      </c>
      <c r="Q39" s="229"/>
      <c r="R39" s="229"/>
      <c r="S39" s="229"/>
      <c r="T39" s="230"/>
      <c r="U39" s="218">
        <f>AVERAGE(U4:U33)</f>
        <v>0.64275132275132285</v>
      </c>
      <c r="V39" s="229"/>
      <c r="W39" s="229"/>
      <c r="X39" s="229"/>
      <c r="Y39" s="230"/>
      <c r="Z39" s="218">
        <f>AVERAGE(Z4:Z33)</f>
        <v>0.22091521562823305</v>
      </c>
      <c r="AA39" s="229"/>
      <c r="AB39" s="229"/>
      <c r="AC39" s="229"/>
      <c r="AD39" s="230"/>
      <c r="AE39" s="218">
        <f>AVERAGE(AE4:AE33)</f>
        <v>0.45434244022995313</v>
      </c>
      <c r="AF39" s="229"/>
      <c r="AG39" s="229"/>
      <c r="AH39" s="229"/>
      <c r="AI39" s="230"/>
      <c r="AJ39" s="218">
        <f>AVERAGE(AJ4:AJ33)</f>
        <v>0.37693750950803151</v>
      </c>
      <c r="AK39" s="229"/>
      <c r="AL39" s="229"/>
      <c r="AM39" s="229"/>
      <c r="AN39" s="230"/>
      <c r="AO39" s="218">
        <f>AVERAGE(AO4:AO33)</f>
        <v>0.72401230348598777</v>
      </c>
      <c r="AP39" s="229"/>
      <c r="AQ39" s="229"/>
      <c r="AR39" s="229"/>
      <c r="AS39" s="230"/>
      <c r="AT39" s="218">
        <f>AVERAGE(AT4:AT33)</f>
        <v>0.84144300144300144</v>
      </c>
      <c r="AU39" s="229"/>
      <c r="AV39" s="229"/>
      <c r="AW39" s="229"/>
      <c r="AX39" s="230"/>
      <c r="AY39" s="218">
        <f>AVERAGE(AY4:AY33)</f>
        <v>0.34063601538028404</v>
      </c>
      <c r="AZ39" s="229"/>
      <c r="BA39" s="229"/>
      <c r="BB39" s="229"/>
      <c r="BC39" s="230"/>
      <c r="BD39" s="218">
        <f>AVERAGE(BD4:BD33)</f>
        <v>0.79991172226466334</v>
      </c>
      <c r="BE39" s="229"/>
      <c r="BF39" s="229"/>
      <c r="BG39" s="229"/>
      <c r="BH39" s="230"/>
      <c r="BI39" s="218">
        <f>AVERAGE(BI4:BI33)</f>
        <v>0.76059757236227832</v>
      </c>
      <c r="BJ39" s="229"/>
      <c r="BK39" s="229"/>
      <c r="BL39" s="229"/>
      <c r="BM39" s="230"/>
      <c r="BN39" s="218">
        <f>AVERAGE(BN4:BN33)</f>
        <v>0.59839345839345826</v>
      </c>
      <c r="BO39" s="229"/>
      <c r="BP39" s="229"/>
      <c r="BQ39" s="229"/>
      <c r="BR39" s="230"/>
      <c r="BS39" s="218">
        <f>AVERAGE(BS4:BS33)</f>
        <v>0.98168350168350171</v>
      </c>
      <c r="BT39" s="229"/>
      <c r="BU39" s="229"/>
      <c r="BV39" s="229"/>
      <c r="BW39" s="230"/>
      <c r="BX39" s="218">
        <f>AVERAGE(BX4:BX33)</f>
        <v>0.75238095238095259</v>
      </c>
      <c r="BY39" s="229"/>
      <c r="BZ39" s="229"/>
      <c r="CA39" s="229"/>
      <c r="CB39" s="230"/>
      <c r="CC39" s="218">
        <f>AVERAGE(CC4:CC33)</f>
        <v>1.5888888888888888</v>
      </c>
      <c r="CD39" s="229"/>
      <c r="CE39" s="229"/>
      <c r="CF39" s="229"/>
      <c r="CG39" s="230"/>
      <c r="CH39" s="218">
        <f>AVERAGE(CH4:CH33)</f>
        <v>0.70444444444444443</v>
      </c>
      <c r="CI39" s="229"/>
      <c r="CJ39" s="229"/>
      <c r="CK39" s="229"/>
      <c r="CL39" s="230"/>
      <c r="CM39" s="218">
        <f>AVERAGE(CM4:CM33)</f>
        <v>0.6261936211936211</v>
      </c>
      <c r="CN39" s="229"/>
      <c r="CO39" s="231"/>
      <c r="CP39" s="231"/>
      <c r="CQ39" s="230"/>
      <c r="CR39" s="218">
        <f>AVERAGE(CR4:CR33)</f>
        <v>0.43251516635150661</v>
      </c>
      <c r="CS39" s="231"/>
      <c r="CT39" s="231"/>
      <c r="CU39" s="231"/>
      <c r="CV39" s="230"/>
      <c r="CW39" s="218">
        <f>AVERAGE(CW4:CW33)</f>
        <v>1.5698412698412698</v>
      </c>
      <c r="CX39" s="231"/>
      <c r="CY39" s="231"/>
      <c r="CZ39" s="231"/>
      <c r="DA39" s="230"/>
      <c r="DB39" s="218">
        <f>AVERAGE(DB4:DB33)</f>
        <v>1.1196825396825396</v>
      </c>
      <c r="DC39" s="231"/>
      <c r="DD39" s="231"/>
      <c r="DE39" s="231"/>
      <c r="DF39" s="230"/>
      <c r="DG39" s="218">
        <f>AVERAGE(DG4:DG33)</f>
        <v>1.5111111111111108</v>
      </c>
      <c r="DH39" s="231"/>
      <c r="DI39" s="231"/>
      <c r="DJ39" s="229"/>
      <c r="DK39" s="230"/>
      <c r="DL39" s="219">
        <f>AVERAGE(DL4:DL33)</f>
        <v>0.85111111111111115</v>
      </c>
      <c r="DM39" s="232">
        <f>AVERAGE(B39:DL39)</f>
        <v>0.80943302060839528</v>
      </c>
      <c r="DN39" s="215"/>
    </row>
    <row r="40" spans="1:119" x14ac:dyDescent="0.2">
      <c r="A40" s="99" t="s">
        <v>155</v>
      </c>
      <c r="B40" s="142">
        <f>COUNT(A4:A33)</f>
        <v>30</v>
      </c>
      <c r="CN40" s="203"/>
      <c r="CO40" s="203"/>
      <c r="CP40" s="203"/>
      <c r="CS40" s="203"/>
      <c r="CT40" s="203"/>
      <c r="CU40" s="203"/>
      <c r="CX40" s="203"/>
      <c r="CY40" s="203"/>
      <c r="CZ40" s="203"/>
      <c r="DC40" s="203"/>
      <c r="DD40" s="203"/>
      <c r="DE40" s="203"/>
      <c r="DH40" s="203"/>
      <c r="DI40" s="203"/>
      <c r="DJ40" s="203"/>
    </row>
    <row r="41" spans="1:119" x14ac:dyDescent="0.2">
      <c r="E41" s="143"/>
      <c r="F41" s="143"/>
      <c r="J41" s="143"/>
      <c r="K41" s="143"/>
      <c r="O41" s="143"/>
      <c r="P41" s="143"/>
      <c r="T41" s="143"/>
      <c r="U41" s="143"/>
      <c r="Y41" s="143"/>
      <c r="Z41" s="143"/>
      <c r="AD41" s="143"/>
      <c r="AE41" s="143"/>
      <c r="AI41" s="143"/>
      <c r="AJ41" s="143"/>
      <c r="AN41" s="143"/>
      <c r="AO41" s="143"/>
      <c r="AS41" s="143"/>
      <c r="AT41" s="143"/>
      <c r="AX41" s="143"/>
      <c r="AY41" s="143"/>
      <c r="BC41" s="143"/>
      <c r="BD41" s="143"/>
      <c r="BH41" s="143"/>
      <c r="BI41" s="143"/>
      <c r="BM41" s="143"/>
      <c r="BN41" s="143"/>
      <c r="BR41" s="143"/>
      <c r="BS41" s="143"/>
      <c r="BW41" s="143"/>
      <c r="BX41" s="143"/>
      <c r="CB41" s="143"/>
      <c r="CC41" s="143"/>
      <c r="CG41" s="143"/>
      <c r="CH41" s="143"/>
      <c r="CL41" s="143"/>
      <c r="CM41" s="143"/>
      <c r="CQ41" s="143"/>
      <c r="CR41" s="143"/>
      <c r="CV41" s="143"/>
      <c r="CW41" s="143"/>
      <c r="DA41" s="143"/>
      <c r="DB41" s="143"/>
      <c r="DF41" s="143"/>
      <c r="DG41" s="143"/>
      <c r="DK41" s="143"/>
      <c r="DL41" s="143"/>
    </row>
    <row r="48" spans="1:119" x14ac:dyDescent="0.2">
      <c r="A48" s="246" t="s">
        <v>24</v>
      </c>
      <c r="B48" s="247" t="s">
        <v>151</v>
      </c>
      <c r="C48" s="248" t="s">
        <v>58</v>
      </c>
      <c r="D48" s="249" t="s">
        <v>179</v>
      </c>
    </row>
    <row r="49" spans="1:12" x14ac:dyDescent="0.2">
      <c r="A49" s="238" t="s">
        <v>102</v>
      </c>
      <c r="B49" s="143">
        <v>98.74659723226128</v>
      </c>
      <c r="C49" s="143">
        <v>23.064402586381178</v>
      </c>
      <c r="D49" s="148">
        <v>0.59191530977416418</v>
      </c>
      <c r="L49" s="237"/>
    </row>
    <row r="50" spans="1:12" x14ac:dyDescent="0.2">
      <c r="A50" s="238" t="s">
        <v>62</v>
      </c>
      <c r="B50" s="143" t="e">
        <v>#DIV/0!</v>
      </c>
      <c r="C50" s="143">
        <v>0.94868329805051377</v>
      </c>
      <c r="D50" s="148">
        <v>1.7555555555555555</v>
      </c>
    </row>
    <row r="51" spans="1:12" x14ac:dyDescent="0.2">
      <c r="A51" s="238" t="s">
        <v>21</v>
      </c>
      <c r="B51" s="143">
        <v>51.139553166513949</v>
      </c>
      <c r="C51" s="143">
        <v>6.2343136484032202</v>
      </c>
      <c r="D51" s="148">
        <v>0.37169544052721115</v>
      </c>
      <c r="L51"/>
    </row>
    <row r="52" spans="1:12" x14ac:dyDescent="0.2">
      <c r="A52" s="238" t="s">
        <v>84</v>
      </c>
      <c r="B52" s="143" t="e">
        <v>#DIV/0!</v>
      </c>
      <c r="C52" s="143">
        <v>2.0575065816014622</v>
      </c>
      <c r="D52" s="148">
        <v>0.64275132275132285</v>
      </c>
    </row>
    <row r="53" spans="1:12" x14ac:dyDescent="0.2">
      <c r="A53" s="238" t="s">
        <v>71</v>
      </c>
      <c r="B53" s="143">
        <v>26.060694490825011</v>
      </c>
      <c r="C53" s="143">
        <v>4.6007245806140871</v>
      </c>
      <c r="D53" s="148">
        <v>0.22091521562823305</v>
      </c>
    </row>
    <row r="54" spans="1:12" x14ac:dyDescent="0.2">
      <c r="A54" s="238" t="s">
        <v>76</v>
      </c>
      <c r="B54" s="143">
        <v>74.811822708881536</v>
      </c>
      <c r="C54" s="143">
        <v>4.4083254568297621</v>
      </c>
      <c r="D54" s="148">
        <v>0.45434244022995313</v>
      </c>
    </row>
    <row r="55" spans="1:12" x14ac:dyDescent="0.2">
      <c r="A55" s="238" t="s">
        <v>74</v>
      </c>
      <c r="B55" s="143">
        <v>36.416747746814231</v>
      </c>
      <c r="C55" s="143">
        <v>12.370664223611168</v>
      </c>
      <c r="D55" s="148">
        <v>0.37693750950803151</v>
      </c>
    </row>
    <row r="56" spans="1:12" x14ac:dyDescent="0.2">
      <c r="A56" s="238" t="s">
        <v>106</v>
      </c>
      <c r="B56" s="143" t="e">
        <v>#DIV/0!</v>
      </c>
      <c r="C56" s="143">
        <v>5.1510516725551625</v>
      </c>
      <c r="D56" s="148">
        <v>0.72401230348598777</v>
      </c>
    </row>
    <row r="57" spans="1:12" x14ac:dyDescent="0.2">
      <c r="A57" s="238" t="s">
        <v>107</v>
      </c>
      <c r="B57" s="143" t="e">
        <v>#DIV/0!</v>
      </c>
      <c r="C57" s="143">
        <v>2.7202941017470885</v>
      </c>
      <c r="D57" s="148">
        <v>0.84144300144300144</v>
      </c>
    </row>
    <row r="58" spans="1:12" x14ac:dyDescent="0.2">
      <c r="A58" s="238" t="s">
        <v>77</v>
      </c>
      <c r="B58" s="143">
        <v>30.181535131535124</v>
      </c>
      <c r="C58" s="143">
        <v>6.1182786250164618</v>
      </c>
      <c r="D58" s="148">
        <v>0.34063601538028404</v>
      </c>
    </row>
    <row r="59" spans="1:12" x14ac:dyDescent="0.2">
      <c r="A59" s="238" t="s">
        <v>91</v>
      </c>
      <c r="B59" s="143" t="e">
        <v>#DIV/0!</v>
      </c>
      <c r="C59" s="143">
        <v>3.0983866769659336</v>
      </c>
      <c r="D59" s="148">
        <v>0.79991172226466334</v>
      </c>
    </row>
    <row r="60" spans="1:12" x14ac:dyDescent="0.2">
      <c r="A60" s="238" t="s">
        <v>69</v>
      </c>
      <c r="B60" s="143" t="e">
        <v>#DIV/0!</v>
      </c>
      <c r="C60" s="143">
        <v>4.2583251793790167</v>
      </c>
      <c r="D60" s="148">
        <v>0.76059757236227832</v>
      </c>
    </row>
    <row r="61" spans="1:12" x14ac:dyDescent="0.2">
      <c r="A61" s="238" t="s">
        <v>67</v>
      </c>
      <c r="B61" s="143" t="e">
        <v>#DIV/0!</v>
      </c>
      <c r="C61" s="143">
        <v>1.9832633040858021</v>
      </c>
      <c r="D61" s="148">
        <v>0.59839345839345826</v>
      </c>
    </row>
    <row r="62" spans="1:12" x14ac:dyDescent="0.2">
      <c r="A62" s="238" t="s">
        <v>88</v>
      </c>
      <c r="B62" s="143" t="e">
        <v>#DIV/0!</v>
      </c>
      <c r="C62" s="143">
        <v>2.2730302828309759</v>
      </c>
      <c r="D62" s="148">
        <v>0.98168350168350171</v>
      </c>
    </row>
    <row r="63" spans="1:12" x14ac:dyDescent="0.2">
      <c r="A63" s="238" t="s">
        <v>80</v>
      </c>
      <c r="B63" s="143" t="e">
        <v>#DIV/0!</v>
      </c>
      <c r="C63" s="143">
        <v>2.1213203435596424</v>
      </c>
      <c r="D63" s="148">
        <v>0.75238095238095259</v>
      </c>
    </row>
    <row r="64" spans="1:12" x14ac:dyDescent="0.2">
      <c r="A64" s="238" t="s">
        <v>92</v>
      </c>
      <c r="B64" s="143" t="e">
        <v>#DIV/0!</v>
      </c>
      <c r="C64" s="143">
        <v>0.96609178307929588</v>
      </c>
      <c r="D64" s="148">
        <v>1.5888888888888888</v>
      </c>
    </row>
    <row r="65" spans="1:4" x14ac:dyDescent="0.2">
      <c r="A65" s="238" t="s">
        <v>82</v>
      </c>
      <c r="B65" s="143" t="e">
        <v>#DIV/0!</v>
      </c>
      <c r="C65" s="143">
        <v>1.8073922282301278</v>
      </c>
      <c r="D65" s="148">
        <v>0.70444444444444443</v>
      </c>
    </row>
    <row r="66" spans="1:4" x14ac:dyDescent="0.2">
      <c r="A66" s="238" t="s">
        <v>65</v>
      </c>
      <c r="B66" s="143">
        <v>125.02453102453099</v>
      </c>
      <c r="C66" s="143">
        <v>2.8047578623950171</v>
      </c>
      <c r="D66" s="148">
        <v>0.6261936211936211</v>
      </c>
    </row>
    <row r="67" spans="1:4" x14ac:dyDescent="0.2">
      <c r="A67" s="238" t="s">
        <v>112</v>
      </c>
      <c r="B67" s="143">
        <v>50.173527281112413</v>
      </c>
      <c r="C67" s="143">
        <v>5.8395205282625735</v>
      </c>
      <c r="D67" s="148">
        <v>0.43251516635150661</v>
      </c>
    </row>
    <row r="68" spans="1:4" x14ac:dyDescent="0.2">
      <c r="A68" s="238" t="s">
        <v>114</v>
      </c>
      <c r="B68" s="143" t="e">
        <v>#DIV/0!</v>
      </c>
      <c r="C68" s="143">
        <v>1.390443574307614</v>
      </c>
      <c r="D68" s="148">
        <v>1.5698412698412698</v>
      </c>
    </row>
    <row r="69" spans="1:4" x14ac:dyDescent="0.2">
      <c r="A69" s="238" t="s">
        <v>117</v>
      </c>
      <c r="B69" s="143" t="e">
        <v>#DIV/0!</v>
      </c>
      <c r="C69" s="143">
        <v>1.9748417658131499</v>
      </c>
      <c r="D69" s="148">
        <v>1.1196825396825396</v>
      </c>
    </row>
    <row r="70" spans="1:4" x14ac:dyDescent="0.2">
      <c r="A70" s="238" t="s">
        <v>86</v>
      </c>
      <c r="B70" s="143" t="e">
        <v>#DIV/0!</v>
      </c>
      <c r="C70" s="143">
        <v>1.2247448713915889</v>
      </c>
      <c r="D70" s="148">
        <v>1.5111111111111108</v>
      </c>
    </row>
    <row r="71" spans="1:4" x14ac:dyDescent="0.2">
      <c r="A71" s="239" t="s">
        <v>119</v>
      </c>
      <c r="B71" s="240" t="e">
        <v>#DIV/0!</v>
      </c>
      <c r="C71" s="240">
        <v>0.96609178307929588</v>
      </c>
      <c r="D71" s="241">
        <v>0.85111111111111115</v>
      </c>
    </row>
    <row r="72" spans="1:4" x14ac:dyDescent="0.2">
      <c r="A72" s="242" t="s">
        <v>181</v>
      </c>
      <c r="B72" s="243" t="e">
        <f>AVERAGE(B49:B71)</f>
        <v>#DIV/0!</v>
      </c>
      <c r="C72" s="244">
        <f t="shared" ref="C72:D72" si="69">AVERAGE(C49:C71)</f>
        <v>4.27749804166044</v>
      </c>
      <c r="D72" s="245">
        <f t="shared" si="69"/>
        <v>0.80943302060839528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E446-DE6E-3944-A9A5-28C7D01BF39F}">
  <dimension ref="A1:BJ75"/>
  <sheetViews>
    <sheetView topLeftCell="AI1" zoomScale="90" zoomScaleNormal="90" workbookViewId="0">
      <selection activeCell="BL27" sqref="BL27"/>
    </sheetView>
  </sheetViews>
  <sheetFormatPr baseColWidth="10" defaultColWidth="10.83203125" defaultRowHeight="21" x14ac:dyDescent="0.2"/>
  <cols>
    <col min="1" max="1" width="7.83203125" style="3" bestFit="1" customWidth="1"/>
    <col min="2" max="4" width="7.83203125" style="3" customWidth="1"/>
    <col min="5" max="5" width="11.83203125" style="3" customWidth="1"/>
    <col min="6" max="7" width="8.83203125" style="3" customWidth="1"/>
    <col min="8" max="8" width="5.5" style="3" bestFit="1" customWidth="1"/>
    <col min="9" max="9" width="14.83203125" style="3" customWidth="1"/>
    <col min="10" max="10" width="11.83203125" style="3" customWidth="1"/>
    <col min="11" max="32" width="8.83203125" style="3" customWidth="1"/>
    <col min="33" max="33" width="18.33203125" style="3" customWidth="1"/>
    <col min="34" max="34" width="10" style="2" customWidth="1"/>
    <col min="35" max="57" width="7.83203125" style="3" customWidth="1"/>
    <col min="58" max="59" width="11" style="3" bestFit="1" customWidth="1"/>
    <col min="60" max="60" width="15.5" style="3" bestFit="1" customWidth="1"/>
    <col min="61" max="61" width="11.1640625" style="3" bestFit="1" customWidth="1"/>
    <col min="62" max="16384" width="10.83203125" style="3"/>
  </cols>
  <sheetData>
    <row r="1" spans="1:61" ht="42" x14ac:dyDescent="0.45">
      <c r="A1" s="56" t="s">
        <v>45</v>
      </c>
      <c r="B1" s="57">
        <v>1</v>
      </c>
      <c r="C1" s="42"/>
      <c r="D1" s="42"/>
      <c r="E1" s="42"/>
      <c r="F1" s="42"/>
      <c r="G1" s="42"/>
      <c r="H1" s="58"/>
      <c r="I1" s="82" t="s">
        <v>24</v>
      </c>
      <c r="J1" s="83" t="s">
        <v>102</v>
      </c>
      <c r="K1" s="83" t="s">
        <v>62</v>
      </c>
      <c r="L1" s="83" t="s">
        <v>21</v>
      </c>
      <c r="M1" s="83" t="s">
        <v>84</v>
      </c>
      <c r="N1" s="83" t="s">
        <v>71</v>
      </c>
      <c r="O1" s="83" t="s">
        <v>76</v>
      </c>
      <c r="P1" s="83" t="s">
        <v>74</v>
      </c>
      <c r="Q1" s="83" t="s">
        <v>106</v>
      </c>
      <c r="R1" s="83" t="s">
        <v>107</v>
      </c>
      <c r="S1" s="83" t="s">
        <v>77</v>
      </c>
      <c r="T1" s="83" t="s">
        <v>91</v>
      </c>
      <c r="U1" s="83" t="s">
        <v>69</v>
      </c>
      <c r="V1" s="83" t="s">
        <v>67</v>
      </c>
      <c r="W1" s="83" t="s">
        <v>88</v>
      </c>
      <c r="X1" s="83" t="s">
        <v>80</v>
      </c>
      <c r="Y1" s="83" t="s">
        <v>92</v>
      </c>
      <c r="Z1" s="83" t="s">
        <v>82</v>
      </c>
      <c r="AA1" s="83" t="s">
        <v>65</v>
      </c>
      <c r="AB1" s="84" t="s">
        <v>112</v>
      </c>
      <c r="AC1" s="85" t="s">
        <v>114</v>
      </c>
      <c r="AD1" s="85" t="s">
        <v>117</v>
      </c>
      <c r="AE1" s="83" t="s">
        <v>86</v>
      </c>
      <c r="AF1" s="83" t="s">
        <v>119</v>
      </c>
      <c r="AG1" s="1"/>
      <c r="BF1" s="3" t="s">
        <v>43</v>
      </c>
      <c r="BG1" s="3">
        <v>0.5</v>
      </c>
    </row>
    <row r="2" spans="1:61" x14ac:dyDescent="0.2">
      <c r="A2" s="435" t="s">
        <v>96</v>
      </c>
      <c r="B2" s="436"/>
      <c r="C2" s="436"/>
      <c r="D2" s="437"/>
      <c r="E2" s="281" t="s">
        <v>98</v>
      </c>
      <c r="F2" s="436" t="s">
        <v>100</v>
      </c>
      <c r="G2" s="437"/>
      <c r="H2" s="58"/>
      <c r="I2" s="62" t="s">
        <v>1</v>
      </c>
      <c r="J2" s="262">
        <f>_xlfn.XLOOKUP($B$1,daily_demand!$E$1:$AH$1,daily_demand!$E$2:$AH$2)</f>
        <v>47</v>
      </c>
      <c r="K2" s="262">
        <f>_xlfn.XLOOKUP($B$1,daily_demand!$E$1:$AH$1,daily_demand!$E$3:$AH$3)</f>
        <v>1</v>
      </c>
      <c r="L2" s="263">
        <f>_xlfn.XLOOKUP($B$1,daily_demand!$E$1:$AH$1,daily_demand!$E$4:$AH$4)</f>
        <v>17</v>
      </c>
      <c r="M2" s="262">
        <f>_xlfn.XLOOKUP($B$1,daily_demand!$E$1:$AH$1,daily_demand!$E$5:$AH$5)</f>
        <v>2</v>
      </c>
      <c r="N2" s="262">
        <f>_xlfn.XLOOKUP($B$1,daily_demand!$E$1:$AH$1,daily_demand!$E$6:$AH$6)</f>
        <v>19</v>
      </c>
      <c r="O2" s="262">
        <f>_xlfn.XLOOKUP($B$1,daily_demand!$E$1:$AH$1,daily_demand!$E$7:$AH$7)</f>
        <v>10</v>
      </c>
      <c r="P2" s="262">
        <f>_xlfn.XLOOKUP($B$1,daily_demand!$E$1:$AH$1,daily_demand!$E$8:$AH$8)</f>
        <v>23</v>
      </c>
      <c r="Q2" s="262">
        <f>_xlfn.XLOOKUP($B$1,daily_demand!$E$1:$AH$1,daily_demand!$E$9:$AH$9)</f>
        <v>3</v>
      </c>
      <c r="R2" s="262">
        <f>_xlfn.XLOOKUP($B$1,daily_demand!$E$1:$AH$1,daily_demand!$E$10:$AH$10)</f>
        <v>4</v>
      </c>
      <c r="S2" s="262" cm="1">
        <f t="array" ref="S2">_xlfn.XLOOKUP($B$1,daily_demand!$E$1:$AH$1,daily_demand!$E11:$AH$11)</f>
        <v>9</v>
      </c>
      <c r="T2" s="262">
        <f>_xlfn.XLOOKUP($B$1,daily_demand!$E$1:$AH$1,daily_demand!$E$12:$AH$12)</f>
        <v>4</v>
      </c>
      <c r="U2" s="262">
        <f>_xlfn.XLOOKUP($B$1,daily_demand!$E$1:$AH$1,daily_demand!$E$13:$AH$13)</f>
        <v>3</v>
      </c>
      <c r="V2" s="262">
        <f>_xlfn.XLOOKUP($B$1,daily_demand!$E$1:$AH$1,daily_demand!$E$14:$AH$14)</f>
        <v>4</v>
      </c>
      <c r="W2" s="262">
        <f>_xlfn.XLOOKUP($B$1,daily_demand!$E$1:$AH$1,daily_demand!$E$15:$AH$15)</f>
        <v>2</v>
      </c>
      <c r="X2" s="262">
        <f>_xlfn.XLOOKUP($B$1,daily_demand!$E$1:$AH$1,daily_demand!$E$16:$AH$16)</f>
        <v>3</v>
      </c>
      <c r="Y2" s="262">
        <f>_xlfn.XLOOKUP($B$1,daily_demand!$E$1:$AH$1,daily_demand!$E$17:$AH$17)</f>
        <v>1</v>
      </c>
      <c r="Z2" s="262">
        <f>_xlfn.XLOOKUP($B$1,daily_demand!$E$1:$AH$1,daily_demand!$E$18:$AH$18)</f>
        <v>1</v>
      </c>
      <c r="AA2" s="262">
        <f>_xlfn.XLOOKUP($B$1,daily_demand!$E$1:$AH$1,daily_demand!$E$19:$AH$19)</f>
        <v>5</v>
      </c>
      <c r="AB2" s="262">
        <f>_xlfn.XLOOKUP($B$1,daily_demand!$E$1:$AH$1,daily_demand!$E$20:$AH$20)</f>
        <v>8</v>
      </c>
      <c r="AC2" s="262">
        <f>_xlfn.XLOOKUP($B$1,daily_demand!$E$1:$AH$1,daily_demand!$E$21:$AH$21)</f>
        <v>1</v>
      </c>
      <c r="AD2" s="262">
        <f>_xlfn.XLOOKUP($B$1,daily_demand!$E$1:$AH$1,daily_demand!$E$22:$AH$22)</f>
        <v>2</v>
      </c>
      <c r="AE2" s="262">
        <f>_xlfn.XLOOKUP($B$1,daily_demand!$E$1:$AH$1,daily_demand!$E$23:$AH$23)</f>
        <v>1</v>
      </c>
      <c r="AF2" s="262">
        <f>_xlfn.XLOOKUP($B$1,daily_demand!$E$1:$AH$1,daily_demand!$E$24:$AH$24)</f>
        <v>1</v>
      </c>
      <c r="AH2" s="438" t="s">
        <v>133</v>
      </c>
      <c r="AI2" s="431" t="s">
        <v>102</v>
      </c>
      <c r="AJ2" s="431" t="s">
        <v>62</v>
      </c>
      <c r="AK2" s="431" t="s">
        <v>21</v>
      </c>
      <c r="AL2" s="431" t="s">
        <v>84</v>
      </c>
      <c r="AM2" s="431" t="s">
        <v>71</v>
      </c>
      <c r="AN2" s="431" t="s">
        <v>76</v>
      </c>
      <c r="AO2" s="431" t="s">
        <v>74</v>
      </c>
      <c r="AP2" s="431" t="s">
        <v>106</v>
      </c>
      <c r="AQ2" s="431" t="s">
        <v>107</v>
      </c>
      <c r="AR2" s="431" t="s">
        <v>77</v>
      </c>
      <c r="AS2" s="431" t="s">
        <v>91</v>
      </c>
      <c r="AT2" s="431" t="s">
        <v>69</v>
      </c>
      <c r="AU2" s="431" t="s">
        <v>67</v>
      </c>
      <c r="AV2" s="431" t="s">
        <v>88</v>
      </c>
      <c r="AW2" s="431" t="s">
        <v>80</v>
      </c>
      <c r="AX2" s="431" t="s">
        <v>92</v>
      </c>
      <c r="AY2" s="431" t="s">
        <v>82</v>
      </c>
      <c r="AZ2" s="431" t="s">
        <v>65</v>
      </c>
      <c r="BA2" s="431" t="s">
        <v>112</v>
      </c>
      <c r="BB2" s="431" t="s">
        <v>114</v>
      </c>
      <c r="BC2" s="431" t="s">
        <v>117</v>
      </c>
      <c r="BD2" s="431" t="s">
        <v>86</v>
      </c>
      <c r="BE2" s="431" t="s">
        <v>119</v>
      </c>
      <c r="BF2" s="48"/>
      <c r="BG2" s="80"/>
      <c r="BH2" s="81" t="s">
        <v>40</v>
      </c>
    </row>
    <row r="3" spans="1:61" ht="21" customHeight="1" x14ac:dyDescent="0.2">
      <c r="A3" s="279" t="s">
        <v>23</v>
      </c>
      <c r="B3" s="43" t="s">
        <v>15</v>
      </c>
      <c r="C3" s="280" t="s">
        <v>95</v>
      </c>
      <c r="D3" s="281" t="s">
        <v>97</v>
      </c>
      <c r="E3" s="281" t="s">
        <v>123</v>
      </c>
      <c r="F3" s="280" t="s">
        <v>99</v>
      </c>
      <c r="G3" s="281" t="s">
        <v>101</v>
      </c>
      <c r="H3" s="297"/>
      <c r="I3" s="296" t="s">
        <v>127</v>
      </c>
      <c r="J3" s="63" t="str">
        <f>_xlfn.XLOOKUP(J1,daily_demand!$B$2:$B$24,daily_demand!$AI$2:$AI$24)</f>
        <v>19.81</v>
      </c>
      <c r="K3" s="63" t="str">
        <f>_xlfn.XLOOKUP(K1,daily_demand!$B$2:$B$24,daily_demand!$AI$2:$AI$24)</f>
        <v>0.84</v>
      </c>
      <c r="L3" s="63" t="str">
        <f>_xlfn.XLOOKUP(L1,daily_demand!$B$2:$B$24,daily_demand!$AI$2:$AI$24)</f>
        <v>7.25</v>
      </c>
      <c r="M3" s="63" t="str">
        <f>_xlfn.XLOOKUP(M1,daily_demand!$B$2:$B$24,daily_demand!$AI$2:$AI$24)</f>
        <v>3.22</v>
      </c>
      <c r="N3" s="63" t="str">
        <f>_xlfn.XLOOKUP(N1,daily_demand!$B$2:$B$24,daily_demand!$AI$2:$AI$24)</f>
        <v>12.45</v>
      </c>
      <c r="O3" s="63" t="str">
        <f>_xlfn.XLOOKUP(O1,daily_demand!$B$2:$B$24,daily_demand!$AI$2:$AI$24)</f>
        <v>4.80</v>
      </c>
      <c r="P3" s="63" t="str">
        <f>_xlfn.XLOOKUP(P1,daily_demand!$B$2:$B$24,daily_demand!$AI$2:$AI$24)</f>
        <v>15.60</v>
      </c>
      <c r="Q3" s="63" t="str">
        <f>_xlfn.XLOOKUP(Q1,daily_demand!$B$2:$B$24,daily_demand!$AI$2:$AI$24)</f>
        <v>9.22</v>
      </c>
      <c r="R3" s="63" t="str">
        <f>_xlfn.XLOOKUP(R1,daily_demand!$B$2:$B$24,daily_demand!$AI$2:$AI$24)</f>
        <v>2.89</v>
      </c>
      <c r="S3" s="63" t="str">
        <f>_xlfn.XLOOKUP(S1,daily_demand!$B$2:$B$24,daily_demand!$AI$2:$AI$24)</f>
        <v>8.55</v>
      </c>
      <c r="T3" s="63" t="str">
        <f>_xlfn.XLOOKUP(T1,daily_demand!$B$2:$B$24,daily_demand!$AI$2:$AI$24)</f>
        <v>3.36</v>
      </c>
      <c r="U3" s="63" t="str">
        <f>_xlfn.XLOOKUP(U1,daily_demand!$B$2:$B$24,daily_demand!$AI$2:$AI$24)</f>
        <v>7.89</v>
      </c>
      <c r="V3" s="63" t="str">
        <f>_xlfn.XLOOKUP(V1,daily_demand!$B$2:$B$24,daily_demand!$AI$2:$AI$24)</f>
        <v>6.29</v>
      </c>
      <c r="W3" s="63" t="str">
        <f>_xlfn.XLOOKUP(W1,daily_demand!$B$2:$B$24,daily_demand!$AI$2:$AI$24)</f>
        <v>3.07</v>
      </c>
      <c r="X3" s="63" t="str">
        <f>_xlfn.XLOOKUP(X1,daily_demand!$B$2:$B$24,daily_demand!$AI$2:$AI$24)</f>
        <v>1.97</v>
      </c>
      <c r="Y3" s="63" t="str">
        <f>_xlfn.XLOOKUP(Y1,daily_demand!$B$2:$B$24,daily_demand!$AI$2:$AI$24)</f>
        <v>1.42</v>
      </c>
      <c r="Z3" s="63" t="str">
        <f>_xlfn.XLOOKUP(Z1,daily_demand!$B$2:$B$24,daily_demand!$AI$2:$AI$24)</f>
        <v>1.55</v>
      </c>
      <c r="AA3" s="63" t="str">
        <f>_xlfn.XLOOKUP(AA1,daily_demand!$B$2:$B$24,daily_demand!$AI$2:$AI$24)</f>
        <v>3.44</v>
      </c>
      <c r="AB3" s="63" t="str">
        <f>_xlfn.XLOOKUP(AB1,daily_demand!$B$2:$B$24,daily_demand!$AI$2:$AI$24)</f>
        <v>7.77</v>
      </c>
      <c r="AC3" s="63" t="str">
        <f>_xlfn.XLOOKUP(AC1,daily_demand!$B$2:$B$24,daily_demand!$AI$2:$AI$24)</f>
        <v>1.56</v>
      </c>
      <c r="AD3" s="63" t="str">
        <f>_xlfn.XLOOKUP(AD1,daily_demand!$B$2:$B$24,daily_demand!$AI$2:$AI$24)</f>
        <v>1.21</v>
      </c>
      <c r="AE3" s="63" t="str">
        <f>_xlfn.XLOOKUP(AE1,daily_demand!$B$2:$B$24,daily_demand!$AI$2:$AI$24)</f>
        <v>2.07</v>
      </c>
      <c r="AF3" s="63" t="str">
        <f>_xlfn.XLOOKUP(AF1,daily_demand!$B$2:$B$24,daily_demand!$AI$2:$AI$24)</f>
        <v>1.19</v>
      </c>
      <c r="AG3" s="60"/>
      <c r="AH3" s="439"/>
      <c r="AI3" s="431" t="s">
        <v>102</v>
      </c>
      <c r="AJ3" s="431" t="s">
        <v>62</v>
      </c>
      <c r="AK3" s="431" t="s">
        <v>21</v>
      </c>
      <c r="AL3" s="431" t="s">
        <v>84</v>
      </c>
      <c r="AM3" s="431" t="s">
        <v>71</v>
      </c>
      <c r="AN3" s="431" t="s">
        <v>76</v>
      </c>
      <c r="AO3" s="431" t="s">
        <v>74</v>
      </c>
      <c r="AP3" s="431" t="s">
        <v>106</v>
      </c>
      <c r="AQ3" s="431" t="s">
        <v>107</v>
      </c>
      <c r="AR3" s="431" t="s">
        <v>77</v>
      </c>
      <c r="AS3" s="431" t="s">
        <v>91</v>
      </c>
      <c r="AT3" s="431" t="s">
        <v>69</v>
      </c>
      <c r="AU3" s="431" t="s">
        <v>67</v>
      </c>
      <c r="AV3" s="431" t="s">
        <v>88</v>
      </c>
      <c r="AW3" s="431" t="s">
        <v>80</v>
      </c>
      <c r="AX3" s="431" t="s">
        <v>92</v>
      </c>
      <c r="AY3" s="431" t="s">
        <v>82</v>
      </c>
      <c r="AZ3" s="431" t="s">
        <v>65</v>
      </c>
      <c r="BA3" s="431" t="s">
        <v>112</v>
      </c>
      <c r="BB3" s="431" t="s">
        <v>114</v>
      </c>
      <c r="BC3" s="431" t="s">
        <v>117</v>
      </c>
      <c r="BD3" s="431" t="s">
        <v>86</v>
      </c>
      <c r="BE3" s="431" t="s">
        <v>119</v>
      </c>
      <c r="BF3" s="46" t="s">
        <v>39</v>
      </c>
      <c r="BG3" s="55" t="s">
        <v>41</v>
      </c>
      <c r="BH3" s="47" t="s">
        <v>128</v>
      </c>
      <c r="BI3" s="38" t="s">
        <v>129</v>
      </c>
    </row>
    <row r="4" spans="1:61" ht="21" customHeight="1" x14ac:dyDescent="0.2">
      <c r="A4" s="286" t="s">
        <v>18</v>
      </c>
      <c r="B4" s="295">
        <f>_xlfn.XLOOKUP($B$1,cost!$A$16:$A$45,cost!$B$16:$B$45)</f>
        <v>125</v>
      </c>
      <c r="C4" s="7">
        <f>B4*0.02</f>
        <v>2.5</v>
      </c>
      <c r="D4" s="61">
        <v>10</v>
      </c>
      <c r="E4" s="61" t="e">
        <f>_xlfn.XLOOKUP(A4,cost!$V$3:$V$20, cost!$W$3:$W$20)</f>
        <v>#N/A</v>
      </c>
      <c r="F4" s="7">
        <f>_xlfn.XLOOKUP($B$1,order!$A$3:$A$32,order!$B$3:$B$32)</f>
        <v>1</v>
      </c>
      <c r="G4" s="311">
        <v>10</v>
      </c>
      <c r="H4" s="298"/>
      <c r="I4" s="291" t="s">
        <v>18</v>
      </c>
      <c r="J4" s="261">
        <v>0.03</v>
      </c>
      <c r="K4" s="261">
        <v>0.03</v>
      </c>
      <c r="L4" s="261">
        <v>0</v>
      </c>
      <c r="M4" s="261">
        <v>0</v>
      </c>
      <c r="N4" s="261">
        <v>0</v>
      </c>
      <c r="O4" s="261">
        <v>0</v>
      </c>
      <c r="P4" s="261">
        <v>0.03</v>
      </c>
      <c r="Q4" s="261">
        <v>0</v>
      </c>
      <c r="R4" s="261">
        <v>0</v>
      </c>
      <c r="S4" s="261">
        <v>0</v>
      </c>
      <c r="T4" s="261">
        <v>0</v>
      </c>
      <c r="U4" s="261">
        <v>0</v>
      </c>
      <c r="V4" s="261">
        <v>0.08</v>
      </c>
      <c r="W4" s="261">
        <v>0</v>
      </c>
      <c r="X4" s="261">
        <v>0</v>
      </c>
      <c r="Y4" s="261">
        <v>0.04</v>
      </c>
      <c r="Z4" s="261">
        <v>0</v>
      </c>
      <c r="AA4" s="261">
        <v>0</v>
      </c>
      <c r="AB4" s="261">
        <v>0</v>
      </c>
      <c r="AC4" s="261">
        <v>0</v>
      </c>
      <c r="AD4" s="261">
        <v>0</v>
      </c>
      <c r="AE4" s="261">
        <v>0</v>
      </c>
      <c r="AF4" s="261">
        <v>0.04</v>
      </c>
      <c r="AG4" s="5"/>
      <c r="AH4" s="53" t="s">
        <v>18</v>
      </c>
      <c r="AI4" s="45">
        <f t="shared" ref="AI4:AI18" si="0">J4*J$28</f>
        <v>2.0846077823952207</v>
      </c>
      <c r="AJ4" s="45">
        <f t="shared" ref="AJ4:AJ18" si="1">K4*K$28</f>
        <v>4.1745744811561E-2</v>
      </c>
      <c r="AK4" s="45">
        <f t="shared" ref="AK4:AK18" si="2">L4*L$28</f>
        <v>0</v>
      </c>
      <c r="AL4" s="45">
        <f t="shared" ref="AL4:AL18" si="3">M4*M$28</f>
        <v>0</v>
      </c>
      <c r="AM4" s="45">
        <f t="shared" ref="AM4:AM18" si="4">N4*N$28</f>
        <v>0</v>
      </c>
      <c r="AN4" s="45">
        <f t="shared" ref="AN4:AN18" si="5">O4*O$28</f>
        <v>0</v>
      </c>
      <c r="AO4" s="45">
        <f t="shared" ref="AO4:AO18" si="6">P4*P$28</f>
        <v>1.1548193398390549</v>
      </c>
      <c r="AP4" s="45">
        <f t="shared" ref="AP4:AP18" si="7">Q4*Q$28</f>
        <v>0</v>
      </c>
      <c r="AQ4" s="45">
        <f t="shared" ref="AQ4:AQ18" si="8">R4*R$28</f>
        <v>0</v>
      </c>
      <c r="AR4" s="45">
        <f t="shared" ref="AR4:AR18" si="9">S4*S$28</f>
        <v>0</v>
      </c>
      <c r="AS4" s="45">
        <f t="shared" ref="AS4:AS18" si="10">T4*T$28</f>
        <v>0</v>
      </c>
      <c r="AT4" s="45">
        <f t="shared" ref="AT4:AT18" si="11">U4*U$28</f>
        <v>0</v>
      </c>
      <c r="AU4" s="45">
        <f t="shared" ref="AU4:AU18" si="12">V4*V$28</f>
        <v>0.57298155137701845</v>
      </c>
      <c r="AV4" s="45">
        <f t="shared" ref="AV4:AV18" si="13">W4*W$28</f>
        <v>0</v>
      </c>
      <c r="AW4" s="45">
        <f t="shared" ref="AW4:AW18" si="14">X4*X$28</f>
        <v>0</v>
      </c>
      <c r="AX4" s="45">
        <f t="shared" ref="AX4:AX18" si="15">Y4*Y$28</f>
        <v>5.9321999249914374E-2</v>
      </c>
      <c r="AY4" s="45">
        <f t="shared" ref="AY4:AY18" si="16">Z4*Z$28</f>
        <v>0</v>
      </c>
      <c r="AZ4" s="45">
        <f t="shared" ref="AZ4:AZ18" si="17">AA4*AA$28</f>
        <v>0</v>
      </c>
      <c r="BA4" s="45">
        <f t="shared" ref="BA4:BA18" si="18">AB4*AB$28</f>
        <v>0</v>
      </c>
      <c r="BB4" s="45">
        <f t="shared" ref="BB4:BB18" si="19">AC4*AC$28</f>
        <v>0</v>
      </c>
      <c r="BC4" s="45">
        <f t="shared" ref="BC4:BC18" si="20">AD4*AD$28</f>
        <v>0</v>
      </c>
      <c r="BD4" s="45">
        <f t="shared" ref="BD4:BD18" si="21">AE4*AE$28</f>
        <v>0</v>
      </c>
      <c r="BE4" s="45">
        <f t="shared" ref="BE4:BE18" si="22">AF4*AF$28</f>
        <v>8.4685250390056199E-2</v>
      </c>
      <c r="BF4" s="44">
        <f>SUM(AI4:BE4)</f>
        <v>3.9981616680628256</v>
      </c>
      <c r="BG4" s="54">
        <f>ROUNDUP(BF4*2, 0)</f>
        <v>8</v>
      </c>
      <c r="BH4" s="86">
        <f>CEILING($BG$1*BG4, 0.5)</f>
        <v>4</v>
      </c>
    </row>
    <row r="5" spans="1:61" ht="24" x14ac:dyDescent="0.2">
      <c r="A5" s="286" t="s">
        <v>19</v>
      </c>
      <c r="B5" s="295">
        <f>_xlfn.XLOOKUP($B$1,cost!$A$16:$A$45,cost!$C$16:$C$45)</f>
        <v>95</v>
      </c>
      <c r="C5" s="7">
        <f>B5*0.02</f>
        <v>1.9000000000000001</v>
      </c>
      <c r="D5" s="61">
        <v>10</v>
      </c>
      <c r="E5" s="61" t="e">
        <f>_xlfn.XLOOKUP(A5,cost!$V$3:$V$20, cost!$W$3:$W$20)</f>
        <v>#N/A</v>
      </c>
      <c r="F5" s="7">
        <f>_xlfn.XLOOKUP($B$1,order!$A$3:$A$32,order!$C$3:$C$32)</f>
        <v>1</v>
      </c>
      <c r="G5" s="311">
        <v>10</v>
      </c>
      <c r="H5" s="298"/>
      <c r="I5" s="61" t="s">
        <v>19</v>
      </c>
      <c r="J5" s="4">
        <v>0.03</v>
      </c>
      <c r="K5" s="4">
        <v>0.04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0.04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0.05</v>
      </c>
      <c r="AG5" s="5"/>
      <c r="AH5" s="53" t="s">
        <v>19</v>
      </c>
      <c r="AI5" s="45">
        <f t="shared" si="0"/>
        <v>2.0846077823952207</v>
      </c>
      <c r="AJ5" s="45">
        <f t="shared" si="1"/>
        <v>5.5660993082081341E-2</v>
      </c>
      <c r="AK5" s="45">
        <f t="shared" si="2"/>
        <v>0</v>
      </c>
      <c r="AL5" s="45">
        <f t="shared" si="3"/>
        <v>0</v>
      </c>
      <c r="AM5" s="45">
        <f t="shared" si="4"/>
        <v>0</v>
      </c>
      <c r="AN5" s="45">
        <f t="shared" si="5"/>
        <v>0</v>
      </c>
      <c r="AO5" s="45">
        <f t="shared" si="6"/>
        <v>0</v>
      </c>
      <c r="AP5" s="45">
        <f t="shared" si="7"/>
        <v>0</v>
      </c>
      <c r="AQ5" s="45">
        <f t="shared" si="8"/>
        <v>0</v>
      </c>
      <c r="AR5" s="45">
        <f t="shared" si="9"/>
        <v>0</v>
      </c>
      <c r="AS5" s="45">
        <f t="shared" si="10"/>
        <v>0</v>
      </c>
      <c r="AT5" s="45">
        <f t="shared" si="11"/>
        <v>0</v>
      </c>
      <c r="AU5" s="45">
        <f t="shared" si="12"/>
        <v>0</v>
      </c>
      <c r="AV5" s="45">
        <f t="shared" si="13"/>
        <v>0</v>
      </c>
      <c r="AW5" s="45">
        <f t="shared" si="14"/>
        <v>0</v>
      </c>
      <c r="AX5" s="45">
        <f t="shared" si="15"/>
        <v>5.9321999249914374E-2</v>
      </c>
      <c r="AY5" s="45">
        <f t="shared" si="16"/>
        <v>0</v>
      </c>
      <c r="AZ5" s="45">
        <f t="shared" si="17"/>
        <v>0</v>
      </c>
      <c r="BA5" s="45">
        <f t="shared" si="18"/>
        <v>0</v>
      </c>
      <c r="BB5" s="45">
        <f t="shared" si="19"/>
        <v>0</v>
      </c>
      <c r="BC5" s="45">
        <f t="shared" si="20"/>
        <v>0</v>
      </c>
      <c r="BD5" s="45">
        <f t="shared" si="21"/>
        <v>0</v>
      </c>
      <c r="BE5" s="45">
        <f t="shared" si="22"/>
        <v>0.10585656298757025</v>
      </c>
      <c r="BF5" s="44">
        <f t="shared" ref="BF5:BF19" si="23">SUM(AI5:BE5)</f>
        <v>2.3054473377147868</v>
      </c>
      <c r="BG5" s="54">
        <f t="shared" ref="BG5:BG18" si="24">ROUNDUP(BF5*2, 0)</f>
        <v>5</v>
      </c>
      <c r="BH5" s="86">
        <f t="shared" ref="BH5:BH18" si="25">CEILING($BG$1*BG5, 0.5)</f>
        <v>2.5</v>
      </c>
      <c r="BI5" s="6"/>
    </row>
    <row r="6" spans="1:61" ht="24" x14ac:dyDescent="0.2">
      <c r="A6" s="286" t="s">
        <v>20</v>
      </c>
      <c r="B6" s="295">
        <f>_xlfn.XLOOKUP($B$1,cost!$A$16:$A$45,cost!$D$16:$D$45)</f>
        <v>150</v>
      </c>
      <c r="C6" s="7">
        <f>B6*0.02</f>
        <v>3</v>
      </c>
      <c r="D6" s="61">
        <v>10</v>
      </c>
      <c r="E6" s="61" t="e">
        <f>_xlfn.XLOOKUP(A6,cost!$V$3:$V$20, cost!$W$3:$W$20)</f>
        <v>#N/A</v>
      </c>
      <c r="F6" s="7">
        <f>_xlfn.XLOOKUP($B$1,order!$A$3:$A$32,order!$D$3:$D$32)</f>
        <v>1</v>
      </c>
      <c r="G6" s="311">
        <v>10</v>
      </c>
      <c r="H6" s="298"/>
      <c r="I6" s="61" t="s">
        <v>20</v>
      </c>
      <c r="J6" s="4">
        <v>0</v>
      </c>
      <c r="K6" s="4">
        <v>0.02</v>
      </c>
      <c r="L6" s="4">
        <v>0</v>
      </c>
      <c r="M6" s="4">
        <v>0</v>
      </c>
      <c r="N6" s="4">
        <v>0</v>
      </c>
      <c r="O6" s="4">
        <v>0</v>
      </c>
      <c r="P6" s="4">
        <v>0.03</v>
      </c>
      <c r="Q6" s="4">
        <v>0</v>
      </c>
      <c r="R6" s="4">
        <v>0</v>
      </c>
      <c r="S6" s="4">
        <v>0.03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0.04</v>
      </c>
      <c r="Z6" s="4">
        <v>0</v>
      </c>
      <c r="AA6" s="4">
        <v>0</v>
      </c>
      <c r="AB6" s="4">
        <v>0</v>
      </c>
      <c r="AC6" s="4">
        <v>0.03</v>
      </c>
      <c r="AD6" s="4">
        <v>0</v>
      </c>
      <c r="AE6" s="4">
        <v>0</v>
      </c>
      <c r="AF6" s="4">
        <v>0.04</v>
      </c>
      <c r="AG6" s="5"/>
      <c r="AH6" s="53" t="s">
        <v>20</v>
      </c>
      <c r="AI6" s="45">
        <f t="shared" si="0"/>
        <v>0</v>
      </c>
      <c r="AJ6" s="45">
        <f t="shared" si="1"/>
        <v>2.783049654104067E-2</v>
      </c>
      <c r="AK6" s="45">
        <f t="shared" si="2"/>
        <v>0</v>
      </c>
      <c r="AL6" s="45">
        <f t="shared" si="3"/>
        <v>0</v>
      </c>
      <c r="AM6" s="45">
        <f t="shared" si="4"/>
        <v>0</v>
      </c>
      <c r="AN6" s="45">
        <f t="shared" si="5"/>
        <v>0</v>
      </c>
      <c r="AO6" s="45">
        <f t="shared" si="6"/>
        <v>1.1548193398390549</v>
      </c>
      <c r="AP6" s="45">
        <f t="shared" si="7"/>
        <v>0</v>
      </c>
      <c r="AQ6" s="45">
        <f t="shared" si="8"/>
        <v>0</v>
      </c>
      <c r="AR6" s="45">
        <f t="shared" si="9"/>
        <v>0.61736063198196056</v>
      </c>
      <c r="AS6" s="45">
        <f t="shared" si="10"/>
        <v>0</v>
      </c>
      <c r="AT6" s="45">
        <f t="shared" si="11"/>
        <v>0</v>
      </c>
      <c r="AU6" s="45">
        <f t="shared" si="12"/>
        <v>0</v>
      </c>
      <c r="AV6" s="45">
        <f t="shared" si="13"/>
        <v>0</v>
      </c>
      <c r="AW6" s="45">
        <f t="shared" si="14"/>
        <v>0</v>
      </c>
      <c r="AX6" s="45">
        <f t="shared" si="15"/>
        <v>5.9321999249914374E-2</v>
      </c>
      <c r="AY6" s="45">
        <f t="shared" si="16"/>
        <v>0</v>
      </c>
      <c r="AZ6" s="45">
        <f t="shared" si="17"/>
        <v>0</v>
      </c>
      <c r="BA6" s="45">
        <f t="shared" si="18"/>
        <v>0</v>
      </c>
      <c r="BB6" s="45">
        <f t="shared" si="19"/>
        <v>9.3378080221270005E-2</v>
      </c>
      <c r="BC6" s="45">
        <f t="shared" si="20"/>
        <v>0</v>
      </c>
      <c r="BD6" s="45">
        <f t="shared" si="21"/>
        <v>0</v>
      </c>
      <c r="BE6" s="45">
        <f t="shared" si="22"/>
        <v>8.4685250390056199E-2</v>
      </c>
      <c r="BF6" s="44">
        <f t="shared" si="23"/>
        <v>2.0373957982232969</v>
      </c>
      <c r="BG6" s="54">
        <f t="shared" si="24"/>
        <v>5</v>
      </c>
      <c r="BH6" s="86">
        <f t="shared" si="25"/>
        <v>2.5</v>
      </c>
      <c r="BI6" s="6"/>
    </row>
    <row r="7" spans="1:61" ht="24" x14ac:dyDescent="0.2">
      <c r="A7" s="286" t="s">
        <v>47</v>
      </c>
      <c r="B7" s="295">
        <f>_xlfn.XLOOKUP($B$1,cost!$A$16:$A$45,cost!$E$16:$E$45)</f>
        <v>120</v>
      </c>
      <c r="C7" s="7">
        <f>B7*0.02</f>
        <v>2.4</v>
      </c>
      <c r="D7" s="61">
        <v>10</v>
      </c>
      <c r="E7" s="61" t="e">
        <f>_xlfn.XLOOKUP(A7,cost!$V$3:$V$20, cost!$W$3:$W$20)</f>
        <v>#N/A</v>
      </c>
      <c r="F7" s="7">
        <f>_xlfn.XLOOKUP($B$1,order!$A$3:$A$32,order!$E$3:$E$32)</f>
        <v>3</v>
      </c>
      <c r="G7" s="305">
        <v>10</v>
      </c>
      <c r="H7" s="312"/>
      <c r="I7" s="61" t="s">
        <v>47</v>
      </c>
      <c r="J7" s="4">
        <v>0</v>
      </c>
      <c r="K7" s="4">
        <v>0.03</v>
      </c>
      <c r="L7" s="4">
        <v>0</v>
      </c>
      <c r="M7" s="4">
        <v>0</v>
      </c>
      <c r="N7" s="4">
        <v>0.04</v>
      </c>
      <c r="O7" s="4">
        <v>0.04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0.05</v>
      </c>
      <c r="V7" s="4">
        <v>0.05</v>
      </c>
      <c r="W7" s="4">
        <v>0</v>
      </c>
      <c r="X7" s="4">
        <v>0</v>
      </c>
      <c r="Y7" s="4">
        <v>0.05</v>
      </c>
      <c r="Z7" s="4">
        <v>0.05</v>
      </c>
      <c r="AA7" s="4">
        <v>0</v>
      </c>
      <c r="AB7" s="4">
        <v>0.05</v>
      </c>
      <c r="AC7" s="4">
        <v>0</v>
      </c>
      <c r="AD7" s="4">
        <v>0</v>
      </c>
      <c r="AE7" s="4">
        <v>0</v>
      </c>
      <c r="AF7" s="4">
        <v>0</v>
      </c>
      <c r="AG7" s="5"/>
      <c r="AH7" s="53" t="s">
        <v>47</v>
      </c>
      <c r="AI7" s="45">
        <f t="shared" si="0"/>
        <v>0</v>
      </c>
      <c r="AJ7" s="45">
        <f t="shared" si="1"/>
        <v>4.1745744811561E-2</v>
      </c>
      <c r="AK7" s="45">
        <f t="shared" si="2"/>
        <v>0</v>
      </c>
      <c r="AL7" s="45">
        <f t="shared" si="3"/>
        <v>0</v>
      </c>
      <c r="AM7" s="45">
        <f t="shared" si="4"/>
        <v>1.1200473795055508</v>
      </c>
      <c r="AN7" s="45">
        <f t="shared" si="5"/>
        <v>0.59322520467563666</v>
      </c>
      <c r="AO7" s="45">
        <f t="shared" si="6"/>
        <v>0</v>
      </c>
      <c r="AP7" s="45">
        <f t="shared" si="7"/>
        <v>0</v>
      </c>
      <c r="AQ7" s="45">
        <f t="shared" si="8"/>
        <v>0</v>
      </c>
      <c r="AR7" s="45">
        <f t="shared" si="9"/>
        <v>0</v>
      </c>
      <c r="AS7" s="45">
        <f t="shared" si="10"/>
        <v>0</v>
      </c>
      <c r="AT7" s="45">
        <f t="shared" si="11"/>
        <v>0.69504329293009093</v>
      </c>
      <c r="AU7" s="45">
        <f t="shared" si="12"/>
        <v>0.3581134696106365</v>
      </c>
      <c r="AV7" s="45">
        <f t="shared" si="13"/>
        <v>0</v>
      </c>
      <c r="AW7" s="45">
        <f t="shared" si="14"/>
        <v>0</v>
      </c>
      <c r="AX7" s="45">
        <f t="shared" si="15"/>
        <v>7.4152499062392963E-2</v>
      </c>
      <c r="AY7" s="45">
        <f t="shared" si="16"/>
        <v>6.2869600384147559E-2</v>
      </c>
      <c r="AZ7" s="45">
        <f t="shared" si="17"/>
        <v>0</v>
      </c>
      <c r="BA7" s="45">
        <f t="shared" si="18"/>
        <v>0.86292883820479538</v>
      </c>
      <c r="BB7" s="45">
        <f t="shared" si="19"/>
        <v>0</v>
      </c>
      <c r="BC7" s="45">
        <f t="shared" si="20"/>
        <v>0</v>
      </c>
      <c r="BD7" s="45">
        <f t="shared" si="21"/>
        <v>0</v>
      </c>
      <c r="BE7" s="45">
        <f t="shared" si="22"/>
        <v>0</v>
      </c>
      <c r="BF7" s="44">
        <f t="shared" si="23"/>
        <v>3.8081260291848116</v>
      </c>
      <c r="BG7" s="54">
        <f t="shared" si="24"/>
        <v>8</v>
      </c>
      <c r="BH7" s="86">
        <f t="shared" si="25"/>
        <v>4</v>
      </c>
      <c r="BI7" s="6"/>
    </row>
    <row r="8" spans="1:61" ht="24" x14ac:dyDescent="0.2">
      <c r="A8" s="286" t="s">
        <v>46</v>
      </c>
      <c r="B8" s="295">
        <f>_xlfn.XLOOKUP($B$1,cost!$A$16:$A$45,cost!$F$16:$F$45)</f>
        <v>110</v>
      </c>
      <c r="C8" s="7">
        <f t="shared" ref="C8:C19" si="26">B8*0.02</f>
        <v>2.2000000000000002</v>
      </c>
      <c r="D8" s="61">
        <v>10</v>
      </c>
      <c r="E8" s="61" t="e">
        <f>_xlfn.XLOOKUP(A8,cost!$V$3:$V$20, cost!$W$3:$W$20)</f>
        <v>#N/A</v>
      </c>
      <c r="F8" s="7">
        <f>_xlfn.XLOOKUP($B$1,order!$A$3:$A$32,order!$F$3:$F$32)</f>
        <v>0</v>
      </c>
      <c r="G8" s="311">
        <v>10</v>
      </c>
      <c r="H8" s="298"/>
      <c r="I8" s="291" t="s">
        <v>46</v>
      </c>
      <c r="J8" s="64">
        <v>0</v>
      </c>
      <c r="K8" s="64">
        <v>0.01</v>
      </c>
      <c r="L8" s="4">
        <v>0</v>
      </c>
      <c r="M8" s="4">
        <v>0</v>
      </c>
      <c r="N8" s="4">
        <v>0</v>
      </c>
      <c r="O8" s="4">
        <v>0.03</v>
      </c>
      <c r="P8" s="4">
        <v>0</v>
      </c>
      <c r="Q8" s="65">
        <v>0</v>
      </c>
      <c r="R8" s="65">
        <v>0</v>
      </c>
      <c r="S8" s="65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0.02</v>
      </c>
      <c r="Z8" s="65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0.02</v>
      </c>
      <c r="AG8" s="8"/>
      <c r="AH8" s="53" t="s">
        <v>46</v>
      </c>
      <c r="AI8" s="45">
        <f t="shared" si="0"/>
        <v>0</v>
      </c>
      <c r="AJ8" s="45">
        <f t="shared" si="1"/>
        <v>1.3915248270520335E-2</v>
      </c>
      <c r="AK8" s="45">
        <f t="shared" si="2"/>
        <v>0</v>
      </c>
      <c r="AL8" s="45">
        <f t="shared" si="3"/>
        <v>0</v>
      </c>
      <c r="AM8" s="45">
        <f t="shared" si="4"/>
        <v>0</v>
      </c>
      <c r="AN8" s="45">
        <f t="shared" si="5"/>
        <v>0.44491890350672747</v>
      </c>
      <c r="AO8" s="45">
        <f t="shared" si="6"/>
        <v>0</v>
      </c>
      <c r="AP8" s="45">
        <f t="shared" si="7"/>
        <v>0</v>
      </c>
      <c r="AQ8" s="45">
        <f t="shared" si="8"/>
        <v>0</v>
      </c>
      <c r="AR8" s="45">
        <f t="shared" si="9"/>
        <v>0</v>
      </c>
      <c r="AS8" s="45">
        <f t="shared" si="10"/>
        <v>0</v>
      </c>
      <c r="AT8" s="45">
        <f t="shared" si="11"/>
        <v>0</v>
      </c>
      <c r="AU8" s="45">
        <f t="shared" si="12"/>
        <v>0</v>
      </c>
      <c r="AV8" s="45">
        <f t="shared" si="13"/>
        <v>0</v>
      </c>
      <c r="AW8" s="45">
        <f t="shared" si="14"/>
        <v>0</v>
      </c>
      <c r="AX8" s="45">
        <f t="shared" si="15"/>
        <v>2.9660999624957187E-2</v>
      </c>
      <c r="AY8" s="45">
        <f t="shared" si="16"/>
        <v>0</v>
      </c>
      <c r="AZ8" s="45">
        <f t="shared" si="17"/>
        <v>0</v>
      </c>
      <c r="BA8" s="45">
        <f t="shared" si="18"/>
        <v>0</v>
      </c>
      <c r="BB8" s="45">
        <f t="shared" si="19"/>
        <v>0</v>
      </c>
      <c r="BC8" s="45">
        <f t="shared" si="20"/>
        <v>0</v>
      </c>
      <c r="BD8" s="45">
        <f t="shared" si="21"/>
        <v>0</v>
      </c>
      <c r="BE8" s="45">
        <f t="shared" si="22"/>
        <v>4.23426251950281E-2</v>
      </c>
      <c r="BF8" s="44">
        <f t="shared" si="23"/>
        <v>0.53083777659723308</v>
      </c>
      <c r="BG8" s="54">
        <f t="shared" si="24"/>
        <v>2</v>
      </c>
      <c r="BH8" s="86">
        <f t="shared" si="25"/>
        <v>1</v>
      </c>
      <c r="BI8" s="6"/>
    </row>
    <row r="9" spans="1:61" ht="24" x14ac:dyDescent="0.2">
      <c r="A9" s="286" t="s">
        <v>48</v>
      </c>
      <c r="B9" s="295">
        <f>_xlfn.XLOOKUP($B$1,cost!$A$16:$A$45,cost!$G$16:$G$45)</f>
        <v>8</v>
      </c>
      <c r="C9" s="7">
        <f t="shared" si="26"/>
        <v>0.16</v>
      </c>
      <c r="D9" s="61">
        <v>10</v>
      </c>
      <c r="E9" s="61" t="e">
        <f>_xlfn.XLOOKUP(A9,cost!$V$3:$V$20, cost!$W$3:$W$20)</f>
        <v>#N/A</v>
      </c>
      <c r="F9" s="7">
        <f>_xlfn.XLOOKUP($B$1,order!$A$3:$A$32,order!$G$3:$G$32)</f>
        <v>4</v>
      </c>
      <c r="G9" s="311">
        <v>20</v>
      </c>
      <c r="H9" s="298"/>
      <c r="I9" s="61" t="s">
        <v>48</v>
      </c>
      <c r="J9" s="4">
        <v>0</v>
      </c>
      <c r="K9" s="4">
        <v>0</v>
      </c>
      <c r="L9" s="4">
        <v>0</v>
      </c>
      <c r="M9" s="4">
        <v>0</v>
      </c>
      <c r="N9" s="4"/>
      <c r="O9" s="4">
        <v>0.25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8"/>
      <c r="AH9" s="53" t="s">
        <v>48</v>
      </c>
      <c r="AI9" s="45">
        <f t="shared" si="0"/>
        <v>0</v>
      </c>
      <c r="AJ9" s="45">
        <f t="shared" si="1"/>
        <v>0</v>
      </c>
      <c r="AK9" s="45">
        <f t="shared" si="2"/>
        <v>0</v>
      </c>
      <c r="AL9" s="45">
        <f t="shared" si="3"/>
        <v>0</v>
      </c>
      <c r="AM9" s="45">
        <f t="shared" si="4"/>
        <v>0</v>
      </c>
      <c r="AN9" s="45">
        <f t="shared" si="5"/>
        <v>3.707657529222729</v>
      </c>
      <c r="AO9" s="45">
        <f t="shared" si="6"/>
        <v>0</v>
      </c>
      <c r="AP9" s="45">
        <f t="shared" si="7"/>
        <v>0</v>
      </c>
      <c r="AQ9" s="45">
        <f t="shared" si="8"/>
        <v>0</v>
      </c>
      <c r="AR9" s="45">
        <f t="shared" si="9"/>
        <v>0</v>
      </c>
      <c r="AS9" s="45">
        <f t="shared" si="10"/>
        <v>0</v>
      </c>
      <c r="AT9" s="45">
        <f t="shared" si="11"/>
        <v>0</v>
      </c>
      <c r="AU9" s="45">
        <f t="shared" si="12"/>
        <v>0</v>
      </c>
      <c r="AV9" s="45">
        <f t="shared" si="13"/>
        <v>0</v>
      </c>
      <c r="AW9" s="45">
        <f t="shared" si="14"/>
        <v>0</v>
      </c>
      <c r="AX9" s="45">
        <f t="shared" si="15"/>
        <v>0</v>
      </c>
      <c r="AY9" s="45">
        <f t="shared" si="16"/>
        <v>0</v>
      </c>
      <c r="AZ9" s="45">
        <f t="shared" si="17"/>
        <v>0</v>
      </c>
      <c r="BA9" s="45">
        <f t="shared" si="18"/>
        <v>0</v>
      </c>
      <c r="BB9" s="45">
        <f t="shared" si="19"/>
        <v>0</v>
      </c>
      <c r="BC9" s="45">
        <f t="shared" si="20"/>
        <v>0</v>
      </c>
      <c r="BD9" s="45">
        <f t="shared" si="21"/>
        <v>0</v>
      </c>
      <c r="BE9" s="45">
        <f t="shared" si="22"/>
        <v>0</v>
      </c>
      <c r="BF9" s="44">
        <f t="shared" si="23"/>
        <v>3.707657529222729</v>
      </c>
      <c r="BG9" s="54">
        <f t="shared" si="24"/>
        <v>8</v>
      </c>
      <c r="BH9" s="86">
        <f t="shared" si="25"/>
        <v>4</v>
      </c>
      <c r="BI9" s="6"/>
    </row>
    <row r="10" spans="1:61" ht="24" x14ac:dyDescent="0.2">
      <c r="A10" s="286" t="s">
        <v>49</v>
      </c>
      <c r="B10" s="295">
        <f>_xlfn.XLOOKUP($B$1,cost!$A$16:$A$45,cost!$H$16:$H$45)</f>
        <v>8</v>
      </c>
      <c r="C10" s="7">
        <f t="shared" si="26"/>
        <v>0.16</v>
      </c>
      <c r="D10" s="61">
        <v>10</v>
      </c>
      <c r="E10" s="61" t="e">
        <f>_xlfn.XLOOKUP(A10,cost!$V$3:$V$20, cost!$W$3:$W$20)</f>
        <v>#N/A</v>
      </c>
      <c r="F10" s="7">
        <f>_xlfn.XLOOKUP($B$1,order!$A$3:$A$32,order!$H$3:$H$32)</f>
        <v>0</v>
      </c>
      <c r="G10" s="311">
        <v>20</v>
      </c>
      <c r="H10" s="298"/>
      <c r="I10" s="291" t="s">
        <v>49</v>
      </c>
      <c r="J10" s="64">
        <v>0</v>
      </c>
      <c r="K10" s="64">
        <v>0</v>
      </c>
      <c r="L10" s="4">
        <v>0</v>
      </c>
      <c r="M10" s="4">
        <v>0</v>
      </c>
      <c r="N10" s="4">
        <v>0.2</v>
      </c>
      <c r="O10" s="4">
        <v>0</v>
      </c>
      <c r="P10" s="4">
        <v>0</v>
      </c>
      <c r="Q10" s="65">
        <v>0</v>
      </c>
      <c r="R10" s="65">
        <v>0</v>
      </c>
      <c r="S10" s="65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65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8"/>
      <c r="AH10" s="53" t="s">
        <v>49</v>
      </c>
      <c r="AI10" s="45">
        <f t="shared" si="0"/>
        <v>0</v>
      </c>
      <c r="AJ10" s="45">
        <f t="shared" si="1"/>
        <v>0</v>
      </c>
      <c r="AK10" s="45">
        <f t="shared" si="2"/>
        <v>0</v>
      </c>
      <c r="AL10" s="45">
        <f t="shared" si="3"/>
        <v>0</v>
      </c>
      <c r="AM10" s="45">
        <f t="shared" si="4"/>
        <v>5.6002368975277541</v>
      </c>
      <c r="AN10" s="45">
        <f t="shared" si="5"/>
        <v>0</v>
      </c>
      <c r="AO10" s="45">
        <f t="shared" si="6"/>
        <v>0</v>
      </c>
      <c r="AP10" s="45">
        <f t="shared" si="7"/>
        <v>0</v>
      </c>
      <c r="AQ10" s="45">
        <f t="shared" si="8"/>
        <v>0</v>
      </c>
      <c r="AR10" s="45">
        <f t="shared" si="9"/>
        <v>0</v>
      </c>
      <c r="AS10" s="45">
        <f t="shared" si="10"/>
        <v>0</v>
      </c>
      <c r="AT10" s="45">
        <f t="shared" si="11"/>
        <v>0</v>
      </c>
      <c r="AU10" s="45">
        <f t="shared" si="12"/>
        <v>0</v>
      </c>
      <c r="AV10" s="45">
        <f t="shared" si="13"/>
        <v>0</v>
      </c>
      <c r="AW10" s="45">
        <f t="shared" si="14"/>
        <v>0</v>
      </c>
      <c r="AX10" s="45">
        <f t="shared" si="15"/>
        <v>0</v>
      </c>
      <c r="AY10" s="45">
        <f t="shared" si="16"/>
        <v>0</v>
      </c>
      <c r="AZ10" s="45">
        <f t="shared" si="17"/>
        <v>0</v>
      </c>
      <c r="BA10" s="45">
        <f t="shared" si="18"/>
        <v>0</v>
      </c>
      <c r="BB10" s="45">
        <f t="shared" si="19"/>
        <v>0</v>
      </c>
      <c r="BC10" s="45">
        <f t="shared" si="20"/>
        <v>0</v>
      </c>
      <c r="BD10" s="45">
        <f t="shared" si="21"/>
        <v>0</v>
      </c>
      <c r="BE10" s="45">
        <f t="shared" si="22"/>
        <v>0</v>
      </c>
      <c r="BF10" s="44">
        <f t="shared" si="23"/>
        <v>5.6002368975277541</v>
      </c>
      <c r="BG10" s="54">
        <f t="shared" si="24"/>
        <v>12</v>
      </c>
      <c r="BH10" s="86">
        <f t="shared" si="25"/>
        <v>6</v>
      </c>
      <c r="BI10" s="6"/>
    </row>
    <row r="11" spans="1:61" ht="24" x14ac:dyDescent="0.2">
      <c r="A11" s="286" t="s">
        <v>94</v>
      </c>
      <c r="B11" s="295">
        <f>_xlfn.XLOOKUP($B$1,cost!$A$16:$A$45,cost!$I$16:$I$45)</f>
        <v>125</v>
      </c>
      <c r="C11" s="7">
        <f t="shared" si="26"/>
        <v>2.5</v>
      </c>
      <c r="D11" s="61">
        <v>10</v>
      </c>
      <c r="E11" s="61" t="e">
        <f>_xlfn.XLOOKUP(A11,cost!$V$3:$V$20, cost!$W$3:$W$20)</f>
        <v>#N/A</v>
      </c>
      <c r="F11" s="7">
        <f>_xlfn.XLOOKUP($B$1,order!$A$3:$A$32,order!$I$3:$I$32)</f>
        <v>1</v>
      </c>
      <c r="G11" s="311">
        <v>5</v>
      </c>
      <c r="H11" s="298"/>
      <c r="I11" s="291" t="s">
        <v>94</v>
      </c>
      <c r="J11" s="64">
        <v>0</v>
      </c>
      <c r="K11" s="64">
        <v>0</v>
      </c>
      <c r="L11" s="4">
        <v>0</v>
      </c>
      <c r="M11" s="4">
        <v>0</v>
      </c>
      <c r="N11" s="4">
        <v>0.04</v>
      </c>
      <c r="O11" s="4">
        <v>0</v>
      </c>
      <c r="P11" s="4">
        <v>0</v>
      </c>
      <c r="Q11" s="65">
        <v>0</v>
      </c>
      <c r="R11" s="65">
        <v>0</v>
      </c>
      <c r="S11" s="65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65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8"/>
      <c r="AH11" s="53" t="s">
        <v>94</v>
      </c>
      <c r="AI11" s="45">
        <f t="shared" si="0"/>
        <v>0</v>
      </c>
      <c r="AJ11" s="45">
        <f t="shared" si="1"/>
        <v>0</v>
      </c>
      <c r="AK11" s="45">
        <f t="shared" si="2"/>
        <v>0</v>
      </c>
      <c r="AL11" s="45">
        <f t="shared" si="3"/>
        <v>0</v>
      </c>
      <c r="AM11" s="45">
        <f t="shared" si="4"/>
        <v>1.1200473795055508</v>
      </c>
      <c r="AN11" s="45">
        <f t="shared" si="5"/>
        <v>0</v>
      </c>
      <c r="AO11" s="45">
        <f t="shared" si="6"/>
        <v>0</v>
      </c>
      <c r="AP11" s="45">
        <f t="shared" si="7"/>
        <v>0</v>
      </c>
      <c r="AQ11" s="45">
        <f t="shared" si="8"/>
        <v>0</v>
      </c>
      <c r="AR11" s="45">
        <f t="shared" si="9"/>
        <v>0</v>
      </c>
      <c r="AS11" s="45">
        <f t="shared" si="10"/>
        <v>0</v>
      </c>
      <c r="AT11" s="45">
        <f t="shared" si="11"/>
        <v>0</v>
      </c>
      <c r="AU11" s="45">
        <f t="shared" si="12"/>
        <v>0</v>
      </c>
      <c r="AV11" s="45">
        <f t="shared" si="13"/>
        <v>0</v>
      </c>
      <c r="AW11" s="45">
        <f t="shared" si="14"/>
        <v>0</v>
      </c>
      <c r="AX11" s="45">
        <f t="shared" si="15"/>
        <v>0</v>
      </c>
      <c r="AY11" s="45">
        <f t="shared" si="16"/>
        <v>0</v>
      </c>
      <c r="AZ11" s="45">
        <f t="shared" si="17"/>
        <v>0</v>
      </c>
      <c r="BA11" s="45">
        <f t="shared" si="18"/>
        <v>0</v>
      </c>
      <c r="BB11" s="45">
        <f t="shared" si="19"/>
        <v>0</v>
      </c>
      <c r="BC11" s="45">
        <f t="shared" si="20"/>
        <v>0</v>
      </c>
      <c r="BD11" s="45">
        <f t="shared" si="21"/>
        <v>0</v>
      </c>
      <c r="BE11" s="45">
        <f t="shared" si="22"/>
        <v>0</v>
      </c>
      <c r="BF11" s="44">
        <f t="shared" si="23"/>
        <v>1.1200473795055508</v>
      </c>
      <c r="BG11" s="54">
        <f t="shared" si="24"/>
        <v>3</v>
      </c>
      <c r="BH11" s="86">
        <f t="shared" si="25"/>
        <v>1.5</v>
      </c>
      <c r="BI11" s="6"/>
    </row>
    <row r="12" spans="1:61" ht="24" x14ac:dyDescent="0.2">
      <c r="A12" s="286" t="s">
        <v>22</v>
      </c>
      <c r="B12" s="295">
        <f>_xlfn.XLOOKUP($B$1,cost!$A$16:$A$45,cost!$J$16:$J$45)</f>
        <v>70</v>
      </c>
      <c r="C12" s="7">
        <f t="shared" si="26"/>
        <v>1.4000000000000001</v>
      </c>
      <c r="D12" s="61">
        <v>10</v>
      </c>
      <c r="E12" s="61" t="e">
        <f>_xlfn.XLOOKUP(A12,cost!$V$3:$V$20, cost!$W$3:$W$20)</f>
        <v>#N/A</v>
      </c>
      <c r="F12" s="7">
        <f>_xlfn.XLOOKUP($B$1,order!$A$3:$A$32,order!$J$3:$J$32)</f>
        <v>3</v>
      </c>
      <c r="G12" s="311">
        <v>6</v>
      </c>
      <c r="H12" s="298"/>
      <c r="I12" s="291" t="s">
        <v>22</v>
      </c>
      <c r="J12" s="64">
        <v>0</v>
      </c>
      <c r="K12" s="64">
        <v>0</v>
      </c>
      <c r="L12" s="4">
        <v>0.15</v>
      </c>
      <c r="M12" s="4">
        <v>0</v>
      </c>
      <c r="N12" s="4">
        <v>0</v>
      </c>
      <c r="O12" s="4">
        <v>0</v>
      </c>
      <c r="P12" s="4">
        <v>0</v>
      </c>
      <c r="Q12" s="65">
        <v>0</v>
      </c>
      <c r="R12" s="65">
        <v>0</v>
      </c>
      <c r="S12" s="65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65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8"/>
      <c r="AH12" s="53" t="s">
        <v>22</v>
      </c>
      <c r="AI12" s="45">
        <f t="shared" si="0"/>
        <v>0</v>
      </c>
      <c r="AJ12" s="45">
        <f t="shared" si="1"/>
        <v>0</v>
      </c>
      <c r="AK12" s="45">
        <f t="shared" si="2"/>
        <v>3.5967572804395807</v>
      </c>
      <c r="AL12" s="45">
        <f t="shared" si="3"/>
        <v>0</v>
      </c>
      <c r="AM12" s="45">
        <f t="shared" si="4"/>
        <v>0</v>
      </c>
      <c r="AN12" s="45">
        <f t="shared" si="5"/>
        <v>0</v>
      </c>
      <c r="AO12" s="45">
        <f t="shared" si="6"/>
        <v>0</v>
      </c>
      <c r="AP12" s="45">
        <f t="shared" si="7"/>
        <v>0</v>
      </c>
      <c r="AQ12" s="45">
        <f t="shared" si="8"/>
        <v>0</v>
      </c>
      <c r="AR12" s="45">
        <f t="shared" si="9"/>
        <v>0</v>
      </c>
      <c r="AS12" s="45">
        <f t="shared" si="10"/>
        <v>0</v>
      </c>
      <c r="AT12" s="45">
        <f t="shared" si="11"/>
        <v>0</v>
      </c>
      <c r="AU12" s="45">
        <f t="shared" si="12"/>
        <v>0</v>
      </c>
      <c r="AV12" s="45">
        <f t="shared" si="13"/>
        <v>0</v>
      </c>
      <c r="AW12" s="45">
        <f t="shared" si="14"/>
        <v>0</v>
      </c>
      <c r="AX12" s="45">
        <f t="shared" si="15"/>
        <v>0</v>
      </c>
      <c r="AY12" s="45">
        <f t="shared" si="16"/>
        <v>0</v>
      </c>
      <c r="AZ12" s="45">
        <f t="shared" si="17"/>
        <v>0</v>
      </c>
      <c r="BA12" s="45">
        <f t="shared" si="18"/>
        <v>0</v>
      </c>
      <c r="BB12" s="45">
        <f t="shared" si="19"/>
        <v>0</v>
      </c>
      <c r="BC12" s="45">
        <f t="shared" si="20"/>
        <v>0</v>
      </c>
      <c r="BD12" s="45">
        <f t="shared" si="21"/>
        <v>0</v>
      </c>
      <c r="BE12" s="45">
        <f t="shared" si="22"/>
        <v>0</v>
      </c>
      <c r="BF12" s="44">
        <f t="shared" si="23"/>
        <v>3.5967572804395807</v>
      </c>
      <c r="BG12" s="54">
        <f t="shared" si="24"/>
        <v>8</v>
      </c>
      <c r="BH12" s="86">
        <f t="shared" si="25"/>
        <v>4</v>
      </c>
      <c r="BI12" s="6"/>
    </row>
    <row r="13" spans="1:61" ht="21" customHeight="1" x14ac:dyDescent="0.2">
      <c r="A13" s="286" t="s">
        <v>50</v>
      </c>
      <c r="B13" s="295">
        <f>_xlfn.XLOOKUP($B$1,cost!$A$16:$A$45,cost!$K$16:$K$45)</f>
        <v>250</v>
      </c>
      <c r="C13" s="7">
        <f t="shared" si="26"/>
        <v>5</v>
      </c>
      <c r="D13" s="61">
        <v>10</v>
      </c>
      <c r="E13" s="61" t="e">
        <f>_xlfn.XLOOKUP(A13,cost!$V$3:$V$20, cost!$W$3:$W$20)</f>
        <v>#N/A</v>
      </c>
      <c r="F13" s="7">
        <f>_xlfn.XLOOKUP($B$1,order!$A$3:$A$32,order!$K$3:$K$32)</f>
        <v>1</v>
      </c>
      <c r="G13" s="311">
        <v>8</v>
      </c>
      <c r="H13" s="298"/>
      <c r="I13" s="61" t="s">
        <v>50</v>
      </c>
      <c r="J13" s="4">
        <v>0</v>
      </c>
      <c r="K13" s="4">
        <v>0.05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0.02</v>
      </c>
      <c r="R13" s="4">
        <v>0.02</v>
      </c>
      <c r="S13" s="4">
        <v>0</v>
      </c>
      <c r="T13" s="4">
        <v>0.02</v>
      </c>
      <c r="U13" s="4">
        <v>0</v>
      </c>
      <c r="V13" s="4">
        <v>0</v>
      </c>
      <c r="W13" s="4">
        <v>7.0000000000000007E-2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8"/>
      <c r="AH13" s="53" t="s">
        <v>50</v>
      </c>
      <c r="AI13" s="45">
        <f t="shared" si="0"/>
        <v>0</v>
      </c>
      <c r="AJ13" s="45">
        <f t="shared" si="1"/>
        <v>6.9576241352601681E-2</v>
      </c>
      <c r="AK13" s="45">
        <f t="shared" si="2"/>
        <v>0</v>
      </c>
      <c r="AL13" s="45">
        <f t="shared" si="3"/>
        <v>0</v>
      </c>
      <c r="AM13" s="45">
        <f t="shared" si="4"/>
        <v>0</v>
      </c>
      <c r="AN13" s="45">
        <f t="shared" si="5"/>
        <v>0</v>
      </c>
      <c r="AO13" s="45">
        <f t="shared" si="6"/>
        <v>0</v>
      </c>
      <c r="AP13" s="45">
        <f t="shared" si="7"/>
        <v>0.14838738674723262</v>
      </c>
      <c r="AQ13" s="45">
        <f t="shared" si="8"/>
        <v>0.10770494009755989</v>
      </c>
      <c r="AR13" s="45">
        <f t="shared" si="9"/>
        <v>0</v>
      </c>
      <c r="AS13" s="45">
        <f t="shared" si="10"/>
        <v>0.13046325813334622</v>
      </c>
      <c r="AT13" s="45">
        <f t="shared" si="11"/>
        <v>0</v>
      </c>
      <c r="AU13" s="45">
        <f t="shared" si="12"/>
        <v>0</v>
      </c>
      <c r="AV13" s="45">
        <f t="shared" si="13"/>
        <v>0.3107461816466574</v>
      </c>
      <c r="AW13" s="45">
        <f t="shared" si="14"/>
        <v>0</v>
      </c>
      <c r="AX13" s="45">
        <f t="shared" si="15"/>
        <v>0</v>
      </c>
      <c r="AY13" s="45">
        <f t="shared" si="16"/>
        <v>0</v>
      </c>
      <c r="AZ13" s="45">
        <f t="shared" si="17"/>
        <v>0</v>
      </c>
      <c r="BA13" s="45">
        <f t="shared" si="18"/>
        <v>0</v>
      </c>
      <c r="BB13" s="45">
        <f t="shared" si="19"/>
        <v>0</v>
      </c>
      <c r="BC13" s="45">
        <f t="shared" si="20"/>
        <v>0</v>
      </c>
      <c r="BD13" s="45">
        <f t="shared" si="21"/>
        <v>0</v>
      </c>
      <c r="BE13" s="45">
        <f t="shared" si="22"/>
        <v>0</v>
      </c>
      <c r="BF13" s="44">
        <f t="shared" si="23"/>
        <v>0.7668780079773978</v>
      </c>
      <c r="BG13" s="54">
        <f t="shared" si="24"/>
        <v>2</v>
      </c>
      <c r="BH13" s="86">
        <f t="shared" si="25"/>
        <v>1</v>
      </c>
      <c r="BI13" s="6"/>
    </row>
    <row r="14" spans="1:61" ht="24" x14ac:dyDescent="0.2">
      <c r="A14" s="286" t="s">
        <v>51</v>
      </c>
      <c r="B14" s="295">
        <f>_xlfn.XLOOKUP($B$1,cost!$A$16:$A$45,cost!$L$16:$L$45)</f>
        <v>330</v>
      </c>
      <c r="C14" s="7">
        <f t="shared" si="26"/>
        <v>6.6000000000000005</v>
      </c>
      <c r="D14" s="61">
        <v>10</v>
      </c>
      <c r="E14" s="61" t="e">
        <f>_xlfn.XLOOKUP(A14,cost!$V$3:$V$20, cost!$W$3:$W$20)</f>
        <v>#N/A</v>
      </c>
      <c r="F14" s="7">
        <f>_xlfn.XLOOKUP($B$1,order!$A$3:$A$32,order!$L$3:$L$32)</f>
        <v>0</v>
      </c>
      <c r="G14" s="311">
        <v>2</v>
      </c>
      <c r="H14" s="298"/>
      <c r="I14" s="291" t="s">
        <v>51</v>
      </c>
      <c r="J14" s="64">
        <v>0</v>
      </c>
      <c r="K14" s="64">
        <v>0.04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65">
        <v>0</v>
      </c>
      <c r="R14" s="65">
        <v>0</v>
      </c>
      <c r="S14" s="65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65">
        <v>0</v>
      </c>
      <c r="AA14" s="4">
        <v>0</v>
      </c>
      <c r="AB14" s="4">
        <v>0</v>
      </c>
      <c r="AC14" s="4">
        <v>0</v>
      </c>
      <c r="AD14" s="4">
        <v>0.08</v>
      </c>
      <c r="AE14" s="4">
        <v>0</v>
      </c>
      <c r="AF14" s="4">
        <v>0</v>
      </c>
      <c r="AG14" s="9"/>
      <c r="AH14" s="53" t="s">
        <v>51</v>
      </c>
      <c r="AI14" s="45">
        <f t="shared" si="0"/>
        <v>0</v>
      </c>
      <c r="AJ14" s="45">
        <f t="shared" si="1"/>
        <v>5.5660993082081341E-2</v>
      </c>
      <c r="AK14" s="45">
        <f t="shared" si="2"/>
        <v>0</v>
      </c>
      <c r="AL14" s="45">
        <f t="shared" si="3"/>
        <v>0</v>
      </c>
      <c r="AM14" s="45">
        <f t="shared" si="4"/>
        <v>0</v>
      </c>
      <c r="AN14" s="45">
        <f t="shared" si="5"/>
        <v>0</v>
      </c>
      <c r="AO14" s="45">
        <f t="shared" si="6"/>
        <v>0</v>
      </c>
      <c r="AP14" s="45">
        <f t="shared" si="7"/>
        <v>0</v>
      </c>
      <c r="AQ14" s="45">
        <f t="shared" si="8"/>
        <v>0</v>
      </c>
      <c r="AR14" s="45">
        <f t="shared" si="9"/>
        <v>0</v>
      </c>
      <c r="AS14" s="45">
        <f t="shared" si="10"/>
        <v>0</v>
      </c>
      <c r="AT14" s="45">
        <f t="shared" si="11"/>
        <v>0</v>
      </c>
      <c r="AU14" s="45">
        <f t="shared" si="12"/>
        <v>0</v>
      </c>
      <c r="AV14" s="45">
        <f t="shared" si="13"/>
        <v>0</v>
      </c>
      <c r="AW14" s="45">
        <f t="shared" si="14"/>
        <v>0</v>
      </c>
      <c r="AX14" s="45">
        <f t="shared" si="15"/>
        <v>0</v>
      </c>
      <c r="AY14" s="45">
        <f t="shared" si="16"/>
        <v>0</v>
      </c>
      <c r="AZ14" s="45">
        <f t="shared" si="17"/>
        <v>0</v>
      </c>
      <c r="BA14" s="45">
        <f t="shared" si="18"/>
        <v>0</v>
      </c>
      <c r="BB14" s="45">
        <f t="shared" si="19"/>
        <v>0</v>
      </c>
      <c r="BC14" s="45">
        <f t="shared" si="20"/>
        <v>0.17725688623146935</v>
      </c>
      <c r="BD14" s="45">
        <f t="shared" si="21"/>
        <v>0</v>
      </c>
      <c r="BE14" s="45">
        <f t="shared" si="22"/>
        <v>0</v>
      </c>
      <c r="BF14" s="44">
        <f t="shared" si="23"/>
        <v>0.23291787931355068</v>
      </c>
      <c r="BG14" s="54">
        <f t="shared" si="24"/>
        <v>1</v>
      </c>
      <c r="BH14" s="86">
        <f t="shared" si="25"/>
        <v>0.5</v>
      </c>
      <c r="BI14" s="6"/>
    </row>
    <row r="15" spans="1:61" ht="24" x14ac:dyDescent="0.2">
      <c r="A15" s="286" t="s">
        <v>52</v>
      </c>
      <c r="B15" s="295">
        <f>_xlfn.XLOOKUP($B$1,cost!$A$16:$A$45,cost!$M$16:$M$45)</f>
        <v>180</v>
      </c>
      <c r="C15" s="7">
        <f t="shared" si="26"/>
        <v>3.6</v>
      </c>
      <c r="D15" s="61">
        <v>10</v>
      </c>
      <c r="E15" s="61" t="e">
        <f>_xlfn.XLOOKUP(A15,cost!$V$3:$V$20, cost!$W$3:$W$20)</f>
        <v>#N/A</v>
      </c>
      <c r="F15" s="7">
        <f>_xlfn.XLOOKUP($B$1,order!$A$3:$A$32,order!$M$3:$M$32)</f>
        <v>1</v>
      </c>
      <c r="G15" s="311">
        <v>10</v>
      </c>
      <c r="H15" s="298"/>
      <c r="I15" s="61" t="s">
        <v>52</v>
      </c>
      <c r="J15" s="4">
        <v>0</v>
      </c>
      <c r="K15" s="4">
        <v>0.05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0.05</v>
      </c>
      <c r="R15" s="4">
        <v>0.05</v>
      </c>
      <c r="S15" s="4">
        <v>0</v>
      </c>
      <c r="T15" s="4">
        <v>0.05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0.05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10"/>
      <c r="AH15" s="53" t="s">
        <v>52</v>
      </c>
      <c r="AI15" s="45">
        <f t="shared" si="0"/>
        <v>0</v>
      </c>
      <c r="AJ15" s="45">
        <f t="shared" si="1"/>
        <v>6.9576241352601681E-2</v>
      </c>
      <c r="AK15" s="45">
        <f t="shared" si="2"/>
        <v>0</v>
      </c>
      <c r="AL15" s="45">
        <f t="shared" si="3"/>
        <v>0</v>
      </c>
      <c r="AM15" s="45">
        <f t="shared" si="4"/>
        <v>0</v>
      </c>
      <c r="AN15" s="45">
        <f t="shared" si="5"/>
        <v>0</v>
      </c>
      <c r="AO15" s="45">
        <f t="shared" si="6"/>
        <v>0</v>
      </c>
      <c r="AP15" s="45">
        <f t="shared" si="7"/>
        <v>0.37096846686808155</v>
      </c>
      <c r="AQ15" s="45">
        <f t="shared" si="8"/>
        <v>0.26926235024389972</v>
      </c>
      <c r="AR15" s="45">
        <f t="shared" si="9"/>
        <v>0</v>
      </c>
      <c r="AS15" s="45">
        <f t="shared" si="10"/>
        <v>0.32615814533336557</v>
      </c>
      <c r="AT15" s="45">
        <f t="shared" si="11"/>
        <v>0</v>
      </c>
      <c r="AU15" s="45">
        <f t="shared" si="12"/>
        <v>0</v>
      </c>
      <c r="AV15" s="45">
        <f t="shared" si="13"/>
        <v>0</v>
      </c>
      <c r="AW15" s="45">
        <f t="shared" si="14"/>
        <v>0</v>
      </c>
      <c r="AX15" s="45">
        <f t="shared" si="15"/>
        <v>0</v>
      </c>
      <c r="AY15" s="45">
        <f t="shared" si="16"/>
        <v>0</v>
      </c>
      <c r="AZ15" s="45">
        <f t="shared" si="17"/>
        <v>0.41056381029841199</v>
      </c>
      <c r="BA15" s="45">
        <f t="shared" si="18"/>
        <v>0</v>
      </c>
      <c r="BB15" s="45">
        <f t="shared" si="19"/>
        <v>0</v>
      </c>
      <c r="BC15" s="45">
        <f t="shared" si="20"/>
        <v>0</v>
      </c>
      <c r="BD15" s="45">
        <f t="shared" si="21"/>
        <v>0</v>
      </c>
      <c r="BE15" s="45">
        <f t="shared" si="22"/>
        <v>0</v>
      </c>
      <c r="BF15" s="44">
        <f t="shared" si="23"/>
        <v>1.4465290140963605</v>
      </c>
      <c r="BG15" s="54">
        <f t="shared" si="24"/>
        <v>3</v>
      </c>
      <c r="BH15" s="86">
        <f t="shared" si="25"/>
        <v>1.5</v>
      </c>
      <c r="BI15" s="6"/>
    </row>
    <row r="16" spans="1:61" ht="24" x14ac:dyDescent="0.2">
      <c r="A16" s="286" t="s">
        <v>53</v>
      </c>
      <c r="B16" s="295">
        <f>_xlfn.XLOOKUP($B$1,cost!$A$16:$A$45,cost!$N$16:$N$45)</f>
        <v>210</v>
      </c>
      <c r="C16" s="7">
        <f t="shared" si="26"/>
        <v>4.2</v>
      </c>
      <c r="D16" s="61">
        <v>10</v>
      </c>
      <c r="E16" s="61" t="e">
        <f>_xlfn.XLOOKUP(A16,cost!$V$3:$V$20, cost!$W$3:$W$20)</f>
        <v>#N/A</v>
      </c>
      <c r="F16" s="7">
        <f>_xlfn.XLOOKUP($B$1,order!$A$3:$A$32,order!$N$3:$N$32)</f>
        <v>0</v>
      </c>
      <c r="G16" s="311">
        <v>2</v>
      </c>
      <c r="H16" s="298"/>
      <c r="I16" s="291" t="s">
        <v>53</v>
      </c>
      <c r="J16" s="64">
        <v>0</v>
      </c>
      <c r="K16" s="64">
        <v>0.05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65">
        <v>0</v>
      </c>
      <c r="R16" s="65">
        <v>0</v>
      </c>
      <c r="S16" s="65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65">
        <v>0.1</v>
      </c>
      <c r="AA16" s="4">
        <v>0</v>
      </c>
      <c r="AB16" s="4">
        <v>0</v>
      </c>
      <c r="AC16" s="4">
        <v>0</v>
      </c>
      <c r="AD16" s="64">
        <v>0</v>
      </c>
      <c r="AE16" s="4">
        <v>0</v>
      </c>
      <c r="AF16" s="4">
        <v>0</v>
      </c>
      <c r="AG16" s="11"/>
      <c r="AH16" s="53" t="s">
        <v>53</v>
      </c>
      <c r="AI16" s="45">
        <f t="shared" si="0"/>
        <v>0</v>
      </c>
      <c r="AJ16" s="45">
        <f t="shared" si="1"/>
        <v>6.9576241352601681E-2</v>
      </c>
      <c r="AK16" s="45">
        <f t="shared" si="2"/>
        <v>0</v>
      </c>
      <c r="AL16" s="45">
        <f t="shared" si="3"/>
        <v>0</v>
      </c>
      <c r="AM16" s="45">
        <f t="shared" si="4"/>
        <v>0</v>
      </c>
      <c r="AN16" s="45">
        <f t="shared" si="5"/>
        <v>0</v>
      </c>
      <c r="AO16" s="45">
        <f t="shared" si="6"/>
        <v>0</v>
      </c>
      <c r="AP16" s="45">
        <f t="shared" si="7"/>
        <v>0</v>
      </c>
      <c r="AQ16" s="45">
        <f t="shared" si="8"/>
        <v>0</v>
      </c>
      <c r="AR16" s="45">
        <f t="shared" si="9"/>
        <v>0</v>
      </c>
      <c r="AS16" s="45">
        <f t="shared" si="10"/>
        <v>0</v>
      </c>
      <c r="AT16" s="45">
        <f t="shared" si="11"/>
        <v>0</v>
      </c>
      <c r="AU16" s="45">
        <f t="shared" si="12"/>
        <v>0</v>
      </c>
      <c r="AV16" s="45">
        <f t="shared" si="13"/>
        <v>0</v>
      </c>
      <c r="AW16" s="45">
        <f t="shared" si="14"/>
        <v>0</v>
      </c>
      <c r="AX16" s="45">
        <f t="shared" si="15"/>
        <v>0</v>
      </c>
      <c r="AY16" s="45">
        <f t="shared" si="16"/>
        <v>0.12573920076829512</v>
      </c>
      <c r="AZ16" s="45">
        <f t="shared" si="17"/>
        <v>0</v>
      </c>
      <c r="BA16" s="45">
        <f t="shared" si="18"/>
        <v>0</v>
      </c>
      <c r="BB16" s="45">
        <f t="shared" si="19"/>
        <v>0</v>
      </c>
      <c r="BC16" s="45">
        <f t="shared" si="20"/>
        <v>0</v>
      </c>
      <c r="BD16" s="45">
        <f t="shared" si="21"/>
        <v>0</v>
      </c>
      <c r="BE16" s="45">
        <f t="shared" si="22"/>
        <v>0</v>
      </c>
      <c r="BF16" s="44">
        <f t="shared" si="23"/>
        <v>0.1953154421208968</v>
      </c>
      <c r="BG16" s="54">
        <f t="shared" si="24"/>
        <v>1</v>
      </c>
      <c r="BH16" s="86">
        <f t="shared" si="25"/>
        <v>0.5</v>
      </c>
      <c r="BI16" s="6"/>
    </row>
    <row r="17" spans="1:62" ht="24" x14ac:dyDescent="0.2">
      <c r="A17" s="286" t="s">
        <v>54</v>
      </c>
      <c r="B17" s="295">
        <f>_xlfn.XLOOKUP($B$1,cost!$A$16:$A$45,cost!$O$16:$O$45)</f>
        <v>115</v>
      </c>
      <c r="C17" s="7">
        <f t="shared" si="26"/>
        <v>2.3000000000000003</v>
      </c>
      <c r="D17" s="61">
        <v>10</v>
      </c>
      <c r="E17" s="61" t="e">
        <f>_xlfn.XLOOKUP(A17,cost!$V$3:$V$20, cost!$W$3:$W$20)</f>
        <v>#N/A</v>
      </c>
      <c r="F17" s="7">
        <f>_xlfn.XLOOKUP($B$1,order!$A$3:$A$32,order!$O$3:$O$32)</f>
        <v>0</v>
      </c>
      <c r="G17" s="311">
        <v>3</v>
      </c>
      <c r="H17" s="298"/>
      <c r="I17" s="61" t="s">
        <v>54</v>
      </c>
      <c r="J17" s="4">
        <v>0</v>
      </c>
      <c r="K17" s="4">
        <v>0.05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0.02</v>
      </c>
      <c r="R17" s="4">
        <v>0.02</v>
      </c>
      <c r="S17" s="4">
        <v>0</v>
      </c>
      <c r="T17" s="4">
        <v>0.02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7"/>
      <c r="AH17" s="53" t="s">
        <v>54</v>
      </c>
      <c r="AI17" s="45">
        <f t="shared" si="0"/>
        <v>0</v>
      </c>
      <c r="AJ17" s="45">
        <f t="shared" si="1"/>
        <v>6.9576241352601681E-2</v>
      </c>
      <c r="AK17" s="45">
        <f t="shared" si="2"/>
        <v>0</v>
      </c>
      <c r="AL17" s="45">
        <f t="shared" si="3"/>
        <v>0</v>
      </c>
      <c r="AM17" s="45">
        <f t="shared" si="4"/>
        <v>0</v>
      </c>
      <c r="AN17" s="45">
        <f t="shared" si="5"/>
        <v>0</v>
      </c>
      <c r="AO17" s="45">
        <f t="shared" si="6"/>
        <v>0</v>
      </c>
      <c r="AP17" s="45">
        <f t="shared" si="7"/>
        <v>0.14838738674723262</v>
      </c>
      <c r="AQ17" s="45">
        <f t="shared" si="8"/>
        <v>0.10770494009755989</v>
      </c>
      <c r="AR17" s="45">
        <f t="shared" si="9"/>
        <v>0</v>
      </c>
      <c r="AS17" s="45">
        <f t="shared" si="10"/>
        <v>0.13046325813334622</v>
      </c>
      <c r="AT17" s="45">
        <f t="shared" si="11"/>
        <v>0</v>
      </c>
      <c r="AU17" s="45">
        <f t="shared" si="12"/>
        <v>0</v>
      </c>
      <c r="AV17" s="45">
        <f t="shared" si="13"/>
        <v>0</v>
      </c>
      <c r="AW17" s="45">
        <f t="shared" si="14"/>
        <v>0</v>
      </c>
      <c r="AX17" s="45">
        <f t="shared" si="15"/>
        <v>0</v>
      </c>
      <c r="AY17" s="45">
        <f t="shared" si="16"/>
        <v>0</v>
      </c>
      <c r="AZ17" s="45">
        <f t="shared" si="17"/>
        <v>0</v>
      </c>
      <c r="BA17" s="45">
        <f t="shared" si="18"/>
        <v>0</v>
      </c>
      <c r="BB17" s="45">
        <f t="shared" si="19"/>
        <v>0</v>
      </c>
      <c r="BC17" s="45">
        <f t="shared" si="20"/>
        <v>0</v>
      </c>
      <c r="BD17" s="45">
        <f t="shared" si="21"/>
        <v>0</v>
      </c>
      <c r="BE17" s="45">
        <f t="shared" si="22"/>
        <v>0</v>
      </c>
      <c r="BF17" s="44">
        <f t="shared" si="23"/>
        <v>0.45613182633074045</v>
      </c>
      <c r="BG17" s="54">
        <f t="shared" si="24"/>
        <v>1</v>
      </c>
      <c r="BH17" s="86">
        <f t="shared" si="25"/>
        <v>0.5</v>
      </c>
      <c r="BI17" s="6"/>
    </row>
    <row r="18" spans="1:62" ht="24" x14ac:dyDescent="0.2">
      <c r="A18" s="286" t="s">
        <v>57</v>
      </c>
      <c r="B18" s="295">
        <f>_xlfn.XLOOKUP($B$1,cost!$A$16:$A$45,cost!$Q$16:$Q$45)</f>
        <v>65</v>
      </c>
      <c r="C18" s="7">
        <f t="shared" si="26"/>
        <v>1.3</v>
      </c>
      <c r="D18" s="61">
        <v>10</v>
      </c>
      <c r="E18" s="61" t="e">
        <f>_xlfn.XLOOKUP(A18,cost!$V$3:$V$20, cost!$W$3:$W$20)</f>
        <v>#N/A</v>
      </c>
      <c r="F18" s="7">
        <f>_xlfn.XLOOKUP($B$1,order!$A$3:$A$32,order!$Q$3:$Q$32)</f>
        <v>2</v>
      </c>
      <c r="G18" s="61">
        <v>10</v>
      </c>
      <c r="H18" s="298"/>
      <c r="I18" s="291" t="s">
        <v>57</v>
      </c>
      <c r="J18" s="64">
        <v>0</v>
      </c>
      <c r="K18" s="64">
        <v>0</v>
      </c>
      <c r="L18" s="4">
        <v>0</v>
      </c>
      <c r="M18" s="4">
        <v>0.4</v>
      </c>
      <c r="N18" s="4">
        <v>0</v>
      </c>
      <c r="O18" s="4">
        <v>0</v>
      </c>
      <c r="P18" s="4">
        <v>0</v>
      </c>
      <c r="Q18" s="65">
        <v>0</v>
      </c>
      <c r="R18" s="65">
        <v>0</v>
      </c>
      <c r="S18" s="65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65">
        <v>0</v>
      </c>
      <c r="AA18" s="4">
        <v>0</v>
      </c>
      <c r="AB18" s="4">
        <v>0</v>
      </c>
      <c r="AC18" s="4">
        <v>0</v>
      </c>
      <c r="AD18" s="64">
        <v>0</v>
      </c>
      <c r="AE18" s="4">
        <v>0</v>
      </c>
      <c r="AF18" s="4">
        <v>0</v>
      </c>
      <c r="AG18" s="10"/>
      <c r="AH18" s="53" t="s">
        <v>57</v>
      </c>
      <c r="AI18" s="45">
        <f t="shared" si="0"/>
        <v>0</v>
      </c>
      <c r="AJ18" s="45">
        <f t="shared" si="1"/>
        <v>0</v>
      </c>
      <c r="AK18" s="45">
        <f t="shared" si="2"/>
        <v>0</v>
      </c>
      <c r="AL18" s="45">
        <f t="shared" si="3"/>
        <v>0.876109282264248</v>
      </c>
      <c r="AM18" s="45">
        <f t="shared" si="4"/>
        <v>0</v>
      </c>
      <c r="AN18" s="45">
        <f t="shared" si="5"/>
        <v>0</v>
      </c>
      <c r="AO18" s="45">
        <f t="shared" si="6"/>
        <v>0</v>
      </c>
      <c r="AP18" s="45">
        <f t="shared" si="7"/>
        <v>0</v>
      </c>
      <c r="AQ18" s="45">
        <f t="shared" si="8"/>
        <v>0</v>
      </c>
      <c r="AR18" s="45">
        <f t="shared" si="9"/>
        <v>0</v>
      </c>
      <c r="AS18" s="45">
        <f t="shared" si="10"/>
        <v>0</v>
      </c>
      <c r="AT18" s="45">
        <f t="shared" si="11"/>
        <v>0</v>
      </c>
      <c r="AU18" s="45">
        <f t="shared" si="12"/>
        <v>0</v>
      </c>
      <c r="AV18" s="45">
        <f t="shared" si="13"/>
        <v>0</v>
      </c>
      <c r="AW18" s="45">
        <f t="shared" si="14"/>
        <v>0</v>
      </c>
      <c r="AX18" s="45">
        <f t="shared" si="15"/>
        <v>0</v>
      </c>
      <c r="AY18" s="45">
        <f t="shared" si="16"/>
        <v>0</v>
      </c>
      <c r="AZ18" s="45">
        <f t="shared" si="17"/>
        <v>0</v>
      </c>
      <c r="BA18" s="45">
        <f t="shared" si="18"/>
        <v>0</v>
      </c>
      <c r="BB18" s="45">
        <f t="shared" si="19"/>
        <v>0</v>
      </c>
      <c r="BC18" s="45">
        <f t="shared" si="20"/>
        <v>0</v>
      </c>
      <c r="BD18" s="45">
        <f t="shared" si="21"/>
        <v>0</v>
      </c>
      <c r="BE18" s="45">
        <f t="shared" si="22"/>
        <v>0</v>
      </c>
      <c r="BF18" s="44">
        <f t="shared" si="23"/>
        <v>0.876109282264248</v>
      </c>
      <c r="BG18" s="54">
        <f t="shared" si="24"/>
        <v>2</v>
      </c>
      <c r="BH18" s="86">
        <f t="shared" si="25"/>
        <v>1</v>
      </c>
      <c r="BI18" s="6"/>
    </row>
    <row r="19" spans="1:62" ht="24" x14ac:dyDescent="0.2">
      <c r="A19" s="302" t="s">
        <v>56</v>
      </c>
      <c r="B19" s="303">
        <f>_xlfn.XLOOKUP($B$1,cost!$A$16:$A$45,cost!$R$16:$R$45)</f>
        <v>45</v>
      </c>
      <c r="C19" s="294">
        <f t="shared" si="26"/>
        <v>0.9</v>
      </c>
      <c r="D19" s="300">
        <v>10</v>
      </c>
      <c r="E19" s="300" t="e">
        <f>_xlfn.XLOOKUP(A19,cost!$V$3:$V$20, cost!$W$3:$W$20)</f>
        <v>#N/A</v>
      </c>
      <c r="F19" s="294">
        <f>_xlfn.XLOOKUP($B$1,order!$A$3:$A$32,order!$R$3:$R$32)</f>
        <v>1</v>
      </c>
      <c r="G19" s="300">
        <v>10</v>
      </c>
      <c r="H19" s="298"/>
      <c r="I19" s="291" t="s">
        <v>56</v>
      </c>
      <c r="J19" s="64">
        <v>0</v>
      </c>
      <c r="K19" s="6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65">
        <v>0</v>
      </c>
      <c r="R19" s="65">
        <v>0</v>
      </c>
      <c r="S19" s="65">
        <v>0</v>
      </c>
      <c r="T19" s="4">
        <v>0</v>
      </c>
      <c r="U19" s="4">
        <v>0</v>
      </c>
      <c r="V19" s="4">
        <v>0</v>
      </c>
      <c r="W19" s="4">
        <v>0</v>
      </c>
      <c r="X19" s="4">
        <v>0.25</v>
      </c>
      <c r="Y19" s="4">
        <v>0</v>
      </c>
      <c r="Z19" s="65">
        <v>0</v>
      </c>
      <c r="AA19" s="4">
        <v>0</v>
      </c>
      <c r="AB19" s="4">
        <v>0</v>
      </c>
      <c r="AC19" s="4">
        <v>0</v>
      </c>
      <c r="AD19" s="64">
        <v>0</v>
      </c>
      <c r="AE19" s="4">
        <v>0.25</v>
      </c>
      <c r="AF19" s="4">
        <v>0</v>
      </c>
      <c r="AG19" s="12"/>
      <c r="AH19" s="53" t="s">
        <v>56</v>
      </c>
      <c r="AI19" s="45">
        <f t="shared" ref="AI19:AX19" si="27">J19*J$28</f>
        <v>0</v>
      </c>
      <c r="AJ19" s="45">
        <f t="shared" si="27"/>
        <v>0</v>
      </c>
      <c r="AK19" s="45">
        <f t="shared" si="27"/>
        <v>0</v>
      </c>
      <c r="AL19" s="45">
        <f t="shared" si="27"/>
        <v>0</v>
      </c>
      <c r="AM19" s="45">
        <f t="shared" si="27"/>
        <v>0</v>
      </c>
      <c r="AN19" s="45">
        <f t="shared" si="27"/>
        <v>0</v>
      </c>
      <c r="AO19" s="45">
        <f t="shared" si="27"/>
        <v>0</v>
      </c>
      <c r="AP19" s="45">
        <f t="shared" si="27"/>
        <v>0</v>
      </c>
      <c r="AQ19" s="45">
        <f t="shared" si="27"/>
        <v>0</v>
      </c>
      <c r="AR19" s="45">
        <f t="shared" si="27"/>
        <v>0</v>
      </c>
      <c r="AS19" s="45">
        <f t="shared" si="27"/>
        <v>0</v>
      </c>
      <c r="AT19" s="45">
        <f t="shared" si="27"/>
        <v>0</v>
      </c>
      <c r="AU19" s="45">
        <f t="shared" si="27"/>
        <v>0</v>
      </c>
      <c r="AV19" s="45">
        <f t="shared" si="27"/>
        <v>0</v>
      </c>
      <c r="AW19" s="45">
        <f t="shared" si="27"/>
        <v>1.2064070033515648</v>
      </c>
      <c r="AX19" s="45">
        <f t="shared" si="27"/>
        <v>0</v>
      </c>
      <c r="AY19" s="45">
        <f t="shared" ref="AY19:BE19" si="28">Z19*Z$28</f>
        <v>0</v>
      </c>
      <c r="AZ19" s="45">
        <f t="shared" si="28"/>
        <v>0</v>
      </c>
      <c r="BA19" s="45">
        <f t="shared" si="28"/>
        <v>0</v>
      </c>
      <c r="BB19" s="45">
        <f t="shared" si="28"/>
        <v>0</v>
      </c>
      <c r="BC19" s="45">
        <f t="shared" si="28"/>
        <v>0</v>
      </c>
      <c r="BD19" s="45">
        <f t="shared" si="28"/>
        <v>0.94331332999004003</v>
      </c>
      <c r="BE19" s="45">
        <f t="shared" si="28"/>
        <v>0</v>
      </c>
      <c r="BF19" s="44">
        <f t="shared" si="23"/>
        <v>2.1497203333416048</v>
      </c>
      <c r="BG19" s="54">
        <f>ROUNDUP(BF19*2, 0)</f>
        <v>5</v>
      </c>
      <c r="BH19" s="86">
        <f>CEILING($BG$1*BG19, 0.5)</f>
        <v>2.5</v>
      </c>
      <c r="BI19" s="6"/>
    </row>
    <row r="20" spans="1:62" x14ac:dyDescent="0.2">
      <c r="A20" s="293"/>
      <c r="B20" s="294"/>
      <c r="C20" s="294"/>
      <c r="D20" s="300"/>
      <c r="E20" s="301" t="s">
        <v>39</v>
      </c>
      <c r="F20" s="294">
        <f>SUM(F4:F19)</f>
        <v>19</v>
      </c>
      <c r="G20" s="300">
        <v>100</v>
      </c>
      <c r="H20" s="299" t="s">
        <v>0</v>
      </c>
      <c r="I20" s="291" t="s">
        <v>30</v>
      </c>
      <c r="J20" s="64">
        <v>50</v>
      </c>
      <c r="K20" s="64">
        <v>200</v>
      </c>
      <c r="L20" s="64">
        <v>60</v>
      </c>
      <c r="M20" s="64">
        <v>50</v>
      </c>
      <c r="N20" s="64">
        <v>45</v>
      </c>
      <c r="O20" s="64">
        <v>60</v>
      </c>
      <c r="P20" s="64">
        <v>50</v>
      </c>
      <c r="Q20" s="64">
        <v>50</v>
      </c>
      <c r="R20" s="64">
        <v>50</v>
      </c>
      <c r="S20" s="64">
        <v>50</v>
      </c>
      <c r="T20" s="64">
        <v>70</v>
      </c>
      <c r="U20" s="64">
        <v>70</v>
      </c>
      <c r="V20" s="64">
        <v>50</v>
      </c>
      <c r="W20" s="64">
        <v>80</v>
      </c>
      <c r="X20" s="64">
        <v>60</v>
      </c>
      <c r="Y20" s="64">
        <v>60</v>
      </c>
      <c r="Z20" s="64">
        <v>60</v>
      </c>
      <c r="AA20" s="64">
        <v>50</v>
      </c>
      <c r="AB20" s="64">
        <v>50</v>
      </c>
      <c r="AC20" s="64">
        <v>50</v>
      </c>
      <c r="AD20" s="64">
        <v>60</v>
      </c>
      <c r="AE20" s="64">
        <v>120</v>
      </c>
      <c r="AF20" s="64">
        <v>100</v>
      </c>
      <c r="AG20" s="12"/>
      <c r="AH20" s="49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44">
        <f>SUM(BF4:BF19)</f>
        <v>32.828269481923364</v>
      </c>
      <c r="BG20" s="54">
        <f>SUM(BG4:BG19)</f>
        <v>74</v>
      </c>
      <c r="BH20" s="86">
        <f>SUM(BH4:BH19)</f>
        <v>37</v>
      </c>
      <c r="BI20" s="6"/>
    </row>
    <row r="21" spans="1:62" x14ac:dyDescent="0.2">
      <c r="H21" s="17" t="s">
        <v>185</v>
      </c>
      <c r="I21" s="4" t="s">
        <v>6</v>
      </c>
      <c r="J21" s="4">
        <f t="shared" ref="J21:AF21" si="29">SUMPRODUCT($B$4:$B$19,J4:J19)</f>
        <v>6.6</v>
      </c>
      <c r="K21" s="4">
        <f t="shared" si="29"/>
        <v>66.2</v>
      </c>
      <c r="L21" s="4">
        <f t="shared" si="29"/>
        <v>10.5</v>
      </c>
      <c r="M21" s="4">
        <f t="shared" si="29"/>
        <v>26</v>
      </c>
      <c r="N21" s="4">
        <f t="shared" si="29"/>
        <v>11.4</v>
      </c>
      <c r="O21" s="4">
        <f t="shared" si="29"/>
        <v>10.1</v>
      </c>
      <c r="P21" s="4">
        <f t="shared" si="29"/>
        <v>8.25</v>
      </c>
      <c r="Q21" s="4">
        <f t="shared" si="29"/>
        <v>16.3</v>
      </c>
      <c r="R21" s="4">
        <f t="shared" si="29"/>
        <v>16.3</v>
      </c>
      <c r="S21" s="4">
        <f t="shared" si="29"/>
        <v>4.5</v>
      </c>
      <c r="T21" s="4">
        <f t="shared" si="29"/>
        <v>16.3</v>
      </c>
      <c r="U21" s="4">
        <f t="shared" si="29"/>
        <v>6</v>
      </c>
      <c r="V21" s="4">
        <f t="shared" si="29"/>
        <v>16</v>
      </c>
      <c r="W21" s="4">
        <f t="shared" si="29"/>
        <v>17.5</v>
      </c>
      <c r="X21" s="4">
        <f t="shared" si="29"/>
        <v>11.25</v>
      </c>
      <c r="Y21" s="4">
        <f t="shared" si="29"/>
        <v>23</v>
      </c>
      <c r="Z21" s="4">
        <f t="shared" si="29"/>
        <v>27</v>
      </c>
      <c r="AA21" s="4">
        <f t="shared" si="29"/>
        <v>9</v>
      </c>
      <c r="AB21" s="4">
        <f t="shared" si="29"/>
        <v>6</v>
      </c>
      <c r="AC21" s="4">
        <f t="shared" si="29"/>
        <v>4.5</v>
      </c>
      <c r="AD21" s="4">
        <f t="shared" si="29"/>
        <v>26.400000000000002</v>
      </c>
      <c r="AE21" s="4">
        <f t="shared" si="29"/>
        <v>11.25</v>
      </c>
      <c r="AF21" s="4">
        <f t="shared" si="29"/>
        <v>17.95</v>
      </c>
      <c r="AG21" s="9"/>
      <c r="BI21" s="13"/>
    </row>
    <row r="22" spans="1:62" ht="24" x14ac:dyDescent="0.2">
      <c r="A22" s="14"/>
      <c r="B22" s="14"/>
      <c r="C22" s="14"/>
      <c r="D22" s="14"/>
      <c r="E22" s="93" t="s">
        <v>137</v>
      </c>
      <c r="F22" s="92">
        <f>SUMPRODUCT(B4:B19, F4:F19)</f>
        <v>1702</v>
      </c>
      <c r="H22" s="17" t="s">
        <v>186</v>
      </c>
      <c r="I22" s="4" t="s">
        <v>32</v>
      </c>
      <c r="J22" s="4">
        <f t="shared" ref="J22:AF22" si="30">SUMPRODUCT($C$4:$C$19,J4:J19)</f>
        <v>0.13200000000000001</v>
      </c>
      <c r="K22" s="4">
        <f t="shared" si="30"/>
        <v>1.3240000000000001</v>
      </c>
      <c r="L22" s="4">
        <f t="shared" si="30"/>
        <v>0.21000000000000002</v>
      </c>
      <c r="M22" s="4">
        <f t="shared" si="30"/>
        <v>0.52</v>
      </c>
      <c r="N22" s="4">
        <f t="shared" si="30"/>
        <v>0.22800000000000001</v>
      </c>
      <c r="O22" s="4">
        <f t="shared" si="30"/>
        <v>0.20200000000000001</v>
      </c>
      <c r="P22" s="4">
        <f t="shared" si="30"/>
        <v>0.16499999999999998</v>
      </c>
      <c r="Q22" s="4">
        <f t="shared" si="30"/>
        <v>0.32600000000000001</v>
      </c>
      <c r="R22" s="4">
        <f t="shared" si="30"/>
        <v>0.32600000000000001</v>
      </c>
      <c r="S22" s="4">
        <f t="shared" si="30"/>
        <v>0.09</v>
      </c>
      <c r="T22" s="4">
        <f t="shared" si="30"/>
        <v>0.32600000000000001</v>
      </c>
      <c r="U22" s="4">
        <f t="shared" si="30"/>
        <v>0.12</v>
      </c>
      <c r="V22" s="4">
        <f t="shared" si="30"/>
        <v>0.32</v>
      </c>
      <c r="W22" s="4">
        <f t="shared" si="30"/>
        <v>0.35000000000000003</v>
      </c>
      <c r="X22" s="4">
        <f t="shared" si="30"/>
        <v>0.22500000000000001</v>
      </c>
      <c r="Y22" s="4">
        <f t="shared" si="30"/>
        <v>0.46</v>
      </c>
      <c r="Z22" s="4">
        <f t="shared" si="30"/>
        <v>0.54</v>
      </c>
      <c r="AA22" s="4">
        <f t="shared" si="30"/>
        <v>0.18000000000000002</v>
      </c>
      <c r="AB22" s="4">
        <f t="shared" si="30"/>
        <v>0.12</v>
      </c>
      <c r="AC22" s="4">
        <f t="shared" si="30"/>
        <v>0.09</v>
      </c>
      <c r="AD22" s="4">
        <f t="shared" si="30"/>
        <v>0.52800000000000002</v>
      </c>
      <c r="AE22" s="4">
        <f t="shared" si="30"/>
        <v>0.22500000000000001</v>
      </c>
      <c r="AF22" s="4">
        <f t="shared" si="30"/>
        <v>0.35899999999999999</v>
      </c>
      <c r="AG22" s="9"/>
      <c r="BF22" s="432" t="s">
        <v>131</v>
      </c>
      <c r="BG22" s="432"/>
      <c r="BH22" s="41">
        <f>SUMPRODUCT(B4:B19,BH4:BH19)</f>
        <v>3275</v>
      </c>
    </row>
    <row r="23" spans="1:62" x14ac:dyDescent="0.2">
      <c r="A23" s="14"/>
      <c r="B23" s="14"/>
      <c r="C23" s="15"/>
      <c r="D23" s="12"/>
      <c r="H23" s="17" t="s">
        <v>2</v>
      </c>
      <c r="I23" s="66" t="s">
        <v>33</v>
      </c>
      <c r="J23" s="66">
        <f t="shared" ref="J23:AF23" si="31">SUMPRODUCT($D$4:$D$19,J4:J19)</f>
        <v>0.6</v>
      </c>
      <c r="K23" s="66">
        <f t="shared" si="31"/>
        <v>3.7</v>
      </c>
      <c r="L23" s="66">
        <f t="shared" si="31"/>
        <v>1.5</v>
      </c>
      <c r="M23" s="66">
        <f t="shared" si="31"/>
        <v>4</v>
      </c>
      <c r="N23" s="66">
        <f t="shared" si="31"/>
        <v>2.8</v>
      </c>
      <c r="O23" s="66">
        <f t="shared" si="31"/>
        <v>3.2</v>
      </c>
      <c r="P23" s="66">
        <f t="shared" si="31"/>
        <v>0.6</v>
      </c>
      <c r="Q23" s="66">
        <f t="shared" si="31"/>
        <v>0.89999999999999991</v>
      </c>
      <c r="R23" s="66">
        <f t="shared" si="31"/>
        <v>0.89999999999999991</v>
      </c>
      <c r="S23" s="66">
        <f t="shared" si="31"/>
        <v>0.3</v>
      </c>
      <c r="T23" s="66">
        <f t="shared" si="31"/>
        <v>0.89999999999999991</v>
      </c>
      <c r="U23" s="66">
        <f t="shared" si="31"/>
        <v>0.5</v>
      </c>
      <c r="V23" s="66">
        <f t="shared" si="31"/>
        <v>1.3</v>
      </c>
      <c r="W23" s="66">
        <f t="shared" si="31"/>
        <v>0.70000000000000007</v>
      </c>
      <c r="X23" s="66">
        <f t="shared" si="31"/>
        <v>2.5</v>
      </c>
      <c r="Y23" s="66">
        <f t="shared" si="31"/>
        <v>1.9000000000000001</v>
      </c>
      <c r="Z23" s="66">
        <f t="shared" si="31"/>
        <v>1.5</v>
      </c>
      <c r="AA23" s="66">
        <f t="shared" si="31"/>
        <v>0.5</v>
      </c>
      <c r="AB23" s="66">
        <f t="shared" si="31"/>
        <v>0.5</v>
      </c>
      <c r="AC23" s="66">
        <f t="shared" si="31"/>
        <v>0.3</v>
      </c>
      <c r="AD23" s="66">
        <f t="shared" si="31"/>
        <v>0.8</v>
      </c>
      <c r="AE23" s="66">
        <f t="shared" si="31"/>
        <v>2.5</v>
      </c>
      <c r="AF23" s="66">
        <f t="shared" si="31"/>
        <v>1.5</v>
      </c>
      <c r="AG23" s="16"/>
    </row>
    <row r="24" spans="1:62" x14ac:dyDescent="0.2">
      <c r="A24" s="14"/>
      <c r="B24" s="14"/>
      <c r="C24" s="15"/>
      <c r="D24" s="15"/>
      <c r="E24" s="13"/>
      <c r="F24" s="13"/>
      <c r="H24" s="1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61"/>
      <c r="AG24" s="16"/>
      <c r="BF24" s="433"/>
      <c r="BG24" s="433"/>
      <c r="BH24" s="18"/>
    </row>
    <row r="25" spans="1:62" ht="24" x14ac:dyDescent="0.35">
      <c r="A25" s="14"/>
      <c r="B25" s="14"/>
      <c r="D25" s="304"/>
      <c r="E25" s="305"/>
      <c r="F25" s="305"/>
      <c r="H25" s="17" t="s">
        <v>188</v>
      </c>
      <c r="I25" s="69" t="s">
        <v>3</v>
      </c>
      <c r="J25" s="69">
        <f>J21-J22</f>
        <v>6.468</v>
      </c>
      <c r="K25" s="69">
        <f t="shared" ref="K25:AF25" si="32">K21-K22</f>
        <v>64.876000000000005</v>
      </c>
      <c r="L25" s="69">
        <f t="shared" si="32"/>
        <v>10.29</v>
      </c>
      <c r="M25" s="69">
        <f t="shared" si="32"/>
        <v>25.48</v>
      </c>
      <c r="N25" s="69">
        <f t="shared" si="32"/>
        <v>11.172000000000001</v>
      </c>
      <c r="O25" s="69">
        <f t="shared" si="32"/>
        <v>9.8979999999999997</v>
      </c>
      <c r="P25" s="69">
        <f t="shared" si="32"/>
        <v>8.0850000000000009</v>
      </c>
      <c r="Q25" s="69">
        <f t="shared" si="32"/>
        <v>15.974</v>
      </c>
      <c r="R25" s="69">
        <f t="shared" si="32"/>
        <v>15.974</v>
      </c>
      <c r="S25" s="69">
        <f t="shared" si="32"/>
        <v>4.41</v>
      </c>
      <c r="T25" s="69">
        <f t="shared" si="32"/>
        <v>15.974</v>
      </c>
      <c r="U25" s="69">
        <f t="shared" si="32"/>
        <v>5.88</v>
      </c>
      <c r="V25" s="69">
        <f t="shared" si="32"/>
        <v>15.68</v>
      </c>
      <c r="W25" s="69">
        <f t="shared" si="32"/>
        <v>17.149999999999999</v>
      </c>
      <c r="X25" s="69">
        <f t="shared" si="32"/>
        <v>11.025</v>
      </c>
      <c r="Y25" s="69">
        <f t="shared" si="32"/>
        <v>22.54</v>
      </c>
      <c r="Z25" s="69">
        <f t="shared" si="32"/>
        <v>26.46</v>
      </c>
      <c r="AA25" s="69">
        <f t="shared" si="32"/>
        <v>8.82</v>
      </c>
      <c r="AB25" s="69">
        <f t="shared" si="32"/>
        <v>5.88</v>
      </c>
      <c r="AC25" s="69">
        <f t="shared" si="32"/>
        <v>4.41</v>
      </c>
      <c r="AD25" s="69">
        <f t="shared" si="32"/>
        <v>25.872000000000003</v>
      </c>
      <c r="AE25" s="69">
        <f t="shared" si="32"/>
        <v>11.025</v>
      </c>
      <c r="AF25" s="69">
        <f t="shared" si="32"/>
        <v>17.591000000000001</v>
      </c>
      <c r="AG25" s="16"/>
      <c r="BF25" s="434" t="s">
        <v>42</v>
      </c>
      <c r="BG25" s="434"/>
      <c r="BH25" s="39">
        <f>AG50+AG51-AG52-BH22</f>
        <v>12545.763793939761</v>
      </c>
      <c r="BJ25" s="19"/>
    </row>
    <row r="26" spans="1:62" ht="24" x14ac:dyDescent="0.2">
      <c r="A26" s="14"/>
      <c r="B26" s="15"/>
      <c r="C26" s="15"/>
      <c r="D26" s="304"/>
      <c r="E26" s="305"/>
      <c r="F26" s="305"/>
      <c r="H26" s="17" t="s">
        <v>187</v>
      </c>
      <c r="I26" s="4" t="s">
        <v>4</v>
      </c>
      <c r="J26" s="4">
        <f>J20-J21+J23</f>
        <v>44</v>
      </c>
      <c r="K26" s="4">
        <f t="shared" ref="K26:AF26" si="33">K20-K21+K23</f>
        <v>137.5</v>
      </c>
      <c r="L26" s="4">
        <f t="shared" si="33"/>
        <v>51</v>
      </c>
      <c r="M26" s="4">
        <f t="shared" si="33"/>
        <v>28</v>
      </c>
      <c r="N26" s="4">
        <f t="shared" si="33"/>
        <v>36.4</v>
      </c>
      <c r="O26" s="4">
        <f t="shared" si="33"/>
        <v>53.1</v>
      </c>
      <c r="P26" s="4">
        <f t="shared" si="33"/>
        <v>42.35</v>
      </c>
      <c r="Q26" s="4">
        <f t="shared" si="33"/>
        <v>34.6</v>
      </c>
      <c r="R26" s="4">
        <f t="shared" si="33"/>
        <v>34.6</v>
      </c>
      <c r="S26" s="4">
        <f t="shared" si="33"/>
        <v>45.8</v>
      </c>
      <c r="T26" s="4">
        <f t="shared" si="33"/>
        <v>54.6</v>
      </c>
      <c r="U26" s="4">
        <f t="shared" si="33"/>
        <v>64.5</v>
      </c>
      <c r="V26" s="4">
        <f t="shared" si="33"/>
        <v>35.299999999999997</v>
      </c>
      <c r="W26" s="4">
        <f t="shared" si="33"/>
        <v>63.2</v>
      </c>
      <c r="X26" s="4">
        <f t="shared" si="33"/>
        <v>51.25</v>
      </c>
      <c r="Y26" s="4">
        <f t="shared" si="33"/>
        <v>38.9</v>
      </c>
      <c r="Z26" s="4">
        <f t="shared" si="33"/>
        <v>34.5</v>
      </c>
      <c r="AA26" s="4">
        <f t="shared" si="33"/>
        <v>41.5</v>
      </c>
      <c r="AB26" s="4">
        <f t="shared" si="33"/>
        <v>44.5</v>
      </c>
      <c r="AC26" s="4">
        <f t="shared" si="33"/>
        <v>45.8</v>
      </c>
      <c r="AD26" s="4">
        <f t="shared" si="33"/>
        <v>34.399999999999991</v>
      </c>
      <c r="AE26" s="4">
        <f t="shared" si="33"/>
        <v>111.25</v>
      </c>
      <c r="AF26" s="4">
        <f t="shared" si="33"/>
        <v>83.55</v>
      </c>
      <c r="AG26" s="9"/>
      <c r="BJ26" s="13"/>
    </row>
    <row r="27" spans="1:62" ht="24" x14ac:dyDescent="0.2">
      <c r="A27" s="14"/>
      <c r="B27" s="14"/>
      <c r="C27" s="15"/>
      <c r="D27" s="304"/>
      <c r="E27" s="305"/>
      <c r="F27" s="305"/>
      <c r="H27" s="17"/>
      <c r="I27" s="4" t="s">
        <v>5</v>
      </c>
      <c r="J27" s="70">
        <f>J26/(J26+J25)</f>
        <v>0.87183958151700081</v>
      </c>
      <c r="K27" s="70">
        <f t="shared" ref="K27:AF27" si="34">K26/(K26+K25)</f>
        <v>0.67942839071826699</v>
      </c>
      <c r="L27" s="70">
        <f t="shared" si="34"/>
        <v>0.8321096426823299</v>
      </c>
      <c r="M27" s="70">
        <f t="shared" si="34"/>
        <v>0.52356020942408377</v>
      </c>
      <c r="N27" s="70">
        <f t="shared" si="34"/>
        <v>0.76515597410241309</v>
      </c>
      <c r="O27" s="70">
        <f t="shared" si="34"/>
        <v>0.84288390107622457</v>
      </c>
      <c r="P27" s="70">
        <f t="shared" si="34"/>
        <v>0.83969465648854957</v>
      </c>
      <c r="Q27" s="70">
        <f t="shared" si="34"/>
        <v>0.68414600387550917</v>
      </c>
      <c r="R27" s="70">
        <f t="shared" si="34"/>
        <v>0.68414600387550917</v>
      </c>
      <c r="S27" s="70">
        <f t="shared" si="34"/>
        <v>0.91216889065923124</v>
      </c>
      <c r="T27" s="70">
        <f t="shared" si="34"/>
        <v>0.77365602063082728</v>
      </c>
      <c r="U27" s="70">
        <f t="shared" si="34"/>
        <v>0.91645353793691398</v>
      </c>
      <c r="V27" s="70">
        <f t="shared" si="34"/>
        <v>0.69242840329541</v>
      </c>
      <c r="W27" s="70">
        <f t="shared" si="34"/>
        <v>0.7865588052271314</v>
      </c>
      <c r="X27" s="70">
        <f t="shared" si="34"/>
        <v>0.82296266559614617</v>
      </c>
      <c r="Y27" s="70">
        <f t="shared" si="34"/>
        <v>0.63313802083333337</v>
      </c>
      <c r="Z27" s="70">
        <f t="shared" si="34"/>
        <v>0.56594488188976377</v>
      </c>
      <c r="AA27" s="70">
        <f t="shared" si="34"/>
        <v>0.82472178060413359</v>
      </c>
      <c r="AB27" s="70">
        <f t="shared" si="34"/>
        <v>0.8832870186581977</v>
      </c>
      <c r="AC27" s="70">
        <f t="shared" si="34"/>
        <v>0.91216889065923124</v>
      </c>
      <c r="AD27" s="70">
        <f t="shared" si="34"/>
        <v>0.57074595168569142</v>
      </c>
      <c r="AE27" s="70">
        <f t="shared" si="34"/>
        <v>0.90983438969535879</v>
      </c>
      <c r="AF27" s="70">
        <f t="shared" si="34"/>
        <v>0.82607449006832046</v>
      </c>
      <c r="AG27" s="9"/>
      <c r="BF27" s="430" t="s">
        <v>130</v>
      </c>
      <c r="BG27" s="430"/>
      <c r="BH27" s="40">
        <f>BH25-AG41</f>
        <v>4008.2038335477428</v>
      </c>
    </row>
    <row r="28" spans="1:62" ht="24" x14ac:dyDescent="0.35">
      <c r="A28" s="37"/>
      <c r="B28" s="14"/>
      <c r="C28" s="15"/>
      <c r="D28" s="304"/>
      <c r="E28" s="305"/>
      <c r="F28" s="305"/>
      <c r="I28" s="71" t="s">
        <v>31</v>
      </c>
      <c r="J28" s="72">
        <f t="shared" ref="J28:AF28" si="35">NORMINV(J27,J2, J3)</f>
        <v>69.4869260798407</v>
      </c>
      <c r="K28" s="72">
        <f t="shared" si="35"/>
        <v>1.3915248270520335</v>
      </c>
      <c r="L28" s="72">
        <f t="shared" si="35"/>
        <v>23.978381869597204</v>
      </c>
      <c r="M28" s="72">
        <f t="shared" si="35"/>
        <v>2.19027320566062</v>
      </c>
      <c r="N28" s="72">
        <f t="shared" si="35"/>
        <v>28.001184487638767</v>
      </c>
      <c r="O28" s="72">
        <f t="shared" si="35"/>
        <v>14.830630116890916</v>
      </c>
      <c r="P28" s="72">
        <f t="shared" si="35"/>
        <v>38.493977994635166</v>
      </c>
      <c r="Q28" s="72">
        <f t="shared" si="35"/>
        <v>7.4193693373616307</v>
      </c>
      <c r="R28" s="72">
        <f t="shared" si="35"/>
        <v>5.3852470048779946</v>
      </c>
      <c r="S28" s="72">
        <f t="shared" si="35"/>
        <v>20.578687732732021</v>
      </c>
      <c r="T28" s="72">
        <f t="shared" si="35"/>
        <v>6.5231629066673111</v>
      </c>
      <c r="U28" s="72">
        <f t="shared" si="35"/>
        <v>13.900865858601817</v>
      </c>
      <c r="V28" s="72">
        <f t="shared" si="35"/>
        <v>7.1622693922127301</v>
      </c>
      <c r="W28" s="72">
        <f t="shared" si="35"/>
        <v>4.4392311663808197</v>
      </c>
      <c r="X28" s="72">
        <f t="shared" si="35"/>
        <v>4.8256280134062592</v>
      </c>
      <c r="Y28" s="72">
        <f t="shared" si="35"/>
        <v>1.4830499812478593</v>
      </c>
      <c r="Z28" s="72">
        <f t="shared" si="35"/>
        <v>1.2573920076829512</v>
      </c>
      <c r="AA28" s="72">
        <f t="shared" si="35"/>
        <v>8.2112762059682396</v>
      </c>
      <c r="AB28" s="72">
        <f t="shared" si="35"/>
        <v>17.258576764095906</v>
      </c>
      <c r="AC28" s="72">
        <f t="shared" si="35"/>
        <v>3.1126026740423338</v>
      </c>
      <c r="AD28" s="72">
        <f t="shared" si="35"/>
        <v>2.2157110778933666</v>
      </c>
      <c r="AE28" s="72">
        <f t="shared" si="35"/>
        <v>3.7732533199601601</v>
      </c>
      <c r="AF28" s="72">
        <f t="shared" si="35"/>
        <v>2.1171312597514049</v>
      </c>
      <c r="AG28" s="9"/>
    </row>
    <row r="29" spans="1:62" ht="24" x14ac:dyDescent="0.35">
      <c r="A29" s="37"/>
      <c r="B29" s="14"/>
      <c r="C29" s="15"/>
      <c r="D29" s="304"/>
      <c r="E29" s="305"/>
      <c r="F29" s="305"/>
      <c r="I29" s="73" t="s">
        <v>34</v>
      </c>
      <c r="J29" s="74">
        <f>(F5/J5)*(27/29)</f>
        <v>31.03448275862069</v>
      </c>
      <c r="K29" s="74">
        <f>(F16/K16)*(1/5)</f>
        <v>0</v>
      </c>
      <c r="L29" s="74">
        <f>F12/L12</f>
        <v>20</v>
      </c>
      <c r="M29" s="74">
        <f>F18/M18</f>
        <v>5</v>
      </c>
      <c r="N29" s="74">
        <f>F11/N11</f>
        <v>25</v>
      </c>
      <c r="O29" s="74">
        <f>F9/O9</f>
        <v>16</v>
      </c>
      <c r="P29" s="74">
        <f>(F6/P6)*(25/47)</f>
        <v>17.730496453900709</v>
      </c>
      <c r="Q29" s="74">
        <f>(F13/Q13)*(6/20)</f>
        <v>15</v>
      </c>
      <c r="R29" s="74">
        <f>(F13/R13)*(3/20)</f>
        <v>7.5</v>
      </c>
      <c r="S29" s="74">
        <f>(F6/S6)*(12/47)</f>
        <v>8.5106382978723403</v>
      </c>
      <c r="T29" s="74">
        <f>(F13/T13)*(3/20)</f>
        <v>7.5</v>
      </c>
      <c r="U29" s="74">
        <f>(F7/U7)*(6/47)</f>
        <v>7.6595744680851059</v>
      </c>
      <c r="V29" s="74">
        <f>(F7/V7)*(3/47)</f>
        <v>3.8297872340425529</v>
      </c>
      <c r="W29" s="74">
        <f>(F13/W13)*(8/20)</f>
        <v>5.7142857142857144</v>
      </c>
      <c r="X29" s="74">
        <f>(F19/X19)*(3/4)</f>
        <v>3</v>
      </c>
      <c r="Y29" s="74">
        <f>(F7/Y7)*(1/29)</f>
        <v>2.0689655172413794</v>
      </c>
      <c r="Z29" s="74">
        <f>(F16/Z16)*(4/5)</f>
        <v>0</v>
      </c>
      <c r="AA29" s="74">
        <f>(F15/AA15)*(4/16)</f>
        <v>5</v>
      </c>
      <c r="AB29" s="74">
        <f>(F7/AB7)*(11/47)</f>
        <v>14.042553191489361</v>
      </c>
      <c r="AC29" s="74">
        <f>(F6/AC6)*(1/47)</f>
        <v>0.70921985815602839</v>
      </c>
      <c r="AD29" s="74">
        <f>(F14/AD14)</f>
        <v>0</v>
      </c>
      <c r="AE29" s="74">
        <f>(F19/AE19)*(1/4)</f>
        <v>1</v>
      </c>
      <c r="AF29" s="74">
        <f>(F5/AF5)*(1/29)</f>
        <v>0.68965517241379315</v>
      </c>
      <c r="AG29" s="12"/>
    </row>
    <row r="30" spans="1:62" ht="24" x14ac:dyDescent="0.2">
      <c r="A30" s="14"/>
      <c r="D30" s="308"/>
      <c r="E30" s="305"/>
      <c r="F30" s="305"/>
      <c r="I30" s="4" t="s">
        <v>7</v>
      </c>
      <c r="J30" s="70">
        <f t="shared" ref="J30:AF30" si="36">(J29-J2)/J3</f>
        <v>-0.805932218141308</v>
      </c>
      <c r="K30" s="70">
        <f t="shared" si="36"/>
        <v>-1.1904761904761905</v>
      </c>
      <c r="L30" s="70">
        <f t="shared" si="36"/>
        <v>0.41379310344827586</v>
      </c>
      <c r="M30" s="70">
        <f t="shared" si="36"/>
        <v>0.93167701863354035</v>
      </c>
      <c r="N30" s="70">
        <f t="shared" si="36"/>
        <v>0.48192771084337355</v>
      </c>
      <c r="O30" s="70">
        <f t="shared" si="36"/>
        <v>1.25</v>
      </c>
      <c r="P30" s="70">
        <f t="shared" si="36"/>
        <v>-0.33778868885251861</v>
      </c>
      <c r="Q30" s="70">
        <f t="shared" si="36"/>
        <v>1.3015184381778742</v>
      </c>
      <c r="R30" s="70">
        <f t="shared" si="36"/>
        <v>1.2110726643598615</v>
      </c>
      <c r="S30" s="70">
        <f t="shared" si="36"/>
        <v>-5.7235286798556689E-2</v>
      </c>
      <c r="T30" s="70">
        <f t="shared" si="36"/>
        <v>1.0416666666666667</v>
      </c>
      <c r="U30" s="70">
        <f t="shared" si="36"/>
        <v>0.59056710622117947</v>
      </c>
      <c r="V30" s="70">
        <f t="shared" si="36"/>
        <v>-2.7060853093393809E-2</v>
      </c>
      <c r="W30" s="70">
        <f t="shared" si="36"/>
        <v>1.209865053513262</v>
      </c>
      <c r="X30" s="70">
        <f t="shared" si="36"/>
        <v>0</v>
      </c>
      <c r="Y30" s="70">
        <f t="shared" si="36"/>
        <v>0.75279261777561934</v>
      </c>
      <c r="Z30" s="70">
        <f t="shared" si="36"/>
        <v>-0.64516129032258063</v>
      </c>
      <c r="AA30" s="70">
        <f t="shared" si="36"/>
        <v>0</v>
      </c>
      <c r="AB30" s="70">
        <f t="shared" si="36"/>
        <v>0.77767737342205423</v>
      </c>
      <c r="AC30" s="70">
        <f t="shared" si="36"/>
        <v>-0.18639752682305871</v>
      </c>
      <c r="AD30" s="70">
        <f t="shared" si="36"/>
        <v>-1.6528925619834711</v>
      </c>
      <c r="AE30" s="70">
        <f t="shared" si="36"/>
        <v>0</v>
      </c>
      <c r="AF30" s="70">
        <f t="shared" si="36"/>
        <v>-0.26079397276151839</v>
      </c>
      <c r="AG30" s="14"/>
    </row>
    <row r="31" spans="1:62" ht="24" x14ac:dyDescent="0.2">
      <c r="A31" s="14"/>
      <c r="B31" s="14"/>
      <c r="C31" s="15"/>
      <c r="D31" s="308"/>
      <c r="E31" s="305"/>
      <c r="F31" s="305"/>
      <c r="I31" s="70" t="s">
        <v>16</v>
      </c>
      <c r="J31" s="70">
        <f>NORMDIST(J30,0,1,FALSE)</f>
        <v>0.28831492596970593</v>
      </c>
      <c r="K31" s="70">
        <f t="shared" ref="K31:AF31" si="37">NORMDIST(K30,0,1,FALSE)</f>
        <v>0.19640914652400149</v>
      </c>
      <c r="L31" s="70">
        <f t="shared" si="37"/>
        <v>0.36620906257573171</v>
      </c>
      <c r="M31" s="70">
        <f t="shared" si="37"/>
        <v>0.25847674077806199</v>
      </c>
      <c r="N31" s="70">
        <f t="shared" si="37"/>
        <v>0.35520304600227354</v>
      </c>
      <c r="O31" s="70">
        <f t="shared" si="37"/>
        <v>0.18264908538902191</v>
      </c>
      <c r="P31" s="70">
        <f t="shared" si="37"/>
        <v>0.37681944485760072</v>
      </c>
      <c r="Q31" s="70">
        <f t="shared" si="37"/>
        <v>0.17103045213676746</v>
      </c>
      <c r="R31" s="70">
        <f t="shared" si="37"/>
        <v>0.19161118613778638</v>
      </c>
      <c r="S31" s="70">
        <f t="shared" si="37"/>
        <v>0.39828937212860233</v>
      </c>
      <c r="T31" s="70">
        <f t="shared" si="37"/>
        <v>0.23189438328624271</v>
      </c>
      <c r="U31" s="70">
        <f t="shared" si="37"/>
        <v>0.3351010044835166</v>
      </c>
      <c r="V31" s="70">
        <f t="shared" si="37"/>
        <v>0.39879623646427698</v>
      </c>
      <c r="W31" s="70">
        <f t="shared" si="37"/>
        <v>0.1918914834573347</v>
      </c>
      <c r="X31" s="70">
        <f t="shared" si="37"/>
        <v>0.3989422804014327</v>
      </c>
      <c r="Y31" s="70">
        <f t="shared" si="37"/>
        <v>0.30050619911253779</v>
      </c>
      <c r="Z31" s="70">
        <f t="shared" si="37"/>
        <v>0.32398596615315295</v>
      </c>
      <c r="AA31" s="70">
        <f t="shared" si="37"/>
        <v>0.3989422804014327</v>
      </c>
      <c r="AB31" s="70">
        <f t="shared" si="37"/>
        <v>0.29483789511233988</v>
      </c>
      <c r="AC31" s="70">
        <f t="shared" si="37"/>
        <v>0.39207169825391602</v>
      </c>
      <c r="AD31" s="70">
        <f t="shared" si="37"/>
        <v>0.10177757907817411</v>
      </c>
      <c r="AE31" s="70">
        <f t="shared" si="37"/>
        <v>0.3989422804014327</v>
      </c>
      <c r="AF31" s="70">
        <f t="shared" si="37"/>
        <v>0.38560363812490056</v>
      </c>
      <c r="AG31" s="12"/>
    </row>
    <row r="32" spans="1:62" ht="24" x14ac:dyDescent="0.2">
      <c r="A32" s="14"/>
      <c r="B32" s="14"/>
      <c r="C32" s="15"/>
      <c r="D32" s="304"/>
      <c r="E32" s="305"/>
      <c r="F32" s="305"/>
      <c r="I32" s="70" t="s">
        <v>17</v>
      </c>
      <c r="J32" s="70">
        <f>NORMDIST(J30,0,1,TRUE)</f>
        <v>0.21014096653784892</v>
      </c>
      <c r="K32" s="70">
        <f t="shared" ref="K32:AF32" si="38">NORMDIST(K30,0,1,TRUE)</f>
        <v>0.11692964134637239</v>
      </c>
      <c r="L32" s="70">
        <f t="shared" si="38"/>
        <v>0.66048718243495286</v>
      </c>
      <c r="M32" s="70">
        <f t="shared" si="38"/>
        <v>0.82424826667399453</v>
      </c>
      <c r="N32" s="70">
        <f t="shared" si="38"/>
        <v>0.68507134998371932</v>
      </c>
      <c r="O32" s="70">
        <f t="shared" si="38"/>
        <v>0.89435022633314476</v>
      </c>
      <c r="P32" s="70">
        <f t="shared" si="38"/>
        <v>0.36776121719561294</v>
      </c>
      <c r="Q32" s="70">
        <f t="shared" si="38"/>
        <v>0.90345947127020609</v>
      </c>
      <c r="R32" s="70">
        <f t="shared" si="38"/>
        <v>0.88706622156702475</v>
      </c>
      <c r="S32" s="70">
        <f t="shared" si="38"/>
        <v>0.47717888470998132</v>
      </c>
      <c r="T32" s="70">
        <f t="shared" si="38"/>
        <v>0.85121687581824801</v>
      </c>
      <c r="U32" s="70">
        <f t="shared" si="38"/>
        <v>0.72259474492746256</v>
      </c>
      <c r="V32" s="70">
        <f t="shared" si="38"/>
        <v>0.48920559901162575</v>
      </c>
      <c r="W32" s="70">
        <f t="shared" si="38"/>
        <v>0.88683466058836546</v>
      </c>
      <c r="X32" s="70">
        <f t="shared" si="38"/>
        <v>0.5</v>
      </c>
      <c r="Y32" s="70">
        <f t="shared" si="38"/>
        <v>0.77421272821047848</v>
      </c>
      <c r="Z32" s="70">
        <f t="shared" si="38"/>
        <v>0.25941133433509533</v>
      </c>
      <c r="AA32" s="70">
        <f t="shared" si="38"/>
        <v>0.5</v>
      </c>
      <c r="AB32" s="70">
        <f t="shared" si="38"/>
        <v>0.78162038278547308</v>
      </c>
      <c r="AC32" s="70">
        <f t="shared" si="38"/>
        <v>0.42606651587719524</v>
      </c>
      <c r="AD32" s="70">
        <f t="shared" si="38"/>
        <v>4.9176365594524589E-2</v>
      </c>
      <c r="AE32" s="70">
        <f t="shared" si="38"/>
        <v>0.5</v>
      </c>
      <c r="AF32" s="70">
        <f t="shared" si="38"/>
        <v>0.39712569634568384</v>
      </c>
      <c r="AG32" s="12"/>
      <c r="AH32" s="20"/>
      <c r="AI32" s="8"/>
    </row>
    <row r="33" spans="1:61" ht="24" x14ac:dyDescent="0.2">
      <c r="A33" s="14"/>
      <c r="B33" s="14"/>
      <c r="C33" s="15"/>
      <c r="D33" s="304"/>
      <c r="E33" s="305"/>
      <c r="F33" s="305"/>
      <c r="I33" s="4" t="s">
        <v>8</v>
      </c>
      <c r="J33" s="70">
        <f>J31-(J30*(1-J32))</f>
        <v>0.92488776882680712</v>
      </c>
      <c r="K33" s="70">
        <f t="shared" ref="K33:AF33" si="39">K31-(K30*(1-K32))</f>
        <v>1.2476833830164151</v>
      </c>
      <c r="L33" s="70">
        <f t="shared" si="39"/>
        <v>0.22572100013502255</v>
      </c>
      <c r="M33" s="70">
        <f t="shared" si="39"/>
        <v>9.4732889853212182E-2</v>
      </c>
      <c r="N33" s="70">
        <f t="shared" si="39"/>
        <v>0.20343020262093345</v>
      </c>
      <c r="O33" s="70">
        <f t="shared" si="39"/>
        <v>5.0586868305452865E-2</v>
      </c>
      <c r="P33" s="70">
        <f t="shared" si="39"/>
        <v>0.59038255434280695</v>
      </c>
      <c r="Q33" s="70">
        <f t="shared" si="39"/>
        <v>4.5381173963499916E-2</v>
      </c>
      <c r="R33" s="70">
        <f t="shared" si="39"/>
        <v>5.4840174194736774E-2</v>
      </c>
      <c r="S33" s="70">
        <f t="shared" si="39"/>
        <v>0.42821318860656782</v>
      </c>
      <c r="T33" s="70">
        <f t="shared" si="39"/>
        <v>7.6911962263584377E-2</v>
      </c>
      <c r="U33" s="70">
        <f t="shared" si="39"/>
        <v>0.17127458574477999</v>
      </c>
      <c r="V33" s="70">
        <f t="shared" si="39"/>
        <v>0.41261876871035147</v>
      </c>
      <c r="W33" s="70">
        <f t="shared" si="39"/>
        <v>5.4976694034231027E-2</v>
      </c>
      <c r="X33" s="70">
        <f t="shared" si="39"/>
        <v>0.3989422804014327</v>
      </c>
      <c r="Y33" s="70">
        <f t="shared" si="39"/>
        <v>0.13053520772168864</v>
      </c>
      <c r="Z33" s="70">
        <f t="shared" si="39"/>
        <v>0.80178510529180103</v>
      </c>
      <c r="AA33" s="70">
        <f t="shared" si="39"/>
        <v>0.3989422804014327</v>
      </c>
      <c r="AB33" s="70">
        <f t="shared" si="39"/>
        <v>0.12500900798803297</v>
      </c>
      <c r="AC33" s="70">
        <f t="shared" si="39"/>
        <v>0.49905148025534807</v>
      </c>
      <c r="AD33" s="70">
        <f t="shared" si="39"/>
        <v>1.6733868921450756</v>
      </c>
      <c r="AE33" s="70">
        <f t="shared" si="39"/>
        <v>0.3989422804014327</v>
      </c>
      <c r="AF33" s="70">
        <f t="shared" si="39"/>
        <v>0.54282962285074365</v>
      </c>
      <c r="AG33" s="12"/>
      <c r="AH33" s="20"/>
      <c r="AI33" s="9"/>
    </row>
    <row r="34" spans="1:61" ht="24" x14ac:dyDescent="0.2">
      <c r="A34" s="14"/>
      <c r="B34" s="14"/>
      <c r="C34" s="14"/>
      <c r="D34" s="309"/>
      <c r="E34" s="310"/>
      <c r="F34" s="310"/>
      <c r="I34" s="4" t="s">
        <v>9</v>
      </c>
      <c r="J34" s="74">
        <f t="shared" ref="J34:AF34" si="40">J33*J3</f>
        <v>18.322026700459048</v>
      </c>
      <c r="K34" s="74">
        <f t="shared" si="40"/>
        <v>1.0480540417337887</v>
      </c>
      <c r="L34" s="74">
        <f t="shared" si="40"/>
        <v>1.6364772509789136</v>
      </c>
      <c r="M34" s="74">
        <f t="shared" si="40"/>
        <v>0.30503990532734326</v>
      </c>
      <c r="N34" s="74">
        <f t="shared" si="40"/>
        <v>2.5327060226306215</v>
      </c>
      <c r="O34" s="74">
        <f t="shared" si="40"/>
        <v>0.24281696786617374</v>
      </c>
      <c r="P34" s="74">
        <f t="shared" si="40"/>
        <v>9.2099678477477891</v>
      </c>
      <c r="Q34" s="74">
        <f t="shared" si="40"/>
        <v>0.41841442394346923</v>
      </c>
      <c r="R34" s="74">
        <f t="shared" si="40"/>
        <v>0.15848810342278929</v>
      </c>
      <c r="S34" s="74">
        <f t="shared" si="40"/>
        <v>3.6612227625861551</v>
      </c>
      <c r="T34" s="74">
        <f t="shared" si="40"/>
        <v>0.25842419320564347</v>
      </c>
      <c r="U34" s="74">
        <f t="shared" si="40"/>
        <v>1.3513564815263142</v>
      </c>
      <c r="V34" s="74">
        <f t="shared" si="40"/>
        <v>2.5953720551881108</v>
      </c>
      <c r="W34" s="74">
        <f t="shared" si="40"/>
        <v>0.16877845068508923</v>
      </c>
      <c r="X34" s="74">
        <f t="shared" si="40"/>
        <v>0.78591629239082239</v>
      </c>
      <c r="Y34" s="74">
        <f t="shared" si="40"/>
        <v>0.18535999496479785</v>
      </c>
      <c r="Z34" s="74">
        <f t="shared" si="40"/>
        <v>1.2427669132022916</v>
      </c>
      <c r="AA34" s="74">
        <f t="shared" si="40"/>
        <v>1.3723614445809285</v>
      </c>
      <c r="AB34" s="74">
        <f t="shared" si="40"/>
        <v>0.97131999206701614</v>
      </c>
      <c r="AC34" s="74">
        <f t="shared" si="40"/>
        <v>0.77852030919834303</v>
      </c>
      <c r="AD34" s="74">
        <f t="shared" si="40"/>
        <v>2.0247981394955414</v>
      </c>
      <c r="AE34" s="74">
        <f t="shared" si="40"/>
        <v>0.82581052043096559</v>
      </c>
      <c r="AF34" s="74">
        <f t="shared" si="40"/>
        <v>0.64596725119238496</v>
      </c>
      <c r="AG34" s="12"/>
      <c r="AH34" s="264"/>
      <c r="AI34" s="9"/>
    </row>
    <row r="35" spans="1:61" ht="24" x14ac:dyDescent="0.2">
      <c r="A35" s="14"/>
      <c r="B35" s="14"/>
      <c r="C35" s="14"/>
      <c r="D35" s="304"/>
      <c r="E35" s="305"/>
      <c r="F35" s="305"/>
      <c r="I35" s="4" t="s">
        <v>10</v>
      </c>
      <c r="J35" s="74">
        <f t="shared" ref="J35:AF35" si="41">J2-J34</f>
        <v>28.677973299540952</v>
      </c>
      <c r="K35" s="74">
        <f t="shared" si="41"/>
        <v>-4.8054041733788688E-2</v>
      </c>
      <c r="L35" s="74">
        <f t="shared" si="41"/>
        <v>15.363522749021087</v>
      </c>
      <c r="M35" s="74">
        <f t="shared" si="41"/>
        <v>1.6949600946726568</v>
      </c>
      <c r="N35" s="74">
        <f t="shared" si="41"/>
        <v>16.46729397736938</v>
      </c>
      <c r="O35" s="74">
        <f t="shared" si="41"/>
        <v>9.7571830321338258</v>
      </c>
      <c r="P35" s="74">
        <f t="shared" si="41"/>
        <v>13.790032152252211</v>
      </c>
      <c r="Q35" s="74">
        <f t="shared" si="41"/>
        <v>2.5815855760565309</v>
      </c>
      <c r="R35" s="74">
        <f t="shared" si="41"/>
        <v>3.8415118965772108</v>
      </c>
      <c r="S35" s="74">
        <f t="shared" si="41"/>
        <v>5.3387772374138454</v>
      </c>
      <c r="T35" s="74">
        <f t="shared" si="41"/>
        <v>3.7415758067943568</v>
      </c>
      <c r="U35" s="74">
        <f t="shared" si="41"/>
        <v>1.6486435184736858</v>
      </c>
      <c r="V35" s="74">
        <f t="shared" si="41"/>
        <v>1.4046279448118892</v>
      </c>
      <c r="W35" s="74">
        <f t="shared" si="41"/>
        <v>1.8312215493149107</v>
      </c>
      <c r="X35" s="74">
        <f t="shared" si="41"/>
        <v>2.2140837076091775</v>
      </c>
      <c r="Y35" s="74">
        <f t="shared" si="41"/>
        <v>0.81464000503520217</v>
      </c>
      <c r="Z35" s="74">
        <f t="shared" si="41"/>
        <v>-0.2427669132022916</v>
      </c>
      <c r="AA35" s="74">
        <f t="shared" si="41"/>
        <v>3.6276385554190718</v>
      </c>
      <c r="AB35" s="74">
        <f t="shared" si="41"/>
        <v>7.0286800079329836</v>
      </c>
      <c r="AC35" s="74">
        <f t="shared" si="41"/>
        <v>0.22147969080165697</v>
      </c>
      <c r="AD35" s="74">
        <f t="shared" si="41"/>
        <v>-2.4798139495541438E-2</v>
      </c>
      <c r="AE35" s="74">
        <f t="shared" si="41"/>
        <v>0.17418947956903441</v>
      </c>
      <c r="AF35" s="74">
        <f t="shared" si="41"/>
        <v>0.35403274880761504</v>
      </c>
      <c r="AG35" s="187">
        <f>SUM(J35:AF35)</f>
        <v>120.25803393517566</v>
      </c>
      <c r="AH35" s="10"/>
    </row>
    <row r="36" spans="1:61" ht="24" x14ac:dyDescent="0.2">
      <c r="A36" s="14"/>
      <c r="B36" s="15"/>
      <c r="C36" s="15"/>
      <c r="D36" s="304"/>
      <c r="E36" s="305"/>
      <c r="F36" s="305"/>
      <c r="I36" s="4" t="s">
        <v>11</v>
      </c>
      <c r="J36" s="74">
        <f>J29-J35</f>
        <v>2.3565094590797386</v>
      </c>
      <c r="K36" s="74">
        <f t="shared" ref="K36:AF36" si="42">K29-K35</f>
        <v>4.8054041733788688E-2</v>
      </c>
      <c r="L36" s="74">
        <f t="shared" si="42"/>
        <v>4.6364772509789134</v>
      </c>
      <c r="M36" s="74">
        <f t="shared" si="42"/>
        <v>3.3050399053273432</v>
      </c>
      <c r="N36" s="74">
        <f t="shared" si="42"/>
        <v>8.5327060226306202</v>
      </c>
      <c r="O36" s="74">
        <f t="shared" si="42"/>
        <v>6.2428169678661742</v>
      </c>
      <c r="P36" s="74">
        <f t="shared" si="42"/>
        <v>3.9404643016484986</v>
      </c>
      <c r="Q36" s="74">
        <f t="shared" si="42"/>
        <v>12.418414423943469</v>
      </c>
      <c r="R36" s="74">
        <f t="shared" si="42"/>
        <v>3.6584881034227892</v>
      </c>
      <c r="S36" s="74">
        <f t="shared" si="42"/>
        <v>3.1718610604584949</v>
      </c>
      <c r="T36" s="74">
        <f t="shared" si="42"/>
        <v>3.7584241932056432</v>
      </c>
      <c r="U36" s="74">
        <f t="shared" si="42"/>
        <v>6.0109309496114198</v>
      </c>
      <c r="V36" s="74">
        <f t="shared" si="42"/>
        <v>2.4251592892306637</v>
      </c>
      <c r="W36" s="74">
        <f t="shared" si="42"/>
        <v>3.8830641649708038</v>
      </c>
      <c r="X36" s="74">
        <f t="shared" si="42"/>
        <v>0.7859162923908225</v>
      </c>
      <c r="Y36" s="74">
        <f t="shared" si="42"/>
        <v>1.2543255122061772</v>
      </c>
      <c r="Z36" s="74">
        <f t="shared" si="42"/>
        <v>0.2427669132022916</v>
      </c>
      <c r="AA36" s="74">
        <f t="shared" si="42"/>
        <v>1.3723614445809282</v>
      </c>
      <c r="AB36" s="74">
        <f t="shared" si="42"/>
        <v>7.0138731835563775</v>
      </c>
      <c r="AC36" s="74">
        <f t="shared" si="42"/>
        <v>0.48774016735437142</v>
      </c>
      <c r="AD36" s="74">
        <f t="shared" si="42"/>
        <v>2.4798139495541438E-2</v>
      </c>
      <c r="AE36" s="74">
        <f t="shared" si="42"/>
        <v>0.82581052043096559</v>
      </c>
      <c r="AF36" s="74">
        <f t="shared" si="42"/>
        <v>0.33562242360617811</v>
      </c>
      <c r="AG36" s="10"/>
      <c r="AH36" s="67"/>
    </row>
    <row r="37" spans="1:61" ht="24" x14ac:dyDescent="0.2">
      <c r="A37" s="14"/>
      <c r="B37" s="15"/>
      <c r="C37" s="15"/>
      <c r="D37" s="304"/>
      <c r="E37" s="305"/>
      <c r="F37" s="305"/>
      <c r="I37" s="4" t="s">
        <v>12</v>
      </c>
      <c r="J37" s="70">
        <f>J20*J35</f>
        <v>1433.8986649770477</v>
      </c>
      <c r="K37" s="70">
        <f t="shared" ref="K37:AF37" si="43">K20*K35</f>
        <v>-9.6108083467577377</v>
      </c>
      <c r="L37" s="70">
        <f t="shared" si="43"/>
        <v>921.8113649412652</v>
      </c>
      <c r="M37" s="70">
        <f t="shared" si="43"/>
        <v>84.74800473363284</v>
      </c>
      <c r="N37" s="70">
        <f t="shared" si="43"/>
        <v>741.02822898162208</v>
      </c>
      <c r="O37" s="70">
        <f t="shared" si="43"/>
        <v>585.4309819280295</v>
      </c>
      <c r="P37" s="70">
        <f t="shared" si="43"/>
        <v>689.50160761261054</v>
      </c>
      <c r="Q37" s="70">
        <f t="shared" si="43"/>
        <v>129.07927880282654</v>
      </c>
      <c r="R37" s="70">
        <f t="shared" si="43"/>
        <v>192.07559482886055</v>
      </c>
      <c r="S37" s="70">
        <f t="shared" si="43"/>
        <v>266.93886187069228</v>
      </c>
      <c r="T37" s="70">
        <f t="shared" si="43"/>
        <v>261.91030647560495</v>
      </c>
      <c r="U37" s="70">
        <f t="shared" si="43"/>
        <v>115.40504629315801</v>
      </c>
      <c r="V37" s="70">
        <f t="shared" si="43"/>
        <v>70.231397240594461</v>
      </c>
      <c r="W37" s="70">
        <f t="shared" si="43"/>
        <v>146.49772394519286</v>
      </c>
      <c r="X37" s="70">
        <f t="shared" si="43"/>
        <v>132.84502245655065</v>
      </c>
      <c r="Y37" s="70">
        <f t="shared" si="43"/>
        <v>48.878400302112134</v>
      </c>
      <c r="Z37" s="70">
        <f t="shared" si="43"/>
        <v>-14.566014792137496</v>
      </c>
      <c r="AA37" s="70">
        <f t="shared" si="43"/>
        <v>181.38192777095358</v>
      </c>
      <c r="AB37" s="70">
        <f t="shared" si="43"/>
        <v>351.4340003966492</v>
      </c>
      <c r="AC37" s="70">
        <f t="shared" si="43"/>
        <v>11.073984540082849</v>
      </c>
      <c r="AD37" s="70">
        <f t="shared" si="43"/>
        <v>-1.4878883697324863</v>
      </c>
      <c r="AE37" s="70">
        <f t="shared" si="43"/>
        <v>20.902737548284129</v>
      </c>
      <c r="AF37" s="70">
        <f t="shared" si="43"/>
        <v>35.403274880761501</v>
      </c>
      <c r="AG37" s="288">
        <f>SUM(J37:AF37)</f>
        <v>6394.8116990179033</v>
      </c>
      <c r="AH37" s="284" t="s">
        <v>12</v>
      </c>
    </row>
    <row r="38" spans="1:61" ht="24" x14ac:dyDescent="0.2">
      <c r="A38" s="14"/>
      <c r="B38" s="13"/>
      <c r="C38" s="13"/>
      <c r="D38" s="304"/>
      <c r="E38" s="305"/>
      <c r="F38" s="305"/>
      <c r="I38" s="283" t="s">
        <v>13</v>
      </c>
      <c r="J38" s="70">
        <f>(J20-J22)*J36</f>
        <v>117.51441370538841</v>
      </c>
      <c r="K38" s="70">
        <f t="shared" ref="K38:AF38" si="44">(K20-K22)*K36</f>
        <v>9.5471847955022007</v>
      </c>
      <c r="L38" s="70">
        <f t="shared" si="44"/>
        <v>277.21497483602923</v>
      </c>
      <c r="M38" s="70">
        <f t="shared" si="44"/>
        <v>163.53337451559693</v>
      </c>
      <c r="N38" s="70">
        <f t="shared" si="44"/>
        <v>382.0263140452181</v>
      </c>
      <c r="O38" s="70">
        <f t="shared" si="44"/>
        <v>373.30796904446152</v>
      </c>
      <c r="P38" s="70">
        <f t="shared" si="44"/>
        <v>196.37303847265292</v>
      </c>
      <c r="Q38" s="70">
        <f t="shared" si="44"/>
        <v>616.87231809496791</v>
      </c>
      <c r="R38" s="70">
        <f t="shared" si="44"/>
        <v>181.73173804942363</v>
      </c>
      <c r="S38" s="70">
        <f t="shared" si="44"/>
        <v>158.30758552748347</v>
      </c>
      <c r="T38" s="70">
        <f t="shared" si="44"/>
        <v>261.86444723740999</v>
      </c>
      <c r="U38" s="70">
        <f t="shared" si="44"/>
        <v>420.04385475884601</v>
      </c>
      <c r="V38" s="70">
        <f t="shared" si="44"/>
        <v>120.48191348897937</v>
      </c>
      <c r="W38" s="70">
        <f t="shared" si="44"/>
        <v>309.28606073992455</v>
      </c>
      <c r="X38" s="70">
        <f t="shared" si="44"/>
        <v>46.978146377661417</v>
      </c>
      <c r="Y38" s="70">
        <f t="shared" si="44"/>
        <v>74.68254099675579</v>
      </c>
      <c r="Z38" s="70">
        <f t="shared" si="44"/>
        <v>14.434920659008259</v>
      </c>
      <c r="AA38" s="70">
        <f t="shared" si="44"/>
        <v>68.37104716902185</v>
      </c>
      <c r="AB38" s="70">
        <f t="shared" si="44"/>
        <v>349.85199439579213</v>
      </c>
      <c r="AC38" s="70">
        <f t="shared" si="44"/>
        <v>24.343111752656675</v>
      </c>
      <c r="AD38" s="70">
        <f>(AD20-AD22)*AD36</f>
        <v>1.4747949520788404</v>
      </c>
      <c r="AE38" s="70">
        <f t="shared" si="44"/>
        <v>98.911455084618908</v>
      </c>
      <c r="AF38" s="70">
        <f t="shared" si="44"/>
        <v>33.441753910543198</v>
      </c>
      <c r="AG38" s="288">
        <f>SUM(J38:AF38)</f>
        <v>4300.5949526100212</v>
      </c>
      <c r="AH38" s="285" t="s">
        <v>13</v>
      </c>
    </row>
    <row r="39" spans="1:61" ht="24" x14ac:dyDescent="0.2">
      <c r="A39" s="14"/>
      <c r="B39" s="13"/>
      <c r="C39" s="13"/>
      <c r="D39" s="304"/>
      <c r="E39" s="305"/>
      <c r="F39" s="305"/>
      <c r="I39" s="4" t="s">
        <v>14</v>
      </c>
      <c r="J39" s="70">
        <f>J23*J34</f>
        <v>10.993216020275428</v>
      </c>
      <c r="K39" s="70">
        <f t="shared" ref="K39:AF39" si="45">K23*K34</f>
        <v>3.8777999544150181</v>
      </c>
      <c r="L39" s="70">
        <f t="shared" si="45"/>
        <v>2.4547158764683705</v>
      </c>
      <c r="M39" s="70">
        <f t="shared" si="45"/>
        <v>1.2201596213093731</v>
      </c>
      <c r="N39" s="70">
        <f t="shared" si="45"/>
        <v>7.0915768633657397</v>
      </c>
      <c r="O39" s="70">
        <f t="shared" si="45"/>
        <v>0.77701429717175596</v>
      </c>
      <c r="P39" s="70">
        <f t="shared" si="45"/>
        <v>5.5259807086486736</v>
      </c>
      <c r="Q39" s="70">
        <f t="shared" si="45"/>
        <v>0.37657298154912228</v>
      </c>
      <c r="R39" s="70">
        <f t="shared" si="45"/>
        <v>0.14263929308051035</v>
      </c>
      <c r="S39" s="70">
        <f t="shared" si="45"/>
        <v>1.0983668287758466</v>
      </c>
      <c r="T39" s="70">
        <f t="shared" si="45"/>
        <v>0.23258177388507911</v>
      </c>
      <c r="U39" s="70">
        <f t="shared" si="45"/>
        <v>0.67567824076315708</v>
      </c>
      <c r="V39" s="70">
        <f t="shared" si="45"/>
        <v>3.3739836717445439</v>
      </c>
      <c r="W39" s="70">
        <f t="shared" si="45"/>
        <v>0.11814491547956248</v>
      </c>
      <c r="X39" s="70">
        <f t="shared" si="45"/>
        <v>1.964790730977056</v>
      </c>
      <c r="Y39" s="70">
        <f t="shared" si="45"/>
        <v>0.35218399043311593</v>
      </c>
      <c r="Z39" s="70">
        <f t="shared" si="45"/>
        <v>1.8641503698034374</v>
      </c>
      <c r="AA39" s="70">
        <f t="shared" si="45"/>
        <v>0.68618072229046423</v>
      </c>
      <c r="AB39" s="70">
        <f t="shared" si="45"/>
        <v>0.48565999603350807</v>
      </c>
      <c r="AC39" s="70">
        <f t="shared" si="45"/>
        <v>0.2335560927595029</v>
      </c>
      <c r="AD39" s="70">
        <f t="shared" si="45"/>
        <v>1.6198385115964333</v>
      </c>
      <c r="AE39" s="70">
        <f t="shared" si="45"/>
        <v>2.064526301077414</v>
      </c>
      <c r="AF39" s="70">
        <f t="shared" si="45"/>
        <v>0.9689508767885775</v>
      </c>
      <c r="AG39" s="288">
        <f t="shared" ref="AG39" si="46">SUM(J39:AF39)</f>
        <v>48.198268638691694</v>
      </c>
      <c r="AH39" s="284" t="s">
        <v>14</v>
      </c>
    </row>
    <row r="40" spans="1:61" ht="24" x14ac:dyDescent="0.2">
      <c r="A40" s="14"/>
      <c r="B40" s="13"/>
      <c r="C40" s="13"/>
      <c r="D40" s="309"/>
      <c r="E40" s="310"/>
      <c r="F40" s="310"/>
      <c r="I40" s="4" t="s">
        <v>15</v>
      </c>
      <c r="J40" s="70">
        <f>J21*J29</f>
        <v>204.82758620689654</v>
      </c>
      <c r="K40" s="70">
        <f t="shared" ref="K40:AF40" si="47">K21*K29</f>
        <v>0</v>
      </c>
      <c r="L40" s="70">
        <f t="shared" si="47"/>
        <v>210</v>
      </c>
      <c r="M40" s="70">
        <f t="shared" si="47"/>
        <v>130</v>
      </c>
      <c r="N40" s="70">
        <f t="shared" si="47"/>
        <v>285</v>
      </c>
      <c r="O40" s="70">
        <f t="shared" si="47"/>
        <v>161.6</v>
      </c>
      <c r="P40" s="70">
        <f t="shared" si="47"/>
        <v>146.27659574468086</v>
      </c>
      <c r="Q40" s="70">
        <f t="shared" si="47"/>
        <v>244.5</v>
      </c>
      <c r="R40" s="70">
        <f t="shared" si="47"/>
        <v>122.25</v>
      </c>
      <c r="S40" s="70">
        <f t="shared" si="47"/>
        <v>38.297872340425528</v>
      </c>
      <c r="T40" s="70">
        <f t="shared" si="47"/>
        <v>122.25</v>
      </c>
      <c r="U40" s="70">
        <f t="shared" si="47"/>
        <v>45.957446808510639</v>
      </c>
      <c r="V40" s="70">
        <f t="shared" si="47"/>
        <v>61.276595744680847</v>
      </c>
      <c r="W40" s="70">
        <f t="shared" si="47"/>
        <v>100</v>
      </c>
      <c r="X40" s="70">
        <f t="shared" si="47"/>
        <v>33.75</v>
      </c>
      <c r="Y40" s="70">
        <f t="shared" si="47"/>
        <v>47.58620689655173</v>
      </c>
      <c r="Z40" s="70">
        <f t="shared" si="47"/>
        <v>0</v>
      </c>
      <c r="AA40" s="70">
        <f t="shared" si="47"/>
        <v>45</v>
      </c>
      <c r="AB40" s="70">
        <f t="shared" si="47"/>
        <v>84.255319148936167</v>
      </c>
      <c r="AC40" s="70">
        <f t="shared" si="47"/>
        <v>3.1914893617021276</v>
      </c>
      <c r="AD40" s="70">
        <f t="shared" si="47"/>
        <v>0</v>
      </c>
      <c r="AE40" s="70">
        <f t="shared" si="47"/>
        <v>11.25</v>
      </c>
      <c r="AF40" s="70">
        <f t="shared" si="47"/>
        <v>12.379310344827587</v>
      </c>
      <c r="AG40" s="289">
        <f>SUM(J40:AF40)</f>
        <v>2109.6484225972117</v>
      </c>
      <c r="AH40" s="286" t="s">
        <v>15</v>
      </c>
      <c r="AI40" s="8"/>
    </row>
    <row r="41" spans="1:61" ht="24" x14ac:dyDescent="0.2">
      <c r="A41" s="14"/>
      <c r="B41" s="13"/>
      <c r="C41" s="13"/>
      <c r="D41" s="304"/>
      <c r="E41" s="305"/>
      <c r="F41" s="292"/>
      <c r="I41" s="75" t="s">
        <v>35</v>
      </c>
      <c r="J41" s="76">
        <f>J37+J38-J40-J39</f>
        <v>1335.5922764552643</v>
      </c>
      <c r="K41" s="76">
        <f t="shared" ref="K41:AF41" si="48">K37+K38-K40-K39</f>
        <v>-3.9414235056705551</v>
      </c>
      <c r="L41" s="76">
        <f t="shared" si="48"/>
        <v>986.57162390082601</v>
      </c>
      <c r="M41" s="76">
        <f t="shared" si="48"/>
        <v>117.06121962792038</v>
      </c>
      <c r="N41" s="76">
        <f t="shared" si="48"/>
        <v>830.96296616347456</v>
      </c>
      <c r="O41" s="76">
        <f t="shared" si="48"/>
        <v>796.36193667531927</v>
      </c>
      <c r="P41" s="76">
        <f t="shared" si="48"/>
        <v>734.07206963193391</v>
      </c>
      <c r="Q41" s="76">
        <f t="shared" si="48"/>
        <v>501.07502391624524</v>
      </c>
      <c r="R41" s="76">
        <f t="shared" si="48"/>
        <v>251.41469358520365</v>
      </c>
      <c r="S41" s="76">
        <f t="shared" si="48"/>
        <v>385.85020822897434</v>
      </c>
      <c r="T41" s="76">
        <f t="shared" si="48"/>
        <v>401.29217193912979</v>
      </c>
      <c r="U41" s="76">
        <f t="shared" si="48"/>
        <v>488.81577600273016</v>
      </c>
      <c r="V41" s="76">
        <f t="shared" si="48"/>
        <v>126.06273131314846</v>
      </c>
      <c r="W41" s="76">
        <f t="shared" si="48"/>
        <v>355.66563976963789</v>
      </c>
      <c r="X41" s="76">
        <f t="shared" si="48"/>
        <v>144.10837810323503</v>
      </c>
      <c r="Y41" s="76">
        <f t="shared" si="48"/>
        <v>75.622550411883083</v>
      </c>
      <c r="Z41" s="76">
        <f t="shared" si="48"/>
        <v>-1.995244502932674</v>
      </c>
      <c r="AA41" s="76">
        <f t="shared" si="48"/>
        <v>204.06679421768499</v>
      </c>
      <c r="AB41" s="76">
        <f t="shared" si="48"/>
        <v>616.5450156474717</v>
      </c>
      <c r="AC41" s="76">
        <f t="shared" si="48"/>
        <v>31.992050838277894</v>
      </c>
      <c r="AD41" s="76">
        <f t="shared" si="48"/>
        <v>-1.6329319292500792</v>
      </c>
      <c r="AE41" s="76">
        <f t="shared" si="48"/>
        <v>106.49966633182562</v>
      </c>
      <c r="AF41" s="76">
        <f t="shared" si="48"/>
        <v>55.496767569688537</v>
      </c>
      <c r="AG41" s="290">
        <f>SUM(J41:AF41)</f>
        <v>8537.5599603920182</v>
      </c>
      <c r="AH41" s="287" t="s">
        <v>35</v>
      </c>
    </row>
    <row r="42" spans="1:61" ht="24" x14ac:dyDescent="0.2">
      <c r="B42" s="13"/>
      <c r="C42" s="13"/>
      <c r="D42" s="304"/>
      <c r="E42" s="305"/>
      <c r="F42" s="305"/>
      <c r="I42" s="77" t="s">
        <v>38</v>
      </c>
      <c r="J42" s="7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59"/>
      <c r="AH42" s="14"/>
    </row>
    <row r="43" spans="1:61" x14ac:dyDescent="0.2">
      <c r="B43" s="13"/>
      <c r="C43" s="13"/>
      <c r="D43" s="13"/>
      <c r="I43" s="4" t="s">
        <v>7</v>
      </c>
      <c r="J43" s="70">
        <f t="shared" ref="J43:AF43" si="49">(J28-J2)/J3</f>
        <v>1.1351300393660122</v>
      </c>
      <c r="K43" s="70">
        <f t="shared" si="49"/>
        <v>0.46610098458575422</v>
      </c>
      <c r="L43" s="70">
        <f t="shared" si="49"/>
        <v>0.96253543028926947</v>
      </c>
      <c r="M43" s="70">
        <f t="shared" si="49"/>
        <v>5.9091057658577639E-2</v>
      </c>
      <c r="N43" s="70">
        <f t="shared" si="49"/>
        <v>0.72298670583443914</v>
      </c>
      <c r="O43" s="70">
        <f t="shared" si="49"/>
        <v>1.0063812743522742</v>
      </c>
      <c r="P43" s="70">
        <f t="shared" si="49"/>
        <v>0.9932037176048184</v>
      </c>
      <c r="Q43" s="70">
        <f t="shared" si="49"/>
        <v>0.47932422314117468</v>
      </c>
      <c r="R43" s="70">
        <f t="shared" si="49"/>
        <v>0.47932422314117457</v>
      </c>
      <c r="S43" s="70">
        <f t="shared" si="49"/>
        <v>1.3542324833604702</v>
      </c>
      <c r="T43" s="70">
        <f t="shared" si="49"/>
        <v>0.75094134127003309</v>
      </c>
      <c r="U43" s="70">
        <f t="shared" si="49"/>
        <v>1.3816053052727271</v>
      </c>
      <c r="V43" s="70">
        <f t="shared" si="49"/>
        <v>0.50274553135337519</v>
      </c>
      <c r="W43" s="70">
        <f t="shared" si="49"/>
        <v>0.79453783921199339</v>
      </c>
      <c r="X43" s="70">
        <f t="shared" si="49"/>
        <v>0.92671472761739049</v>
      </c>
      <c r="Y43" s="70">
        <f t="shared" si="49"/>
        <v>0.34017604313229527</v>
      </c>
      <c r="Z43" s="70">
        <f t="shared" si="49"/>
        <v>0.16605935979545239</v>
      </c>
      <c r="AA43" s="70">
        <f t="shared" si="49"/>
        <v>0.93351052499076737</v>
      </c>
      <c r="AB43" s="70">
        <f t="shared" si="49"/>
        <v>1.1915800211191643</v>
      </c>
      <c r="AC43" s="70">
        <f t="shared" si="49"/>
        <v>1.3542324833604704</v>
      </c>
      <c r="AD43" s="70">
        <f t="shared" si="49"/>
        <v>0.17827361809369144</v>
      </c>
      <c r="AE43" s="70">
        <f t="shared" si="49"/>
        <v>1.3397359033623963</v>
      </c>
      <c r="AF43" s="70">
        <f t="shared" si="49"/>
        <v>0.93876576449697902</v>
      </c>
      <c r="AG43" s="14"/>
      <c r="AH43" s="15"/>
    </row>
    <row r="44" spans="1:61" x14ac:dyDescent="0.2">
      <c r="B44" s="15"/>
      <c r="C44" s="15"/>
      <c r="D44" s="15"/>
      <c r="I44" s="70" t="s">
        <v>16</v>
      </c>
      <c r="J44" s="70">
        <f>NORMDIST(J43,0,1,FALSE)</f>
        <v>0.20946499616169814</v>
      </c>
      <c r="K44" s="70">
        <f t="shared" ref="K44:AF44" si="50">NORMDIST(K43,0,1,FALSE)</f>
        <v>0.35787783382410876</v>
      </c>
      <c r="L44" s="70">
        <f t="shared" si="50"/>
        <v>0.25103177343140404</v>
      </c>
      <c r="M44" s="70">
        <f t="shared" si="50"/>
        <v>0.39824638408152674</v>
      </c>
      <c r="N44" s="70">
        <f t="shared" si="50"/>
        <v>0.30718858960499912</v>
      </c>
      <c r="O44" s="70">
        <f t="shared" si="50"/>
        <v>0.2404266638658796</v>
      </c>
      <c r="P44" s="70">
        <f t="shared" si="50"/>
        <v>0.24361520053195801</v>
      </c>
      <c r="Q44" s="70">
        <f t="shared" si="50"/>
        <v>0.35564779111912215</v>
      </c>
      <c r="R44" s="70">
        <f t="shared" si="50"/>
        <v>0.3556477911191222</v>
      </c>
      <c r="S44" s="70">
        <f t="shared" si="50"/>
        <v>0.15946810543162696</v>
      </c>
      <c r="T44" s="70">
        <f t="shared" si="50"/>
        <v>0.30092476903938309</v>
      </c>
      <c r="U44" s="70">
        <f t="shared" si="50"/>
        <v>0.15360742140706132</v>
      </c>
      <c r="V44" s="70">
        <f t="shared" si="50"/>
        <v>0.35158103004576519</v>
      </c>
      <c r="W44" s="70">
        <f t="shared" si="50"/>
        <v>0.29095585563278048</v>
      </c>
      <c r="X44" s="70">
        <f t="shared" si="50"/>
        <v>0.25967131354278566</v>
      </c>
      <c r="Y44" s="70">
        <f t="shared" si="50"/>
        <v>0.37651461916773671</v>
      </c>
      <c r="Z44" s="70">
        <f t="shared" si="50"/>
        <v>0.39347946866270067</v>
      </c>
      <c r="AA44" s="70">
        <f t="shared" si="50"/>
        <v>0.25803514475965933</v>
      </c>
      <c r="AB44" s="70">
        <f t="shared" si="50"/>
        <v>0.19615109839535771</v>
      </c>
      <c r="AC44" s="70">
        <f t="shared" si="50"/>
        <v>0.1594681054316269</v>
      </c>
      <c r="AD44" s="70">
        <f t="shared" si="50"/>
        <v>0.39265289560907285</v>
      </c>
      <c r="AE44" s="70">
        <f t="shared" si="50"/>
        <v>0.16261258626118288</v>
      </c>
      <c r="AF44" s="70">
        <f t="shared" si="50"/>
        <v>0.25676882474586771</v>
      </c>
      <c r="AG44" s="15"/>
      <c r="AH44" s="14"/>
    </row>
    <row r="45" spans="1:61" x14ac:dyDescent="0.2">
      <c r="B45" s="15"/>
      <c r="C45" s="15"/>
      <c r="D45" s="15"/>
      <c r="I45" s="70" t="s">
        <v>17</v>
      </c>
      <c r="J45" s="70">
        <f>NORMDIST(J43,0,1,TRUE)</f>
        <v>0.87183958151700103</v>
      </c>
      <c r="K45" s="70">
        <f t="shared" ref="K45:AF45" si="51">NORMDIST(K43,0,1,TRUE)</f>
        <v>0.67942839071826711</v>
      </c>
      <c r="L45" s="70">
        <f t="shared" si="51"/>
        <v>0.83210964268232979</v>
      </c>
      <c r="M45" s="70">
        <f t="shared" si="51"/>
        <v>0.52356020942408377</v>
      </c>
      <c r="N45" s="70">
        <f t="shared" si="51"/>
        <v>0.76515597410241298</v>
      </c>
      <c r="O45" s="70">
        <f t="shared" si="51"/>
        <v>0.84288390107622424</v>
      </c>
      <c r="P45" s="70">
        <f t="shared" si="51"/>
        <v>0.83969465648854957</v>
      </c>
      <c r="Q45" s="70">
        <f t="shared" si="51"/>
        <v>0.68414600387550928</v>
      </c>
      <c r="R45" s="70">
        <f t="shared" si="51"/>
        <v>0.68414600387550917</v>
      </c>
      <c r="S45" s="70">
        <f t="shared" si="51"/>
        <v>0.91216889065923124</v>
      </c>
      <c r="T45" s="70">
        <f t="shared" si="51"/>
        <v>0.77365602063082739</v>
      </c>
      <c r="U45" s="70">
        <f t="shared" si="51"/>
        <v>0.91645353793691409</v>
      </c>
      <c r="V45" s="70">
        <f t="shared" si="51"/>
        <v>0.69242840329541</v>
      </c>
      <c r="W45" s="70">
        <f t="shared" si="51"/>
        <v>0.78655880522713151</v>
      </c>
      <c r="X45" s="70">
        <f t="shared" si="51"/>
        <v>0.82296266559614639</v>
      </c>
      <c r="Y45" s="70">
        <f t="shared" si="51"/>
        <v>0.63313802083333348</v>
      </c>
      <c r="Z45" s="70">
        <f t="shared" si="51"/>
        <v>0.56594488188976377</v>
      </c>
      <c r="AA45" s="70">
        <f t="shared" si="51"/>
        <v>0.82472178060413337</v>
      </c>
      <c r="AB45" s="70">
        <f t="shared" si="51"/>
        <v>0.88328701865819759</v>
      </c>
      <c r="AC45" s="70">
        <f t="shared" si="51"/>
        <v>0.91216889065923124</v>
      </c>
      <c r="AD45" s="70">
        <f t="shared" si="51"/>
        <v>0.57074595168569142</v>
      </c>
      <c r="AE45" s="70">
        <f t="shared" si="51"/>
        <v>0.9098343896953589</v>
      </c>
      <c r="AF45" s="70">
        <f t="shared" si="51"/>
        <v>0.82607449006832057</v>
      </c>
      <c r="AG45" s="14"/>
      <c r="AH45" s="14"/>
      <c r="BF45" s="21"/>
      <c r="BH45" s="21"/>
    </row>
    <row r="46" spans="1:61" x14ac:dyDescent="0.2">
      <c r="B46" s="15"/>
      <c r="C46" s="15"/>
      <c r="D46" s="15"/>
      <c r="I46" s="4" t="s">
        <v>8</v>
      </c>
      <c r="J46" s="70">
        <f>J44-(J43*(1-J45))</f>
        <v>6.3986255283926929E-2</v>
      </c>
      <c r="K46" s="70">
        <f t="shared" ref="K46:AF46" si="52">K44-(K43*(1-K45))</f>
        <v>0.20845909110765334</v>
      </c>
      <c r="L46" s="70">
        <f t="shared" si="52"/>
        <v>8.943135610922115E-2</v>
      </c>
      <c r="M46" s="70">
        <f t="shared" si="52"/>
        <v>0.37009305294576461</v>
      </c>
      <c r="N46" s="70">
        <f t="shared" si="52"/>
        <v>0.13739948093640497</v>
      </c>
      <c r="O46" s="70">
        <f t="shared" si="52"/>
        <v>8.2307964009712187E-2</v>
      </c>
      <c r="P46" s="70">
        <f t="shared" si="52"/>
        <v>8.4399337404467978E-2</v>
      </c>
      <c r="Q46" s="70">
        <f t="shared" si="52"/>
        <v>0.20425131980071504</v>
      </c>
      <c r="R46" s="70">
        <f t="shared" si="52"/>
        <v>0.20425131980071506</v>
      </c>
      <c r="S46" s="70">
        <f t="shared" si="52"/>
        <v>4.0524364112772687E-2</v>
      </c>
      <c r="T46" s="70">
        <f t="shared" si="52"/>
        <v>0.13095371758349991</v>
      </c>
      <c r="U46" s="70">
        <f t="shared" si="52"/>
        <v>3.8179186183935204E-2</v>
      </c>
      <c r="V46" s="70">
        <f t="shared" si="52"/>
        <v>0.19695078423131007</v>
      </c>
      <c r="W46" s="70">
        <f t="shared" si="52"/>
        <v>0.12136874993911934</v>
      </c>
      <c r="X46" s="70">
        <f t="shared" si="52"/>
        <v>9.5608208412609585E-2</v>
      </c>
      <c r="Y46" s="70">
        <f t="shared" si="52"/>
        <v>0.25171696271913757</v>
      </c>
      <c r="Z46" s="70">
        <f t="shared" si="52"/>
        <v>0.32140055363337539</v>
      </c>
      <c r="AA46" s="70">
        <f t="shared" si="52"/>
        <v>9.4411082151976966E-2</v>
      </c>
      <c r="AB46" s="70">
        <f t="shared" si="52"/>
        <v>5.7078241623212178E-2</v>
      </c>
      <c r="AC46" s="70">
        <f t="shared" si="52"/>
        <v>4.0524364112772604E-2</v>
      </c>
      <c r="AD46" s="70">
        <f t="shared" si="52"/>
        <v>0.3161282233347168</v>
      </c>
      <c r="AE46" s="70">
        <f t="shared" si="52"/>
        <v>4.1814480887472749E-2</v>
      </c>
      <c r="AF46" s="70">
        <f t="shared" si="52"/>
        <v>9.3493510449327744E-2</v>
      </c>
      <c r="AG46" s="14"/>
      <c r="AH46" s="14"/>
      <c r="BG46" s="13"/>
      <c r="BH46" s="13"/>
      <c r="BI46" s="21"/>
    </row>
    <row r="47" spans="1:61" x14ac:dyDescent="0.2">
      <c r="B47" s="15"/>
      <c r="C47" s="15"/>
      <c r="D47" s="15"/>
      <c r="I47" s="4" t="s">
        <v>9</v>
      </c>
      <c r="J47" s="74">
        <f t="shared" ref="J47:AF47" si="53">J46*J3</f>
        <v>1.2675677171745925</v>
      </c>
      <c r="K47" s="74">
        <f t="shared" si="53"/>
        <v>0.17510563653042879</v>
      </c>
      <c r="L47" s="74">
        <f t="shared" si="53"/>
        <v>0.64837733179185331</v>
      </c>
      <c r="M47" s="74">
        <f t="shared" si="53"/>
        <v>1.1916996304853622</v>
      </c>
      <c r="N47" s="74">
        <f t="shared" si="53"/>
        <v>1.7106235376582417</v>
      </c>
      <c r="O47" s="74">
        <f t="shared" si="53"/>
        <v>0.39507822724661851</v>
      </c>
      <c r="P47" s="74">
        <f t="shared" si="53"/>
        <v>1.3166296635097003</v>
      </c>
      <c r="Q47" s="74">
        <f t="shared" si="53"/>
        <v>1.8831971685625928</v>
      </c>
      <c r="R47" s="74">
        <f t="shared" si="53"/>
        <v>0.59028631422406652</v>
      </c>
      <c r="S47" s="74">
        <f t="shared" si="53"/>
        <v>0.3464833131642065</v>
      </c>
      <c r="T47" s="74">
        <f t="shared" si="53"/>
        <v>0.44000449108055967</v>
      </c>
      <c r="U47" s="74">
        <f t="shared" si="53"/>
        <v>0.30123377899124876</v>
      </c>
      <c r="V47" s="74">
        <f t="shared" si="53"/>
        <v>1.2388204328149404</v>
      </c>
      <c r="W47" s="74">
        <f t="shared" si="53"/>
        <v>0.37260206231309634</v>
      </c>
      <c r="X47" s="74">
        <f t="shared" si="53"/>
        <v>0.18834817057284087</v>
      </c>
      <c r="Y47" s="74">
        <f t="shared" si="53"/>
        <v>0.35743808706117536</v>
      </c>
      <c r="Z47" s="74">
        <f t="shared" si="53"/>
        <v>0.49817085813173184</v>
      </c>
      <c r="AA47" s="74">
        <f t="shared" si="53"/>
        <v>0.32477412260280075</v>
      </c>
      <c r="AB47" s="74">
        <f t="shared" si="53"/>
        <v>0.4434979374123586</v>
      </c>
      <c r="AC47" s="74">
        <f t="shared" si="53"/>
        <v>6.3218008015925267E-2</v>
      </c>
      <c r="AD47" s="74">
        <f t="shared" si="53"/>
        <v>0.38251515023500732</v>
      </c>
      <c r="AE47" s="74">
        <f t="shared" si="53"/>
        <v>8.6555975437068583E-2</v>
      </c>
      <c r="AF47" s="74">
        <f t="shared" si="53"/>
        <v>0.11125727743470001</v>
      </c>
      <c r="AG47" s="14"/>
      <c r="AH47" s="14"/>
      <c r="AL47" s="8"/>
      <c r="BG47" s="13"/>
      <c r="BH47" s="13"/>
      <c r="BI47" s="22"/>
    </row>
    <row r="48" spans="1:61" x14ac:dyDescent="0.2">
      <c r="B48" s="15"/>
      <c r="C48" s="15"/>
      <c r="D48" s="15"/>
      <c r="I48" s="4" t="s">
        <v>10</v>
      </c>
      <c r="J48" s="74">
        <f t="shared" ref="J48:AF48" si="54">J2-J47</f>
        <v>45.732432282825407</v>
      </c>
      <c r="K48" s="74">
        <f t="shared" si="54"/>
        <v>0.82489436346957123</v>
      </c>
      <c r="L48" s="74">
        <f t="shared" si="54"/>
        <v>16.351622668208147</v>
      </c>
      <c r="M48" s="74">
        <f t="shared" si="54"/>
        <v>0.8083003695146378</v>
      </c>
      <c r="N48" s="74">
        <f t="shared" si="54"/>
        <v>17.289376462341757</v>
      </c>
      <c r="O48" s="74">
        <f t="shared" si="54"/>
        <v>9.6049217727533822</v>
      </c>
      <c r="P48" s="74">
        <f t="shared" si="54"/>
        <v>21.683370336490299</v>
      </c>
      <c r="Q48" s="74">
        <f t="shared" si="54"/>
        <v>1.1168028314374072</v>
      </c>
      <c r="R48" s="74">
        <f t="shared" si="54"/>
        <v>3.4097136857759334</v>
      </c>
      <c r="S48" s="74">
        <f t="shared" si="54"/>
        <v>8.6535166868357933</v>
      </c>
      <c r="T48" s="74">
        <f t="shared" si="54"/>
        <v>3.5599955089194402</v>
      </c>
      <c r="U48" s="74">
        <f t="shared" si="54"/>
        <v>2.6987662210087513</v>
      </c>
      <c r="V48" s="74">
        <f t="shared" si="54"/>
        <v>2.7611795671850596</v>
      </c>
      <c r="W48" s="74">
        <f t="shared" si="54"/>
        <v>1.6273979376869037</v>
      </c>
      <c r="X48" s="74">
        <f t="shared" si="54"/>
        <v>2.8116518294271593</v>
      </c>
      <c r="Y48" s="74">
        <f t="shared" si="54"/>
        <v>0.6425619129388247</v>
      </c>
      <c r="Z48" s="74">
        <f t="shared" si="54"/>
        <v>0.5018291418682681</v>
      </c>
      <c r="AA48" s="74">
        <f t="shared" si="54"/>
        <v>4.6752258773971995</v>
      </c>
      <c r="AB48" s="74">
        <f t="shared" si="54"/>
        <v>7.5565020625876418</v>
      </c>
      <c r="AC48" s="74">
        <f t="shared" si="54"/>
        <v>0.93678199198407475</v>
      </c>
      <c r="AD48" s="74">
        <f t="shared" si="54"/>
        <v>1.6174848497649927</v>
      </c>
      <c r="AE48" s="74">
        <f t="shared" si="54"/>
        <v>0.91344402456293139</v>
      </c>
      <c r="AF48" s="74">
        <f t="shared" si="54"/>
        <v>0.88874272256529996</v>
      </c>
      <c r="AG48" s="14"/>
      <c r="AH48" s="14"/>
      <c r="BG48" s="13"/>
      <c r="BH48" s="13"/>
      <c r="BI48" s="22"/>
    </row>
    <row r="49" spans="2:61" x14ac:dyDescent="0.2">
      <c r="B49" s="15"/>
      <c r="C49" s="15"/>
      <c r="D49" s="15"/>
      <c r="I49" s="4" t="s">
        <v>11</v>
      </c>
      <c r="J49" s="74">
        <f>J28-J48</f>
        <v>23.754493797015293</v>
      </c>
      <c r="K49" s="74">
        <f t="shared" ref="K49:AF49" si="55">K28-K48</f>
        <v>0.56663046358246227</v>
      </c>
      <c r="L49" s="74">
        <f t="shared" si="55"/>
        <v>7.6267592013890564</v>
      </c>
      <c r="M49" s="74">
        <f t="shared" si="55"/>
        <v>1.3819728361459822</v>
      </c>
      <c r="N49" s="74">
        <f t="shared" si="55"/>
        <v>10.71180802529701</v>
      </c>
      <c r="O49" s="74">
        <f t="shared" si="55"/>
        <v>5.2257083441375336</v>
      </c>
      <c r="P49" s="74">
        <f t="shared" si="55"/>
        <v>16.810607658144868</v>
      </c>
      <c r="Q49" s="74">
        <f t="shared" si="55"/>
        <v>6.302566505924224</v>
      </c>
      <c r="R49" s="74">
        <f t="shared" si="55"/>
        <v>1.9755333191020612</v>
      </c>
      <c r="S49" s="74">
        <f t="shared" si="55"/>
        <v>11.925171045896228</v>
      </c>
      <c r="T49" s="74">
        <f t="shared" si="55"/>
        <v>2.963167397747871</v>
      </c>
      <c r="U49" s="74">
        <f t="shared" si="55"/>
        <v>11.202099637593065</v>
      </c>
      <c r="V49" s="74">
        <f t="shared" si="55"/>
        <v>4.40108982502767</v>
      </c>
      <c r="W49" s="74">
        <f t="shared" si="55"/>
        <v>2.8118332286939163</v>
      </c>
      <c r="X49" s="74">
        <f t="shared" si="55"/>
        <v>2.0139761839790999</v>
      </c>
      <c r="Y49" s="74">
        <f t="shared" si="55"/>
        <v>0.84048806830903455</v>
      </c>
      <c r="Z49" s="74">
        <f t="shared" si="55"/>
        <v>0.75556286581468313</v>
      </c>
      <c r="AA49" s="74">
        <f t="shared" si="55"/>
        <v>3.5360503285710401</v>
      </c>
      <c r="AB49" s="74">
        <f t="shared" si="55"/>
        <v>9.7020747015082645</v>
      </c>
      <c r="AC49" s="74">
        <f t="shared" si="55"/>
        <v>2.1758206820582591</v>
      </c>
      <c r="AD49" s="74">
        <f t="shared" si="55"/>
        <v>0.59822622812837389</v>
      </c>
      <c r="AE49" s="74">
        <f t="shared" si="55"/>
        <v>2.8598092953972287</v>
      </c>
      <c r="AF49" s="74">
        <f t="shared" si="55"/>
        <v>1.228388537186105</v>
      </c>
      <c r="AG49" s="14"/>
      <c r="AH49" s="51"/>
      <c r="BG49" s="13"/>
      <c r="BH49" s="13"/>
      <c r="BI49" s="22"/>
    </row>
    <row r="50" spans="2:61" x14ac:dyDescent="0.2">
      <c r="B50" s="15"/>
      <c r="C50" s="15"/>
      <c r="D50" s="15"/>
      <c r="I50" s="4" t="s">
        <v>12</v>
      </c>
      <c r="J50" s="70">
        <f>J48*J20</f>
        <v>2286.6216141412701</v>
      </c>
      <c r="K50" s="70">
        <f t="shared" ref="K50:AF50" si="56">K48*K20</f>
        <v>164.97887269391424</v>
      </c>
      <c r="L50" s="70">
        <f t="shared" si="56"/>
        <v>981.09736009248888</v>
      </c>
      <c r="M50" s="70">
        <f t="shared" si="56"/>
        <v>40.415018475731891</v>
      </c>
      <c r="N50" s="70">
        <f t="shared" si="56"/>
        <v>778.02194080537902</v>
      </c>
      <c r="O50" s="70">
        <f t="shared" si="56"/>
        <v>576.29530636520292</v>
      </c>
      <c r="P50" s="70">
        <f t="shared" si="56"/>
        <v>1084.1685168245149</v>
      </c>
      <c r="Q50" s="70">
        <f t="shared" si="56"/>
        <v>55.840141571870362</v>
      </c>
      <c r="R50" s="70">
        <f t="shared" si="56"/>
        <v>170.48568428879668</v>
      </c>
      <c r="S50" s="70">
        <f t="shared" si="56"/>
        <v>432.67583434178965</v>
      </c>
      <c r="T50" s="70">
        <f t="shared" si="56"/>
        <v>249.19968562436082</v>
      </c>
      <c r="U50" s="70">
        <f t="shared" si="56"/>
        <v>188.9136354706126</v>
      </c>
      <c r="V50" s="70">
        <f t="shared" si="56"/>
        <v>138.05897835925299</v>
      </c>
      <c r="W50" s="70">
        <f t="shared" si="56"/>
        <v>130.19183501495229</v>
      </c>
      <c r="X50" s="70">
        <f t="shared" si="56"/>
        <v>168.69910976562954</v>
      </c>
      <c r="Y50" s="70">
        <f t="shared" si="56"/>
        <v>38.553714776329485</v>
      </c>
      <c r="Z50" s="70">
        <f t="shared" si="56"/>
        <v>30.109748512096086</v>
      </c>
      <c r="AA50" s="70">
        <f t="shared" si="56"/>
        <v>233.76129386985997</v>
      </c>
      <c r="AB50" s="70">
        <f t="shared" si="56"/>
        <v>377.82510312938211</v>
      </c>
      <c r="AC50" s="70">
        <f t="shared" si="56"/>
        <v>46.839099599203735</v>
      </c>
      <c r="AD50" s="70">
        <f t="shared" si="56"/>
        <v>97.049090985899568</v>
      </c>
      <c r="AE50" s="70">
        <f t="shared" si="56"/>
        <v>109.61328294755177</v>
      </c>
      <c r="AF50" s="70">
        <f t="shared" si="56"/>
        <v>88.874272256529991</v>
      </c>
      <c r="AG50" s="186">
        <f>SUM(J50:AF50)</f>
        <v>8468.2891399126183</v>
      </c>
      <c r="AH50" s="284" t="s">
        <v>12</v>
      </c>
      <c r="BG50" s="13"/>
      <c r="BH50" s="13"/>
      <c r="BI50" s="23"/>
    </row>
    <row r="51" spans="2:61" x14ac:dyDescent="0.2">
      <c r="B51" s="15"/>
      <c r="C51" s="15"/>
      <c r="D51" s="15"/>
      <c r="I51" s="283" t="s">
        <v>13</v>
      </c>
      <c r="J51" s="70">
        <f>(J20-J22)*J49</f>
        <v>1184.5890966695588</v>
      </c>
      <c r="K51" s="70">
        <f t="shared" ref="K51:AF51" si="57">(K20-K22)*K49</f>
        <v>112.57587398270927</v>
      </c>
      <c r="L51" s="70">
        <f t="shared" si="57"/>
        <v>456.00393265105168</v>
      </c>
      <c r="M51" s="70">
        <f t="shared" si="57"/>
        <v>68.380015932503198</v>
      </c>
      <c r="N51" s="70">
        <f t="shared" si="57"/>
        <v>479.58906890859771</v>
      </c>
      <c r="O51" s="70">
        <f t="shared" si="57"/>
        <v>312.48690756273623</v>
      </c>
      <c r="P51" s="70">
        <f t="shared" si="57"/>
        <v>837.75663264364948</v>
      </c>
      <c r="Q51" s="70">
        <f t="shared" si="57"/>
        <v>313.07368861527988</v>
      </c>
      <c r="R51" s="70">
        <f t="shared" si="57"/>
        <v>98.132642093075788</v>
      </c>
      <c r="S51" s="70">
        <f t="shared" si="57"/>
        <v>595.18528690068069</v>
      </c>
      <c r="T51" s="70">
        <f t="shared" si="57"/>
        <v>206.45572527068518</v>
      </c>
      <c r="U51" s="70">
        <f t="shared" si="57"/>
        <v>782.80272267500334</v>
      </c>
      <c r="V51" s="70">
        <f t="shared" si="57"/>
        <v>218.64614250737463</v>
      </c>
      <c r="W51" s="70">
        <f t="shared" si="57"/>
        <v>223.96251666547045</v>
      </c>
      <c r="X51" s="70">
        <f t="shared" si="57"/>
        <v>120.3854263973507</v>
      </c>
      <c r="Y51" s="70">
        <f t="shared" si="57"/>
        <v>50.042659587119914</v>
      </c>
      <c r="Z51" s="70">
        <f t="shared" si="57"/>
        <v>44.925768001341062</v>
      </c>
      <c r="AA51" s="70">
        <f t="shared" si="57"/>
        <v>176.16602736940922</v>
      </c>
      <c r="AB51" s="70">
        <f t="shared" si="57"/>
        <v>483.93948611123227</v>
      </c>
      <c r="AC51" s="70">
        <f t="shared" si="57"/>
        <v>108.59521024152771</v>
      </c>
      <c r="AD51" s="70">
        <f t="shared" si="57"/>
        <v>35.577710239250656</v>
      </c>
      <c r="AE51" s="70">
        <f t="shared" si="57"/>
        <v>342.53365835620309</v>
      </c>
      <c r="AF51" s="70">
        <f t="shared" si="57"/>
        <v>122.39786223376069</v>
      </c>
      <c r="AG51" s="51">
        <f>SUM(J51:AF51)</f>
        <v>7374.2040616155718</v>
      </c>
      <c r="AH51" s="285" t="s">
        <v>13</v>
      </c>
      <c r="BG51" s="13"/>
      <c r="BI51" s="23"/>
    </row>
    <row r="52" spans="2:61" x14ac:dyDescent="0.2">
      <c r="B52" s="15"/>
      <c r="C52" s="15"/>
      <c r="D52" s="15"/>
      <c r="I52" s="4" t="s">
        <v>14</v>
      </c>
      <c r="J52" s="70">
        <f>J47*J23</f>
        <v>0.76054063030475549</v>
      </c>
      <c r="K52" s="70">
        <f t="shared" ref="K52:AF52" si="58">K47*K23</f>
        <v>0.6478908551625866</v>
      </c>
      <c r="L52" s="70">
        <f t="shared" si="58"/>
        <v>0.97256599768777996</v>
      </c>
      <c r="M52" s="70">
        <f t="shared" si="58"/>
        <v>4.7667985219414488</v>
      </c>
      <c r="N52" s="70">
        <f t="shared" si="58"/>
        <v>4.7897459054430769</v>
      </c>
      <c r="O52" s="70">
        <f t="shared" si="58"/>
        <v>1.2642503271891794</v>
      </c>
      <c r="P52" s="70">
        <f t="shared" si="58"/>
        <v>0.78997779810582014</v>
      </c>
      <c r="Q52" s="70">
        <f t="shared" si="58"/>
        <v>1.6948774517063334</v>
      </c>
      <c r="R52" s="70">
        <f t="shared" si="58"/>
        <v>0.53125768280165986</v>
      </c>
      <c r="S52" s="70">
        <f t="shared" si="58"/>
        <v>0.10394499394926195</v>
      </c>
      <c r="T52" s="70">
        <f t="shared" si="58"/>
        <v>0.39600404197250366</v>
      </c>
      <c r="U52" s="70">
        <f t="shared" si="58"/>
        <v>0.15061688949562438</v>
      </c>
      <c r="V52" s="70">
        <f t="shared" si="58"/>
        <v>1.6104665626594226</v>
      </c>
      <c r="W52" s="70">
        <f t="shared" si="58"/>
        <v>0.26082144361916748</v>
      </c>
      <c r="X52" s="70">
        <f t="shared" si="58"/>
        <v>0.4708704264321022</v>
      </c>
      <c r="Y52" s="70">
        <f t="shared" si="58"/>
        <v>0.67913236541623323</v>
      </c>
      <c r="Z52" s="70">
        <f t="shared" si="58"/>
        <v>0.74725628719759773</v>
      </c>
      <c r="AA52" s="70">
        <f t="shared" si="58"/>
        <v>0.16238706130140038</v>
      </c>
      <c r="AB52" s="70">
        <f t="shared" si="58"/>
        <v>0.2217489687061793</v>
      </c>
      <c r="AC52" s="70">
        <f t="shared" si="58"/>
        <v>1.8965402404777579E-2</v>
      </c>
      <c r="AD52" s="70">
        <f t="shared" si="58"/>
        <v>0.30601212018800589</v>
      </c>
      <c r="AE52" s="70">
        <f t="shared" si="58"/>
        <v>0.21638993859267147</v>
      </c>
      <c r="AF52" s="70">
        <f t="shared" si="58"/>
        <v>0.16688591615205001</v>
      </c>
      <c r="AG52" s="51">
        <f>SUM(J52:AF52)</f>
        <v>21.729407588429638</v>
      </c>
      <c r="AH52" s="284" t="s">
        <v>14</v>
      </c>
      <c r="BG52" s="13"/>
    </row>
    <row r="53" spans="2:61" x14ac:dyDescent="0.2">
      <c r="B53" s="15"/>
      <c r="C53" s="15"/>
      <c r="D53" s="15"/>
      <c r="I53" s="4" t="s">
        <v>37</v>
      </c>
      <c r="J53" s="70">
        <f>J21*J28</f>
        <v>458.6137121269486</v>
      </c>
      <c r="K53" s="70">
        <f t="shared" ref="K53:AF53" si="59">K21*K28</f>
        <v>92.118943550844619</v>
      </c>
      <c r="L53" s="70">
        <f t="shared" si="59"/>
        <v>251.77300963077064</v>
      </c>
      <c r="M53" s="70">
        <f t="shared" si="59"/>
        <v>56.947103347176117</v>
      </c>
      <c r="N53" s="70">
        <f t="shared" si="59"/>
        <v>319.21350315908194</v>
      </c>
      <c r="O53" s="70">
        <f t="shared" si="59"/>
        <v>149.78936418059826</v>
      </c>
      <c r="P53" s="70">
        <f t="shared" si="59"/>
        <v>317.5753184557401</v>
      </c>
      <c r="Q53" s="70">
        <f t="shared" si="59"/>
        <v>120.93572019899459</v>
      </c>
      <c r="R53" s="70">
        <f t="shared" si="59"/>
        <v>87.779526179511322</v>
      </c>
      <c r="S53" s="70">
        <f t="shared" si="59"/>
        <v>92.604094797294096</v>
      </c>
      <c r="T53" s="70">
        <f t="shared" si="59"/>
        <v>106.32755537867718</v>
      </c>
      <c r="U53" s="70">
        <f t="shared" si="59"/>
        <v>83.405195151610897</v>
      </c>
      <c r="V53" s="70">
        <f t="shared" si="59"/>
        <v>114.59631027540368</v>
      </c>
      <c r="W53" s="70">
        <f t="shared" si="59"/>
        <v>77.686545411664341</v>
      </c>
      <c r="X53" s="70">
        <f t="shared" si="59"/>
        <v>54.288315150820416</v>
      </c>
      <c r="Y53" s="70">
        <f t="shared" si="59"/>
        <v>34.110149568700763</v>
      </c>
      <c r="Z53" s="70">
        <f t="shared" si="59"/>
        <v>33.949584207439685</v>
      </c>
      <c r="AA53" s="70">
        <f t="shared" si="59"/>
        <v>73.901485853714149</v>
      </c>
      <c r="AB53" s="70">
        <f t="shared" si="59"/>
        <v>103.55146058457544</v>
      </c>
      <c r="AC53" s="70">
        <f t="shared" si="59"/>
        <v>14.006712033190503</v>
      </c>
      <c r="AD53" s="70">
        <f t="shared" si="59"/>
        <v>58.494772456384887</v>
      </c>
      <c r="AE53" s="70">
        <f t="shared" si="59"/>
        <v>42.4490998495518</v>
      </c>
      <c r="AF53" s="70">
        <f t="shared" si="59"/>
        <v>38.002506112537716</v>
      </c>
      <c r="AG53" s="67">
        <f>SUM(J53:AF53)</f>
        <v>2782.1199876612313</v>
      </c>
      <c r="AH53" s="286" t="s">
        <v>15</v>
      </c>
      <c r="BG53" s="13"/>
    </row>
    <row r="54" spans="2:61" x14ac:dyDescent="0.2">
      <c r="B54" s="15"/>
      <c r="C54" s="15"/>
      <c r="D54" s="15"/>
      <c r="I54" s="78" t="s">
        <v>36</v>
      </c>
      <c r="J54" s="79">
        <f>J50+J51-J53-J52</f>
        <v>3011.8364580535758</v>
      </c>
      <c r="K54" s="79">
        <f t="shared" ref="K54:AF54" si="60">K50+K51-K53-K52</f>
        <v>184.78791227061629</v>
      </c>
      <c r="L54" s="79">
        <f t="shared" si="60"/>
        <v>1184.3557171150821</v>
      </c>
      <c r="M54" s="79">
        <f t="shared" si="60"/>
        <v>47.081132539117533</v>
      </c>
      <c r="N54" s="79">
        <f t="shared" si="60"/>
        <v>933.60776064945173</v>
      </c>
      <c r="O54" s="79">
        <f t="shared" si="60"/>
        <v>737.7285994201518</v>
      </c>
      <c r="P54" s="79">
        <f t="shared" si="60"/>
        <v>1603.5598532143183</v>
      </c>
      <c r="Q54" s="79">
        <f t="shared" si="60"/>
        <v>246.28323253644928</v>
      </c>
      <c r="R54" s="79">
        <f t="shared" si="60"/>
        <v>180.30754251955949</v>
      </c>
      <c r="S54" s="79">
        <f t="shared" si="60"/>
        <v>935.15308145122685</v>
      </c>
      <c r="T54" s="79">
        <f t="shared" si="60"/>
        <v>348.9318514743963</v>
      </c>
      <c r="U54" s="79">
        <f t="shared" si="60"/>
        <v>888.16054610450942</v>
      </c>
      <c r="V54" s="79">
        <f t="shared" si="60"/>
        <v>240.49834402856453</v>
      </c>
      <c r="W54" s="79">
        <f t="shared" si="60"/>
        <v>276.20698482513922</v>
      </c>
      <c r="X54" s="79">
        <f t="shared" si="60"/>
        <v>234.32535058572776</v>
      </c>
      <c r="Y54" s="79">
        <f t="shared" si="60"/>
        <v>53.807092429332407</v>
      </c>
      <c r="Z54" s="79">
        <f t="shared" si="60"/>
        <v>40.338676018799859</v>
      </c>
      <c r="AA54" s="79">
        <f t="shared" si="60"/>
        <v>335.86344832425368</v>
      </c>
      <c r="AB54" s="79">
        <f>AB50+AB51-AB53-AB52</f>
        <v>757.99137968733282</v>
      </c>
      <c r="AC54" s="79">
        <f t="shared" si="60"/>
        <v>141.40863240513616</v>
      </c>
      <c r="AD54" s="79">
        <f t="shared" si="60"/>
        <v>73.826016648577337</v>
      </c>
      <c r="AE54" s="79">
        <f t="shared" si="60"/>
        <v>409.48145151561039</v>
      </c>
      <c r="AF54" s="79">
        <f t="shared" si="60"/>
        <v>173.10274246160091</v>
      </c>
      <c r="AG54" s="68">
        <f>SUM(J54:AF54)</f>
        <v>13038.643806278531</v>
      </c>
      <c r="AH54" s="52"/>
      <c r="BG54" s="13"/>
    </row>
    <row r="55" spans="2:61" x14ac:dyDescent="0.2">
      <c r="B55" s="15"/>
      <c r="C55" s="15"/>
      <c r="D55" s="15"/>
      <c r="J55" s="185"/>
      <c r="K55" s="185"/>
      <c r="L55" s="185"/>
      <c r="M55" s="185"/>
      <c r="N55" s="185"/>
      <c r="O55" s="185"/>
      <c r="P55" s="185"/>
      <c r="Q55" s="185"/>
      <c r="R55" s="185"/>
      <c r="S55" s="185"/>
      <c r="T55" s="185"/>
      <c r="U55" s="185"/>
      <c r="V55" s="185"/>
      <c r="W55" s="185"/>
      <c r="X55" s="185"/>
      <c r="Y55" s="185"/>
      <c r="Z55" s="185"/>
      <c r="AA55" s="185"/>
      <c r="AB55" s="185"/>
      <c r="AC55" s="185"/>
      <c r="AD55" s="272"/>
      <c r="AE55" s="273"/>
      <c r="AF55" s="274" t="s">
        <v>132</v>
      </c>
      <c r="AG55" s="275">
        <f>AG54-AG41</f>
        <v>4501.0838458865128</v>
      </c>
      <c r="BG55" s="13"/>
    </row>
    <row r="56" spans="2:61" x14ac:dyDescent="0.2">
      <c r="B56" s="15"/>
      <c r="C56" s="15"/>
      <c r="D56" s="15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BG56" s="13"/>
    </row>
    <row r="57" spans="2:61" x14ac:dyDescent="0.2">
      <c r="B57" s="15"/>
      <c r="C57" s="15"/>
      <c r="D57" s="15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BG57" s="13"/>
    </row>
    <row r="58" spans="2:61" x14ac:dyDescent="0.2">
      <c r="B58" s="14"/>
      <c r="C58" s="14"/>
      <c r="D58" s="14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BG58" s="13"/>
    </row>
    <row r="59" spans="2:61" x14ac:dyDescent="0.2">
      <c r="Y59" s="8"/>
      <c r="BG59" s="13"/>
    </row>
    <row r="60" spans="2:61" x14ac:dyDescent="0.2">
      <c r="BG60" s="13"/>
    </row>
    <row r="61" spans="2:61" x14ac:dyDescent="0.2">
      <c r="BG61" s="13"/>
    </row>
    <row r="62" spans="2:61" x14ac:dyDescent="0.2">
      <c r="BG62" s="13"/>
    </row>
    <row r="63" spans="2:61" x14ac:dyDescent="0.2">
      <c r="BG63" s="13"/>
    </row>
    <row r="64" spans="2:61" x14ac:dyDescent="0.2">
      <c r="BG64" s="13"/>
    </row>
    <row r="65" spans="59:59" x14ac:dyDescent="0.2">
      <c r="BG65" s="13"/>
    </row>
    <row r="66" spans="59:59" x14ac:dyDescent="0.2">
      <c r="BG66" s="13"/>
    </row>
    <row r="67" spans="59:59" x14ac:dyDescent="0.2">
      <c r="BG67" s="13"/>
    </row>
    <row r="68" spans="59:59" x14ac:dyDescent="0.2">
      <c r="BG68" s="13"/>
    </row>
    <row r="69" spans="59:59" x14ac:dyDescent="0.2">
      <c r="BG69" s="13"/>
    </row>
    <row r="70" spans="59:59" x14ac:dyDescent="0.2">
      <c r="BG70" s="13"/>
    </row>
    <row r="71" spans="59:59" x14ac:dyDescent="0.2">
      <c r="BG71" s="13"/>
    </row>
    <row r="72" spans="59:59" x14ac:dyDescent="0.2">
      <c r="BG72" s="13"/>
    </row>
    <row r="73" spans="59:59" x14ac:dyDescent="0.2">
      <c r="BG73" s="13"/>
    </row>
    <row r="74" spans="59:59" x14ac:dyDescent="0.2">
      <c r="BG74" s="13"/>
    </row>
    <row r="75" spans="59:59" x14ac:dyDescent="0.2">
      <c r="BG75" s="13"/>
    </row>
  </sheetData>
  <mergeCells count="30">
    <mergeCell ref="AK2:AK3"/>
    <mergeCell ref="A2:D2"/>
    <mergeCell ref="F2:G2"/>
    <mergeCell ref="AH2:AH3"/>
    <mergeCell ref="AI2:AI3"/>
    <mergeCell ref="AJ2:AJ3"/>
    <mergeCell ref="AW2:AW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BF27:BG27"/>
    <mergeCell ref="AX2:AX3"/>
    <mergeCell ref="AY2:AY3"/>
    <mergeCell ref="AZ2:AZ3"/>
    <mergeCell ref="BA2:BA3"/>
    <mergeCell ref="BB2:BB3"/>
    <mergeCell ref="BC2:BC3"/>
    <mergeCell ref="BD2:BD3"/>
    <mergeCell ref="BE2:BE3"/>
    <mergeCell ref="BF22:BG22"/>
    <mergeCell ref="BF24:BG24"/>
    <mergeCell ref="BF25:BG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16 Days_sales_fc</vt:lpstr>
      <vt:lpstr>16 Days_cost raw mat</vt:lpstr>
      <vt:lpstr>16 Days_sales_expected</vt:lpstr>
      <vt:lpstr>16</vt:lpstr>
      <vt:lpstr>13</vt:lpstr>
      <vt:lpstr>12</vt:lpstr>
      <vt:lpstr>10</vt:lpstr>
      <vt:lpstr>9</vt:lpstr>
      <vt:lpstr>8</vt:lpstr>
      <vt:lpstr>15</vt:lpstr>
      <vt:lpstr>14</vt:lpstr>
      <vt:lpstr>11</vt:lpstr>
      <vt:lpstr>7</vt:lpstr>
      <vt:lpstr>6</vt:lpstr>
      <vt:lpstr>5</vt:lpstr>
      <vt:lpstr>4</vt:lpstr>
      <vt:lpstr>3</vt:lpstr>
      <vt:lpstr>2</vt:lpstr>
      <vt:lpstr>16 Days_profit</vt:lpstr>
      <vt:lpstr>1</vt:lpstr>
      <vt:lpstr>Actual Sales</vt:lpstr>
      <vt:lpstr>order</vt:lpstr>
      <vt:lpstr>daily_demand</vt:lpstr>
      <vt:lpstr>cost</vt:lpstr>
      <vt:lpstr>Evaluate by product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รักชนก ทองคำปั้น</dc:creator>
  <cp:lastModifiedBy>รักชนก ทองคำปั้น</cp:lastModifiedBy>
  <dcterms:created xsi:type="dcterms:W3CDTF">2022-03-07T04:12:57Z</dcterms:created>
  <dcterms:modified xsi:type="dcterms:W3CDTF">2022-07-10T13:50:22Z</dcterms:modified>
</cp:coreProperties>
</file>