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mofiesh\Desktop\"/>
    </mc:Choice>
  </mc:AlternateContent>
  <bookViews>
    <workbookView xWindow="0" yWindow="0" windowWidth="28800" windowHeight="13740"/>
  </bookViews>
  <sheets>
    <sheet name="Week 5 SA" sheetId="1" r:id="rId1"/>
    <sheet name="Supplemental Assessment" sheetId="3" r:id="rId2"/>
    <sheet name="Happy Times"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49" i="4"/>
  <c r="B48" i="4"/>
  <c r="B47" i="4"/>
  <c r="B46" i="4"/>
  <c r="B45" i="4"/>
  <c r="B29" i="4"/>
  <c r="B28" i="4"/>
  <c r="B27" i="4"/>
  <c r="B26" i="4"/>
  <c r="B25" i="4"/>
  <c r="B23" i="4"/>
  <c r="G22" i="4"/>
  <c r="G21" i="4"/>
  <c r="B22" i="4"/>
  <c r="B21" i="4"/>
  <c r="B20" i="4"/>
  <c r="B19" i="4"/>
  <c r="B18" i="4"/>
  <c r="C17" i="4"/>
  <c r="B17" i="4"/>
  <c r="G16" i="4"/>
  <c r="F16" i="4"/>
  <c r="E16" i="4"/>
  <c r="D16" i="4"/>
  <c r="C16" i="4"/>
  <c r="B9" i="4"/>
  <c r="B7" i="4"/>
  <c r="G114" i="3"/>
  <c r="G113" i="3"/>
  <c r="G112" i="3"/>
  <c r="G111" i="3"/>
  <c r="G110" i="3"/>
  <c r="G109" i="3"/>
  <c r="G108" i="3"/>
  <c r="B98" i="3"/>
  <c r="B93" i="3"/>
  <c r="I84" i="3"/>
  <c r="H87" i="3"/>
  <c r="H85" i="3"/>
  <c r="G87" i="3"/>
  <c r="G86" i="3"/>
  <c r="G85" i="3"/>
  <c r="F88" i="3"/>
  <c r="C86" i="3"/>
  <c r="C85" i="3"/>
  <c r="B88" i="3"/>
  <c r="B87" i="3"/>
  <c r="B86" i="3"/>
  <c r="F45" i="3"/>
  <c r="F44" i="3"/>
  <c r="F32" i="3"/>
  <c r="B17" i="3"/>
  <c r="H18" i="3"/>
  <c r="G18" i="3"/>
  <c r="F18" i="3"/>
  <c r="E18" i="3"/>
  <c r="H17" i="3"/>
  <c r="G17" i="3"/>
  <c r="F17" i="3"/>
  <c r="B8" i="3"/>
  <c r="F4" i="3"/>
  <c r="B7" i="3"/>
  <c r="D256" i="1"/>
  <c r="B256" i="1"/>
  <c r="B255" i="1"/>
  <c r="B254" i="1"/>
  <c r="B253" i="1"/>
  <c r="B236" i="1"/>
  <c r="D236" i="1"/>
  <c r="B218" i="1"/>
  <c r="B217" i="1"/>
  <c r="K212" i="1"/>
  <c r="J215" i="1"/>
  <c r="I215" i="1"/>
  <c r="H215" i="1"/>
  <c r="G215" i="1"/>
  <c r="F215" i="1"/>
  <c r="E215" i="1"/>
  <c r="D215" i="1"/>
  <c r="C215" i="1"/>
  <c r="I212" i="1"/>
  <c r="H212" i="1"/>
  <c r="G212" i="1"/>
  <c r="F212" i="1"/>
  <c r="E212" i="1"/>
  <c r="D212" i="1"/>
  <c r="C212" i="1"/>
  <c r="B201" i="1"/>
  <c r="B200" i="1"/>
  <c r="B193" i="1"/>
  <c r="B192" i="1"/>
  <c r="B188" i="1"/>
  <c r="B187" i="1"/>
  <c r="C175" i="1"/>
  <c r="C174" i="1"/>
  <c r="B180" i="1"/>
  <c r="B175" i="1"/>
  <c r="B163" i="1"/>
  <c r="B162" i="1"/>
  <c r="B154" i="1"/>
  <c r="B153" i="1"/>
  <c r="B152" i="1"/>
  <c r="F146" i="1"/>
  <c r="F142" i="1"/>
  <c r="G148" i="1"/>
  <c r="G147" i="1"/>
  <c r="F139" i="1"/>
  <c r="D147" i="1"/>
  <c r="C147" i="1"/>
  <c r="B147" i="1"/>
  <c r="D146" i="1"/>
  <c r="C146" i="1"/>
  <c r="B146" i="1"/>
  <c r="B142" i="1"/>
  <c r="B141" i="1"/>
  <c r="B131" i="1"/>
  <c r="C128" i="1"/>
  <c r="B114" i="1"/>
  <c r="B105" i="1"/>
  <c r="B96" i="1"/>
  <c r="B94" i="1"/>
  <c r="B93" i="1"/>
  <c r="B92" i="1"/>
  <c r="E90" i="1"/>
  <c r="B90" i="1"/>
  <c r="B89" i="1"/>
  <c r="B88" i="1"/>
  <c r="G82" i="1"/>
  <c r="F82" i="1"/>
  <c r="E82" i="1"/>
  <c r="D82" i="1"/>
  <c r="C82" i="1"/>
  <c r="H81" i="1"/>
  <c r="G81" i="1"/>
  <c r="F81" i="1"/>
  <c r="E81" i="1"/>
  <c r="D81" i="1"/>
  <c r="C81" i="1"/>
  <c r="E62" i="1"/>
  <c r="E64" i="1" s="1"/>
  <c r="E61" i="1"/>
  <c r="E63" i="1" s="1"/>
  <c r="E65" i="1" s="1"/>
  <c r="C63" i="1"/>
  <c r="C65" i="1" s="1"/>
  <c r="C62" i="1"/>
  <c r="C61" i="1"/>
  <c r="C59" i="1"/>
  <c r="C58" i="1"/>
  <c r="C56" i="1"/>
  <c r="C55" i="1"/>
  <c r="C64" i="1"/>
  <c r="F49" i="1"/>
  <c r="C49" i="1"/>
  <c r="C48" i="1"/>
  <c r="D38" i="1"/>
  <c r="B38" i="1"/>
  <c r="B62" i="3" l="1"/>
  <c r="B38" i="4"/>
  <c r="B40" i="4" s="1"/>
  <c r="C21" i="4"/>
  <c r="C19" i="4"/>
  <c r="D5" i="3"/>
  <c r="D6" i="3" s="1"/>
  <c r="D7" i="3" s="1"/>
  <c r="D8" i="3" s="1"/>
  <c r="D9" i="3" s="1"/>
  <c r="D10" i="3" s="1"/>
  <c r="D11" i="3" s="1"/>
  <c r="D12" i="3" s="1"/>
  <c r="D13" i="3" s="1"/>
  <c r="F13" i="3" s="1"/>
  <c r="G154" i="3"/>
  <c r="G155" i="3" s="1"/>
  <c r="G156" i="3" s="1"/>
  <c r="G157" i="3" s="1"/>
  <c r="G158" i="3" s="1"/>
  <c r="G159" i="3" s="1"/>
  <c r="G160" i="3" s="1"/>
  <c r="H153" i="3"/>
  <c r="I153" i="3" s="1"/>
  <c r="E156" i="3"/>
  <c r="E159" i="3" s="1"/>
  <c r="E161" i="3" s="1"/>
  <c r="B156" i="3"/>
  <c r="B159" i="3" s="1"/>
  <c r="B161" i="3" s="1"/>
  <c r="F12" i="3" l="1"/>
  <c r="F5" i="3"/>
  <c r="F7" i="3"/>
  <c r="F8" i="3"/>
  <c r="F9" i="3"/>
  <c r="F6" i="3"/>
  <c r="F10" i="3"/>
  <c r="F11" i="3"/>
  <c r="D17" i="4"/>
  <c r="D19" i="4"/>
  <c r="D20" i="4"/>
  <c r="D18" i="4"/>
  <c r="D21" i="4"/>
  <c r="C18" i="4"/>
  <c r="C22" i="4" s="1"/>
  <c r="C23" i="4" s="1"/>
  <c r="C20" i="4"/>
  <c r="H154" i="3"/>
  <c r="I154" i="3" s="1"/>
  <c r="E20" i="4" l="1"/>
  <c r="E21" i="4"/>
  <c r="E19" i="4"/>
  <c r="E17" i="4"/>
  <c r="E18" i="4" s="1"/>
  <c r="E22" i="4" s="1"/>
  <c r="E23" i="4" s="1"/>
  <c r="D22" i="4"/>
  <c r="H155" i="3"/>
  <c r="H156" i="3" s="1"/>
  <c r="D23" i="4" l="1"/>
  <c r="F20" i="4"/>
  <c r="F21" i="4"/>
  <c r="F19" i="4"/>
  <c r="B44" i="4" s="1"/>
  <c r="F17" i="4"/>
  <c r="F18" i="4" s="1"/>
  <c r="F22" i="4" s="1"/>
  <c r="B43" i="4"/>
  <c r="I155" i="3"/>
  <c r="H157" i="3"/>
  <c r="I156" i="3"/>
  <c r="H133" i="3"/>
  <c r="E137" i="3"/>
  <c r="E139" i="3" s="1"/>
  <c r="E141" i="3" s="1"/>
  <c r="B137" i="3"/>
  <c r="B139" i="3" s="1"/>
  <c r="B141" i="3" s="1"/>
  <c r="O114" i="3"/>
  <c r="M114" i="3"/>
  <c r="K114" i="3"/>
  <c r="I114" i="3"/>
  <c r="O113" i="3"/>
  <c r="M113" i="3"/>
  <c r="N113" i="3" s="1"/>
  <c r="K113" i="3"/>
  <c r="I113" i="3"/>
  <c r="J113" i="3" s="1"/>
  <c r="O112" i="3"/>
  <c r="M112" i="3"/>
  <c r="N112" i="3" s="1"/>
  <c r="K112" i="3"/>
  <c r="L112" i="3" s="1"/>
  <c r="I112" i="3"/>
  <c r="J112" i="3" s="1"/>
  <c r="O111" i="3"/>
  <c r="P111" i="3" s="1"/>
  <c r="M111" i="3"/>
  <c r="N111" i="3" s="1"/>
  <c r="K111" i="3"/>
  <c r="L111" i="3" s="1"/>
  <c r="I111" i="3"/>
  <c r="J111" i="3" s="1"/>
  <c r="O110" i="3"/>
  <c r="P110" i="3" s="1"/>
  <c r="M110" i="3"/>
  <c r="N110" i="3" s="1"/>
  <c r="K110" i="3"/>
  <c r="L110" i="3" s="1"/>
  <c r="I110" i="3"/>
  <c r="J110" i="3" s="1"/>
  <c r="H110" i="3"/>
  <c r="O109" i="3"/>
  <c r="P109" i="3" s="1"/>
  <c r="M109" i="3"/>
  <c r="N109" i="3" s="1"/>
  <c r="K109" i="3"/>
  <c r="L109" i="3" s="1"/>
  <c r="I109" i="3"/>
  <c r="J109" i="3" s="1"/>
  <c r="H109" i="3"/>
  <c r="O108" i="3"/>
  <c r="M108" i="3"/>
  <c r="K108" i="3"/>
  <c r="I108" i="3"/>
  <c r="F116" i="3"/>
  <c r="E116" i="3"/>
  <c r="D116" i="3"/>
  <c r="B122" i="3" s="1"/>
  <c r="C116" i="3"/>
  <c r="B116" i="3"/>
  <c r="F115" i="3"/>
  <c r="E115" i="3"/>
  <c r="D115" i="3"/>
  <c r="C115" i="3"/>
  <c r="B115" i="3"/>
  <c r="D85" i="3"/>
  <c r="E85" i="3" s="1"/>
  <c r="F85" i="3" s="1"/>
  <c r="F23" i="4" l="1"/>
  <c r="B51" i="4"/>
  <c r="G20" i="4"/>
  <c r="G17" i="4"/>
  <c r="G18" i="4" s="1"/>
  <c r="G19" i="4"/>
  <c r="H158" i="3"/>
  <c r="I157" i="3"/>
  <c r="H134" i="3"/>
  <c r="L113" i="3"/>
  <c r="L119" i="3" s="1"/>
  <c r="J114" i="3"/>
  <c r="J119" i="3" s="1"/>
  <c r="P112" i="3"/>
  <c r="P119" i="3" s="1"/>
  <c r="B119" i="3" s="1"/>
  <c r="N114" i="3"/>
  <c r="N119" i="3" s="1"/>
  <c r="H111" i="3"/>
  <c r="H119" i="3" s="1"/>
  <c r="L114" i="3" l="1"/>
  <c r="G23" i="4"/>
  <c r="H159" i="3"/>
  <c r="I158" i="3"/>
  <c r="H135" i="3"/>
  <c r="H136" i="3" s="1"/>
  <c r="H137" i="3" s="1"/>
  <c r="H138" i="3" s="1"/>
  <c r="H139" i="3" s="1"/>
  <c r="H140" i="3" s="1"/>
  <c r="H141" i="3" s="1"/>
  <c r="H142" i="3" s="1"/>
  <c r="P113" i="3"/>
  <c r="P114" i="3" s="1"/>
  <c r="G25" i="4" l="1"/>
  <c r="G26" i="4" s="1"/>
  <c r="H160" i="3"/>
  <c r="I159" i="3"/>
  <c r="H146" i="3"/>
  <c r="I160" i="3" l="1"/>
  <c r="I161" i="3" s="1"/>
  <c r="H161" i="3"/>
  <c r="C59" i="3" l="1"/>
  <c r="C60" i="3" s="1"/>
  <c r="D55" i="3"/>
  <c r="E55" i="3" s="1"/>
  <c r="F55" i="3" s="1"/>
  <c r="G55" i="3" s="1"/>
  <c r="D56" i="3"/>
  <c r="E56" i="3" s="1"/>
  <c r="F56" i="3" s="1"/>
  <c r="G56" i="3" s="1"/>
  <c r="H56" i="3" s="1"/>
  <c r="I56" i="3" s="1"/>
  <c r="J56" i="3" s="1"/>
  <c r="K56" i="3" s="1"/>
  <c r="D33" i="3"/>
  <c r="D34" i="3" s="1"/>
  <c r="C254" i="1"/>
  <c r="C253" i="1"/>
  <c r="I234" i="1"/>
  <c r="J234" i="1" s="1"/>
  <c r="D238" i="1"/>
  <c r="B238" i="1"/>
  <c r="J212" i="1"/>
  <c r="D211" i="1"/>
  <c r="E211" i="1" s="1"/>
  <c r="F211" i="1" s="1"/>
  <c r="G211" i="1" s="1"/>
  <c r="H211" i="1" s="1"/>
  <c r="I211" i="1" s="1"/>
  <c r="J211" i="1" s="1"/>
  <c r="K211" i="1" s="1"/>
  <c r="F187" i="1"/>
  <c r="F188" i="1" s="1"/>
  <c r="F192" i="1" s="1"/>
  <c r="F193" i="1" s="1"/>
  <c r="E187" i="1"/>
  <c r="E188" i="1" s="1"/>
  <c r="E192" i="1" s="1"/>
  <c r="E193" i="1" s="1"/>
  <c r="D187" i="1"/>
  <c r="D188" i="1" s="1"/>
  <c r="D192" i="1" s="1"/>
  <c r="D193" i="1" s="1"/>
  <c r="C187" i="1"/>
  <c r="C188" i="1" s="1"/>
  <c r="C192" i="1" s="1"/>
  <c r="C193" i="1" s="1"/>
  <c r="B174" i="1"/>
  <c r="E141" i="1"/>
  <c r="E142" i="1" s="1"/>
  <c r="E146" i="1" s="1"/>
  <c r="E147" i="1" s="1"/>
  <c r="D141" i="1"/>
  <c r="D142" i="1" s="1"/>
  <c r="C141" i="1"/>
  <c r="C142" i="1" s="1"/>
  <c r="F141" i="1"/>
  <c r="B103" i="1"/>
  <c r="E56" i="1"/>
  <c r="E58" i="1" s="1"/>
  <c r="E55" i="1"/>
  <c r="F48" i="1"/>
  <c r="F47" i="1"/>
  <c r="F46" i="1"/>
  <c r="C46" i="1"/>
  <c r="C47" i="1"/>
  <c r="I85" i="3" l="1"/>
  <c r="I86" i="3" s="1"/>
  <c r="I87" i="3" s="1"/>
  <c r="G88" i="3"/>
  <c r="G93" i="3" s="1"/>
  <c r="C87" i="3"/>
  <c r="D59" i="3"/>
  <c r="F33" i="3"/>
  <c r="G19" i="3"/>
  <c r="G20" i="3" s="1"/>
  <c r="G21" i="3" s="1"/>
  <c r="G22" i="3" s="1"/>
  <c r="G23" i="3" s="1"/>
  <c r="G24" i="3" s="1"/>
  <c r="G25" i="3" s="1"/>
  <c r="G26" i="3" s="1"/>
  <c r="D35" i="3"/>
  <c r="F34" i="3"/>
  <c r="C255" i="1"/>
  <c r="C256" i="1" s="1"/>
  <c r="C53" i="1"/>
  <c r="I235" i="1"/>
  <c r="J235" i="1" s="1"/>
  <c r="E53" i="1"/>
  <c r="E59" i="1"/>
  <c r="B94" i="3" l="1"/>
  <c r="I88" i="3"/>
  <c r="I93" i="3" s="1"/>
  <c r="B96" i="3" s="1"/>
  <c r="B97" i="3" s="1"/>
  <c r="B99" i="3" s="1"/>
  <c r="C88" i="3"/>
  <c r="C93" i="3" s="1"/>
  <c r="C94" i="3" s="1"/>
  <c r="D86" i="3"/>
  <c r="D87" i="3" s="1"/>
  <c r="E59" i="3"/>
  <c r="D60" i="3"/>
  <c r="D36" i="3"/>
  <c r="F35" i="3"/>
  <c r="E19" i="3"/>
  <c r="I236" i="1"/>
  <c r="J236" i="1" s="1"/>
  <c r="D88" i="3" l="1"/>
  <c r="D93" i="3" s="1"/>
  <c r="D94" i="3" s="1"/>
  <c r="E86" i="3"/>
  <c r="E87" i="3" s="1"/>
  <c r="F59" i="3"/>
  <c r="E60" i="3"/>
  <c r="F19" i="3"/>
  <c r="H19" i="3" s="1"/>
  <c r="E20" i="3" s="1"/>
  <c r="D37" i="3"/>
  <c r="F36" i="3"/>
  <c r="I237" i="1"/>
  <c r="J237" i="1" s="1"/>
  <c r="E88" i="3" l="1"/>
  <c r="E93" i="3" s="1"/>
  <c r="E94" i="3" s="1"/>
  <c r="F86" i="3"/>
  <c r="F87" i="3" s="1"/>
  <c r="G59" i="3"/>
  <c r="F60" i="3"/>
  <c r="F20" i="3"/>
  <c r="H20" i="3" s="1"/>
  <c r="E21" i="3" s="1"/>
  <c r="F21" i="3" s="1"/>
  <c r="H21" i="3" s="1"/>
  <c r="E22" i="3" s="1"/>
  <c r="F22" i="3" s="1"/>
  <c r="H22" i="3" s="1"/>
  <c r="E23" i="3" s="1"/>
  <c r="D38" i="3"/>
  <c r="F37" i="3"/>
  <c r="I238" i="1"/>
  <c r="J238" i="1" s="1"/>
  <c r="B219" i="1"/>
  <c r="F93" i="3" l="1"/>
  <c r="F94" i="3" s="1"/>
  <c r="H86" i="3"/>
  <c r="H59" i="3"/>
  <c r="H60" i="3" s="1"/>
  <c r="G60" i="3"/>
  <c r="D39" i="3"/>
  <c r="F38" i="3"/>
  <c r="F23" i="3"/>
  <c r="H23" i="3" s="1"/>
  <c r="E24" i="3" s="1"/>
  <c r="I239" i="1"/>
  <c r="J239" i="1" s="1"/>
  <c r="H88" i="3" l="1"/>
  <c r="I59" i="3"/>
  <c r="D40" i="3"/>
  <c r="F39" i="3"/>
  <c r="F24" i="3"/>
  <c r="H24" i="3" s="1"/>
  <c r="E25" i="3" s="1"/>
  <c r="I240" i="1"/>
  <c r="I241" i="1" s="1"/>
  <c r="I242" i="1" s="1"/>
  <c r="H93" i="3" l="1"/>
  <c r="H94" i="3" s="1"/>
  <c r="J59" i="3"/>
  <c r="I60" i="3"/>
  <c r="D41" i="3"/>
  <c r="F40" i="3"/>
  <c r="F25" i="3"/>
  <c r="H25" i="3" s="1"/>
  <c r="E26" i="3" s="1"/>
  <c r="J241" i="1"/>
  <c r="J240" i="1"/>
  <c r="I243" i="1"/>
  <c r="J242" i="1"/>
  <c r="G94" i="3" l="1"/>
  <c r="K59" i="3"/>
  <c r="J60" i="3"/>
  <c r="D42" i="3"/>
  <c r="F42" i="3" s="1"/>
  <c r="F41" i="3"/>
  <c r="F26" i="3"/>
  <c r="H26" i="3" s="1"/>
  <c r="J243" i="1"/>
  <c r="J245" i="1" s="1"/>
  <c r="J246" i="1"/>
  <c r="L59" i="3" l="1"/>
  <c r="N62" i="3" s="1"/>
  <c r="K60" i="3"/>
</calcChain>
</file>

<file path=xl/sharedStrings.xml><?xml version="1.0" encoding="utf-8"?>
<sst xmlns="http://schemas.openxmlformats.org/spreadsheetml/2006/main" count="514" uniqueCount="352">
  <si>
    <t>Price</t>
  </si>
  <si>
    <t>EBITDA</t>
  </si>
  <si>
    <t>Market Cap</t>
  </si>
  <si>
    <t>Return on Assets</t>
  </si>
  <si>
    <t>Average Volume</t>
  </si>
  <si>
    <t>Total Debt/Equity (BV)</t>
  </si>
  <si>
    <t>EPS</t>
  </si>
  <si>
    <t>Shares Outstanding</t>
  </si>
  <si>
    <t>Revenue</t>
  </si>
  <si>
    <t>Book Value/Share</t>
  </si>
  <si>
    <t>Current Ratio</t>
  </si>
  <si>
    <t>Bond Ratings</t>
  </si>
  <si>
    <t>Beta</t>
  </si>
  <si>
    <t>Total Debt</t>
  </si>
  <si>
    <t>Facebook</t>
  </si>
  <si>
    <t>Netflix</t>
  </si>
  <si>
    <t>Units</t>
  </si>
  <si>
    <t>B</t>
  </si>
  <si>
    <t>M</t>
  </si>
  <si>
    <t>A (111 bps)</t>
  </si>
  <si>
    <t>BB (323 bps)</t>
  </si>
  <si>
    <t>Other relevant financial information:</t>
  </si>
  <si>
    <t>Tax rate = 21%</t>
  </si>
  <si>
    <t>Calculate the MVA for Facebook. Choose the answer below that most closely matches your answer.</t>
  </si>
  <si>
    <t>QUESTION 1</t>
  </si>
  <si>
    <t>MVA = Total Market Value - Total Book Value of Equity</t>
  </si>
  <si>
    <t>MVA = Total Market Value - Book Value / Share * Shares Outstanding</t>
  </si>
  <si>
    <t>MVA = Market Cap - Total Book Value of Equity</t>
  </si>
  <si>
    <t>MVA = Market Cap - Book Value / Share * Shares Outstanding</t>
  </si>
  <si>
    <t>QUESTION 2</t>
  </si>
  <si>
    <t>Calculate the MVA for Netflix. Choose the answer below that most closely matches your answer.</t>
  </si>
  <si>
    <t>MVA_facebook =</t>
  </si>
  <si>
    <t>MVA_netflix =</t>
  </si>
  <si>
    <t>QUESTION 3</t>
  </si>
  <si>
    <t>Calculate the Cost of Equity for Facebook.</t>
  </si>
  <si>
    <t>CAPM = Rfree + Beta*Rpremium</t>
  </si>
  <si>
    <t>Rfree</t>
  </si>
  <si>
    <t>Rpremium</t>
  </si>
  <si>
    <t>10 year treasury note =</t>
  </si>
  <si>
    <t>Market Risk Premium =</t>
  </si>
  <si>
    <t>Cost of Equity</t>
  </si>
  <si>
    <t>Cost of Debt</t>
  </si>
  <si>
    <t>&lt; Cost of Equity</t>
  </si>
  <si>
    <t>Tax rate</t>
  </si>
  <si>
    <t>Debt</t>
  </si>
  <si>
    <t>&lt; Rfree + Bps</t>
  </si>
  <si>
    <t>Bps spread</t>
  </si>
  <si>
    <t>Debt/(Debt+Eq)</t>
  </si>
  <si>
    <t>Eq/(Debt+Eq)</t>
  </si>
  <si>
    <t>Total Equity</t>
  </si>
  <si>
    <t>WACC =</t>
  </si>
  <si>
    <t>Cost of Debt*(1-T)</t>
  </si>
  <si>
    <t>Nick Fury  Industries is considering the purchase of SLEE Enterprises. SLEE is currently a supplier for Nick Fury. The current cash flow from assets for SLEE is $6.1 million. The cash flows are expected to grow at 10 percent per year for the next five years before levelling off to 3 percent for the indefinite future. The cost of capital for Nick Fury and SLEE Enterprises are 10 percent and 8 percent, respectively.  SLEE currently has 2 million shares of stock outstanding and $20 million in debt outstanding. What is the maximum price per share Nick Fury should pay for SLEE Enterprises?</t>
  </si>
  <si>
    <t>CF</t>
  </si>
  <si>
    <t>WACC_SLEE =</t>
  </si>
  <si>
    <t>SLEE Shares outstand.</t>
  </si>
  <si>
    <t>Debt outstand.</t>
  </si>
  <si>
    <t>PV</t>
  </si>
  <si>
    <t xml:space="preserve">TV = </t>
  </si>
  <si>
    <t>Perpetual Growth Rate</t>
  </si>
  <si>
    <t>PV of the TV =</t>
  </si>
  <si>
    <t>Pv of CF1... CF5</t>
  </si>
  <si>
    <t>Value of the Firm</t>
  </si>
  <si>
    <t>Less Debt</t>
  </si>
  <si>
    <t>Equity Value</t>
  </si>
  <si>
    <t>Equity per share</t>
  </si>
  <si>
    <t>Pellagia is a nationwide retail chain specializing in women’s apparel. The company has 135 million shares outstanding, 30 percent of which are publicly traded with a current market price of $5.63 per share. The company is expected to earn a net income of $38 million in the next twelve months. Forecast sales and EBITDA are $633 million and $57 million, respectively.  Debt outstanding is $120 million.</t>
  </si>
  <si>
    <t>What is the current enterprise value of Pellagia?</t>
  </si>
  <si>
    <t>shares outst</t>
  </si>
  <si>
    <t>public shares</t>
  </si>
  <si>
    <t>price per share</t>
  </si>
  <si>
    <t>Projected future values</t>
  </si>
  <si>
    <t>Net Inc</t>
  </si>
  <si>
    <t>Sales</t>
  </si>
  <si>
    <t>EV =</t>
  </si>
  <si>
    <t>Market value of equity (a.k.a Market cap) + Debt - Cash</t>
  </si>
  <si>
    <t>market cap</t>
  </si>
  <si>
    <t xml:space="preserve">EV = </t>
  </si>
  <si>
    <t>Suppose you are asked to value Pellagia given the following information. What is the estimate of equity value using the price to sales ratio? </t>
  </si>
  <si>
    <t>Forecast sales is $633 million.</t>
  </si>
  <si>
    <t>Price/Earnings</t>
  </si>
  <si>
    <t>Price to Sales</t>
  </si>
  <si>
    <t>Ann Taylor</t>
  </si>
  <si>
    <t>Bebe Stores</t>
  </si>
  <si>
    <t>Gap</t>
  </si>
  <si>
    <t>N/A</t>
  </si>
  <si>
    <t>Limited Brands</t>
  </si>
  <si>
    <t>Talbots</t>
  </si>
  <si>
    <t>Abercrombie and Fitch</t>
  </si>
  <si>
    <t>Price / Sales * Sales Pellagia = value</t>
  </si>
  <si>
    <t>Assume a 21% tax rate and that after 2023 the EBIT growth rate will be 2% annually; depreciation will equal capital expenditures, and that net working capital will not change. Also assume a discount rate of 9%. 2020 = year 1. Choose the answer below those best matches your answer. Note that the carry forward from 2019 is a loss (a negative amount).</t>
  </si>
  <si>
    <t>EBIT</t>
  </si>
  <si>
    <t>Loss Carry Forward (from 2019)</t>
  </si>
  <si>
    <t>Capital Expenditures</t>
  </si>
  <si>
    <t>Changes in Working Capital </t>
  </si>
  <si>
    <t>Depreciation</t>
  </si>
  <si>
    <t>Tax =</t>
  </si>
  <si>
    <t>EBIT growth rate =</t>
  </si>
  <si>
    <t>Tax</t>
  </si>
  <si>
    <t>Income after tax</t>
  </si>
  <si>
    <t>TV =</t>
  </si>
  <si>
    <t>R (discount rate) =</t>
  </si>
  <si>
    <t>PV of TV =</t>
  </si>
  <si>
    <t>Continuing with the Cruz Electronics question. Calculate the Total Net Present Value for Cruz Electronics. In determining your answer assume that the NPV of the 2020 though 2023 Free Cash Flow is $4800-million (it's not, but assume that it is). All other information from the Cruz financial projections shown above remains the same (HINT: The EBIT in year 2023 is still $2950 in 2023. You are provided the $4800-million free cash flow only to allow you to get this question correct even if you got the prior question wrong).</t>
  </si>
  <si>
    <t>Choose the answer below that best approximates your answer. (NOTE THAT EXCEL WAS USED TO CALCULATE THE ANSWER TO THIS PROBLEM)</t>
  </si>
  <si>
    <t>Free cash flow to The Brillo Brushes Company in the current year for the entire firm is $7.4 million and for the Cleaners division is $3.1 million.  The total firm and the Cleaners division are each expected to grow at the same 8% rate into the foreseeable future.   Also assume a WACC of 10% for the firm and 9% for the Cleansers division. In this question estimate the market value of the firm. Choose the best answer from the choices below.</t>
  </si>
  <si>
    <t>Free CF</t>
  </si>
  <si>
    <t>Cleaners</t>
  </si>
  <si>
    <t>g =</t>
  </si>
  <si>
    <t>WACC_firm =</t>
  </si>
  <si>
    <t>WACC_cleaners =</t>
  </si>
  <si>
    <t>Brillo_firm</t>
  </si>
  <si>
    <t>TV</t>
  </si>
  <si>
    <t>CF * (1+g)</t>
  </si>
  <si>
    <t>Continuing with the Brillo Brushes Company, now estimate the market value of the Cleaners division. Choose the best answer from the choices below.</t>
  </si>
  <si>
    <t>MV of Cleaners</t>
  </si>
  <si>
    <t>  2020 </t>
  </si>
  <si>
    <t>  2021  </t>
  </si>
  <si>
    <t>  2022  </t>
  </si>
  <si>
    <t>  2023  </t>
  </si>
  <si>
    <t>   2024</t>
  </si>
  <si>
    <t>Capital Expenditures (Capex)</t>
  </si>
  <si>
    <t>Changes in Working Capital</t>
  </si>
  <si>
    <t>Assuming a tax rate (t) of 21%, calculate Skaggs KS free cash flow for each year. Interest expenses are zero.</t>
  </si>
  <si>
    <t>Assume a 10% discount rate.</t>
  </si>
  <si>
    <t>NVP (2020 -2024) =    (insert answer in Question 1 Below)</t>
  </si>
  <si>
    <t>ASSUME THAT 2020 is Year 1, NOT YEAR 0. ITS A 5 YEAR FORECAST.</t>
  </si>
  <si>
    <t>NPV =</t>
  </si>
  <si>
    <t>Sonic Briefs had a free cash flow for FY 2019 of $3,250 (all amounts are in $000). Foggy Anderson, CEO, has developed a long-term annual free cash flow projection - a copy of which has been reproduced in the table below. </t>
  </si>
  <si>
    <t>FY2020-FY2024</t>
  </si>
  <si>
    <t>FY2025-FY2027</t>
  </si>
  <si>
    <t>Growth rate</t>
  </si>
  <si>
    <t>Cost of Capital</t>
  </si>
  <si>
    <t>Considering this forecast he asked his CFO (you) to determine the company's valuation using the NPV (net present value) method. Choose the best answer from the list of options below.</t>
  </si>
  <si>
    <t>For this question consider FY2020 as Year 1 and FY2024 as Year 5, and FY2027 as year 8. (NOTE THAT EXCEL WAS USED TO CALCULATE THE ANSWER TO THIS PROBLEM)</t>
  </si>
  <si>
    <t>Question 17</t>
  </si>
  <si>
    <t>FY2028 
to perpetuity</t>
  </si>
  <si>
    <t>r</t>
  </si>
  <si>
    <t>g</t>
  </si>
  <si>
    <t>PV of TV</t>
  </si>
  <si>
    <t>PV of TV + Disc CF</t>
  </si>
  <si>
    <t>QUESTION 18</t>
  </si>
  <si>
    <t>Last year Spacely Space Sprockets purchased and installed a new ELE 1800 Acoustic Assembler, used in making sprockets for the private space travel industry.   The ELE 1800 cost $1,250,000 and had a "useful life" of 10 years with no salvage value. Recently the firm's CEO, Mr. Spacely, became aware of a new technology that promised many advantages over the ELE 1800 including a coating technology that improved the durability of sprockets during extended periods in space travel. Mr. Spacely believed that the improvement would provide his firm a competitive advantage generating more demand for the Spacely sprocket. He asked his CPA, George Jetson, to do a financial analysis to determine if a new technology, a machine called the ADV 2000, could be an economically viable replacement for the ELE 1800 Acoustic Assembler that was only one year old. The CPA determined that the new technology could be purchased for $1,548,000 today and would have a useful life of 9 years before it would likely become technologically obsolete and be essentially worthless.  For depreciation purposes the company uses the straight line method.  </t>
  </si>
  <si>
    <t>Both Mr. Spacely and George Jetson agreed that the new machine could create higher revenues for the firm without increasing operating expenses other than depreciation. With this information the CPA estimated that the new technology (the ADV 2000) will produce EBITDA of $485,000 per year for the next 9 years. </t>
  </si>
  <si>
    <t>The current machine is expected to produce EBITDA of $365,000 per year. The current machine is being depreciated on a straight line basis with one year of depreciation already expensed on the income statement. The market value of the current machine is $950,000. The company's tax rate is 21% and the cost of capital is 12%. Calculate the NPV of the replacement decision and choose the best answer below. NOTE: DO NOT make any assumptions regarding the tax treatment for the gain or loss on the disposal of the current ELE 1800 machine.</t>
  </si>
  <si>
    <t>QUESTION 19</t>
  </si>
  <si>
    <t>Psunk</t>
  </si>
  <si>
    <t>life</t>
  </si>
  <si>
    <t>salvage</t>
  </si>
  <si>
    <t>dep</t>
  </si>
  <si>
    <t>Pnew</t>
  </si>
  <si>
    <t>&lt;for 9 years</t>
  </si>
  <si>
    <t>period</t>
  </si>
  <si>
    <t>Psale</t>
  </si>
  <si>
    <t xml:space="preserve">NPV = </t>
  </si>
  <si>
    <t>AFTC</t>
  </si>
  <si>
    <t>Below are a few ways I could see this worded / calculated</t>
  </si>
  <si>
    <r>
      <t>Refer to the table below for financial projections for Cruz Electronics: </t>
    </r>
    <r>
      <rPr>
        <sz val="11"/>
        <color rgb="FF2D3B45"/>
        <rFont val="Calibri"/>
        <family val="2"/>
        <scheme val="minor"/>
      </rPr>
      <t>(all amounts in $millions)</t>
    </r>
  </si>
  <si>
    <r>
      <t>What is the total Net Present Value for Cruz’s</t>
    </r>
    <r>
      <rPr>
        <b/>
        <sz val="11"/>
        <color rgb="FF2D3B45"/>
        <rFont val="Calibri"/>
        <family val="2"/>
        <scheme val="minor"/>
      </rPr>
      <t> free cash flow for the years 2020 through 2023</t>
    </r>
    <r>
      <rPr>
        <sz val="11"/>
        <color rgb="FF2D3B45"/>
        <rFont val="Calibri"/>
        <family val="2"/>
        <scheme val="minor"/>
      </rPr>
      <t>? (NOTE EXCEL WAS USED TO CALCULATE HE ANSWER TO THIS PROBLEM)</t>
    </r>
  </si>
  <si>
    <t>Rfree+Beta*Premium</t>
  </si>
  <si>
    <t>QUESTION 4/5</t>
  </si>
  <si>
    <t>Answer to Q4</t>
  </si>
  <si>
    <t>Answer to Q5</t>
  </si>
  <si>
    <t>QUESTION 6</t>
  </si>
  <si>
    <t>QUESTION 7</t>
  </si>
  <si>
    <t>QUESTION 8</t>
  </si>
  <si>
    <t>QUESTION 9</t>
  </si>
  <si>
    <t>---------------&gt;alternately calculated as &gt;</t>
  </si>
  <si>
    <t>*Similar to the dividend problem, you will not include time period 0 from a cash flow perspective. We're interested in determining an appropriate price of SLEE based on cash flows going forward</t>
  </si>
  <si>
    <t>*HINT: For these questions, make the units work for you, convert if necessary</t>
  </si>
  <si>
    <t>&lt;converted to B</t>
  </si>
  <si>
    <t>Information for Questions 1 and 2</t>
  </si>
  <si>
    <t>QUESTION 10</t>
  </si>
  <si>
    <t>QUESTION 11</t>
  </si>
  <si>
    <t>QUESTION 12</t>
  </si>
  <si>
    <t>&lt; remember this value is for tax treatment only</t>
  </si>
  <si>
    <t>&lt; this isn't needed until the next problem</t>
  </si>
  <si>
    <t>see calculation above</t>
  </si>
  <si>
    <t>NPV</t>
  </si>
  <si>
    <t>QUESTION 13</t>
  </si>
  <si>
    <t>QUESTION 14</t>
  </si>
  <si>
    <t>QUESTION 15</t>
  </si>
  <si>
    <t>&lt; don't need to discount because we're already estimating today's value</t>
  </si>
  <si>
    <t>the growth rate is already effective in the current period.</t>
  </si>
  <si>
    <t>QUESTION 16</t>
  </si>
  <si>
    <t>PV of Free CF</t>
  </si>
  <si>
    <r>
      <t xml:space="preserve">PV 
</t>
    </r>
    <r>
      <rPr>
        <b/>
        <i/>
        <sz val="10"/>
        <color theme="1"/>
        <rFont val="Calibri"/>
        <family val="2"/>
        <scheme val="minor"/>
      </rPr>
      <t>(Tricky --&gt; Exponents/Denominators are changing)
use ctrl + ~ to view</t>
    </r>
  </si>
  <si>
    <t>In FY2018, $800 in accounting income (revenues - expenses) was produced from a $10,000 capital investment. If the cost of capital for the firm is 6% then the economic profits produced by this investment were:</t>
  </si>
  <si>
    <t>Economic Profit = (Accounting Profit ) - (Cost of Capital * Project Cost)</t>
  </si>
  <si>
    <r>
      <t xml:space="preserve">Economic Proft = 800 - 10,000*.06 = 800 - 600 = </t>
    </r>
    <r>
      <rPr>
        <b/>
        <u/>
        <sz val="12"/>
        <color theme="1"/>
        <rFont val="Calibri"/>
        <family val="2"/>
        <scheme val="minor"/>
      </rPr>
      <t>200</t>
    </r>
  </si>
  <si>
    <t>** Remember with AFTC, if you're given EBITDA to work with, then the formula is:</t>
  </si>
  <si>
    <t>AFTC = (EBITDA - Depreciation)*(1-T) + Depreciation</t>
  </si>
  <si>
    <t>QUESTION 20</t>
  </si>
  <si>
    <t>Total Sales</t>
  </si>
  <si>
    <t>Costs of Good Sold</t>
  </si>
  <si>
    <t>Selling gneral &amp; Admin</t>
  </si>
  <si>
    <t>Firm A</t>
  </si>
  <si>
    <t>Firm B</t>
  </si>
  <si>
    <t xml:space="preserve">Tax = </t>
  </si>
  <si>
    <t>ROS</t>
  </si>
  <si>
    <t>Sales net of Costs</t>
  </si>
  <si>
    <t>Earnings after Tax</t>
  </si>
  <si>
    <t>Difference</t>
  </si>
  <si>
    <t>QUESTION 21</t>
  </si>
  <si>
    <r>
      <t xml:space="preserve">Compared to Junk Bonds (CCC), Investment Grade Bonds (AAA) typically offer </t>
    </r>
    <r>
      <rPr>
        <b/>
        <sz val="11"/>
        <color theme="1"/>
        <rFont val="Calibri"/>
        <family val="2"/>
        <scheme val="minor"/>
      </rPr>
      <t xml:space="preserve">[lower] </t>
    </r>
    <r>
      <rPr>
        <sz val="11"/>
        <color theme="1"/>
        <rFont val="Calibri"/>
        <family val="2"/>
        <scheme val="minor"/>
      </rPr>
      <t xml:space="preserve">yields because they are </t>
    </r>
    <r>
      <rPr>
        <b/>
        <sz val="11"/>
        <color theme="1"/>
        <rFont val="Calibri"/>
        <family val="2"/>
        <scheme val="minor"/>
      </rPr>
      <t>[less]</t>
    </r>
    <r>
      <rPr>
        <sz val="11"/>
        <color theme="1"/>
        <rFont val="Calibri"/>
        <family val="2"/>
        <scheme val="minor"/>
      </rPr>
      <t xml:space="preserve"> risky</t>
    </r>
  </si>
  <si>
    <t>IRR</t>
  </si>
  <si>
    <t>PMT</t>
  </si>
  <si>
    <t>INTEREST</t>
  </si>
  <si>
    <t>END BALANCE</t>
  </si>
  <si>
    <t>START BALANCE</t>
  </si>
  <si>
    <t>Gruber corp. pays a constant dividend of $8.50 on its stock. The company will maintain this dividend for the next 11 years. And will then cease paying the dividends forever. If the required rate of return on this stock is 9.5 percent, what is current stock price?</t>
  </si>
  <si>
    <t>DIVIDEND</t>
  </si>
  <si>
    <t>R</t>
  </si>
  <si>
    <t>CF (DIVIDEND)</t>
  </si>
  <si>
    <t>The US Feed, a chain of Pet Supply Stores had a free cash flow for FY 2020 of $6,250 (all amounts are in $000). Chester Smart , CEO, has developed a long-term annual free cash flow projection - a copy of which has been reproduced in the table below. </t>
  </si>
  <si>
    <t>FY2021-FY2025</t>
  </si>
  <si>
    <t>FY2026-FY2029</t>
  </si>
  <si>
    <t>For this question consider FY2020 as Year 1 and FY2025 as Year 5, and FY2029 as year 9. (NOTE THAT EXCEL WAS USED TO CALCULATE THE ANSWER TO THIS PROBLEM)</t>
  </si>
  <si>
    <t>end of FY2029 
to perpetuity</t>
  </si>
  <si>
    <t>Growth Rate</t>
  </si>
  <si>
    <t>n/a</t>
  </si>
  <si>
    <t>Free Cash Flow</t>
  </si>
  <si>
    <t>Total PV</t>
  </si>
  <si>
    <t>QUESTION 4</t>
  </si>
  <si>
    <t>QUESTION 5</t>
  </si>
  <si>
    <t>Avondale Robots Company is a maker of authentic metallic remote controlled toy robots sold in Hobby Stores throughout North America</t>
  </si>
  <si>
    <t>Avondale  was started in January 2018 and experienced net operating losses for its first two years of operations. A Venture Capital firm that has expressed an interest acquiring the company and  Avondale's CFO has developed a set of financial projections which are summarized in the table below (all amounts are in $000).  As indicated earlier Avondale Robots has yet to turn a profit and has a loss carry forward for tax purposes of $1,000 leading into FY2020.</t>
  </si>
  <si>
    <t> 2020</t>
  </si>
  <si>
    <t>    2021</t>
  </si>
  <si>
    <t>    2022</t>
  </si>
  <si>
    <t>    2023</t>
  </si>
  <si>
    <t>    2024</t>
  </si>
  <si>
    <t>Beginning after year 2026 the annual growth in EBIT is expected to be 2.70%, a rate that is projected to be constant over Avondales' remaining life as an enterprise. Beginning after 2026 Avondale's capital expenditures and depreciation are expected to offset each other (capex - depreciation = 0) and year to year changes in working capital are expected to be zero (working capital levels remain constant year over year). For discounting purposes consider 2020 as year 1.</t>
  </si>
  <si>
    <t>Assume a tax rate of 21% and a cost of capital of 7.25%</t>
  </si>
  <si>
    <t>Determine the company valuation of Avondale Robots using the NPV method and the cash flow information provided above. The answer to this question was determined in Excel. Your answer may deviate slightly (if you are using a calculator) depending upon differences in truncation and rounding.  Answers below are in $000.</t>
  </si>
  <si>
    <t>Net Op Loss Tax Carryforward</t>
  </si>
  <si>
    <t>Taxable Income</t>
  </si>
  <si>
    <t>Income Tax</t>
  </si>
  <si>
    <t>Income after Tax</t>
  </si>
  <si>
    <t>Free Cash Flows</t>
  </si>
  <si>
    <t xml:space="preserve">PV of TV = </t>
  </si>
  <si>
    <t>PV of free CF</t>
  </si>
  <si>
    <t>Company Valuation</t>
  </si>
  <si>
    <t>Year</t>
  </si>
  <si>
    <t>The Screamer</t>
  </si>
  <si>
    <t>Chuckie's Playhouse</t>
  </si>
  <si>
    <t>Pennywise's House of Horrors</t>
  </si>
  <si>
    <t>The Human Slingshot </t>
  </si>
  <si>
    <t>Logan's Trip to Mars</t>
  </si>
  <si>
    <t>In answering the next four questions, consider the following cash flows on five independent projects for Freddy's Amusement Park, an independently owned amusement center targeted towards young children and teens. Each project represents a proposed new ride or attraction. Freddy adds and retires one attraction per year.</t>
  </si>
  <si>
    <t>Freddy's Amusement Park CEO Ted Kueger uses three criteria in making investment decisions, NPV, IRR, and Discounted Payback Period. For the purpose of your analysis assume the company's cost of capital is 11%. Calculate the NPV and IRR for each of these projects then answer the following four questions.</t>
  </si>
  <si>
    <t>R =</t>
  </si>
  <si>
    <t>UNDISCOUNTED CASH FLOWS</t>
  </si>
  <si>
    <t>DISCOUNTED CASH FLOWS</t>
  </si>
  <si>
    <t>Discounted Payback</t>
  </si>
  <si>
    <t>Pay back</t>
  </si>
  <si>
    <t>Years</t>
  </si>
  <si>
    <t>IRR of Pennywise</t>
  </si>
  <si>
    <t>BOGUS QUESTION: ALL five projects create economic value.</t>
  </si>
  <si>
    <t>Last year Spacely Space Sprockets purchased and installed a new ELE 1800 Acoustic Assembler, used in making sprockets for the private space travel industry.   The ELE 1800 cost $1,250,000 and had a "useful life" of 10 years with no salvage value. Recently the firm's CEO, Mr. Spacely, became aware of a new technology that promised many advantages over the ELE 1800 including a coating technology that improved the durability of sprockets during extended periods in space travel. Mr. Spacely believed that the improvement would provide his firm a competitive advantage generating more demand for the Spacely sprocket. He asked his CPA, George Jetson, to do a financial analysis to determine if a new technology, a machine called the ADV 2000, could be an economically viable replacement for the ELE 1800 Acoustic Assembler that was only one year old. The CPA determined that the new technology could be purchased for $1,548,000 today and would have a useful life of 9 years before it would likely become  obsolete and sold for its salvage value of $35,000 .  For depreciation purposes the company uses the straight line method.  </t>
  </si>
  <si>
    <t>The current machine is expected to produce EBITDA of $365,000 per year. The current machine is being depreciated on a straight line basis with one year of depreciation already expensed on the income statement. The market value of the current machine is $950,000. The company's tax rate is 21% and the cost of capital is 12%. Calculate the NPV of the replacement decision and choose the best answer below. Assume that at the completion of the useful life of the ADV 2000 the equipment will be sold for its salvage value. NOTE: DO NOT make any assumptions regarding the tax treatment for the gain or loss on the disposal of the current ELE 1800 machine.</t>
  </si>
  <si>
    <t>installation last year</t>
  </si>
  <si>
    <t>CURRENT MACHINE</t>
  </si>
  <si>
    <t>Life</t>
  </si>
  <si>
    <t>Salvage</t>
  </si>
  <si>
    <t>NEW MACHINE</t>
  </si>
  <si>
    <t xml:space="preserve">r = </t>
  </si>
  <si>
    <t>DIFFERENCE OF CASH FLOWS</t>
  </si>
  <si>
    <t>Both the firm’s CEO and senior management team agreed that the new machine could create higher much revenues for the firm without increasing operating expenses other than depreciation. Based on their best forecasts the Adam 2 would produce $950,000 EBITDA for the next 7 years.  </t>
  </si>
  <si>
    <t>OLD (2018) - Adam 1</t>
  </si>
  <si>
    <t>NEW - Adam 2 (complete @ end of 2020)</t>
  </si>
  <si>
    <r>
      <t xml:space="preserve">The Adam 1 expected to continue to produce EBITDA of $395,000 per year. The current machine is being depreciated on a straight line basis with two years of depreciation already expensed. </t>
    </r>
    <r>
      <rPr>
        <b/>
        <sz val="10"/>
        <color rgb="FFC00000"/>
        <rFont val="Calibri"/>
        <family val="2"/>
        <scheme val="minor"/>
      </rPr>
      <t>The market value of the current machines is $300,000</t>
    </r>
    <r>
      <rPr>
        <sz val="10"/>
        <color theme="1"/>
        <rFont val="Calibri"/>
        <family val="2"/>
        <scheme val="minor"/>
      </rPr>
      <t>. The company's tax rate is 21% and the cost of capital is 12%. Calculate the NPV of the replacement decision and choose the best answer below.</t>
    </r>
  </si>
  <si>
    <r>
      <t xml:space="preserve">New Krypton Hoverboards has a patented Hoverboard technology that has both commercial and recreational applications. Since introduced in 2016, the demand for the product has been growing steadily up to the point where production capacity had become an issue. In 2018 New Krypton purchased and installed a custom made Electro-Magnetic Decoupler  used in making the motherboard and gyroscope controllers for its Hoverboard products. Nicknamed Adam 1 the Decoupler cost $1,200,000 and had a "useful life" of 9 years. For depreciation purposes the salvage value was considered be $30,000 (sold as scrap) and the depreciation method used was straight-line. In March of 2020 the firm’s CEO became aware of an innovation that would greatly improve factory productivity and allow product improvements viewed as being very attractive to New Krypton’s target market. The new technology would totally obsolete the Adam 1 with the result  the Adam 1 being retired, de-installed and sold for its current market value which is significantly less than its current book value. The new technology would be dubbed Adam 2 and would cost New Krypton $2,200,000 to build and install. The entire transition from the Adam 1 to the Adam 2 could be completed by the end of 2020. The useful life of the Adam 2 is estimated to be 7 years and would be sold off at its scrap value –  which for the Adam 2 would be $37,000. Depreciation of the Adam 2 would also be calculated using the straight line method. </t>
    </r>
    <r>
      <rPr>
        <b/>
        <sz val="10"/>
        <color rgb="FFC00000"/>
        <rFont val="Calibri"/>
        <family val="2"/>
        <scheme val="minor"/>
      </rPr>
      <t>At the end of 2020 The Adam 1 would have been depreciated for only 2 years and would have a current book value of $940,000.</t>
    </r>
  </si>
  <si>
    <t>&lt;sell @ MV not BV</t>
  </si>
  <si>
    <t>&lt; 2020</t>
  </si>
  <si>
    <t>&lt; include sale @ End</t>
  </si>
  <si>
    <t>Cash Flows</t>
  </si>
  <si>
    <t>passing of a well-respected Federal Reserve Bank chairman</t>
  </si>
  <si>
    <r>
      <t xml:space="preserve">Standard deviation measures </t>
    </r>
    <r>
      <rPr>
        <b/>
        <sz val="10"/>
        <color theme="1"/>
        <rFont val="Calibri"/>
        <family val="2"/>
        <scheme val="minor"/>
      </rPr>
      <t>total</t>
    </r>
    <r>
      <rPr>
        <sz val="10"/>
        <color theme="1"/>
        <rFont val="Calibri"/>
        <family val="2"/>
        <scheme val="minor"/>
      </rPr>
      <t xml:space="preserve"> risk while beta measures </t>
    </r>
    <r>
      <rPr>
        <b/>
        <sz val="10"/>
        <color theme="1"/>
        <rFont val="Calibri"/>
        <family val="2"/>
        <scheme val="minor"/>
      </rPr>
      <t>systematic</t>
    </r>
    <r>
      <rPr>
        <sz val="10"/>
        <color theme="1"/>
        <rFont val="Calibri"/>
        <family val="2"/>
        <scheme val="minor"/>
      </rPr>
      <t xml:space="preserve"> risk</t>
    </r>
  </si>
  <si>
    <t>https://en.wikipedia.org/wiki/Beta_(finance)#:~:text=Thus%2C%20beta%20is%20a%20useful,a%20measure%20of%20idiosyncratic%20risk.</t>
  </si>
  <si>
    <t>"beta is referred to as an asset's non-diversifiable risk, its systematic risk, market risk, or hedge ratio."</t>
  </si>
  <si>
    <t xml:space="preserve">You just won America's Got Talent and were told that your $1 million dollar prize was to be paid out to you over the next 10 years in annual payments of $100,000 per year. Assuming a cost of capital of 6%, what is the actual present value of your winnings? </t>
  </si>
  <si>
    <t>Instead of winning America's Got Talent, you instead won The Voice, which also offered a $1 million prize. The Voice however actually intends to award you a prize that has a present value of $1 million but, unlike Americas Got Talent, the prize will be awarded as an annuity that will make equal payments to you over a 10 year period. If the cost of capital is 6%, what will be the amount of the annual payments to you if the present value of those payments will equal $1 million</t>
  </si>
  <si>
    <t>nper</t>
  </si>
  <si>
    <t>rate</t>
  </si>
  <si>
    <t>pmt</t>
  </si>
  <si>
    <t>PV =</t>
  </si>
  <si>
    <t xml:space="preserve">Happy Times, Inc. wants to expand its party stores into the Southeast. In order to establish an immediate presence in the area, the company is considering the purchase of the privately held Joe’s Party Supply. Happy Times currently has debt outstanding with a market value of $115 million and a YTM of 6 percent. The company’s market capitalization is $360 million, and the required return on equity is 11 percent. Joe’s currently has debt outstanding with a market value of $45 million. The EBIT for Joe’s next year is projected to be $17.3 million. EBIT is expected to grow at 10 percent per year for the next five years before slowing to 3 percent in perpetuity. Net working capital, capital spending, and depreciation as a percentage of EBIT are expected to be 9 percent, 15 percent, and 8 percent, respectively. Joe’s has 1.95 million shares outstanding and the tax rate for both companies is 21 percent. </t>
  </si>
  <si>
    <t>Happy Times</t>
  </si>
  <si>
    <t>Joe's Party Supply</t>
  </si>
  <si>
    <t>YTM "yield to maturity"</t>
  </si>
  <si>
    <t>EBIT (next year)</t>
  </si>
  <si>
    <t>&lt; MV of Equity</t>
  </si>
  <si>
    <t>&lt;for next 5 years</t>
  </si>
  <si>
    <t>Required Return on Equity</t>
  </si>
  <si>
    <t>&lt;in perpetuity</t>
  </si>
  <si>
    <t>EV? Debt + MV (market cap)</t>
  </si>
  <si>
    <t>Net Work Cap</t>
  </si>
  <si>
    <t>of EBIT</t>
  </si>
  <si>
    <t>Cap Spending</t>
  </si>
  <si>
    <t xml:space="preserve">WACC = </t>
  </si>
  <si>
    <t>Shares outstanding</t>
  </si>
  <si>
    <t>PART A</t>
  </si>
  <si>
    <t>Joes Party Supply Cash Flow Projections</t>
  </si>
  <si>
    <t>Taxes</t>
  </si>
  <si>
    <t>Earnings after tax</t>
  </si>
  <si>
    <t>Cap spending</t>
  </si>
  <si>
    <t>Discounted to PV</t>
  </si>
  <si>
    <t>TV ("terminal value")</t>
  </si>
  <si>
    <t>Period 5</t>
  </si>
  <si>
    <t>PV of TV (discount 5 yrs)</t>
  </si>
  <si>
    <t>&lt; total firm value</t>
  </si>
  <si>
    <t>Total value of equity</t>
  </si>
  <si>
    <t>&lt; firm value minus debt</t>
  </si>
  <si>
    <t>Value of equity / Shares</t>
  </si>
  <si>
    <t>&lt; maximum price per share to pay</t>
  </si>
  <si>
    <t>EXAMPLES OF COMPARABLES</t>
  </si>
  <si>
    <t>EV/EBITDA Multiple</t>
  </si>
  <si>
    <t>EBIT (Year 5)</t>
  </si>
  <si>
    <t>Dep (Year 5)</t>
  </si>
  <si>
    <t>**</t>
  </si>
  <si>
    <t>EBITDA (Year 5)</t>
  </si>
  <si>
    <t>EBITDA - DEP = EBIT</t>
  </si>
  <si>
    <t>EBITDA (Yr 5) * Multiple</t>
  </si>
  <si>
    <t>&lt;Terminal Value (TV)</t>
  </si>
  <si>
    <t>Discounted 5 Periods</t>
  </si>
  <si>
    <t>&lt; PV of Terminal Value (TV)</t>
  </si>
  <si>
    <t>Pv of TV + PV of CF1:CF5</t>
  </si>
  <si>
    <t>&lt;Total Value of Firm</t>
  </si>
  <si>
    <t>20% liquidity discount</t>
  </si>
  <si>
    <t>Adjusted total value of equity</t>
  </si>
  <si>
    <t>&lt; Cost of Debt</t>
  </si>
  <si>
    <t>growth CF1...CF5</t>
  </si>
  <si>
    <t>growth perpetual</t>
  </si>
  <si>
    <t>* once you figure out the payment, you could always test the numbers with a table like the one shown on the right</t>
  </si>
  <si>
    <t xml:space="preserve">First Exponent </t>
  </si>
  <si>
    <t>Second Exponent</t>
  </si>
  <si>
    <t>CF0 is n/a</t>
  </si>
  <si>
    <t>I took a sloppy approach toward solving this problem quickly. Below are the details in full</t>
  </si>
  <si>
    <t>MVA = (Market Price per share - Book Value per share)*# of shares</t>
  </si>
  <si>
    <t>MVA = (Market Value / share - Book Value / share) * # of shares</t>
  </si>
  <si>
    <t>&lt; wasn't being uses, so didn't need to be fixed</t>
  </si>
  <si>
    <t>Free cash flows to the firm</t>
  </si>
  <si>
    <t>PV of TV + PV of CF1...CF4</t>
  </si>
  <si>
    <t>NPV fake CF1.... CF4</t>
  </si>
  <si>
    <t>PV of CF1... CF7=</t>
  </si>
  <si>
    <t>PV CF1,...CF5 + PV TV</t>
  </si>
  <si>
    <t>EBIT = EBITDA + DEP</t>
  </si>
  <si>
    <t>Market Value Equity</t>
  </si>
  <si>
    <t>if in WACC, it's the same as "Equity"</t>
  </si>
  <si>
    <t>Prices * Shares Outstanding</t>
  </si>
  <si>
    <t>ALL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</si>
</sst>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4" formatCode="_(&quot;$&quot;* #,##0.00_);_(&quot;$&quot;* \(#,##0.00\);_(&quot;$&quot;* &quot;-&quot;??_);_(@_)"/>
    <numFmt numFmtId="43" formatCode="_(* #,##0.00_);_(* \(#,##0.00\);_(* &quot;-&quot;??_);_(@_)"/>
    <numFmt numFmtId="164" formatCode="0.0000%"/>
    <numFmt numFmtId="165" formatCode="_(* #,##0_);_(* \(#,##0\);_(* &quot;-&quot;??_);_(@_)"/>
    <numFmt numFmtId="166" formatCode="_(&quot;$&quot;* #,##0_);_(&quot;$&quot;* \(#,##0\);_(&quot;$&quot;* &quot;-&quot;??_);_(@_)"/>
    <numFmt numFmtId="167" formatCode="_(* #,##0.00000_);_(* \(#,##0.00000\);_(* &quot;-&quot;??_);_(@_)"/>
    <numFmt numFmtId="168" formatCode="_(* #,##0.000000_);_(* \(#,##0.000000\);_(* &quot;-&quot;??_);_(@_)"/>
    <numFmt numFmtId="169" formatCode="&quot;$&quot;#,##0.00000_);[Red]\(&quot;$&quot;#,##0.00000\)"/>
    <numFmt numFmtId="170" formatCode="0.00000%"/>
    <numFmt numFmtId="171" formatCode="0.000000%"/>
  </numFmts>
  <fonts count="25"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2D3B45"/>
      <name val="Calibri"/>
      <family val="2"/>
      <scheme val="minor"/>
    </font>
    <font>
      <b/>
      <sz val="11"/>
      <color rgb="FF2D3B45"/>
      <name val="Calibri"/>
      <family val="2"/>
      <scheme val="minor"/>
    </font>
    <font>
      <b/>
      <i/>
      <sz val="11"/>
      <color theme="1"/>
      <name val="Calibri"/>
      <family val="2"/>
      <scheme val="minor"/>
    </font>
    <font>
      <b/>
      <i/>
      <sz val="10"/>
      <color theme="1"/>
      <name val="Calibri"/>
      <family val="2"/>
      <scheme val="minor"/>
    </font>
    <font>
      <b/>
      <u/>
      <sz val="12"/>
      <color theme="1"/>
      <name val="Calibri"/>
      <family val="2"/>
      <scheme val="minor"/>
    </font>
    <font>
      <b/>
      <sz val="12"/>
      <color theme="1"/>
      <name val="Calibri"/>
      <family val="2"/>
      <scheme val="minor"/>
    </font>
    <font>
      <sz val="10"/>
      <color rgb="FF354754"/>
      <name val="Arial"/>
      <family val="2"/>
    </font>
    <font>
      <b/>
      <sz val="10"/>
      <color rgb="FF354754"/>
      <name val="Arial"/>
      <family val="2"/>
    </font>
    <font>
      <sz val="10"/>
      <color theme="1"/>
      <name val="Calibri"/>
      <family val="2"/>
      <scheme val="minor"/>
    </font>
    <font>
      <b/>
      <sz val="10"/>
      <color theme="1"/>
      <name val="Calibri"/>
      <family val="2"/>
      <scheme val="minor"/>
    </font>
    <font>
      <b/>
      <sz val="10"/>
      <color rgb="FFC00000"/>
      <name val="Calibri"/>
      <family val="2"/>
      <scheme val="minor"/>
    </font>
    <font>
      <u/>
      <sz val="12"/>
      <color theme="10"/>
      <name val="Calibri"/>
      <family val="2"/>
      <scheme val="minor"/>
    </font>
    <font>
      <u/>
      <sz val="10"/>
      <color theme="10"/>
      <name val="Calibri"/>
      <family val="2"/>
      <scheme val="minor"/>
    </font>
    <font>
      <sz val="13"/>
      <name val="Calibri"/>
      <family val="2"/>
      <scheme val="minor"/>
    </font>
    <font>
      <sz val="14"/>
      <name val="Calibri"/>
      <family val="2"/>
      <scheme val="minor"/>
    </font>
    <font>
      <sz val="12"/>
      <name val="Calibri"/>
      <family val="2"/>
      <scheme val="minor"/>
    </font>
    <font>
      <b/>
      <sz val="14"/>
      <name val="Calibri"/>
      <family val="2"/>
      <scheme val="minor"/>
    </font>
    <font>
      <b/>
      <sz val="16"/>
      <name val="Calibri"/>
      <family val="2"/>
      <scheme val="minor"/>
    </font>
    <font>
      <b/>
      <u val="singleAccounting"/>
      <sz val="14"/>
      <name val="Calibri"/>
      <family val="2"/>
      <scheme val="minor"/>
    </font>
    <font>
      <b/>
      <i/>
      <sz val="12"/>
      <color rgb="FFC00000"/>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FFFFFF"/>
        <bgColor indexed="64"/>
      </patternFill>
    </fill>
    <fill>
      <patternFill patternType="solid">
        <fgColor theme="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s>
  <cellStyleXfs count="5">
    <xf numFmtId="0" fontId="0"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16" fillId="0" borderId="0" applyNumberFormat="0" applyFill="0" applyBorder="0" applyAlignment="0" applyProtection="0"/>
  </cellStyleXfs>
  <cellXfs count="206">
    <xf numFmtId="0" fontId="0" fillId="0" borderId="0" xfId="0"/>
    <xf numFmtId="0" fontId="3" fillId="0" borderId="0" xfId="0" applyFont="1"/>
    <xf numFmtId="10" fontId="3" fillId="0" borderId="0" xfId="0" applyNumberFormat="1" applyFont="1"/>
    <xf numFmtId="9" fontId="3" fillId="0" borderId="0" xfId="0" applyNumberFormat="1" applyFont="1"/>
    <xf numFmtId="0" fontId="4" fillId="0" borderId="0" xfId="0" applyFont="1"/>
    <xf numFmtId="0" fontId="3" fillId="0" borderId="0" xfId="0" applyFont="1" applyAlignment="1">
      <alignment horizontal="left" indent="2"/>
    </xf>
    <xf numFmtId="0" fontId="3" fillId="2" borderId="0" xfId="0" applyFont="1" applyFill="1"/>
    <xf numFmtId="0" fontId="3" fillId="0" borderId="0" xfId="0" applyFont="1" applyAlignment="1">
      <alignment horizontal="right"/>
    </xf>
    <xf numFmtId="164" fontId="3" fillId="0" borderId="0" xfId="0" applyNumberFormat="1" applyFont="1"/>
    <xf numFmtId="10" fontId="3" fillId="0" borderId="0" xfId="2" applyNumberFormat="1" applyFont="1"/>
    <xf numFmtId="43" fontId="3" fillId="0" borderId="0" xfId="1" applyFont="1"/>
    <xf numFmtId="43" fontId="4" fillId="2" borderId="0" xfId="1" applyFont="1" applyFill="1"/>
    <xf numFmtId="43" fontId="3" fillId="2" borderId="0" xfId="0" applyNumberFormat="1" applyFont="1" applyFill="1"/>
    <xf numFmtId="6" fontId="3" fillId="2" borderId="0" xfId="0" applyNumberFormat="1" applyFont="1" applyFill="1"/>
    <xf numFmtId="8" fontId="3" fillId="0" borderId="0" xfId="0" applyNumberFormat="1" applyFont="1"/>
    <xf numFmtId="0" fontId="3" fillId="0" borderId="0" xfId="0" applyFont="1" applyAlignment="1">
      <alignment vertical="top"/>
    </xf>
    <xf numFmtId="0" fontId="3" fillId="0" borderId="0" xfId="0" applyFont="1" applyAlignment="1">
      <alignment horizontal="left"/>
    </xf>
    <xf numFmtId="0" fontId="3" fillId="0" borderId="0" xfId="0" applyFont="1" applyAlignment="1">
      <alignment wrapText="1"/>
    </xf>
    <xf numFmtId="0" fontId="3" fillId="0" borderId="2" xfId="0" applyFont="1" applyBorder="1"/>
    <xf numFmtId="9" fontId="3" fillId="0" borderId="2" xfId="0" applyNumberFormat="1" applyFont="1" applyBorder="1"/>
    <xf numFmtId="10" fontId="3" fillId="0" borderId="2" xfId="0" applyNumberFormat="1" applyFont="1" applyBorder="1"/>
    <xf numFmtId="0" fontId="3" fillId="0" borderId="0" xfId="0" applyFont="1" applyAlignment="1">
      <alignment horizontal="left" vertical="top" wrapText="1"/>
    </xf>
    <xf numFmtId="43" fontId="3" fillId="0" borderId="0" xfId="1" applyFont="1" applyAlignment="1">
      <alignment horizontal="left" vertical="top" wrapText="1"/>
    </xf>
    <xf numFmtId="0" fontId="5" fillId="0" borderId="0" xfId="0" applyFont="1" applyAlignment="1">
      <alignment vertical="center"/>
    </xf>
    <xf numFmtId="0" fontId="5" fillId="3" borderId="1" xfId="0" applyFont="1" applyFill="1" applyBorder="1" applyAlignment="1">
      <alignment vertical="center" wrapText="1"/>
    </xf>
    <xf numFmtId="0" fontId="5" fillId="0" borderId="0" xfId="0" applyFont="1" applyAlignment="1">
      <alignment vertical="center" wrapText="1"/>
    </xf>
    <xf numFmtId="6" fontId="5" fillId="3" borderId="1" xfId="0" applyNumberFormat="1" applyFont="1" applyFill="1" applyBorder="1" applyAlignment="1">
      <alignment vertical="center" wrapText="1"/>
    </xf>
    <xf numFmtId="10" fontId="3" fillId="2" borderId="0" xfId="0" applyNumberFormat="1" applyFont="1" applyFill="1"/>
    <xf numFmtId="0" fontId="4" fillId="2" borderId="0" xfId="0" applyFont="1" applyFill="1"/>
    <xf numFmtId="0" fontId="4" fillId="2" borderId="0" xfId="0" applyFont="1" applyFill="1" applyAlignment="1">
      <alignment horizontal="center"/>
    </xf>
    <xf numFmtId="43" fontId="3" fillId="0" borderId="2" xfId="1" applyFont="1" applyBorder="1"/>
    <xf numFmtId="0" fontId="3" fillId="0" borderId="0" xfId="0" quotePrefix="1" applyFont="1" applyAlignment="1">
      <alignment horizontal="right"/>
    </xf>
    <xf numFmtId="0" fontId="3" fillId="0" borderId="0" xfId="0" applyFont="1" applyBorder="1"/>
    <xf numFmtId="44" fontId="3" fillId="0" borderId="0" xfId="3" applyFont="1" applyBorder="1"/>
    <xf numFmtId="44" fontId="3" fillId="0" borderId="0" xfId="3" applyFont="1"/>
    <xf numFmtId="9" fontId="3" fillId="0" borderId="0" xfId="2" applyFont="1" applyBorder="1"/>
    <xf numFmtId="8" fontId="4" fillId="2" borderId="0" xfId="0" applyNumberFormat="1" applyFont="1" applyFill="1"/>
    <xf numFmtId="43" fontId="3" fillId="0" borderId="0" xfId="1" applyFont="1" applyAlignment="1">
      <alignment horizontal="right"/>
    </xf>
    <xf numFmtId="165" fontId="3" fillId="0" borderId="0" xfId="1" applyNumberFormat="1" applyFont="1" applyAlignment="1">
      <alignment horizontal="right" indent="4"/>
    </xf>
    <xf numFmtId="43" fontId="4" fillId="0" borderId="0" xfId="1" applyFont="1" applyAlignment="1">
      <alignment horizontal="right"/>
    </xf>
    <xf numFmtId="43" fontId="4" fillId="0" borderId="0" xfId="1" applyFont="1" applyAlignment="1">
      <alignment vertical="top"/>
    </xf>
    <xf numFmtId="0" fontId="4" fillId="0" borderId="0" xfId="0" applyFont="1" applyAlignment="1">
      <alignment vertical="top"/>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3" fillId="0" borderId="7" xfId="0" applyFont="1" applyBorder="1" applyAlignment="1">
      <alignment horizontal="lef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7" xfId="0" applyFont="1" applyBorder="1" applyAlignment="1">
      <alignment horizontal="right" vertical="top" wrapText="1"/>
    </xf>
    <xf numFmtId="43" fontId="3" fillId="0" borderId="5" xfId="1" applyFont="1" applyBorder="1" applyAlignment="1">
      <alignment horizontal="right" vertical="top" wrapText="1"/>
    </xf>
    <xf numFmtId="0" fontId="3" fillId="0" borderId="4" xfId="1" applyNumberFormat="1" applyFont="1" applyBorder="1" applyAlignment="1">
      <alignment horizontal="left" vertical="top" wrapText="1"/>
    </xf>
    <xf numFmtId="0" fontId="3" fillId="0" borderId="6" xfId="1" applyNumberFormat="1" applyFont="1" applyBorder="1" applyAlignment="1">
      <alignment horizontal="left" vertical="top" wrapText="1"/>
    </xf>
    <xf numFmtId="0" fontId="3" fillId="0" borderId="8" xfId="1" applyNumberFormat="1"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43" fontId="3" fillId="0" borderId="2" xfId="0" applyNumberFormat="1" applyFont="1" applyBorder="1" applyAlignment="1">
      <alignment horizontal="left" vertical="top" wrapText="1"/>
    </xf>
    <xf numFmtId="0" fontId="3" fillId="0" borderId="13" xfId="0" applyFont="1" applyBorder="1" applyAlignment="1">
      <alignment horizontal="left" vertical="top" wrapText="1"/>
    </xf>
    <xf numFmtId="0" fontId="3" fillId="0" borderId="4" xfId="0" applyFont="1" applyBorder="1" applyAlignment="1">
      <alignment horizontal="left" vertical="top" wrapText="1"/>
    </xf>
    <xf numFmtId="43" fontId="3" fillId="0" borderId="6" xfId="0" applyNumberFormat="1" applyFont="1" applyBorder="1" applyAlignment="1">
      <alignment horizontal="left" vertical="top" wrapText="1"/>
    </xf>
    <xf numFmtId="43" fontId="3" fillId="0" borderId="14" xfId="0" applyNumberFormat="1" applyFont="1" applyBorder="1" applyAlignment="1">
      <alignment horizontal="left" vertical="top" wrapText="1"/>
    </xf>
    <xf numFmtId="43" fontId="3" fillId="0" borderId="8" xfId="0" applyNumberFormat="1" applyFont="1" applyBorder="1" applyAlignment="1">
      <alignment horizontal="left" vertical="top" wrapText="1"/>
    </xf>
    <xf numFmtId="9" fontId="4" fillId="0" borderId="0" xfId="2" applyFont="1"/>
    <xf numFmtId="9" fontId="4" fillId="2" borderId="0" xfId="2" applyFont="1" applyFill="1"/>
    <xf numFmtId="0" fontId="0" fillId="0" borderId="0" xfId="0" applyAlignment="1">
      <alignment horizontal="left" wrapText="1"/>
    </xf>
    <xf numFmtId="0" fontId="0" fillId="0" borderId="0" xfId="0" applyAlignment="1">
      <alignment horizontal="left" vertical="top" wrapText="1"/>
    </xf>
    <xf numFmtId="43" fontId="0" fillId="0" borderId="0" xfId="1" applyFont="1" applyAlignment="1">
      <alignment horizontal="left" vertical="top" wrapText="1"/>
    </xf>
    <xf numFmtId="8" fontId="0" fillId="0" borderId="0" xfId="0" applyNumberFormat="1"/>
    <xf numFmtId="0" fontId="10" fillId="0" borderId="0" xfId="0" applyFont="1" applyAlignment="1">
      <alignment horizontal="right"/>
    </xf>
    <xf numFmtId="0" fontId="0" fillId="0" borderId="0" xfId="0" applyAlignment="1">
      <alignment horizontal="right"/>
    </xf>
    <xf numFmtId="8" fontId="0" fillId="0" borderId="0" xfId="0" applyNumberFormat="1" applyAlignment="1">
      <alignment horizontal="right"/>
    </xf>
    <xf numFmtId="10" fontId="0" fillId="0" borderId="0" xfId="0" applyNumberFormat="1" applyAlignment="1">
      <alignment horizontal="right"/>
    </xf>
    <xf numFmtId="44" fontId="0" fillId="0" borderId="0" xfId="3" applyFont="1" applyAlignment="1">
      <alignment horizontal="right"/>
    </xf>
    <xf numFmtId="0" fontId="0" fillId="0" borderId="0" xfId="0" applyAlignment="1">
      <alignment horizontal="right" wrapText="1"/>
    </xf>
    <xf numFmtId="166" fontId="0" fillId="0" borderId="0" xfId="3" applyNumberFormat="1" applyFont="1" applyAlignment="1">
      <alignment horizontal="right"/>
    </xf>
    <xf numFmtId="0" fontId="11" fillId="0" borderId="0" xfId="0" applyFont="1" applyAlignment="1">
      <alignment vertical="center" wrapText="1"/>
    </xf>
    <xf numFmtId="0" fontId="11" fillId="0" borderId="0" xfId="0" applyFont="1" applyAlignment="1">
      <alignment horizontal="left" vertical="top" wrapText="1"/>
    </xf>
    <xf numFmtId="0" fontId="11" fillId="0" borderId="0" xfId="0" applyFont="1" applyAlignment="1">
      <alignment horizontal="right" vertical="center" wrapText="1"/>
    </xf>
    <xf numFmtId="0" fontId="12" fillId="0" borderId="0" xfId="0" applyFont="1" applyAlignment="1">
      <alignment horizontal="right" vertical="center" wrapText="1"/>
    </xf>
    <xf numFmtId="6" fontId="11" fillId="0" borderId="0" xfId="0" applyNumberFormat="1" applyFont="1" applyAlignment="1">
      <alignment horizontal="right" vertical="center" wrapText="1"/>
    </xf>
    <xf numFmtId="6" fontId="12" fillId="0" borderId="0" xfId="0" applyNumberFormat="1" applyFont="1" applyAlignment="1">
      <alignment horizontal="right" vertical="center" wrapText="1"/>
    </xf>
    <xf numFmtId="0" fontId="12" fillId="0" borderId="0" xfId="0" applyFont="1" applyAlignment="1">
      <alignment horizontal="right" wrapText="1"/>
    </xf>
    <xf numFmtId="0" fontId="11" fillId="0" borderId="0" xfId="0" applyFont="1" applyAlignment="1">
      <alignment horizontal="left" vertical="center" wrapText="1"/>
    </xf>
    <xf numFmtId="0" fontId="12" fillId="0" borderId="0" xfId="0" applyFont="1" applyAlignment="1">
      <alignment horizontal="left" vertical="top" wrapText="1"/>
    </xf>
    <xf numFmtId="8" fontId="0" fillId="2" borderId="0" xfId="0" applyNumberFormat="1" applyFill="1" applyAlignment="1">
      <alignment horizontal="right"/>
    </xf>
    <xf numFmtId="0" fontId="0" fillId="0" borderId="2" xfId="0" applyBorder="1" applyAlignment="1">
      <alignment horizontal="right" wrapText="1"/>
    </xf>
    <xf numFmtId="6" fontId="0" fillId="0" borderId="2" xfId="0" applyNumberFormat="1" applyBorder="1" applyAlignment="1">
      <alignment horizontal="right"/>
    </xf>
    <xf numFmtId="0" fontId="0" fillId="0" borderId="5" xfId="0" applyBorder="1" applyAlignment="1">
      <alignment horizontal="right" wrapText="1"/>
    </xf>
    <xf numFmtId="0" fontId="0" fillId="0" borderId="6" xfId="0" applyBorder="1" applyAlignment="1">
      <alignment horizontal="right" wrapText="1"/>
    </xf>
    <xf numFmtId="6" fontId="0" fillId="0" borderId="5" xfId="0" applyNumberFormat="1" applyBorder="1" applyAlignment="1">
      <alignment horizontal="right"/>
    </xf>
    <xf numFmtId="6" fontId="0" fillId="0" borderId="7" xfId="0" applyNumberFormat="1" applyBorder="1" applyAlignment="1">
      <alignment horizontal="right"/>
    </xf>
    <xf numFmtId="6" fontId="0" fillId="0" borderId="14" xfId="0" applyNumberFormat="1" applyBorder="1" applyAlignment="1">
      <alignment horizontal="right"/>
    </xf>
    <xf numFmtId="0" fontId="0" fillId="0" borderId="16" xfId="0" applyBorder="1" applyAlignment="1">
      <alignment horizontal="right" wrapText="1"/>
    </xf>
    <xf numFmtId="6" fontId="0" fillId="0" borderId="16" xfId="0" applyNumberFormat="1" applyBorder="1" applyAlignment="1">
      <alignment horizontal="right"/>
    </xf>
    <xf numFmtId="8" fontId="10" fillId="2" borderId="0" xfId="0" applyNumberFormat="1" applyFont="1" applyFill="1" applyAlignment="1">
      <alignment horizontal="right"/>
    </xf>
    <xf numFmtId="8" fontId="10" fillId="0" borderId="0" xfId="0" applyNumberFormat="1" applyFont="1" applyAlignment="1">
      <alignment horizontal="right"/>
    </xf>
    <xf numFmtId="9" fontId="10" fillId="0" borderId="0" xfId="0" applyNumberFormat="1" applyFont="1" applyAlignment="1">
      <alignment horizontal="right"/>
    </xf>
    <xf numFmtId="6" fontId="0" fillId="0" borderId="17" xfId="0" applyNumberFormat="1" applyBorder="1" applyAlignment="1">
      <alignment horizontal="right"/>
    </xf>
    <xf numFmtId="165" fontId="0" fillId="0" borderId="5" xfId="1" applyNumberFormat="1" applyFont="1" applyBorder="1" applyAlignment="1">
      <alignment horizontal="right"/>
    </xf>
    <xf numFmtId="165" fontId="0" fillId="0" borderId="2" xfId="1" applyNumberFormat="1" applyFont="1" applyBorder="1" applyAlignment="1">
      <alignment horizontal="right"/>
    </xf>
    <xf numFmtId="165" fontId="0" fillId="0" borderId="7" xfId="1" applyNumberFormat="1" applyFont="1" applyBorder="1" applyAlignment="1">
      <alignment horizontal="right"/>
    </xf>
    <xf numFmtId="165" fontId="0" fillId="0" borderId="14" xfId="1" applyNumberFormat="1" applyFont="1" applyBorder="1" applyAlignment="1">
      <alignment horizontal="right"/>
    </xf>
    <xf numFmtId="0" fontId="0" fillId="0" borderId="0" xfId="0" applyNumberFormat="1" applyAlignment="1">
      <alignment horizontal="right"/>
    </xf>
    <xf numFmtId="43" fontId="10" fillId="0" borderId="0" xfId="1" applyFont="1" applyAlignment="1">
      <alignment horizontal="right"/>
    </xf>
    <xf numFmtId="43" fontId="0" fillId="0" borderId="0" xfId="1" applyFont="1" applyAlignment="1">
      <alignment horizontal="right"/>
    </xf>
    <xf numFmtId="43" fontId="10" fillId="0" borderId="0" xfId="1" applyFont="1" applyAlignment="1">
      <alignment horizontal="left"/>
    </xf>
    <xf numFmtId="10" fontId="10" fillId="0" borderId="0" xfId="0" applyNumberFormat="1" applyFont="1" applyAlignment="1">
      <alignment horizontal="right"/>
    </xf>
    <xf numFmtId="0" fontId="0" fillId="0" borderId="0" xfId="0" applyFont="1" applyAlignment="1">
      <alignment horizontal="right"/>
    </xf>
    <xf numFmtId="43" fontId="10" fillId="2" borderId="0" xfId="0" applyNumberFormat="1" applyFont="1" applyFill="1" applyAlignment="1">
      <alignment horizontal="right"/>
    </xf>
    <xf numFmtId="10" fontId="10" fillId="2" borderId="0" xfId="0" applyNumberFormat="1" applyFont="1" applyFill="1" applyAlignment="1">
      <alignment horizontal="right"/>
    </xf>
    <xf numFmtId="0" fontId="10" fillId="0" borderId="0" xfId="0" applyFont="1" applyAlignment="1">
      <alignment horizontal="left"/>
    </xf>
    <xf numFmtId="0" fontId="10" fillId="2" borderId="0" xfId="0" applyFont="1" applyFill="1" applyAlignment="1">
      <alignment horizontal="left"/>
    </xf>
    <xf numFmtId="0" fontId="0" fillId="2" borderId="0" xfId="0" applyFill="1" applyAlignment="1">
      <alignment horizontal="right"/>
    </xf>
    <xf numFmtId="0" fontId="13" fillId="0" borderId="0" xfId="0" applyFont="1" applyAlignment="1">
      <alignment horizontal="right"/>
    </xf>
    <xf numFmtId="0" fontId="13" fillId="0" borderId="0" xfId="0" applyFont="1" applyAlignment="1">
      <alignment horizontal="left"/>
    </xf>
    <xf numFmtId="43" fontId="13" fillId="0" borderId="0" xfId="1" applyFont="1" applyAlignment="1">
      <alignment horizontal="right"/>
    </xf>
    <xf numFmtId="43" fontId="13" fillId="0" borderId="0" xfId="0" applyNumberFormat="1" applyFont="1" applyAlignment="1">
      <alignment horizontal="right"/>
    </xf>
    <xf numFmtId="9" fontId="13" fillId="0" borderId="0" xfId="2" applyFont="1" applyAlignment="1">
      <alignment horizontal="right"/>
    </xf>
    <xf numFmtId="43" fontId="13" fillId="0" borderId="0" xfId="1" applyFont="1" applyAlignment="1"/>
    <xf numFmtId="9" fontId="13" fillId="0" borderId="0" xfId="1" applyNumberFormat="1" applyFont="1" applyAlignment="1"/>
    <xf numFmtId="9" fontId="13" fillId="0" borderId="0" xfId="0" applyNumberFormat="1" applyFont="1" applyAlignment="1">
      <alignment horizontal="right"/>
    </xf>
    <xf numFmtId="165" fontId="13" fillId="0" borderId="0" xfId="0" applyNumberFormat="1" applyFont="1" applyAlignment="1">
      <alignment horizontal="right"/>
    </xf>
    <xf numFmtId="165" fontId="14" fillId="0" borderId="0" xfId="0" applyNumberFormat="1" applyFont="1" applyAlignment="1">
      <alignment horizontal="right"/>
    </xf>
    <xf numFmtId="0" fontId="13" fillId="0" borderId="0" xfId="0" applyFont="1" applyAlignment="1">
      <alignment vertical="top" wrapText="1"/>
    </xf>
    <xf numFmtId="0" fontId="0" fillId="0" borderId="0" xfId="0" applyFont="1" applyAlignment="1">
      <alignment horizontal="left" vertical="top" wrapText="1"/>
    </xf>
    <xf numFmtId="0" fontId="0" fillId="0" borderId="0" xfId="0" applyFont="1" applyAlignment="1">
      <alignment horizontal="right" vertical="top" wrapText="1"/>
    </xf>
    <xf numFmtId="0" fontId="10" fillId="0" borderId="0" xfId="0" applyFont="1" applyAlignment="1"/>
    <xf numFmtId="0" fontId="19" fillId="4" borderId="0" xfId="0" applyFont="1" applyFill="1" applyAlignment="1">
      <alignment vertical="top" wrapText="1"/>
    </xf>
    <xf numFmtId="0" fontId="20" fillId="4" borderId="0" xfId="0" applyFont="1" applyFill="1" applyAlignment="1">
      <alignment horizontal="left"/>
    </xf>
    <xf numFmtId="0" fontId="21" fillId="4" borderId="0" xfId="0" applyFont="1" applyFill="1"/>
    <xf numFmtId="0" fontId="19" fillId="4" borderId="0" xfId="0" applyFont="1" applyFill="1"/>
    <xf numFmtId="9" fontId="19" fillId="4" borderId="0" xfId="0" applyNumberFormat="1" applyFont="1" applyFill="1"/>
    <xf numFmtId="10" fontId="19" fillId="4" borderId="0" xfId="2" applyNumberFormat="1" applyFont="1" applyFill="1"/>
    <xf numFmtId="0" fontId="22" fillId="4" borderId="0" xfId="0" applyFont="1" applyFill="1"/>
    <xf numFmtId="0" fontId="19" fillId="4" borderId="0" xfId="0" applyFont="1" applyFill="1" applyAlignment="1">
      <alignment horizontal="right"/>
    </xf>
    <xf numFmtId="0" fontId="19" fillId="4" borderId="18" xfId="0" applyFont="1" applyFill="1" applyBorder="1" applyAlignment="1">
      <alignment horizontal="right"/>
    </xf>
    <xf numFmtId="167" fontId="19" fillId="4" borderId="0" xfId="1" applyNumberFormat="1" applyFont="1" applyFill="1" applyAlignment="1">
      <alignment horizontal="right"/>
    </xf>
    <xf numFmtId="167" fontId="19" fillId="4" borderId="0" xfId="0" applyNumberFormat="1" applyFont="1" applyFill="1" applyAlignment="1">
      <alignment horizontal="right"/>
    </xf>
    <xf numFmtId="167" fontId="23" fillId="4" borderId="0" xfId="0" applyNumberFormat="1" applyFont="1" applyFill="1" applyAlignment="1">
      <alignment horizontal="right"/>
    </xf>
    <xf numFmtId="168" fontId="19" fillId="4" borderId="0" xfId="0" applyNumberFormat="1" applyFont="1" applyFill="1" applyAlignment="1">
      <alignment horizontal="right"/>
    </xf>
    <xf numFmtId="169" fontId="19" fillId="4" borderId="0" xfId="0" applyNumberFormat="1" applyFont="1" applyFill="1" applyAlignment="1">
      <alignment horizontal="right"/>
    </xf>
    <xf numFmtId="0" fontId="19" fillId="4" borderId="0" xfId="0" applyFont="1" applyFill="1" applyAlignment="1">
      <alignment horizontal="left"/>
    </xf>
    <xf numFmtId="44" fontId="19" fillId="4" borderId="0" xfId="3" applyFont="1" applyFill="1" applyAlignment="1">
      <alignment horizontal="right"/>
    </xf>
    <xf numFmtId="0" fontId="20" fillId="4" borderId="0" xfId="0" applyFont="1" applyFill="1"/>
    <xf numFmtId="168" fontId="19" fillId="4" borderId="0" xfId="0" applyNumberFormat="1" applyFont="1" applyFill="1"/>
    <xf numFmtId="43" fontId="19" fillId="4" borderId="0" xfId="0" applyNumberFormat="1" applyFont="1" applyFill="1"/>
    <xf numFmtId="0" fontId="19" fillId="4" borderId="2" xfId="0" applyFont="1" applyFill="1" applyBorder="1"/>
    <xf numFmtId="9" fontId="19" fillId="4" borderId="2" xfId="0" applyNumberFormat="1" applyFont="1" applyFill="1" applyBorder="1"/>
    <xf numFmtId="10" fontId="19" fillId="4" borderId="2" xfId="2" applyNumberFormat="1" applyFont="1" applyFill="1" applyBorder="1"/>
    <xf numFmtId="0" fontId="19" fillId="4" borderId="5" xfId="0" applyFont="1" applyFill="1" applyBorder="1" applyAlignment="1">
      <alignment horizontal="left"/>
    </xf>
    <xf numFmtId="0" fontId="19" fillId="4" borderId="7" xfId="0" applyFont="1" applyFill="1" applyBorder="1"/>
    <xf numFmtId="0" fontId="19" fillId="4" borderId="14" xfId="0" applyFont="1" applyFill="1" applyBorder="1"/>
    <xf numFmtId="10" fontId="21" fillId="2" borderId="2" xfId="2" applyNumberFormat="1" applyFont="1" applyFill="1" applyBorder="1"/>
    <xf numFmtId="0" fontId="19" fillId="4" borderId="16" xfId="0" applyFont="1" applyFill="1" applyBorder="1"/>
    <xf numFmtId="0" fontId="19" fillId="4" borderId="17" xfId="0" applyFont="1" applyFill="1" applyBorder="1"/>
    <xf numFmtId="0" fontId="19" fillId="4" borderId="7" xfId="0" applyFont="1" applyFill="1" applyBorder="1" applyAlignment="1">
      <alignment horizontal="left"/>
    </xf>
    <xf numFmtId="0" fontId="19" fillId="4" borderId="20" xfId="0" applyFont="1" applyFill="1" applyBorder="1" applyAlignment="1">
      <alignment horizontal="left"/>
    </xf>
    <xf numFmtId="0" fontId="19" fillId="4" borderId="21" xfId="0" applyFont="1" applyFill="1" applyBorder="1"/>
    <xf numFmtId="0" fontId="19" fillId="4" borderId="25" xfId="0" applyFont="1" applyFill="1" applyBorder="1"/>
    <xf numFmtId="165" fontId="10" fillId="2" borderId="0" xfId="1" applyNumberFormat="1" applyFont="1" applyFill="1" applyAlignment="1">
      <alignment horizontal="right"/>
    </xf>
    <xf numFmtId="0" fontId="24"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wrapText="1"/>
    </xf>
    <xf numFmtId="0" fontId="17" fillId="0" borderId="0" xfId="4" applyFont="1" applyAlignment="1">
      <alignment horizontal="left"/>
    </xf>
    <xf numFmtId="0" fontId="0" fillId="0" borderId="0" xfId="0" applyFont="1" applyAlignment="1">
      <alignment horizontal="left" vertical="top" wrapText="1"/>
    </xf>
    <xf numFmtId="8" fontId="0" fillId="0" borderId="0" xfId="0" applyNumberFormat="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center"/>
    </xf>
    <xf numFmtId="0" fontId="0" fillId="0" borderId="0" xfId="0" applyAlignment="1">
      <alignment horizontal="left" wrapText="1"/>
    </xf>
    <xf numFmtId="0" fontId="0" fillId="0" borderId="3"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4" xfId="0" applyBorder="1" applyAlignment="1">
      <alignment horizontal="center"/>
    </xf>
    <xf numFmtId="0" fontId="0" fillId="0" borderId="0" xfId="0"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center" wrapText="1"/>
    </xf>
    <xf numFmtId="0" fontId="12" fillId="0" borderId="0" xfId="0" applyFont="1" applyAlignment="1">
      <alignment horizontal="left" vertical="top" wrapText="1"/>
    </xf>
    <xf numFmtId="0" fontId="19" fillId="4" borderId="2" xfId="0" applyFont="1" applyFill="1" applyBorder="1" applyAlignment="1">
      <alignment horizontal="left"/>
    </xf>
    <xf numFmtId="0" fontId="19" fillId="4" borderId="6" xfId="0" applyFont="1" applyFill="1" applyBorder="1" applyAlignment="1">
      <alignment horizontal="left"/>
    </xf>
    <xf numFmtId="0" fontId="19" fillId="4" borderId="14" xfId="0" applyFont="1" applyFill="1" applyBorder="1" applyAlignment="1">
      <alignment horizontal="left"/>
    </xf>
    <xf numFmtId="0" fontId="19" fillId="4" borderId="8" xfId="0" applyFont="1" applyFill="1" applyBorder="1" applyAlignment="1">
      <alignment horizontal="left"/>
    </xf>
    <xf numFmtId="0" fontId="18" fillId="4" borderId="0" xfId="0" applyFont="1" applyFill="1" applyAlignment="1">
      <alignment horizontal="left" vertical="top" wrapText="1"/>
    </xf>
    <xf numFmtId="0" fontId="21" fillId="4" borderId="22" xfId="0" applyFont="1" applyFill="1" applyBorder="1" applyAlignment="1">
      <alignment horizontal="center"/>
    </xf>
    <xf numFmtId="0" fontId="21" fillId="4" borderId="23" xfId="0" applyFont="1" applyFill="1" applyBorder="1" applyAlignment="1">
      <alignment horizontal="center"/>
    </xf>
    <xf numFmtId="0" fontId="21" fillId="4" borderId="24" xfId="0" applyFont="1" applyFill="1" applyBorder="1" applyAlignment="1">
      <alignment horizontal="center"/>
    </xf>
    <xf numFmtId="0" fontId="19" fillId="4" borderId="26" xfId="0" applyFont="1" applyFill="1" applyBorder="1" applyAlignment="1">
      <alignment horizontal="left"/>
    </xf>
    <xf numFmtId="0" fontId="19" fillId="4" borderId="19" xfId="0" applyFont="1" applyFill="1" applyBorder="1" applyAlignment="1">
      <alignment horizontal="left"/>
    </xf>
    <xf numFmtId="0" fontId="1" fillId="0" borderId="0" xfId="0" applyFont="1" applyAlignment="1">
      <alignment horizontal="left" indent="2"/>
    </xf>
    <xf numFmtId="0" fontId="1" fillId="2" borderId="0" xfId="0" applyFont="1" applyFill="1" applyAlignment="1">
      <alignment horizontal="left" indent="2"/>
    </xf>
    <xf numFmtId="0" fontId="1" fillId="0" borderId="0" xfId="0" applyFont="1"/>
    <xf numFmtId="170" fontId="4" fillId="2" borderId="0" xfId="0" applyNumberFormat="1" applyFont="1" applyFill="1"/>
    <xf numFmtId="171" fontId="4" fillId="0" borderId="0" xfId="0" applyNumberFormat="1" applyFont="1"/>
    <xf numFmtId="0" fontId="1" fillId="0" borderId="0" xfId="0" applyFont="1" applyBorder="1"/>
    <xf numFmtId="6" fontId="3" fillId="0" borderId="0" xfId="3" applyNumberFormat="1" applyFont="1" applyBorder="1"/>
    <xf numFmtId="6" fontId="3" fillId="0" borderId="0" xfId="3" applyNumberFormat="1" applyFont="1"/>
    <xf numFmtId="44" fontId="3" fillId="2" borderId="0" xfId="0" applyNumberFormat="1" applyFont="1" applyFill="1"/>
    <xf numFmtId="43" fontId="4" fillId="2" borderId="0" xfId="0" applyNumberFormat="1" applyFont="1" applyFill="1"/>
    <xf numFmtId="43" fontId="0" fillId="2" borderId="0" xfId="0" applyNumberFormat="1" applyFill="1" applyAlignment="1">
      <alignment horizontal="right"/>
    </xf>
    <xf numFmtId="0" fontId="0" fillId="0" borderId="0" xfId="0" applyAlignment="1">
      <alignment vertical="top" wrapText="1"/>
    </xf>
    <xf numFmtId="44" fontId="0" fillId="2" borderId="0" xfId="0" applyNumberFormat="1" applyFill="1" applyAlignment="1">
      <alignment horizontal="right"/>
    </xf>
    <xf numFmtId="0" fontId="7" fillId="0" borderId="0" xfId="0" applyFont="1"/>
  </cellXfs>
  <cellStyles count="5">
    <cellStyle name="Comma" xfId="1" builtinId="3"/>
    <cellStyle name="Currency" xfId="3" builtinId="4"/>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762000</xdr:colOff>
      <xdr:row>49</xdr:row>
      <xdr:rowOff>48491</xdr:rowOff>
    </xdr:from>
    <xdr:to>
      <xdr:col>2</xdr:col>
      <xdr:colOff>768927</xdr:colOff>
      <xdr:row>51</xdr:row>
      <xdr:rowOff>159327</xdr:rowOff>
    </xdr:to>
    <xdr:cxnSp macro="">
      <xdr:nvCxnSpPr>
        <xdr:cNvPr id="3" name="Straight Arrow Connector 2">
          <a:extLst>
            <a:ext uri="{FF2B5EF4-FFF2-40B4-BE49-F238E27FC236}">
              <a16:creationId xmlns:a16="http://schemas.microsoft.com/office/drawing/2014/main" id="{AE0AD05E-23EF-412B-9A66-1592E60241DD}"/>
            </a:ext>
          </a:extLst>
        </xdr:cNvPr>
        <xdr:cNvCxnSpPr/>
      </xdr:nvCxnSpPr>
      <xdr:spPr>
        <a:xfrm>
          <a:off x="3435927" y="8873836"/>
          <a:ext cx="6927" cy="4710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103910</xdr:colOff>
      <xdr:row>49</xdr:row>
      <xdr:rowOff>41564</xdr:rowOff>
    </xdr:from>
    <xdr:to>
      <xdr:col>5</xdr:col>
      <xdr:colOff>775854</xdr:colOff>
      <xdr:row>51</xdr:row>
      <xdr:rowOff>159327</xdr:rowOff>
    </xdr:to>
    <xdr:cxnSp macro="">
      <xdr:nvCxnSpPr>
        <xdr:cNvPr id="4" name="Straight Arrow Connector 3">
          <a:extLst>
            <a:ext uri="{FF2B5EF4-FFF2-40B4-BE49-F238E27FC236}">
              <a16:creationId xmlns:a16="http://schemas.microsoft.com/office/drawing/2014/main" id="{1C276BFC-F977-4212-9C99-4E47018627EF}"/>
            </a:ext>
          </a:extLst>
        </xdr:cNvPr>
        <xdr:cNvCxnSpPr/>
      </xdr:nvCxnSpPr>
      <xdr:spPr>
        <a:xfrm flipH="1">
          <a:off x="5992092" y="8866909"/>
          <a:ext cx="671944" cy="477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64</xdr:row>
      <xdr:rowOff>208280</xdr:rowOff>
    </xdr:from>
    <xdr:to>
      <xdr:col>16</xdr:col>
      <xdr:colOff>592796</xdr:colOff>
      <xdr:row>72</xdr:row>
      <xdr:rowOff>43430</xdr:rowOff>
    </xdr:to>
    <xdr:pic>
      <xdr:nvPicPr>
        <xdr:cNvPr id="3" name="Picture 2">
          <a:extLst>
            <a:ext uri="{FF2B5EF4-FFF2-40B4-BE49-F238E27FC236}">
              <a16:creationId xmlns:a16="http://schemas.microsoft.com/office/drawing/2014/main" id="{6E0826F5-D786-4023-BAEA-F26B5BB00A55}"/>
            </a:ext>
          </a:extLst>
        </xdr:cNvPr>
        <xdr:cNvPicPr>
          <a:picLocks noChangeAspect="1"/>
        </xdr:cNvPicPr>
      </xdr:nvPicPr>
      <xdr:blipFill>
        <a:blip xmlns:r="http://schemas.openxmlformats.org/officeDocument/2006/relationships" r:embed="rId1"/>
        <a:stretch>
          <a:fillRect/>
        </a:stretch>
      </xdr:blipFill>
      <xdr:spPr>
        <a:xfrm>
          <a:off x="0" y="15488920"/>
          <a:ext cx="17590476" cy="30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982133</xdr:colOff>
      <xdr:row>5</xdr:row>
      <xdr:rowOff>225778</xdr:rowOff>
    </xdr:from>
    <xdr:to>
      <xdr:col>14</xdr:col>
      <xdr:colOff>365127</xdr:colOff>
      <xdr:row>22</xdr:row>
      <xdr:rowOff>159314</xdr:rowOff>
    </xdr:to>
    <xdr:pic>
      <xdr:nvPicPr>
        <xdr:cNvPr id="2" name="Picture 1">
          <a:extLst>
            <a:ext uri="{FF2B5EF4-FFF2-40B4-BE49-F238E27FC236}">
              <a16:creationId xmlns:a16="http://schemas.microsoft.com/office/drawing/2014/main" id="{213334A1-E3D3-405E-8C92-BC5BB9283E32}"/>
            </a:ext>
          </a:extLst>
        </xdr:cNvPr>
        <xdr:cNvPicPr>
          <a:picLocks noChangeAspect="1"/>
        </xdr:cNvPicPr>
      </xdr:nvPicPr>
      <xdr:blipFill>
        <a:blip xmlns:r="http://schemas.openxmlformats.org/officeDocument/2006/relationships" r:embed="rId1"/>
        <a:stretch>
          <a:fillRect/>
        </a:stretch>
      </xdr:blipFill>
      <xdr:spPr>
        <a:xfrm>
          <a:off x="10156613" y="2763238"/>
          <a:ext cx="6195274" cy="3909201"/>
        </a:xfrm>
        <a:prstGeom prst="rect">
          <a:avLst/>
        </a:prstGeom>
      </xdr:spPr>
    </xdr:pic>
    <xdr:clientData/>
  </xdr:twoCellAnchor>
  <xdr:twoCellAnchor editAs="oneCell">
    <xdr:from>
      <xdr:col>4</xdr:col>
      <xdr:colOff>135466</xdr:colOff>
      <xdr:row>30</xdr:row>
      <xdr:rowOff>5645</xdr:rowOff>
    </xdr:from>
    <xdr:to>
      <xdr:col>10</xdr:col>
      <xdr:colOff>550286</xdr:colOff>
      <xdr:row>42</xdr:row>
      <xdr:rowOff>204387</xdr:rowOff>
    </xdr:to>
    <xdr:pic>
      <xdr:nvPicPr>
        <xdr:cNvPr id="3" name="Picture 2">
          <a:extLst>
            <a:ext uri="{FF2B5EF4-FFF2-40B4-BE49-F238E27FC236}">
              <a16:creationId xmlns:a16="http://schemas.microsoft.com/office/drawing/2014/main" id="{BB6F9AFB-48B4-406E-B4DE-ED2B7B0CA6DF}"/>
            </a:ext>
          </a:extLst>
        </xdr:cNvPr>
        <xdr:cNvPicPr>
          <a:picLocks noChangeAspect="1"/>
        </xdr:cNvPicPr>
      </xdr:nvPicPr>
      <xdr:blipFill>
        <a:blip xmlns:r="http://schemas.openxmlformats.org/officeDocument/2006/relationships" r:embed="rId2"/>
        <a:stretch>
          <a:fillRect/>
        </a:stretch>
      </xdr:blipFill>
      <xdr:spPr>
        <a:xfrm>
          <a:off x="6429586" y="8341925"/>
          <a:ext cx="6823240" cy="29114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en.wikipedia.org/wiki/Beta_(financ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4"/>
  <sheetViews>
    <sheetView tabSelected="1" zoomScale="190" zoomScaleNormal="190" workbookViewId="0"/>
  </sheetViews>
  <sheetFormatPr defaultColWidth="14.875" defaultRowHeight="15" x14ac:dyDescent="0.25"/>
  <cols>
    <col min="1" max="1" width="21.25" style="1" customWidth="1"/>
    <col min="2" max="2" width="16" style="1" customWidth="1"/>
    <col min="3" max="3" width="13.125" style="1" customWidth="1"/>
    <col min="4" max="4" width="16" style="1" customWidth="1"/>
    <col min="5" max="9" width="13.125" style="1" customWidth="1"/>
    <col min="10" max="16384" width="14.875" style="1"/>
  </cols>
  <sheetData>
    <row r="1" spans="1:8" x14ac:dyDescent="0.25">
      <c r="A1" s="4" t="s">
        <v>171</v>
      </c>
    </row>
    <row r="2" spans="1:8" x14ac:dyDescent="0.25">
      <c r="B2" s="1" t="s">
        <v>14</v>
      </c>
      <c r="D2" s="1" t="s">
        <v>15</v>
      </c>
      <c r="E2" s="1" t="s">
        <v>16</v>
      </c>
    </row>
    <row r="3" spans="1:8" x14ac:dyDescent="0.25">
      <c r="A3" s="1" t="s">
        <v>0</v>
      </c>
      <c r="B3" s="1">
        <v>198.36</v>
      </c>
      <c r="D3" s="1">
        <v>315.10000000000002</v>
      </c>
    </row>
    <row r="4" spans="1:8" x14ac:dyDescent="0.25">
      <c r="A4" s="1" t="s">
        <v>1</v>
      </c>
      <c r="B4" s="1">
        <v>27</v>
      </c>
      <c r="C4" s="1" t="s">
        <v>17</v>
      </c>
      <c r="D4" s="1">
        <v>1.96</v>
      </c>
      <c r="E4" s="1" t="s">
        <v>17</v>
      </c>
    </row>
    <row r="5" spans="1:8" x14ac:dyDescent="0.25">
      <c r="A5" s="1" t="s">
        <v>12</v>
      </c>
      <c r="B5" s="1">
        <v>1.3</v>
      </c>
      <c r="D5" s="1">
        <v>1.39</v>
      </c>
    </row>
    <row r="6" spans="1:8" x14ac:dyDescent="0.25">
      <c r="A6" s="1" t="s">
        <v>2</v>
      </c>
      <c r="B6" s="1">
        <v>476.06</v>
      </c>
      <c r="C6" s="1" t="s">
        <v>17</v>
      </c>
      <c r="D6" s="1">
        <v>137.77000000000001</v>
      </c>
      <c r="E6" s="1" t="s">
        <v>17</v>
      </c>
    </row>
    <row r="7" spans="1:8" x14ac:dyDescent="0.25">
      <c r="A7" s="1" t="s">
        <v>3</v>
      </c>
      <c r="B7" s="2">
        <v>0.14349999999999999</v>
      </c>
      <c r="C7" s="2"/>
      <c r="D7" s="2">
        <v>4.41E-2</v>
      </c>
    </row>
    <row r="8" spans="1:8" x14ac:dyDescent="0.25">
      <c r="A8" s="1" t="s">
        <v>4</v>
      </c>
      <c r="B8" s="1">
        <v>17.239999999999998</v>
      </c>
      <c r="C8" s="1" t="s">
        <v>18</v>
      </c>
      <c r="D8" s="1">
        <v>6.39</v>
      </c>
      <c r="E8" s="1" t="s">
        <v>18</v>
      </c>
      <c r="F8" s="194" t="s">
        <v>341</v>
      </c>
    </row>
    <row r="9" spans="1:8" x14ac:dyDescent="0.25">
      <c r="A9" s="1" t="s">
        <v>5</v>
      </c>
      <c r="B9" s="1">
        <v>8.33</v>
      </c>
      <c r="D9" s="1">
        <v>206.27</v>
      </c>
    </row>
    <row r="10" spans="1:8" x14ac:dyDescent="0.25">
      <c r="A10" s="1" t="s">
        <v>6</v>
      </c>
      <c r="B10" s="1">
        <v>6.7</v>
      </c>
      <c r="D10" s="1">
        <v>2.54</v>
      </c>
    </row>
    <row r="11" spans="1:8" x14ac:dyDescent="0.25">
      <c r="A11" s="1" t="s">
        <v>7</v>
      </c>
      <c r="B11" s="1">
        <v>2.4</v>
      </c>
      <c r="C11" s="1" t="s">
        <v>17</v>
      </c>
      <c r="D11" s="1">
        <v>0.43722</v>
      </c>
      <c r="E11" s="1" t="s">
        <v>17</v>
      </c>
      <c r="F11" s="1" t="s">
        <v>170</v>
      </c>
    </row>
    <row r="12" spans="1:8" x14ac:dyDescent="0.25">
      <c r="A12" s="1" t="s">
        <v>8</v>
      </c>
      <c r="B12" s="1">
        <v>58.95</v>
      </c>
      <c r="C12" s="1" t="s">
        <v>17</v>
      </c>
      <c r="D12" s="1">
        <v>17.63</v>
      </c>
      <c r="E12" s="1" t="s">
        <v>17</v>
      </c>
    </row>
    <row r="13" spans="1:8" x14ac:dyDescent="0.25">
      <c r="A13" s="1" t="s">
        <v>9</v>
      </c>
      <c r="B13" s="1">
        <v>30.29</v>
      </c>
      <c r="D13" s="1">
        <v>13.95</v>
      </c>
    </row>
    <row r="14" spans="1:8" x14ac:dyDescent="0.25">
      <c r="A14" s="1" t="s">
        <v>10</v>
      </c>
      <c r="B14" s="1">
        <v>5.38</v>
      </c>
      <c r="D14" s="1">
        <v>0.85</v>
      </c>
    </row>
    <row r="15" spans="1:8" x14ac:dyDescent="0.25">
      <c r="A15" s="1" t="s">
        <v>13</v>
      </c>
      <c r="B15" s="1">
        <v>7.21</v>
      </c>
      <c r="C15" s="1" t="s">
        <v>17</v>
      </c>
      <c r="D15" s="1">
        <v>12.59</v>
      </c>
      <c r="E15" s="1" t="s">
        <v>17</v>
      </c>
    </row>
    <row r="16" spans="1:8" x14ac:dyDescent="0.25">
      <c r="A16" s="1" t="s">
        <v>11</v>
      </c>
      <c r="B16" s="1" t="s">
        <v>19</v>
      </c>
      <c r="D16" s="1" t="s">
        <v>20</v>
      </c>
      <c r="F16" s="163" t="s">
        <v>169</v>
      </c>
      <c r="G16" s="163"/>
      <c r="H16" s="163"/>
    </row>
    <row r="17" spans="1:8" x14ac:dyDescent="0.25">
      <c r="B17" s="2">
        <v>1.11E-2</v>
      </c>
      <c r="D17" s="2">
        <v>3.2300000000000002E-2</v>
      </c>
      <c r="F17" s="163"/>
      <c r="G17" s="163"/>
      <c r="H17" s="163"/>
    </row>
    <row r="18" spans="1:8" x14ac:dyDescent="0.25">
      <c r="A18" s="23" t="s">
        <v>21</v>
      </c>
      <c r="F18" s="163"/>
      <c r="G18" s="163"/>
      <c r="H18" s="163"/>
    </row>
    <row r="19" spans="1:8" x14ac:dyDescent="0.25">
      <c r="A19" s="23" t="s">
        <v>38</v>
      </c>
      <c r="B19" s="2">
        <v>1.9599999999999999E-2</v>
      </c>
      <c r="F19" s="163"/>
      <c r="G19" s="163"/>
      <c r="H19" s="163"/>
    </row>
    <row r="20" spans="1:8" x14ac:dyDescent="0.25">
      <c r="A20" s="23" t="s">
        <v>39</v>
      </c>
      <c r="B20" s="2">
        <v>6.25E-2</v>
      </c>
    </row>
    <row r="21" spans="1:8" x14ac:dyDescent="0.25">
      <c r="A21" s="23" t="s">
        <v>22</v>
      </c>
      <c r="B21" s="3">
        <v>0.21</v>
      </c>
    </row>
    <row r="22" spans="1:8" x14ac:dyDescent="0.25">
      <c r="A22" s="23"/>
    </row>
    <row r="24" spans="1:8" x14ac:dyDescent="0.25">
      <c r="A24" s="4" t="s">
        <v>24</v>
      </c>
    </row>
    <row r="25" spans="1:8" x14ac:dyDescent="0.25">
      <c r="A25" s="23" t="s">
        <v>23</v>
      </c>
    </row>
    <row r="26" spans="1:8" x14ac:dyDescent="0.25">
      <c r="A26" s="23"/>
    </row>
    <row r="27" spans="1:8" x14ac:dyDescent="0.25">
      <c r="A27" s="4" t="s">
        <v>29</v>
      </c>
    </row>
    <row r="28" spans="1:8" x14ac:dyDescent="0.25">
      <c r="A28" s="23" t="s">
        <v>30</v>
      </c>
    </row>
    <row r="29" spans="1:8" x14ac:dyDescent="0.25">
      <c r="A29" s="23"/>
    </row>
    <row r="30" spans="1:8" x14ac:dyDescent="0.25">
      <c r="A30" s="23" t="s">
        <v>156</v>
      </c>
      <c r="F30" s="205" t="s">
        <v>351</v>
      </c>
    </row>
    <row r="31" spans="1:8" x14ac:dyDescent="0.25">
      <c r="A31" s="192" t="s">
        <v>339</v>
      </c>
      <c r="F31" s="194" t="s">
        <v>350</v>
      </c>
    </row>
    <row r="32" spans="1:8" x14ac:dyDescent="0.25">
      <c r="A32" s="192" t="s">
        <v>340</v>
      </c>
      <c r="F32" s="194" t="s">
        <v>348</v>
      </c>
    </row>
    <row r="33" spans="1:6" x14ac:dyDescent="0.25">
      <c r="A33" s="5" t="s">
        <v>25</v>
      </c>
      <c r="F33" s="194" t="s">
        <v>2</v>
      </c>
    </row>
    <row r="34" spans="1:6" x14ac:dyDescent="0.25">
      <c r="A34" s="5" t="s">
        <v>26</v>
      </c>
      <c r="F34" s="194" t="s">
        <v>349</v>
      </c>
    </row>
    <row r="35" spans="1:6" x14ac:dyDescent="0.25">
      <c r="A35" s="5" t="s">
        <v>27</v>
      </c>
    </row>
    <row r="36" spans="1:6" x14ac:dyDescent="0.25">
      <c r="A36" s="193" t="s">
        <v>28</v>
      </c>
      <c r="B36" s="6"/>
      <c r="C36" s="6"/>
      <c r="D36" s="6"/>
    </row>
    <row r="38" spans="1:6" x14ac:dyDescent="0.25">
      <c r="A38" s="7" t="s">
        <v>31</v>
      </c>
      <c r="B38" s="6">
        <f>B6-B13*B11</f>
        <v>403.36400000000003</v>
      </c>
      <c r="C38" s="1" t="s">
        <v>32</v>
      </c>
      <c r="D38" s="6">
        <f>D6-D13*D11</f>
        <v>131.67078100000001</v>
      </c>
    </row>
    <row r="41" spans="1:6" x14ac:dyDescent="0.25">
      <c r="A41" s="4" t="s">
        <v>33</v>
      </c>
    </row>
    <row r="42" spans="1:6" x14ac:dyDescent="0.25">
      <c r="A42" s="1" t="s">
        <v>34</v>
      </c>
    </row>
    <row r="44" spans="1:6" x14ac:dyDescent="0.25">
      <c r="A44" s="1" t="s">
        <v>35</v>
      </c>
    </row>
    <row r="45" spans="1:6" x14ac:dyDescent="0.25">
      <c r="C45" s="1" t="s">
        <v>14</v>
      </c>
      <c r="F45" s="1" t="s">
        <v>15</v>
      </c>
    </row>
    <row r="46" spans="1:6" x14ac:dyDescent="0.25">
      <c r="B46" s="1" t="s">
        <v>36</v>
      </c>
      <c r="C46" s="2">
        <f>$B$19</f>
        <v>1.9599999999999999E-2</v>
      </c>
      <c r="E46" s="1" t="s">
        <v>36</v>
      </c>
      <c r="F46" s="2">
        <f>$B$19</f>
        <v>1.9599999999999999E-2</v>
      </c>
    </row>
    <row r="47" spans="1:6" x14ac:dyDescent="0.25">
      <c r="B47" s="1" t="s">
        <v>12</v>
      </c>
      <c r="C47" s="1">
        <f>B5</f>
        <v>1.3</v>
      </c>
      <c r="E47" s="1" t="s">
        <v>12</v>
      </c>
      <c r="F47" s="1">
        <f>D5</f>
        <v>1.39</v>
      </c>
    </row>
    <row r="48" spans="1:6" x14ac:dyDescent="0.25">
      <c r="B48" s="1" t="s">
        <v>37</v>
      </c>
      <c r="C48" s="2">
        <f>$B$20</f>
        <v>6.25E-2</v>
      </c>
      <c r="E48" s="1" t="s">
        <v>37</v>
      </c>
      <c r="F48" s="2">
        <f>$B$20</f>
        <v>6.25E-2</v>
      </c>
    </row>
    <row r="49" spans="1:7" x14ac:dyDescent="0.25">
      <c r="B49" s="4" t="s">
        <v>159</v>
      </c>
      <c r="C49" s="195">
        <f>C46+C47*C48</f>
        <v>0.10085</v>
      </c>
      <c r="D49" s="1" t="s">
        <v>42</v>
      </c>
      <c r="E49" s="4" t="s">
        <v>159</v>
      </c>
      <c r="F49" s="196">
        <f>F46+F47*F48</f>
        <v>0.10647499999999999</v>
      </c>
      <c r="G49" s="1" t="s">
        <v>42</v>
      </c>
    </row>
    <row r="51" spans="1:7" x14ac:dyDescent="0.25">
      <c r="A51" s="4" t="s">
        <v>160</v>
      </c>
    </row>
    <row r="53" spans="1:7" x14ac:dyDescent="0.25">
      <c r="B53" s="1" t="s">
        <v>40</v>
      </c>
      <c r="C53" s="2">
        <f>C49</f>
        <v>0.10085</v>
      </c>
      <c r="E53" s="2">
        <f>F49</f>
        <v>0.10647499999999999</v>
      </c>
    </row>
    <row r="55" spans="1:7" x14ac:dyDescent="0.25">
      <c r="B55" s="1" t="s">
        <v>43</v>
      </c>
      <c r="C55" s="3">
        <f>$B$21</f>
        <v>0.21</v>
      </c>
      <c r="E55" s="3">
        <f>$B$21</f>
        <v>0.21</v>
      </c>
    </row>
    <row r="56" spans="1:7" x14ac:dyDescent="0.25">
      <c r="B56" s="1" t="s">
        <v>36</v>
      </c>
      <c r="C56" s="2">
        <f>$B$19</f>
        <v>1.9599999999999999E-2</v>
      </c>
      <c r="E56" s="2">
        <f>$B$19</f>
        <v>1.9599999999999999E-2</v>
      </c>
    </row>
    <row r="57" spans="1:7" x14ac:dyDescent="0.25">
      <c r="B57" s="1" t="s">
        <v>46</v>
      </c>
      <c r="C57" s="2">
        <v>1.11E-2</v>
      </c>
      <c r="E57" s="2">
        <v>3.2300000000000002E-2</v>
      </c>
    </row>
    <row r="58" spans="1:7" x14ac:dyDescent="0.25">
      <c r="B58" s="1" t="s">
        <v>41</v>
      </c>
      <c r="C58" s="8">
        <f>C56+C57</f>
        <v>3.0699999999999998E-2</v>
      </c>
      <c r="D58" s="1" t="s">
        <v>45</v>
      </c>
      <c r="E58" s="8">
        <f>E56+E57</f>
        <v>5.1900000000000002E-2</v>
      </c>
      <c r="F58" s="1" t="s">
        <v>45</v>
      </c>
    </row>
    <row r="59" spans="1:7" x14ac:dyDescent="0.25">
      <c r="B59" s="1" t="s">
        <v>51</v>
      </c>
      <c r="C59" s="9">
        <f>C58*(1-C55)</f>
        <v>2.4253E-2</v>
      </c>
      <c r="E59" s="9">
        <f>E58*(1-E55)</f>
        <v>4.1001000000000003E-2</v>
      </c>
    </row>
    <row r="61" spans="1:7" x14ac:dyDescent="0.25">
      <c r="B61" s="1" t="s">
        <v>13</v>
      </c>
      <c r="C61" s="1">
        <f>B15</f>
        <v>7.21</v>
      </c>
      <c r="E61" s="1">
        <f>D15</f>
        <v>12.59</v>
      </c>
    </row>
    <row r="62" spans="1:7" x14ac:dyDescent="0.25">
      <c r="B62" s="1" t="s">
        <v>49</v>
      </c>
      <c r="C62" s="10">
        <f>B6</f>
        <v>476.06</v>
      </c>
      <c r="E62" s="10">
        <f>D6</f>
        <v>137.77000000000001</v>
      </c>
    </row>
    <row r="63" spans="1:7" x14ac:dyDescent="0.25">
      <c r="B63" s="1" t="s">
        <v>47</v>
      </c>
      <c r="C63" s="2">
        <f>C61/SUM(C61:C62)</f>
        <v>1.4919196308481802E-2</v>
      </c>
      <c r="E63" s="2">
        <f>E61/SUM(E61:E62)</f>
        <v>8.3732375631816958E-2</v>
      </c>
    </row>
    <row r="64" spans="1:7" x14ac:dyDescent="0.25">
      <c r="B64" s="1" t="s">
        <v>48</v>
      </c>
      <c r="C64" s="2">
        <f>C62/SUM(C61:C62)</f>
        <v>0.98508080369151829</v>
      </c>
      <c r="E64" s="2">
        <f>E62/SUM(E61:E62)</f>
        <v>0.91626762436818299</v>
      </c>
    </row>
    <row r="65" spans="1:8" x14ac:dyDescent="0.25">
      <c r="B65" s="1" t="s">
        <v>50</v>
      </c>
      <c r="C65" s="27">
        <f>C58*(1-C55)*C63+C53*C64</f>
        <v>9.9707234320359231E-2</v>
      </c>
      <c r="E65" s="27">
        <f>E58*(1-E55)*E63+E53*E64</f>
        <v>0.1009927064378824</v>
      </c>
    </row>
    <row r="66" spans="1:8" x14ac:dyDescent="0.25">
      <c r="C66" s="29" t="s">
        <v>161</v>
      </c>
      <c r="E66" s="29" t="s">
        <v>162</v>
      </c>
    </row>
    <row r="68" spans="1:8" x14ac:dyDescent="0.25">
      <c r="A68" s="4" t="s">
        <v>163</v>
      </c>
    </row>
    <row r="69" spans="1:8" x14ac:dyDescent="0.25">
      <c r="A69" s="1" t="b">
        <v>1</v>
      </c>
    </row>
    <row r="71" spans="1:8" x14ac:dyDescent="0.25">
      <c r="A71" s="4" t="s">
        <v>164</v>
      </c>
    </row>
    <row r="72" spans="1:8" x14ac:dyDescent="0.25">
      <c r="A72" s="1" t="b">
        <v>1</v>
      </c>
    </row>
    <row r="74" spans="1:8" x14ac:dyDescent="0.25">
      <c r="A74" s="4" t="s">
        <v>165</v>
      </c>
    </row>
    <row r="75" spans="1:8" x14ac:dyDescent="0.25">
      <c r="A75" s="1" t="b">
        <v>1</v>
      </c>
    </row>
    <row r="77" spans="1:8" x14ac:dyDescent="0.25">
      <c r="A77" s="4" t="s">
        <v>166</v>
      </c>
    </row>
    <row r="78" spans="1:8" ht="90" customHeight="1" x14ac:dyDescent="0.25">
      <c r="A78" s="162" t="s">
        <v>52</v>
      </c>
      <c r="B78" s="162"/>
      <c r="C78" s="162"/>
      <c r="D78" s="162"/>
      <c r="E78" s="162"/>
      <c r="F78" s="162"/>
      <c r="G78" s="162"/>
      <c r="H78" s="162"/>
    </row>
    <row r="79" spans="1:8" ht="27" customHeight="1" x14ac:dyDescent="0.25">
      <c r="B79" s="162" t="s">
        <v>168</v>
      </c>
      <c r="C79" s="162"/>
      <c r="D79" s="162"/>
      <c r="E79" s="162"/>
      <c r="F79" s="162"/>
      <c r="G79" s="162"/>
      <c r="H79" s="162"/>
    </row>
    <row r="80" spans="1:8" x14ac:dyDescent="0.25">
      <c r="B80" s="1">
        <v>0</v>
      </c>
      <c r="C80" s="1">
        <v>1</v>
      </c>
      <c r="D80" s="1">
        <v>2</v>
      </c>
      <c r="E80" s="1">
        <v>3</v>
      </c>
      <c r="F80" s="1">
        <v>4</v>
      </c>
      <c r="G80" s="1">
        <v>5</v>
      </c>
      <c r="H80" s="1">
        <v>6</v>
      </c>
    </row>
    <row r="81" spans="1:8" x14ac:dyDescent="0.25">
      <c r="A81" s="18" t="s">
        <v>53</v>
      </c>
      <c r="B81" s="18">
        <v>6.1</v>
      </c>
      <c r="C81" s="18">
        <f>B81*1.1</f>
        <v>6.71</v>
      </c>
      <c r="D81" s="18">
        <f>C81*1.1</f>
        <v>7.3810000000000002</v>
      </c>
      <c r="E81" s="18">
        <f>D81*1.1</f>
        <v>8.1191000000000013</v>
      </c>
      <c r="F81" s="18">
        <f>E81*1.1</f>
        <v>8.9310100000000023</v>
      </c>
      <c r="G81" s="18">
        <f>F81*1.1</f>
        <v>9.8241110000000038</v>
      </c>
      <c r="H81" s="18">
        <f>G81*1.03</f>
        <v>10.118834330000004</v>
      </c>
    </row>
    <row r="82" spans="1:8" x14ac:dyDescent="0.25">
      <c r="A82" s="18" t="s">
        <v>57</v>
      </c>
      <c r="B82" s="18"/>
      <c r="C82" s="30">
        <f>C81/(1+$B$85)^C80</f>
        <v>6.2129629629629628</v>
      </c>
      <c r="D82" s="30">
        <f>D81/(1+$B$85)^D80</f>
        <v>6.3280178326474621</v>
      </c>
      <c r="E82" s="30">
        <f>E81/(1+$B$85)^E80</f>
        <v>6.44520334806686</v>
      </c>
      <c r="F82" s="30">
        <f>F81/(1+$B$85)^F80</f>
        <v>6.5645589656236538</v>
      </c>
      <c r="G82" s="30">
        <f>G81/(1+$B$85)^G80</f>
        <v>6.6861248723944628</v>
      </c>
      <c r="H82" s="18"/>
    </row>
    <row r="84" spans="1:8" x14ac:dyDescent="0.25">
      <c r="A84" s="1" t="s">
        <v>59</v>
      </c>
      <c r="B84" s="10">
        <v>0.03</v>
      </c>
    </row>
    <row r="85" spans="1:8" x14ac:dyDescent="0.25">
      <c r="A85" s="1" t="s">
        <v>54</v>
      </c>
      <c r="B85" s="10">
        <v>0.08</v>
      </c>
    </row>
    <row r="86" spans="1:8" x14ac:dyDescent="0.25">
      <c r="A86" s="1" t="s">
        <v>55</v>
      </c>
      <c r="B86" s="10">
        <v>2</v>
      </c>
      <c r="C86" s="1" t="s">
        <v>18</v>
      </c>
    </row>
    <row r="87" spans="1:8" x14ac:dyDescent="0.25">
      <c r="A87" s="1" t="s">
        <v>56</v>
      </c>
      <c r="B87" s="10">
        <v>20</v>
      </c>
      <c r="C87" s="1" t="s">
        <v>18</v>
      </c>
    </row>
    <row r="88" spans="1:8" x14ac:dyDescent="0.25">
      <c r="A88" s="1" t="s">
        <v>58</v>
      </c>
      <c r="B88" s="10">
        <f>H81/(B85-B84)</f>
        <v>202.37668660000006</v>
      </c>
    </row>
    <row r="89" spans="1:8" x14ac:dyDescent="0.25">
      <c r="A89" s="1" t="s">
        <v>60</v>
      </c>
      <c r="B89" s="10">
        <f>B88/(1+B85)^5</f>
        <v>137.73417237132591</v>
      </c>
    </row>
    <row r="90" spans="1:8" x14ac:dyDescent="0.25">
      <c r="A90" s="1" t="s">
        <v>61</v>
      </c>
      <c r="B90" s="10">
        <f>SUM(C82:G82)</f>
        <v>32.236867981695404</v>
      </c>
      <c r="D90" s="31" t="s">
        <v>167</v>
      </c>
      <c r="E90" s="14">
        <f>NPV(B85,C81:G81)</f>
        <v>32.236867981695397</v>
      </c>
    </row>
    <row r="91" spans="1:8" x14ac:dyDescent="0.25">
      <c r="B91" s="10"/>
    </row>
    <row r="92" spans="1:8" x14ac:dyDescent="0.25">
      <c r="A92" s="1" t="s">
        <v>62</v>
      </c>
      <c r="B92" s="10">
        <f>SUM(B89:B90)</f>
        <v>169.97104035302132</v>
      </c>
      <c r="C92" s="1" t="s">
        <v>18</v>
      </c>
    </row>
    <row r="93" spans="1:8" x14ac:dyDescent="0.25">
      <c r="A93" s="5" t="s">
        <v>63</v>
      </c>
      <c r="B93" s="10">
        <f>-B87</f>
        <v>-20</v>
      </c>
    </row>
    <row r="94" spans="1:8" x14ac:dyDescent="0.25">
      <c r="A94" s="5" t="s">
        <v>64</v>
      </c>
      <c r="B94" s="10">
        <f>SUM(B92:B93)</f>
        <v>149.97104035302132</v>
      </c>
      <c r="C94" s="1" t="s">
        <v>18</v>
      </c>
    </row>
    <row r="95" spans="1:8" x14ac:dyDescent="0.25">
      <c r="B95" s="10"/>
    </row>
    <row r="96" spans="1:8" x14ac:dyDescent="0.25">
      <c r="A96" s="1" t="s">
        <v>65</v>
      </c>
      <c r="B96" s="11">
        <f>B94/B86</f>
        <v>74.985520176510661</v>
      </c>
    </row>
    <row r="97" spans="1:8" x14ac:dyDescent="0.25">
      <c r="B97" s="10"/>
    </row>
    <row r="98" spans="1:8" x14ac:dyDescent="0.25">
      <c r="A98" s="4" t="s">
        <v>172</v>
      </c>
      <c r="B98" s="10"/>
    </row>
    <row r="99" spans="1:8" ht="59.45" customHeight="1" x14ac:dyDescent="0.25">
      <c r="A99" s="162" t="s">
        <v>66</v>
      </c>
      <c r="B99" s="162"/>
      <c r="C99" s="162"/>
      <c r="D99" s="162"/>
      <c r="E99" s="162"/>
      <c r="F99" s="162"/>
      <c r="G99" s="162"/>
      <c r="H99" s="162"/>
    </row>
    <row r="100" spans="1:8" x14ac:dyDescent="0.25">
      <c r="A100" s="1" t="s">
        <v>67</v>
      </c>
    </row>
    <row r="102" spans="1:8" x14ac:dyDescent="0.25">
      <c r="A102" s="1" t="s">
        <v>68</v>
      </c>
      <c r="B102" s="1">
        <v>135</v>
      </c>
      <c r="C102" s="1" t="s">
        <v>18</v>
      </c>
    </row>
    <row r="103" spans="1:8" x14ac:dyDescent="0.25">
      <c r="A103" s="1" t="s">
        <v>69</v>
      </c>
      <c r="B103" s="1">
        <f>B102*0.3</f>
        <v>40.5</v>
      </c>
      <c r="C103" s="1" t="s">
        <v>18</v>
      </c>
    </row>
    <row r="104" spans="1:8" x14ac:dyDescent="0.25">
      <c r="A104" s="1" t="s">
        <v>70</v>
      </c>
      <c r="B104" s="1">
        <v>5.63</v>
      </c>
    </row>
    <row r="105" spans="1:8" x14ac:dyDescent="0.25">
      <c r="A105" s="1" t="s">
        <v>76</v>
      </c>
      <c r="B105" s="1">
        <f>B104*B102</f>
        <v>760.05</v>
      </c>
    </row>
    <row r="107" spans="1:8" x14ac:dyDescent="0.25">
      <c r="A107" s="4" t="s">
        <v>71</v>
      </c>
    </row>
    <row r="108" spans="1:8" x14ac:dyDescent="0.25">
      <c r="A108" s="1" t="s">
        <v>72</v>
      </c>
      <c r="B108" s="1">
        <v>38</v>
      </c>
      <c r="C108" s="1" t="s">
        <v>18</v>
      </c>
    </row>
    <row r="109" spans="1:8" x14ac:dyDescent="0.25">
      <c r="A109" s="1" t="s">
        <v>73</v>
      </c>
      <c r="B109" s="1">
        <v>633</v>
      </c>
      <c r="C109" s="1" t="s">
        <v>18</v>
      </c>
    </row>
    <row r="110" spans="1:8" x14ac:dyDescent="0.25">
      <c r="A110" s="1" t="s">
        <v>1</v>
      </c>
      <c r="B110" s="1">
        <v>57</v>
      </c>
      <c r="C110" s="1" t="s">
        <v>18</v>
      </c>
    </row>
    <row r="111" spans="1:8" x14ac:dyDescent="0.25">
      <c r="A111" s="1" t="s">
        <v>44</v>
      </c>
      <c r="B111" s="1">
        <v>120</v>
      </c>
      <c r="C111" s="1" t="s">
        <v>18</v>
      </c>
    </row>
    <row r="113" spans="1:8" x14ac:dyDescent="0.25">
      <c r="A113" s="1" t="s">
        <v>74</v>
      </c>
      <c r="B113" s="1" t="s">
        <v>75</v>
      </c>
    </row>
    <row r="114" spans="1:8" x14ac:dyDescent="0.25">
      <c r="A114" s="1" t="s">
        <v>77</v>
      </c>
      <c r="B114" s="6">
        <f>B105+B111</f>
        <v>880.05</v>
      </c>
    </row>
    <row r="117" spans="1:8" x14ac:dyDescent="0.25">
      <c r="A117" s="4" t="s">
        <v>173</v>
      </c>
    </row>
    <row r="118" spans="1:8" ht="16.899999999999999" customHeight="1" x14ac:dyDescent="0.25">
      <c r="A118" s="165" t="s">
        <v>78</v>
      </c>
      <c r="B118" s="165"/>
      <c r="C118" s="165"/>
      <c r="D118" s="165"/>
      <c r="E118" s="165"/>
      <c r="F118" s="165"/>
      <c r="G118" s="165"/>
      <c r="H118" s="165"/>
    </row>
    <row r="119" spans="1:8" ht="26.45" customHeight="1" x14ac:dyDescent="0.25">
      <c r="A119" s="166" t="s">
        <v>79</v>
      </c>
      <c r="B119" s="166"/>
      <c r="C119" s="166"/>
      <c r="D119" s="166"/>
      <c r="E119" s="166"/>
      <c r="F119" s="166"/>
      <c r="G119" s="166"/>
      <c r="H119" s="166"/>
    </row>
    <row r="120" spans="1:8" x14ac:dyDescent="0.25">
      <c r="A120" s="24"/>
      <c r="B120" s="24" t="s">
        <v>80</v>
      </c>
      <c r="C120" s="24" t="s">
        <v>81</v>
      </c>
    </row>
    <row r="121" spans="1:8" x14ac:dyDescent="0.25">
      <c r="A121" s="24"/>
      <c r="B121" s="24"/>
      <c r="C121" s="24"/>
    </row>
    <row r="122" spans="1:8" x14ac:dyDescent="0.25">
      <c r="A122" s="24" t="s">
        <v>82</v>
      </c>
      <c r="B122" s="24">
        <v>26.1</v>
      </c>
      <c r="C122" s="24">
        <v>0.78</v>
      </c>
    </row>
    <row r="123" spans="1:8" x14ac:dyDescent="0.25">
      <c r="A123" s="24" t="s">
        <v>83</v>
      </c>
      <c r="B123" s="24">
        <v>15.36</v>
      </c>
      <c r="C123" s="24">
        <v>1.41</v>
      </c>
    </row>
    <row r="124" spans="1:8" x14ac:dyDescent="0.25">
      <c r="A124" s="24" t="s">
        <v>84</v>
      </c>
      <c r="B124" s="24" t="s">
        <v>85</v>
      </c>
      <c r="C124" s="24">
        <v>0.76</v>
      </c>
    </row>
    <row r="125" spans="1:8" x14ac:dyDescent="0.25">
      <c r="A125" s="24" t="s">
        <v>86</v>
      </c>
      <c r="B125" s="24">
        <v>18.59</v>
      </c>
      <c r="C125" s="24">
        <v>0.96</v>
      </c>
    </row>
    <row r="126" spans="1:8" x14ac:dyDescent="0.25">
      <c r="A126" s="24" t="s">
        <v>87</v>
      </c>
      <c r="B126" s="24">
        <v>14.11</v>
      </c>
      <c r="C126" s="24">
        <v>1.06</v>
      </c>
    </row>
    <row r="127" spans="1:8" x14ac:dyDescent="0.25">
      <c r="A127" s="24" t="s">
        <v>88</v>
      </c>
      <c r="B127" s="24">
        <v>13.04</v>
      </c>
      <c r="C127" s="24">
        <v>1.58</v>
      </c>
    </row>
    <row r="128" spans="1:8" x14ac:dyDescent="0.25">
      <c r="A128" s="25"/>
      <c r="C128" s="10">
        <f>AVERAGE(C122:C127)</f>
        <v>1.0916666666666668</v>
      </c>
    </row>
    <row r="130" spans="1:8" x14ac:dyDescent="0.25">
      <c r="B130" s="1" t="s">
        <v>89</v>
      </c>
    </row>
    <row r="131" spans="1:8" x14ac:dyDescent="0.25">
      <c r="B131" s="12">
        <f>C128*B109</f>
        <v>691.02500000000009</v>
      </c>
    </row>
    <row r="133" spans="1:8" x14ac:dyDescent="0.25">
      <c r="A133" s="4" t="s">
        <v>174</v>
      </c>
    </row>
    <row r="135" spans="1:8" ht="13.9" customHeight="1" x14ac:dyDescent="0.25">
      <c r="A135" s="167" t="s">
        <v>157</v>
      </c>
      <c r="B135" s="167"/>
      <c r="C135" s="167"/>
      <c r="D135" s="167"/>
      <c r="E135" s="167"/>
      <c r="F135" s="167"/>
      <c r="G135" s="167"/>
      <c r="H135" s="167"/>
    </row>
    <row r="136" spans="1:8" ht="40.15" customHeight="1" x14ac:dyDescent="0.25">
      <c r="A136" s="166" t="s">
        <v>90</v>
      </c>
      <c r="B136" s="166"/>
      <c r="C136" s="166"/>
      <c r="D136" s="166"/>
      <c r="E136" s="166"/>
      <c r="F136" s="166"/>
      <c r="G136" s="166"/>
      <c r="H136" s="166"/>
    </row>
    <row r="137" spans="1:8" ht="27.6" customHeight="1" x14ac:dyDescent="0.25">
      <c r="A137" s="166" t="s">
        <v>158</v>
      </c>
      <c r="B137" s="166"/>
      <c r="C137" s="166"/>
      <c r="D137" s="166"/>
      <c r="E137" s="166"/>
      <c r="F137" s="166"/>
      <c r="G137" s="166"/>
      <c r="H137" s="166"/>
    </row>
    <row r="138" spans="1:8" x14ac:dyDescent="0.25">
      <c r="A138" s="24"/>
      <c r="B138" s="24">
        <v>2020</v>
      </c>
      <c r="C138" s="24">
        <v>2021</v>
      </c>
      <c r="D138" s="24">
        <v>2022</v>
      </c>
      <c r="E138" s="24">
        <v>2023</v>
      </c>
      <c r="F138" s="24">
        <v>2024</v>
      </c>
    </row>
    <row r="139" spans="1:8" x14ac:dyDescent="0.25">
      <c r="A139" s="24" t="s">
        <v>91</v>
      </c>
      <c r="B139" s="26">
        <v>2000</v>
      </c>
      <c r="C139" s="26">
        <v>2500</v>
      </c>
      <c r="D139" s="26">
        <v>2800</v>
      </c>
      <c r="E139" s="26">
        <v>2950</v>
      </c>
      <c r="F139" s="26">
        <f>E139*1.02</f>
        <v>3009</v>
      </c>
    </row>
    <row r="140" spans="1:8" ht="30" x14ac:dyDescent="0.25">
      <c r="A140" s="24" t="s">
        <v>92</v>
      </c>
      <c r="B140" s="26">
        <v>-1000</v>
      </c>
      <c r="C140" s="24"/>
      <c r="D140" s="24"/>
      <c r="E140" s="24"/>
      <c r="F140" s="24"/>
      <c r="G140" s="1" t="s">
        <v>175</v>
      </c>
    </row>
    <row r="141" spans="1:8" x14ac:dyDescent="0.25">
      <c r="A141" s="24" t="s">
        <v>98</v>
      </c>
      <c r="B141" s="26">
        <f>-SUM(B139:B140)*$B149</f>
        <v>-210</v>
      </c>
      <c r="C141" s="26">
        <f>-SUM(C139:C140)*$B149</f>
        <v>-525</v>
      </c>
      <c r="D141" s="26">
        <f>-SUM(D139:D140)*$B149</f>
        <v>-588</v>
      </c>
      <c r="E141" s="26">
        <f>-SUM(E139:E140)*$B149</f>
        <v>-619.5</v>
      </c>
      <c r="F141" s="26">
        <f>-SUM(F139:F140)*$B149</f>
        <v>-631.89</v>
      </c>
    </row>
    <row r="142" spans="1:8" x14ac:dyDescent="0.25">
      <c r="A142" s="24" t="s">
        <v>99</v>
      </c>
      <c r="B142" s="26">
        <f>SUM(B141,B139)</f>
        <v>1790</v>
      </c>
      <c r="C142" s="26">
        <f>SUM(C141,C139)</f>
        <v>1975</v>
      </c>
      <c r="D142" s="26">
        <f>SUM(D141,D139)</f>
        <v>2212</v>
      </c>
      <c r="E142" s="26">
        <f>SUM(E141,E139)</f>
        <v>2330.5</v>
      </c>
      <c r="F142" s="26">
        <f>SUM(F141,F139)</f>
        <v>2377.11</v>
      </c>
    </row>
    <row r="143" spans="1:8" x14ac:dyDescent="0.25">
      <c r="A143" s="24" t="s">
        <v>93</v>
      </c>
      <c r="B143" s="26">
        <v>500</v>
      </c>
      <c r="C143" s="26">
        <v>500</v>
      </c>
      <c r="D143" s="26">
        <v>500</v>
      </c>
      <c r="E143" s="26">
        <v>450</v>
      </c>
      <c r="F143" s="26">
        <v>450</v>
      </c>
    </row>
    <row r="144" spans="1:8" ht="30" x14ac:dyDescent="0.25">
      <c r="A144" s="24" t="s">
        <v>94</v>
      </c>
      <c r="B144" s="26">
        <v>40</v>
      </c>
      <c r="C144" s="26">
        <v>-10</v>
      </c>
      <c r="D144" s="26">
        <v>-20</v>
      </c>
      <c r="E144" s="26">
        <v>20</v>
      </c>
      <c r="F144" s="26">
        <v>0</v>
      </c>
    </row>
    <row r="145" spans="1:8" x14ac:dyDescent="0.25">
      <c r="A145" s="24" t="s">
        <v>95</v>
      </c>
      <c r="B145" s="26">
        <v>50</v>
      </c>
      <c r="C145" s="26">
        <v>60</v>
      </c>
      <c r="D145" s="26">
        <v>100</v>
      </c>
      <c r="E145" s="26">
        <v>110</v>
      </c>
      <c r="F145" s="26">
        <v>450</v>
      </c>
    </row>
    <row r="146" spans="1:8" x14ac:dyDescent="0.25">
      <c r="A146" s="197" t="s">
        <v>342</v>
      </c>
      <c r="B146" s="198">
        <f>B142-B143-B144+B145</f>
        <v>1300</v>
      </c>
      <c r="C146" s="199">
        <f>C142-C143-C144+C145</f>
        <v>1545</v>
      </c>
      <c r="D146" s="199">
        <f>D142-D143-D144+D145</f>
        <v>1832</v>
      </c>
      <c r="E146" s="34">
        <f>E142-E143-E144+E145</f>
        <v>1970.5</v>
      </c>
      <c r="F146" s="199">
        <f>F142-F143-F144+F145</f>
        <v>2377.11</v>
      </c>
    </row>
    <row r="147" spans="1:8" x14ac:dyDescent="0.25">
      <c r="A147" s="32" t="s">
        <v>57</v>
      </c>
      <c r="B147" s="33">
        <f>B146/(1+$B$151)^(B138-2019)</f>
        <v>1192.6605504587155</v>
      </c>
      <c r="C147" s="34">
        <f>C146/(1+$B$151)^(C138-2019)</f>
        <v>1300.3955895968352</v>
      </c>
      <c r="D147" s="34">
        <f>D146/(1+$B$151)^(D138-2019)</f>
        <v>1414.6401354718696</v>
      </c>
      <c r="E147" s="34">
        <f>E146/(1+$B$151)^(E138-2019)</f>
        <v>1395.9518784039697</v>
      </c>
      <c r="F147" s="34"/>
      <c r="G147" s="200">
        <f>SUM(B147:F147)</f>
        <v>5303.64815393139</v>
      </c>
      <c r="H147" s="1" t="s">
        <v>178</v>
      </c>
    </row>
    <row r="148" spans="1:8" x14ac:dyDescent="0.25">
      <c r="A148" s="32"/>
      <c r="B148" s="32"/>
      <c r="G148" s="13">
        <f>NPV(B151,B146:E146)</f>
        <v>5303.64815393139</v>
      </c>
      <c r="H148" s="1" t="s">
        <v>178</v>
      </c>
    </row>
    <row r="149" spans="1:8" x14ac:dyDescent="0.25">
      <c r="A149" s="32" t="s">
        <v>96</v>
      </c>
      <c r="B149" s="35">
        <v>0.21</v>
      </c>
    </row>
    <row r="150" spans="1:8" x14ac:dyDescent="0.25">
      <c r="A150" s="32" t="s">
        <v>97</v>
      </c>
      <c r="B150" s="35">
        <v>0.02</v>
      </c>
    </row>
    <row r="151" spans="1:8" x14ac:dyDescent="0.25">
      <c r="A151" s="32" t="s">
        <v>101</v>
      </c>
      <c r="B151" s="35">
        <v>0.09</v>
      </c>
    </row>
    <row r="152" spans="1:8" x14ac:dyDescent="0.25">
      <c r="A152" s="32" t="s">
        <v>100</v>
      </c>
      <c r="B152" s="33">
        <f>F146/(B151-B150)</f>
        <v>33958.71428571429</v>
      </c>
    </row>
    <row r="153" spans="1:8" x14ac:dyDescent="0.25">
      <c r="A153" s="32" t="s">
        <v>102</v>
      </c>
      <c r="B153" s="33">
        <f>B152/(1+B151)^4</f>
        <v>24057.209335359847</v>
      </c>
      <c r="C153" s="1" t="s">
        <v>176</v>
      </c>
      <c r="D153" s="14"/>
    </row>
    <row r="154" spans="1:8" x14ac:dyDescent="0.25">
      <c r="A154" s="197" t="s">
        <v>343</v>
      </c>
      <c r="B154" s="33">
        <f>SUM(B153,B147:E147)</f>
        <v>29360.857489291237</v>
      </c>
    </row>
    <row r="155" spans="1:8" x14ac:dyDescent="0.25">
      <c r="B155" s="34"/>
    </row>
    <row r="157" spans="1:8" x14ac:dyDescent="0.25">
      <c r="A157" s="4" t="s">
        <v>179</v>
      </c>
    </row>
    <row r="158" spans="1:8" s="15" customFormat="1" ht="74.45" customHeight="1" x14ac:dyDescent="0.25">
      <c r="A158" s="162" t="s">
        <v>103</v>
      </c>
      <c r="B158" s="162"/>
      <c r="C158" s="162"/>
      <c r="D158" s="162"/>
      <c r="E158" s="162"/>
      <c r="F158" s="162"/>
      <c r="G158" s="162"/>
      <c r="H158" s="162"/>
    </row>
    <row r="160" spans="1:8" ht="29.45" customHeight="1" x14ac:dyDescent="0.25">
      <c r="A160" s="161" t="s">
        <v>104</v>
      </c>
      <c r="B160" s="161"/>
      <c r="C160" s="161"/>
      <c r="D160" s="161"/>
      <c r="E160" s="161"/>
      <c r="F160" s="161"/>
      <c r="G160" s="161"/>
      <c r="H160" s="161"/>
    </row>
    <row r="161" spans="1:8" x14ac:dyDescent="0.25">
      <c r="A161" s="194" t="s">
        <v>344</v>
      </c>
      <c r="B161" s="10">
        <v>4800</v>
      </c>
    </row>
    <row r="162" spans="1:8" x14ac:dyDescent="0.25">
      <c r="A162" s="1" t="s">
        <v>102</v>
      </c>
      <c r="B162" s="10">
        <f>(F146/(B151-B150)/(1+B151)^4)</f>
        <v>24057.209335359847</v>
      </c>
      <c r="C162" s="1" t="s">
        <v>177</v>
      </c>
      <c r="F162" s="14"/>
    </row>
    <row r="163" spans="1:8" x14ac:dyDescent="0.25">
      <c r="A163" s="197" t="s">
        <v>343</v>
      </c>
      <c r="B163" s="11">
        <f>SUM(B161:B162)</f>
        <v>28857.209335359847</v>
      </c>
    </row>
    <row r="164" spans="1:8" x14ac:dyDescent="0.25">
      <c r="B164" s="10"/>
    </row>
    <row r="165" spans="1:8" x14ac:dyDescent="0.25">
      <c r="A165" s="4" t="s">
        <v>180</v>
      </c>
      <c r="B165" s="10"/>
    </row>
    <row r="166" spans="1:8" ht="68.45" customHeight="1" x14ac:dyDescent="0.25">
      <c r="A166" s="161" t="s">
        <v>105</v>
      </c>
      <c r="B166" s="161"/>
      <c r="C166" s="161"/>
      <c r="D166" s="161"/>
      <c r="E166" s="161"/>
      <c r="F166" s="161"/>
      <c r="G166" s="161"/>
      <c r="H166" s="161"/>
    </row>
    <row r="168" spans="1:8" x14ac:dyDescent="0.25">
      <c r="A168" s="1" t="s">
        <v>108</v>
      </c>
      <c r="B168" s="1">
        <v>0.08</v>
      </c>
      <c r="D168" s="194"/>
      <c r="E168" s="194"/>
    </row>
    <row r="169" spans="1:8" x14ac:dyDescent="0.25">
      <c r="A169" s="1" t="s">
        <v>109</v>
      </c>
      <c r="B169" s="1">
        <v>0.1</v>
      </c>
      <c r="D169" s="194"/>
      <c r="E169" s="194"/>
    </row>
    <row r="170" spans="1:8" x14ac:dyDescent="0.25">
      <c r="A170" s="1" t="s">
        <v>110</v>
      </c>
      <c r="B170" s="1">
        <v>0.09</v>
      </c>
    </row>
    <row r="172" spans="1:8" x14ac:dyDescent="0.25">
      <c r="B172" s="1" t="s">
        <v>111</v>
      </c>
      <c r="C172" s="1" t="s">
        <v>107</v>
      </c>
    </row>
    <row r="173" spans="1:8" x14ac:dyDescent="0.25">
      <c r="A173" s="1" t="s">
        <v>106</v>
      </c>
      <c r="B173" s="1">
        <v>7.4</v>
      </c>
      <c r="C173" s="1">
        <v>3.1</v>
      </c>
    </row>
    <row r="174" spans="1:8" x14ac:dyDescent="0.25">
      <c r="A174" s="1" t="s">
        <v>113</v>
      </c>
      <c r="B174" s="1">
        <f>(B173*(1+$B$168))</f>
        <v>7.9920000000000009</v>
      </c>
      <c r="C174" s="1">
        <f>(C173*(1+$B$168))</f>
        <v>3.3480000000000003</v>
      </c>
    </row>
    <row r="175" spans="1:8" x14ac:dyDescent="0.25">
      <c r="A175" s="1" t="s">
        <v>112</v>
      </c>
      <c r="B175" s="28">
        <f>B174/(B169-B168)</f>
        <v>399.59999999999997</v>
      </c>
      <c r="C175" s="1">
        <f>C174/(B170-B168)</f>
        <v>334.80000000000018</v>
      </c>
      <c r="E175" s="1" t="s">
        <v>182</v>
      </c>
    </row>
    <row r="176" spans="1:8" x14ac:dyDescent="0.25">
      <c r="E176" s="1" t="s">
        <v>183</v>
      </c>
    </row>
    <row r="177" spans="1:8" x14ac:dyDescent="0.25">
      <c r="A177" s="4" t="s">
        <v>181</v>
      </c>
    </row>
    <row r="178" spans="1:8" ht="37.15" customHeight="1" x14ac:dyDescent="0.25">
      <c r="A178" s="162" t="s">
        <v>114</v>
      </c>
      <c r="B178" s="162"/>
      <c r="C178" s="162"/>
      <c r="D178" s="162"/>
      <c r="E178" s="162"/>
      <c r="F178" s="162"/>
      <c r="G178" s="162"/>
      <c r="H178" s="162"/>
    </row>
    <row r="180" spans="1:8" x14ac:dyDescent="0.25">
      <c r="A180" s="1" t="s">
        <v>115</v>
      </c>
      <c r="B180" s="28">
        <f>C175</f>
        <v>334.80000000000018</v>
      </c>
      <c r="E180" s="1" t="s">
        <v>182</v>
      </c>
    </row>
    <row r="181" spans="1:8" x14ac:dyDescent="0.25">
      <c r="E181" s="1" t="s">
        <v>183</v>
      </c>
    </row>
    <row r="183" spans="1:8" x14ac:dyDescent="0.25">
      <c r="A183" s="4" t="s">
        <v>184</v>
      </c>
    </row>
    <row r="184" spans="1:8" x14ac:dyDescent="0.25">
      <c r="A184" s="4"/>
      <c r="B184" s="38">
        <v>1</v>
      </c>
      <c r="C184" s="38">
        <v>2</v>
      </c>
      <c r="D184" s="38">
        <v>3</v>
      </c>
      <c r="E184" s="38">
        <v>4</v>
      </c>
      <c r="F184" s="38">
        <v>5</v>
      </c>
    </row>
    <row r="185" spans="1:8" x14ac:dyDescent="0.25">
      <c r="B185" s="39" t="s">
        <v>116</v>
      </c>
      <c r="C185" s="39" t="s">
        <v>117</v>
      </c>
      <c r="D185" s="39" t="s">
        <v>118</v>
      </c>
      <c r="E185" s="39" t="s">
        <v>119</v>
      </c>
      <c r="F185" s="39" t="s">
        <v>120</v>
      </c>
    </row>
    <row r="186" spans="1:8" x14ac:dyDescent="0.25">
      <c r="A186" s="1" t="s">
        <v>91</v>
      </c>
      <c r="B186" s="37">
        <v>4500</v>
      </c>
      <c r="C186" s="37">
        <v>4600</v>
      </c>
      <c r="D186" s="37">
        <v>4800</v>
      </c>
      <c r="E186" s="37">
        <v>6010</v>
      </c>
      <c r="F186" s="37">
        <v>8800</v>
      </c>
    </row>
    <row r="187" spans="1:8" x14ac:dyDescent="0.25">
      <c r="A187" s="1" t="s">
        <v>98</v>
      </c>
      <c r="B187" s="37">
        <f>-B186*0.21</f>
        <v>-945</v>
      </c>
      <c r="C187" s="37">
        <f>-C186*0.21</f>
        <v>-966</v>
      </c>
      <c r="D187" s="37">
        <f>-D186*0.21</f>
        <v>-1008</v>
      </c>
      <c r="E187" s="37">
        <f>-E186*0.21</f>
        <v>-1262.0999999999999</v>
      </c>
      <c r="F187" s="37">
        <f>-F186*0.21</f>
        <v>-1848</v>
      </c>
    </row>
    <row r="188" spans="1:8" x14ac:dyDescent="0.25">
      <c r="A188" s="1" t="s">
        <v>99</v>
      </c>
      <c r="B188" s="37">
        <f>SUM(B186:B187)</f>
        <v>3555</v>
      </c>
      <c r="C188" s="37">
        <f>SUM(C186:C187)</f>
        <v>3634</v>
      </c>
      <c r="D188" s="37">
        <f>SUM(D186:D187)</f>
        <v>3792</v>
      </c>
      <c r="E188" s="37">
        <f>SUM(E186:E187)</f>
        <v>4747.8999999999996</v>
      </c>
      <c r="F188" s="37">
        <f>SUM(F186:F187)</f>
        <v>6952</v>
      </c>
    </row>
    <row r="189" spans="1:8" x14ac:dyDescent="0.25">
      <c r="A189" s="1" t="s">
        <v>121</v>
      </c>
      <c r="B189" s="37">
        <v>500</v>
      </c>
      <c r="C189" s="37">
        <v>800</v>
      </c>
      <c r="D189" s="37">
        <v>700</v>
      </c>
      <c r="E189" s="37">
        <v>600</v>
      </c>
      <c r="F189" s="37">
        <v>500</v>
      </c>
    </row>
    <row r="190" spans="1:8" x14ac:dyDescent="0.25">
      <c r="A190" s="1" t="s">
        <v>122</v>
      </c>
      <c r="B190" s="37">
        <v>40</v>
      </c>
      <c r="C190" s="37">
        <v>100</v>
      </c>
      <c r="D190" s="37">
        <v>140</v>
      </c>
      <c r="E190" s="37">
        <v>100</v>
      </c>
      <c r="F190" s="37">
        <v>10</v>
      </c>
    </row>
    <row r="191" spans="1:8" x14ac:dyDescent="0.25">
      <c r="A191" s="1" t="s">
        <v>95</v>
      </c>
      <c r="B191" s="37">
        <v>50</v>
      </c>
      <c r="C191" s="37">
        <v>80</v>
      </c>
      <c r="D191" s="37">
        <v>100</v>
      </c>
      <c r="E191" s="37">
        <v>120</v>
      </c>
      <c r="F191" s="37">
        <v>150</v>
      </c>
    </row>
    <row r="192" spans="1:8" x14ac:dyDescent="0.25">
      <c r="A192" s="4" t="s">
        <v>106</v>
      </c>
      <c r="B192" s="39">
        <f>B188+B191-B190-B189</f>
        <v>3065</v>
      </c>
      <c r="C192" s="39">
        <f>C188+C191-C190-C189</f>
        <v>2814</v>
      </c>
      <c r="D192" s="39">
        <f>D188+D191-D190-D189</f>
        <v>3052</v>
      </c>
      <c r="E192" s="39">
        <f>E188+E191-E190-E189</f>
        <v>4167.8999999999996</v>
      </c>
      <c r="F192" s="39">
        <f>F188+F191-F190-F189</f>
        <v>6592</v>
      </c>
    </row>
    <row r="193" spans="1:8" x14ac:dyDescent="0.25">
      <c r="A193" s="4" t="s">
        <v>185</v>
      </c>
      <c r="B193" s="39">
        <f>B192/(1+0.1)^B184</f>
        <v>2786.363636363636</v>
      </c>
      <c r="C193" s="39">
        <f t="shared" ref="C193:F193" si="0">C192/(1+0.1)^C184</f>
        <v>2325.6198347107434</v>
      </c>
      <c r="D193" s="39">
        <f t="shared" si="0"/>
        <v>2293.0127723516148</v>
      </c>
      <c r="E193" s="39">
        <f t="shared" si="0"/>
        <v>2846.7317806160772</v>
      </c>
      <c r="F193" s="39">
        <f t="shared" si="0"/>
        <v>4093.1133616059496</v>
      </c>
    </row>
    <row r="194" spans="1:8" x14ac:dyDescent="0.25">
      <c r="B194" s="37"/>
      <c r="C194" s="37"/>
      <c r="D194" s="37"/>
      <c r="E194" s="37"/>
      <c r="F194" s="37"/>
    </row>
    <row r="195" spans="1:8" x14ac:dyDescent="0.25">
      <c r="A195" s="1" t="s">
        <v>123</v>
      </c>
      <c r="B195" s="37"/>
      <c r="C195" s="37"/>
      <c r="D195" s="37"/>
      <c r="E195" s="37"/>
      <c r="F195" s="37"/>
    </row>
    <row r="196" spans="1:8" x14ac:dyDescent="0.25">
      <c r="A196" s="1" t="s">
        <v>124</v>
      </c>
    </row>
    <row r="197" spans="1:8" x14ac:dyDescent="0.25">
      <c r="A197" s="1" t="s">
        <v>125</v>
      </c>
    </row>
    <row r="198" spans="1:8" x14ac:dyDescent="0.25">
      <c r="A198" s="1" t="s">
        <v>126</v>
      </c>
    </row>
    <row r="200" spans="1:8" x14ac:dyDescent="0.25">
      <c r="A200" s="1" t="s">
        <v>127</v>
      </c>
      <c r="B200" s="36">
        <f>NPV(0.1,B192:F192)</f>
        <v>14344.84138564802</v>
      </c>
    </row>
    <row r="201" spans="1:8" x14ac:dyDescent="0.25">
      <c r="A201" s="1" t="s">
        <v>127</v>
      </c>
      <c r="B201" s="201">
        <f>SUM(B193:F193)</f>
        <v>14344.841385648022</v>
      </c>
    </row>
    <row r="203" spans="1:8" x14ac:dyDescent="0.25">
      <c r="A203" s="4" t="s">
        <v>135</v>
      </c>
    </row>
    <row r="204" spans="1:8" s="16" customFormat="1" ht="31.9" customHeight="1" x14ac:dyDescent="0.25">
      <c r="A204" s="161" t="s">
        <v>128</v>
      </c>
      <c r="B204" s="161"/>
      <c r="C204" s="161"/>
      <c r="D204" s="161"/>
      <c r="E204" s="161"/>
      <c r="F204" s="161"/>
      <c r="G204" s="161"/>
      <c r="H204" s="161"/>
    </row>
    <row r="205" spans="1:8" ht="30" x14ac:dyDescent="0.25">
      <c r="B205" s="1" t="s">
        <v>129</v>
      </c>
      <c r="C205" s="1" t="s">
        <v>130</v>
      </c>
      <c r="D205" s="17" t="s">
        <v>136</v>
      </c>
    </row>
    <row r="206" spans="1:8" x14ac:dyDescent="0.25">
      <c r="A206" s="18" t="s">
        <v>131</v>
      </c>
      <c r="B206" s="19">
        <v>0.04</v>
      </c>
      <c r="C206" s="20">
        <v>2.5000000000000001E-2</v>
      </c>
      <c r="D206" s="19">
        <v>0.01</v>
      </c>
    </row>
    <row r="207" spans="1:8" x14ac:dyDescent="0.25">
      <c r="A207" s="18" t="s">
        <v>132</v>
      </c>
      <c r="B207" s="20">
        <v>5.2499999999999998E-2</v>
      </c>
      <c r="C207" s="20">
        <v>6.2E-2</v>
      </c>
      <c r="D207" s="20">
        <v>4.7500000000000001E-2</v>
      </c>
    </row>
    <row r="208" spans="1:8" s="16" customFormat="1" ht="31.9" customHeight="1" x14ac:dyDescent="0.25">
      <c r="A208" s="161" t="s">
        <v>133</v>
      </c>
      <c r="B208" s="161"/>
      <c r="C208" s="161"/>
      <c r="D208" s="161"/>
      <c r="E208" s="161"/>
      <c r="F208" s="161"/>
      <c r="G208" s="161"/>
      <c r="H208" s="161"/>
    </row>
    <row r="209" spans="1:12" s="16" customFormat="1" ht="31.9" customHeight="1" x14ac:dyDescent="0.25">
      <c r="A209" s="161" t="s">
        <v>134</v>
      </c>
      <c r="B209" s="161"/>
      <c r="C209" s="161"/>
      <c r="D209" s="161"/>
      <c r="E209" s="161"/>
      <c r="F209" s="161"/>
      <c r="G209" s="161"/>
      <c r="H209" s="161"/>
    </row>
    <row r="210" spans="1:12" x14ac:dyDescent="0.25">
      <c r="C210" s="1">
        <v>1</v>
      </c>
      <c r="D210" s="1">
        <v>2</v>
      </c>
      <c r="E210" s="1">
        <v>3</v>
      </c>
      <c r="F210" s="1">
        <v>4</v>
      </c>
      <c r="G210" s="1">
        <v>5</v>
      </c>
      <c r="H210" s="1">
        <v>6</v>
      </c>
      <c r="I210" s="1">
        <v>7</v>
      </c>
      <c r="J210" s="1">
        <v>8</v>
      </c>
      <c r="K210" s="1">
        <v>9</v>
      </c>
    </row>
    <row r="211" spans="1:12" x14ac:dyDescent="0.25">
      <c r="B211" s="1">
        <v>2019</v>
      </c>
      <c r="C211" s="1">
        <v>2020</v>
      </c>
      <c r="D211" s="1">
        <f>C211+1</f>
        <v>2021</v>
      </c>
      <c r="E211" s="1">
        <f t="shared" ref="E211:K211" si="1">D211+1</f>
        <v>2022</v>
      </c>
      <c r="F211" s="1">
        <f t="shared" si="1"/>
        <v>2023</v>
      </c>
      <c r="G211" s="1">
        <f t="shared" si="1"/>
        <v>2024</v>
      </c>
      <c r="H211" s="1">
        <f t="shared" si="1"/>
        <v>2025</v>
      </c>
      <c r="I211" s="1">
        <f t="shared" si="1"/>
        <v>2026</v>
      </c>
      <c r="J211" s="1">
        <f t="shared" si="1"/>
        <v>2027</v>
      </c>
      <c r="K211" s="1">
        <f t="shared" si="1"/>
        <v>2028</v>
      </c>
    </row>
    <row r="212" spans="1:12" x14ac:dyDescent="0.25">
      <c r="A212" s="1" t="s">
        <v>53</v>
      </c>
      <c r="B212" s="1">
        <v>3250</v>
      </c>
      <c r="C212" s="10">
        <f>B212*(1+C213)</f>
        <v>3380</v>
      </c>
      <c r="D212" s="10">
        <f>C212*(1+D213)</f>
        <v>3515.2000000000003</v>
      </c>
      <c r="E212" s="10">
        <f>D212*(1+E213)</f>
        <v>3655.8080000000004</v>
      </c>
      <c r="F212" s="10">
        <f>E212*(1+F213)</f>
        <v>3802.0403200000005</v>
      </c>
      <c r="G212" s="10">
        <f>F212*(1+G213)</f>
        <v>3954.1219328000006</v>
      </c>
      <c r="H212" s="10">
        <f>G212*(1+H213)</f>
        <v>4052.9749811200004</v>
      </c>
      <c r="I212" s="10">
        <f>H212*(1+I213)</f>
        <v>4154.2993556479996</v>
      </c>
      <c r="J212" s="10">
        <f t="shared" ref="C212:K212" si="2">I212*(1+J213)</f>
        <v>4258.1568395391996</v>
      </c>
      <c r="K212" s="10">
        <f>J212*(1+K213)</f>
        <v>4300.738407934592</v>
      </c>
      <c r="L212" s="10"/>
    </row>
    <row r="213" spans="1:12" x14ac:dyDescent="0.25">
      <c r="A213" s="1" t="s">
        <v>138</v>
      </c>
      <c r="C213" s="9">
        <v>0.04</v>
      </c>
      <c r="D213" s="9">
        <v>0.04</v>
      </c>
      <c r="E213" s="9">
        <v>0.04</v>
      </c>
      <c r="F213" s="9">
        <v>0.04</v>
      </c>
      <c r="G213" s="9">
        <v>0.04</v>
      </c>
      <c r="H213" s="9">
        <v>2.5000000000000001E-2</v>
      </c>
      <c r="I213" s="9">
        <v>2.5000000000000001E-2</v>
      </c>
      <c r="J213" s="9">
        <v>2.5000000000000001E-2</v>
      </c>
      <c r="K213" s="9">
        <v>0.01</v>
      </c>
      <c r="L213" s="9"/>
    </row>
    <row r="214" spans="1:12" x14ac:dyDescent="0.25">
      <c r="A214" s="1" t="s">
        <v>137</v>
      </c>
      <c r="C214" s="9">
        <v>5.2499999999999998E-2</v>
      </c>
      <c r="D214" s="9">
        <v>5.2499999999999998E-2</v>
      </c>
      <c r="E214" s="9">
        <v>5.2499999999999998E-2</v>
      </c>
      <c r="F214" s="9">
        <v>5.2499999999999998E-2</v>
      </c>
      <c r="G214" s="9">
        <v>5.2499999999999998E-2</v>
      </c>
      <c r="H214" s="9">
        <v>6.2E-2</v>
      </c>
      <c r="I214" s="9">
        <v>6.2E-2</v>
      </c>
      <c r="J214" s="9">
        <v>6.2E-2</v>
      </c>
      <c r="K214" s="9">
        <v>4.7500000000000001E-2</v>
      </c>
      <c r="L214" s="9"/>
    </row>
    <row r="215" spans="1:12" s="41" customFormat="1" ht="40.15" customHeight="1" x14ac:dyDescent="0.25">
      <c r="A215" s="164" t="s">
        <v>186</v>
      </c>
      <c r="B215" s="164"/>
      <c r="C215" s="40">
        <f>C212/(1+C214)^C210</f>
        <v>3211.4014251781473</v>
      </c>
      <c r="D215" s="40">
        <f>D212/(1+D214)^D210</f>
        <v>3173.2612657342265</v>
      </c>
      <c r="E215" s="40">
        <f>E212/(1+E214)^E210</f>
        <v>3135.5740773050793</v>
      </c>
      <c r="F215" s="40">
        <f>F212/(1+F214)^F210</f>
        <v>3098.3344801874418</v>
      </c>
      <c r="G215" s="40">
        <f>G212/(1+G214)^G210</f>
        <v>3061.5371585700141</v>
      </c>
      <c r="H215" s="40">
        <f>H212/(1+H214)^1/(1+G214)^5</f>
        <v>2954.8734345897024</v>
      </c>
      <c r="I215" s="40">
        <f>I212/(1+I214)^2/(1+G214)^5</f>
        <v>2851.9258667179324</v>
      </c>
      <c r="J215" s="40">
        <f>J212/(1+J214)^3/(1+G214)^5</f>
        <v>2752.5649843558199</v>
      </c>
      <c r="K215" s="40"/>
      <c r="L215" s="40"/>
    </row>
    <row r="216" spans="1:12" x14ac:dyDescent="0.25">
      <c r="B216" s="10"/>
      <c r="C216" s="10"/>
      <c r="D216" s="10"/>
      <c r="E216" s="10"/>
      <c r="F216" s="10"/>
      <c r="G216" s="10"/>
      <c r="H216" s="10"/>
      <c r="I216" s="10"/>
      <c r="J216" s="10"/>
      <c r="K216" s="10"/>
    </row>
    <row r="217" spans="1:12" x14ac:dyDescent="0.25">
      <c r="A217" s="1" t="s">
        <v>100</v>
      </c>
      <c r="B217" s="10">
        <f>K212/(K214-K213)</f>
        <v>114686.35754492246</v>
      </c>
    </row>
    <row r="218" spans="1:12" x14ac:dyDescent="0.25">
      <c r="A218" s="1" t="s">
        <v>139</v>
      </c>
      <c r="B218" s="10">
        <f>(B217/(1+J214)^3)/(1+G214)^5</f>
        <v>74135.750245316769</v>
      </c>
    </row>
    <row r="219" spans="1:12" x14ac:dyDescent="0.25">
      <c r="A219" s="1" t="s">
        <v>140</v>
      </c>
      <c r="B219" s="11">
        <f>B218+SUM(C215:J215)</f>
        <v>98375.222937955128</v>
      </c>
    </row>
    <row r="221" spans="1:12" x14ac:dyDescent="0.25">
      <c r="A221" s="4" t="s">
        <v>141</v>
      </c>
    </row>
    <row r="222" spans="1:12" ht="43.9" customHeight="1" x14ac:dyDescent="0.25">
      <c r="A222" s="162" t="s">
        <v>187</v>
      </c>
      <c r="B222" s="162"/>
      <c r="C222" s="162"/>
      <c r="D222" s="162"/>
      <c r="E222" s="162"/>
      <c r="F222" s="162"/>
      <c r="G222" s="162"/>
      <c r="H222" s="162"/>
      <c r="I222" s="162"/>
    </row>
    <row r="224" spans="1:12" x14ac:dyDescent="0.25">
      <c r="A224" s="1" t="s">
        <v>188</v>
      </c>
      <c r="F224" s="194"/>
    </row>
    <row r="225" spans="1:11" ht="15.75" x14ac:dyDescent="0.25">
      <c r="A225" s="1" t="s">
        <v>189</v>
      </c>
      <c r="E225" s="32"/>
      <c r="F225" s="194"/>
    </row>
    <row r="228" spans="1:11" x14ac:dyDescent="0.25">
      <c r="A228" s="4" t="s">
        <v>145</v>
      </c>
    </row>
    <row r="229" spans="1:11" ht="115.9" customHeight="1" x14ac:dyDescent="0.25">
      <c r="A229" s="162" t="s">
        <v>142</v>
      </c>
      <c r="B229" s="162"/>
      <c r="C229" s="162"/>
      <c r="D229" s="162"/>
      <c r="E229" s="162"/>
      <c r="F229" s="162"/>
      <c r="G229" s="162"/>
      <c r="H229" s="162"/>
      <c r="I229" s="162"/>
      <c r="J229" s="162"/>
      <c r="K229" s="162"/>
    </row>
    <row r="230" spans="1:11" ht="38.450000000000003" customHeight="1" x14ac:dyDescent="0.25">
      <c r="A230" s="162" t="s">
        <v>143</v>
      </c>
      <c r="B230" s="162"/>
      <c r="C230" s="162"/>
      <c r="D230" s="162"/>
      <c r="E230" s="162"/>
      <c r="F230" s="162"/>
      <c r="G230" s="162"/>
      <c r="H230" s="162"/>
      <c r="I230" s="162"/>
      <c r="J230" s="162"/>
      <c r="K230" s="162"/>
    </row>
    <row r="231" spans="1:11" ht="48" customHeight="1" x14ac:dyDescent="0.25">
      <c r="A231" s="162" t="s">
        <v>144</v>
      </c>
      <c r="B231" s="162"/>
      <c r="C231" s="162"/>
      <c r="D231" s="162"/>
      <c r="E231" s="162"/>
      <c r="F231" s="162"/>
      <c r="G231" s="162"/>
      <c r="H231" s="162"/>
      <c r="I231" s="162"/>
      <c r="J231" s="162"/>
      <c r="K231" s="162"/>
    </row>
    <row r="232" spans="1:11" ht="17.45" customHeight="1" thickBot="1" x14ac:dyDescent="0.3">
      <c r="A232" s="21"/>
      <c r="B232" s="22"/>
      <c r="C232" s="21"/>
      <c r="D232" s="21"/>
      <c r="E232" s="22"/>
      <c r="F232" s="21"/>
      <c r="G232" s="21"/>
      <c r="H232" s="21"/>
      <c r="I232" s="21"/>
      <c r="J232" s="21"/>
    </row>
    <row r="233" spans="1:11" ht="17.45" customHeight="1" x14ac:dyDescent="0.25">
      <c r="A233" s="45" t="s">
        <v>146</v>
      </c>
      <c r="B233" s="49">
        <v>1250000</v>
      </c>
      <c r="C233" s="45" t="s">
        <v>150</v>
      </c>
      <c r="D233" s="49">
        <v>1548000</v>
      </c>
      <c r="E233" s="21"/>
      <c r="F233" s="52" t="s">
        <v>98</v>
      </c>
      <c r="G233" s="54">
        <v>0.21</v>
      </c>
      <c r="H233" s="42" t="s">
        <v>152</v>
      </c>
      <c r="I233" s="57" t="s">
        <v>53</v>
      </c>
      <c r="J233" s="58" t="s">
        <v>57</v>
      </c>
    </row>
    <row r="234" spans="1:11" ht="17.45" customHeight="1" thickBot="1" x14ac:dyDescent="0.3">
      <c r="A234" s="46" t="s">
        <v>147</v>
      </c>
      <c r="B234" s="50">
        <v>10</v>
      </c>
      <c r="C234" s="46" t="s">
        <v>147</v>
      </c>
      <c r="D234" s="50">
        <v>9</v>
      </c>
      <c r="E234" s="21"/>
      <c r="F234" s="53" t="s">
        <v>137</v>
      </c>
      <c r="G234" s="55">
        <v>0.12</v>
      </c>
      <c r="H234" s="43">
        <v>0</v>
      </c>
      <c r="I234" s="56">
        <f>D239-D233</f>
        <v>-598000</v>
      </c>
      <c r="J234" s="59">
        <f>I234</f>
        <v>-598000</v>
      </c>
      <c r="K234" s="10"/>
    </row>
    <row r="235" spans="1:11" ht="17.45" customHeight="1" x14ac:dyDescent="0.25">
      <c r="A235" s="46" t="s">
        <v>148</v>
      </c>
      <c r="B235" s="50">
        <v>0</v>
      </c>
      <c r="C235" s="46" t="s">
        <v>148</v>
      </c>
      <c r="D235" s="50">
        <v>0</v>
      </c>
      <c r="E235" s="21"/>
      <c r="F235" s="21"/>
      <c r="G235" s="21"/>
      <c r="H235" s="43">
        <v>1</v>
      </c>
      <c r="I235" s="56">
        <f>D238-B238</f>
        <v>104670</v>
      </c>
      <c r="J235" s="59">
        <f>I235/(1+$G$234)^H235</f>
        <v>93455.35714285713</v>
      </c>
      <c r="K235" s="10"/>
    </row>
    <row r="236" spans="1:11" ht="17.45" customHeight="1" x14ac:dyDescent="0.25">
      <c r="A236" s="46" t="s">
        <v>149</v>
      </c>
      <c r="B236" s="50">
        <f>B233/B234</f>
        <v>125000</v>
      </c>
      <c r="C236" s="46" t="s">
        <v>149</v>
      </c>
      <c r="D236" s="50">
        <f>D233/D234</f>
        <v>172000</v>
      </c>
      <c r="E236" s="21"/>
      <c r="F236" s="21"/>
      <c r="G236" s="21"/>
      <c r="H236" s="43">
        <v>2</v>
      </c>
      <c r="I236" s="56">
        <f>I235</f>
        <v>104670</v>
      </c>
      <c r="J236" s="59">
        <f t="shared" ref="J236:J243" si="3">I236/(1+$G$234)^H236</f>
        <v>83442.283163265296</v>
      </c>
      <c r="K236" s="10"/>
    </row>
    <row r="237" spans="1:11" ht="17.45" customHeight="1" x14ac:dyDescent="0.25">
      <c r="A237" s="46" t="s">
        <v>1</v>
      </c>
      <c r="B237" s="50">
        <v>365000</v>
      </c>
      <c r="C237" s="46" t="s">
        <v>1</v>
      </c>
      <c r="D237" s="50">
        <v>485000</v>
      </c>
      <c r="E237" s="21" t="s">
        <v>151</v>
      </c>
      <c r="F237" s="21"/>
      <c r="G237" s="21"/>
      <c r="H237" s="43">
        <v>3</v>
      </c>
      <c r="I237" s="56">
        <f t="shared" ref="I237:I243" si="4">I236</f>
        <v>104670</v>
      </c>
      <c r="J237" s="59">
        <f t="shared" si="3"/>
        <v>74502.038538629713</v>
      </c>
      <c r="K237" s="10"/>
    </row>
    <row r="238" spans="1:11" ht="16.149999999999999" customHeight="1" x14ac:dyDescent="0.25">
      <c r="A238" s="46" t="s">
        <v>155</v>
      </c>
      <c r="B238" s="50">
        <f>(B237-B236)*(1-G233)+B236</f>
        <v>314600</v>
      </c>
      <c r="C238" s="48" t="s">
        <v>155</v>
      </c>
      <c r="D238" s="50">
        <f>(D237-D236)*(1-G233)+D236</f>
        <v>419270</v>
      </c>
      <c r="E238" s="21"/>
      <c r="F238" s="21"/>
      <c r="G238" s="21"/>
      <c r="H238" s="43">
        <v>4</v>
      </c>
      <c r="I238" s="56">
        <f t="shared" si="4"/>
        <v>104670</v>
      </c>
      <c r="J238" s="59">
        <f t="shared" si="3"/>
        <v>66519.677266633676</v>
      </c>
      <c r="K238" s="10"/>
    </row>
    <row r="239" spans="1:11" ht="16.149999999999999" customHeight="1" thickBot="1" x14ac:dyDescent="0.3">
      <c r="A239" s="47"/>
      <c r="B239" s="51"/>
      <c r="C239" s="47" t="s">
        <v>153</v>
      </c>
      <c r="D239" s="51">
        <v>950000</v>
      </c>
      <c r="E239" s="21"/>
      <c r="F239" s="21"/>
      <c r="G239" s="21"/>
      <c r="H239" s="43">
        <v>5</v>
      </c>
      <c r="I239" s="56">
        <f t="shared" si="4"/>
        <v>104670</v>
      </c>
      <c r="J239" s="59">
        <f t="shared" si="3"/>
        <v>59392.568988065781</v>
      </c>
      <c r="K239" s="10"/>
    </row>
    <row r="240" spans="1:11" ht="16.149999999999999" customHeight="1" x14ac:dyDescent="0.25">
      <c r="C240" s="21"/>
      <c r="D240" s="22"/>
      <c r="H240" s="43">
        <v>6</v>
      </c>
      <c r="I240" s="56">
        <f t="shared" si="4"/>
        <v>104670</v>
      </c>
      <c r="J240" s="59">
        <f t="shared" si="3"/>
        <v>53029.079453630155</v>
      </c>
      <c r="K240" s="10"/>
    </row>
    <row r="241" spans="1:11" ht="16.149999999999999" customHeight="1" x14ac:dyDescent="0.25">
      <c r="A241" s="1" t="s">
        <v>190</v>
      </c>
      <c r="H241" s="43">
        <v>7</v>
      </c>
      <c r="I241" s="56">
        <f t="shared" si="4"/>
        <v>104670</v>
      </c>
      <c r="J241" s="59">
        <f t="shared" si="3"/>
        <v>47347.392369312634</v>
      </c>
      <c r="K241" s="10"/>
    </row>
    <row r="242" spans="1:11" ht="16.149999999999999" customHeight="1" x14ac:dyDescent="0.25">
      <c r="A242" s="1" t="s">
        <v>191</v>
      </c>
      <c r="H242" s="43">
        <v>8</v>
      </c>
      <c r="I242" s="56">
        <f t="shared" si="4"/>
        <v>104670</v>
      </c>
      <c r="J242" s="59">
        <f t="shared" si="3"/>
        <v>42274.457472600567</v>
      </c>
      <c r="K242" s="10"/>
    </row>
    <row r="243" spans="1:11" ht="16.149999999999999" customHeight="1" thickBot="1" x14ac:dyDescent="0.3">
      <c r="H243" s="44">
        <v>9</v>
      </c>
      <c r="I243" s="60">
        <f t="shared" si="4"/>
        <v>104670</v>
      </c>
      <c r="J243" s="61">
        <f t="shared" si="3"/>
        <v>37745.051314821932</v>
      </c>
      <c r="K243" s="10"/>
    </row>
    <row r="245" spans="1:11" x14ac:dyDescent="0.25">
      <c r="I245" s="1" t="s">
        <v>127</v>
      </c>
      <c r="J245" s="36">
        <f>SUM(J234:J243)</f>
        <v>-40292.094290183042</v>
      </c>
    </row>
    <row r="246" spans="1:11" x14ac:dyDescent="0.25">
      <c r="I246" s="1" t="s">
        <v>154</v>
      </c>
      <c r="J246" s="36">
        <f>NPV(G234,I235:I243)+I234</f>
        <v>-40292.094290183275</v>
      </c>
    </row>
    <row r="248" spans="1:11" x14ac:dyDescent="0.25">
      <c r="A248" s="4" t="s">
        <v>192</v>
      </c>
    </row>
    <row r="249" spans="1:11" x14ac:dyDescent="0.25">
      <c r="B249" s="4" t="s">
        <v>196</v>
      </c>
      <c r="C249" s="4" t="s">
        <v>197</v>
      </c>
      <c r="D249" s="1" t="s">
        <v>202</v>
      </c>
    </row>
    <row r="250" spans="1:11" x14ac:dyDescent="0.25">
      <c r="A250" s="1" t="s">
        <v>193</v>
      </c>
      <c r="B250" s="1">
        <v>100</v>
      </c>
      <c r="C250" s="1">
        <v>200</v>
      </c>
    </row>
    <row r="251" spans="1:11" x14ac:dyDescent="0.25">
      <c r="A251" s="1" t="s">
        <v>194</v>
      </c>
      <c r="B251" s="1">
        <v>40</v>
      </c>
      <c r="C251" s="1">
        <v>81</v>
      </c>
    </row>
    <row r="252" spans="1:11" x14ac:dyDescent="0.25">
      <c r="A252" s="1" t="s">
        <v>195</v>
      </c>
      <c r="B252" s="1">
        <v>10</v>
      </c>
      <c r="C252" s="1">
        <v>25</v>
      </c>
    </row>
    <row r="253" spans="1:11" x14ac:dyDescent="0.25">
      <c r="A253" s="4" t="s">
        <v>200</v>
      </c>
      <c r="B253" s="4">
        <f>B250-SUM(B251:B252)</f>
        <v>50</v>
      </c>
      <c r="C253" s="4">
        <f>C250-SUM(C251:C252)</f>
        <v>94</v>
      </c>
    </row>
    <row r="254" spans="1:11" x14ac:dyDescent="0.25">
      <c r="A254" s="4" t="s">
        <v>98</v>
      </c>
      <c r="B254" s="4">
        <f>B253*$B$259</f>
        <v>17.5</v>
      </c>
      <c r="C254" s="4">
        <f>C253*$B$259</f>
        <v>32.9</v>
      </c>
    </row>
    <row r="255" spans="1:11" x14ac:dyDescent="0.25">
      <c r="A255" s="4" t="s">
        <v>201</v>
      </c>
      <c r="B255" s="4">
        <f>B253-B254</f>
        <v>32.5</v>
      </c>
      <c r="C255" s="4">
        <f>C253-C254</f>
        <v>61.1</v>
      </c>
    </row>
    <row r="256" spans="1:11" x14ac:dyDescent="0.25">
      <c r="A256" s="4" t="s">
        <v>199</v>
      </c>
      <c r="B256" s="62">
        <f>B255/B250</f>
        <v>0.32500000000000001</v>
      </c>
      <c r="C256" s="62">
        <f>C255/C250</f>
        <v>0.30549999999999999</v>
      </c>
      <c r="D256" s="63">
        <f>B256-C256</f>
        <v>1.9500000000000017E-2</v>
      </c>
    </row>
    <row r="258" spans="1:2" x14ac:dyDescent="0.25">
      <c r="A258" s="4"/>
    </row>
    <row r="259" spans="1:2" x14ac:dyDescent="0.25">
      <c r="A259" s="1" t="s">
        <v>198</v>
      </c>
      <c r="B259" s="3">
        <v>0.35</v>
      </c>
    </row>
    <row r="262" spans="1:2" x14ac:dyDescent="0.25">
      <c r="A262" s="4" t="s">
        <v>203</v>
      </c>
    </row>
    <row r="264" spans="1:2" x14ac:dyDescent="0.25">
      <c r="A264" s="1" t="s">
        <v>204</v>
      </c>
    </row>
  </sheetData>
  <mergeCells count="21">
    <mergeCell ref="F16:H19"/>
    <mergeCell ref="A215:B215"/>
    <mergeCell ref="A222:I222"/>
    <mergeCell ref="A78:H78"/>
    <mergeCell ref="A99:H99"/>
    <mergeCell ref="A118:H118"/>
    <mergeCell ref="A119:H119"/>
    <mergeCell ref="A137:H137"/>
    <mergeCell ref="A136:H136"/>
    <mergeCell ref="A135:H135"/>
    <mergeCell ref="B79:H79"/>
    <mergeCell ref="A166:H166"/>
    <mergeCell ref="A158:H158"/>
    <mergeCell ref="A160:H160"/>
    <mergeCell ref="A178:H178"/>
    <mergeCell ref="A204:H204"/>
    <mergeCell ref="A208:H208"/>
    <mergeCell ref="A209:H209"/>
    <mergeCell ref="A229:K229"/>
    <mergeCell ref="A230:K230"/>
    <mergeCell ref="A231:K23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5"/>
  <sheetViews>
    <sheetView topLeftCell="A151" zoomScale="150" zoomScaleNormal="150" workbookViewId="0">
      <selection activeCell="E136" sqref="E136"/>
    </sheetView>
  </sheetViews>
  <sheetFormatPr defaultColWidth="8.75" defaultRowHeight="15.75" x14ac:dyDescent="0.25"/>
  <cols>
    <col min="1" max="8" width="15.125" style="69" customWidth="1"/>
    <col min="9" max="10" width="14.25" style="69" customWidth="1"/>
    <col min="11" max="12" width="12.125" style="69" customWidth="1"/>
    <col min="13" max="16" width="12.25" style="69" customWidth="1"/>
    <col min="17" max="16384" width="8.75" style="69"/>
  </cols>
  <sheetData>
    <row r="1" spans="1:8" x14ac:dyDescent="0.25">
      <c r="A1" s="110" t="s">
        <v>24</v>
      </c>
    </row>
    <row r="2" spans="1:8" ht="51.6" customHeight="1" x14ac:dyDescent="0.25">
      <c r="A2" s="169" t="s">
        <v>281</v>
      </c>
      <c r="B2" s="169"/>
      <c r="C2" s="169"/>
      <c r="D2" s="169"/>
      <c r="E2" s="169"/>
      <c r="F2" s="169"/>
      <c r="G2" s="169"/>
      <c r="H2" s="169"/>
    </row>
    <row r="3" spans="1:8" ht="13.15" customHeight="1" x14ac:dyDescent="0.25">
      <c r="A3" s="124"/>
      <c r="B3" s="124"/>
      <c r="C3" s="124"/>
      <c r="D3" s="124"/>
      <c r="E3" s="124" t="s">
        <v>53</v>
      </c>
      <c r="F3" s="124" t="s">
        <v>57</v>
      </c>
      <c r="G3" s="124"/>
      <c r="H3" s="124"/>
    </row>
    <row r="4" spans="1:8" ht="15.6" customHeight="1" x14ac:dyDescent="0.25">
      <c r="A4" s="125" t="s">
        <v>283</v>
      </c>
      <c r="B4" s="124">
        <v>10</v>
      </c>
      <c r="C4" s="124"/>
      <c r="D4" s="125">
        <v>1</v>
      </c>
      <c r="E4" s="66">
        <v>100000</v>
      </c>
      <c r="F4" s="66">
        <f>E4/(1+$B$5)^D4</f>
        <v>94339.622641509428</v>
      </c>
      <c r="G4" s="124"/>
      <c r="H4" s="124"/>
    </row>
    <row r="5" spans="1:8" ht="15.6" customHeight="1" x14ac:dyDescent="0.25">
      <c r="A5" s="125" t="s">
        <v>284</v>
      </c>
      <c r="B5" s="124">
        <v>0.06</v>
      </c>
      <c r="C5" s="124"/>
      <c r="D5" s="125">
        <f>D4+1</f>
        <v>2</v>
      </c>
      <c r="E5" s="66">
        <v>100000</v>
      </c>
      <c r="F5" s="66">
        <f t="shared" ref="F5:F13" si="0">E5/(1+$B$5)^D5</f>
        <v>88999.644001423978</v>
      </c>
      <c r="G5" s="124"/>
      <c r="H5" s="124"/>
    </row>
    <row r="6" spans="1:8" ht="15.6" customHeight="1" x14ac:dyDescent="0.25">
      <c r="A6" s="69" t="s">
        <v>285</v>
      </c>
      <c r="B6" s="70">
        <v>100000</v>
      </c>
      <c r="D6" s="125">
        <f t="shared" ref="D6:D13" si="1">D5+1</f>
        <v>3</v>
      </c>
      <c r="E6" s="66">
        <v>100000</v>
      </c>
      <c r="F6" s="66">
        <f t="shared" si="0"/>
        <v>83961.928303230161</v>
      </c>
    </row>
    <row r="7" spans="1:8" ht="15.6" customHeight="1" x14ac:dyDescent="0.25">
      <c r="A7" s="69" t="s">
        <v>286</v>
      </c>
      <c r="B7" s="84">
        <f>PV(B5,B4,-B6,)</f>
        <v>736008.70514147019</v>
      </c>
      <c r="D7" s="125">
        <f t="shared" si="1"/>
        <v>4</v>
      </c>
      <c r="E7" s="66">
        <v>100000</v>
      </c>
      <c r="F7" s="66">
        <f t="shared" si="0"/>
        <v>79209.366323802038</v>
      </c>
    </row>
    <row r="8" spans="1:8" ht="15.6" customHeight="1" x14ac:dyDescent="0.25">
      <c r="A8" s="69" t="s">
        <v>286</v>
      </c>
      <c r="B8" s="202">
        <f>SUM(F4:F13)</f>
        <v>736008.70514146937</v>
      </c>
      <c r="D8" s="125">
        <f t="shared" si="1"/>
        <v>5</v>
      </c>
      <c r="E8" s="66">
        <v>100000</v>
      </c>
      <c r="F8" s="66">
        <f t="shared" si="0"/>
        <v>74725.817286605685</v>
      </c>
    </row>
    <row r="9" spans="1:8" ht="15.6" customHeight="1" x14ac:dyDescent="0.25">
      <c r="B9" s="70"/>
      <c r="D9" s="125">
        <f t="shared" si="1"/>
        <v>6</v>
      </c>
      <c r="E9" s="66">
        <v>100000</v>
      </c>
      <c r="F9" s="66">
        <f t="shared" si="0"/>
        <v>70496.054043967626</v>
      </c>
    </row>
    <row r="10" spans="1:8" ht="15.6" customHeight="1" x14ac:dyDescent="0.25">
      <c r="B10" s="70"/>
      <c r="D10" s="125">
        <f t="shared" si="1"/>
        <v>7</v>
      </c>
      <c r="E10" s="66">
        <v>100000</v>
      </c>
      <c r="F10" s="66">
        <f t="shared" si="0"/>
        <v>66505.711362233604</v>
      </c>
    </row>
    <row r="11" spans="1:8" ht="15.6" customHeight="1" x14ac:dyDescent="0.25">
      <c r="B11" s="70"/>
      <c r="D11" s="125">
        <f t="shared" si="1"/>
        <v>8</v>
      </c>
      <c r="E11" s="66">
        <v>100000</v>
      </c>
      <c r="F11" s="66">
        <f t="shared" si="0"/>
        <v>62741.237134182651</v>
      </c>
    </row>
    <row r="12" spans="1:8" ht="15.6" customHeight="1" x14ac:dyDescent="0.25">
      <c r="B12" s="70"/>
      <c r="D12" s="125">
        <f t="shared" si="1"/>
        <v>9</v>
      </c>
      <c r="E12" s="66">
        <v>100000</v>
      </c>
      <c r="F12" s="66">
        <f t="shared" si="0"/>
        <v>59189.846353002504</v>
      </c>
    </row>
    <row r="13" spans="1:8" ht="15.6" customHeight="1" x14ac:dyDescent="0.25">
      <c r="B13" s="70"/>
      <c r="D13" s="125">
        <f t="shared" si="1"/>
        <v>10</v>
      </c>
      <c r="E13" s="66">
        <v>100000</v>
      </c>
      <c r="F13" s="66">
        <f t="shared" si="0"/>
        <v>55839.477691511791</v>
      </c>
    </row>
    <row r="14" spans="1:8" x14ac:dyDescent="0.25">
      <c r="A14" s="110" t="s">
        <v>29</v>
      </c>
      <c r="E14" s="104"/>
      <c r="F14" s="104"/>
    </row>
    <row r="15" spans="1:8" ht="76.150000000000006" customHeight="1" x14ac:dyDescent="0.25">
      <c r="A15" s="169" t="s">
        <v>282</v>
      </c>
      <c r="B15" s="169"/>
      <c r="C15" s="169"/>
      <c r="D15" s="169"/>
      <c r="E15" s="169"/>
      <c r="F15" s="169"/>
      <c r="G15" s="169"/>
      <c r="H15" s="169"/>
    </row>
    <row r="16" spans="1:8" x14ac:dyDescent="0.25">
      <c r="E16" s="69" t="s">
        <v>209</v>
      </c>
      <c r="F16" s="69" t="s">
        <v>207</v>
      </c>
      <c r="G16" s="69" t="s">
        <v>206</v>
      </c>
      <c r="H16" s="69" t="s">
        <v>208</v>
      </c>
    </row>
    <row r="17" spans="1:12" x14ac:dyDescent="0.25">
      <c r="A17" s="69" t="s">
        <v>206</v>
      </c>
      <c r="B17" s="84">
        <f>PMT(0.06,10,-1000000)</f>
        <v>135867.95822038385</v>
      </c>
      <c r="D17" s="69">
        <v>1</v>
      </c>
      <c r="E17" s="70">
        <v>1000000</v>
      </c>
      <c r="F17" s="70">
        <f>E17*0.06</f>
        <v>60000</v>
      </c>
      <c r="G17" s="70">
        <f>-B17</f>
        <v>-135867.95822038385</v>
      </c>
      <c r="H17" s="70">
        <f>SUM(E17:G17)</f>
        <v>924132.04177961615</v>
      </c>
      <c r="I17" s="70"/>
    </row>
    <row r="18" spans="1:12" x14ac:dyDescent="0.25">
      <c r="B18" s="170" t="s">
        <v>334</v>
      </c>
      <c r="C18" s="170"/>
      <c r="D18" s="69">
        <v>2</v>
      </c>
      <c r="E18" s="70">
        <f>H17</f>
        <v>924132.04177961615</v>
      </c>
      <c r="F18" s="70">
        <f>E18*0.06</f>
        <v>55447.922506776966</v>
      </c>
      <c r="G18" s="70">
        <f>G17</f>
        <v>-135867.95822038385</v>
      </c>
      <c r="H18" s="70">
        <f>SUM(E18:G18)</f>
        <v>843712.00606600929</v>
      </c>
      <c r="I18" s="70"/>
    </row>
    <row r="19" spans="1:12" x14ac:dyDescent="0.25">
      <c r="B19" s="170"/>
      <c r="C19" s="170"/>
      <c r="D19" s="69">
        <v>3</v>
      </c>
      <c r="E19" s="70">
        <f t="shared" ref="E19:E26" si="2">H18</f>
        <v>843712.00606600929</v>
      </c>
      <c r="F19" s="70">
        <f t="shared" ref="F19:F26" si="3">E19*0.06</f>
        <v>50622.720363960558</v>
      </c>
      <c r="G19" s="70">
        <f t="shared" ref="G19:G26" si="4">G18</f>
        <v>-135867.95822038385</v>
      </c>
      <c r="H19" s="70">
        <f t="shared" ref="H17:H26" si="5">SUM(E19:G19)</f>
        <v>758466.76820958604</v>
      </c>
      <c r="I19" s="70"/>
    </row>
    <row r="20" spans="1:12" x14ac:dyDescent="0.25">
      <c r="B20" s="170"/>
      <c r="C20" s="170"/>
      <c r="D20" s="69">
        <v>4</v>
      </c>
      <c r="E20" s="70">
        <f t="shared" si="2"/>
        <v>758466.76820958604</v>
      </c>
      <c r="F20" s="70">
        <f t="shared" si="3"/>
        <v>45508.00609257516</v>
      </c>
      <c r="G20" s="70">
        <f t="shared" si="4"/>
        <v>-135867.95822038385</v>
      </c>
      <c r="H20" s="70">
        <f t="shared" si="5"/>
        <v>668106.81608177733</v>
      </c>
      <c r="I20" s="70"/>
    </row>
    <row r="21" spans="1:12" x14ac:dyDescent="0.25">
      <c r="B21" s="170"/>
      <c r="C21" s="170"/>
      <c r="D21" s="69">
        <v>5</v>
      </c>
      <c r="E21" s="70">
        <f t="shared" si="2"/>
        <v>668106.81608177733</v>
      </c>
      <c r="F21" s="70">
        <f t="shared" si="3"/>
        <v>40086.408964906637</v>
      </c>
      <c r="G21" s="70">
        <f t="shared" si="4"/>
        <v>-135867.95822038385</v>
      </c>
      <c r="H21" s="70">
        <f t="shared" si="5"/>
        <v>572325.26682630007</v>
      </c>
      <c r="I21" s="70"/>
    </row>
    <row r="22" spans="1:12" x14ac:dyDescent="0.25">
      <c r="D22" s="69">
        <v>6</v>
      </c>
      <c r="E22" s="70">
        <f t="shared" si="2"/>
        <v>572325.26682630007</v>
      </c>
      <c r="F22" s="70">
        <f t="shared" si="3"/>
        <v>34339.516009578001</v>
      </c>
      <c r="G22" s="70">
        <f t="shared" si="4"/>
        <v>-135867.95822038385</v>
      </c>
      <c r="H22" s="70">
        <f t="shared" si="5"/>
        <v>470796.82461549423</v>
      </c>
      <c r="I22" s="70"/>
    </row>
    <row r="23" spans="1:12" x14ac:dyDescent="0.25">
      <c r="D23" s="69">
        <v>7</v>
      </c>
      <c r="E23" s="70">
        <f t="shared" si="2"/>
        <v>470796.82461549423</v>
      </c>
      <c r="F23" s="70">
        <f t="shared" si="3"/>
        <v>28247.809476929651</v>
      </c>
      <c r="G23" s="70">
        <f t="shared" si="4"/>
        <v>-135867.95822038385</v>
      </c>
      <c r="H23" s="70">
        <f t="shared" si="5"/>
        <v>363176.67587204004</v>
      </c>
      <c r="I23" s="70"/>
    </row>
    <row r="24" spans="1:12" x14ac:dyDescent="0.25">
      <c r="D24" s="69">
        <v>8</v>
      </c>
      <c r="E24" s="70">
        <f t="shared" si="2"/>
        <v>363176.67587204004</v>
      </c>
      <c r="F24" s="70">
        <f t="shared" si="3"/>
        <v>21790.600552322401</v>
      </c>
      <c r="G24" s="70">
        <f t="shared" si="4"/>
        <v>-135867.95822038385</v>
      </c>
      <c r="H24" s="70">
        <f t="shared" si="5"/>
        <v>249099.31820397859</v>
      </c>
      <c r="I24" s="70"/>
    </row>
    <row r="25" spans="1:12" x14ac:dyDescent="0.25">
      <c r="D25" s="69">
        <v>9</v>
      </c>
      <c r="E25" s="70">
        <f t="shared" si="2"/>
        <v>249099.31820397859</v>
      </c>
      <c r="F25" s="70">
        <f t="shared" si="3"/>
        <v>14945.959092238714</v>
      </c>
      <c r="G25" s="70">
        <f t="shared" si="4"/>
        <v>-135867.95822038385</v>
      </c>
      <c r="H25" s="70">
        <f t="shared" si="5"/>
        <v>128177.31907583342</v>
      </c>
      <c r="I25" s="70"/>
    </row>
    <row r="26" spans="1:12" x14ac:dyDescent="0.25">
      <c r="D26" s="69">
        <v>10</v>
      </c>
      <c r="E26" s="70">
        <f t="shared" si="2"/>
        <v>128177.31907583342</v>
      </c>
      <c r="F26" s="70">
        <f t="shared" si="3"/>
        <v>7690.6391445500049</v>
      </c>
      <c r="G26" s="70">
        <f t="shared" si="4"/>
        <v>-135867.95822038385</v>
      </c>
      <c r="H26" s="70">
        <f t="shared" si="5"/>
        <v>-4.0745362639427185E-10</v>
      </c>
      <c r="I26" s="70"/>
    </row>
    <row r="28" spans="1:12" x14ac:dyDescent="0.25">
      <c r="A28" s="110" t="s">
        <v>33</v>
      </c>
    </row>
    <row r="29" spans="1:12" ht="39" customHeight="1" x14ac:dyDescent="0.25">
      <c r="A29" s="178" t="s">
        <v>210</v>
      </c>
      <c r="B29" s="178"/>
      <c r="C29" s="178"/>
      <c r="D29" s="178"/>
      <c r="E29" s="178"/>
      <c r="F29" s="178"/>
      <c r="G29" s="178"/>
      <c r="H29" s="178"/>
      <c r="I29" s="178"/>
      <c r="J29" s="178"/>
      <c r="K29" s="203"/>
      <c r="L29" s="65"/>
    </row>
    <row r="30" spans="1:12" x14ac:dyDescent="0.25">
      <c r="E30" s="69" t="s">
        <v>213</v>
      </c>
      <c r="F30" s="69" t="s">
        <v>57</v>
      </c>
    </row>
    <row r="31" spans="1:12" x14ac:dyDescent="0.25">
      <c r="A31" s="69" t="s">
        <v>211</v>
      </c>
      <c r="B31" s="70">
        <v>8.5</v>
      </c>
      <c r="D31" s="69">
        <v>0</v>
      </c>
    </row>
    <row r="32" spans="1:12" x14ac:dyDescent="0.25">
      <c r="A32" s="69" t="s">
        <v>212</v>
      </c>
      <c r="B32" s="71">
        <v>9.5000000000000001E-2</v>
      </c>
      <c r="D32" s="69">
        <v>1</v>
      </c>
      <c r="E32" s="72">
        <v>8.5</v>
      </c>
      <c r="F32" s="72">
        <f>E32/(1+$B$32)^D32</f>
        <v>7.762557077625571</v>
      </c>
    </row>
    <row r="33" spans="1:10" x14ac:dyDescent="0.25">
      <c r="D33" s="69">
        <f>D32+1</f>
        <v>2</v>
      </c>
      <c r="E33" s="72">
        <v>8.5</v>
      </c>
      <c r="F33" s="72">
        <f t="shared" ref="F33:F42" si="6">E33/(1+$B$32)^D33</f>
        <v>7.0890932215758635</v>
      </c>
    </row>
    <row r="34" spans="1:10" x14ac:dyDescent="0.25">
      <c r="D34" s="69">
        <f t="shared" ref="D34:D42" si="7">D33+1</f>
        <v>3</v>
      </c>
      <c r="E34" s="72">
        <v>8.5</v>
      </c>
      <c r="F34" s="72">
        <f t="shared" si="6"/>
        <v>6.4740577365989624</v>
      </c>
    </row>
    <row r="35" spans="1:10" x14ac:dyDescent="0.25">
      <c r="D35" s="69">
        <f t="shared" si="7"/>
        <v>4</v>
      </c>
      <c r="E35" s="72">
        <v>8.5</v>
      </c>
      <c r="F35" s="72">
        <f t="shared" si="6"/>
        <v>5.9123814946109245</v>
      </c>
    </row>
    <row r="36" spans="1:10" x14ac:dyDescent="0.25">
      <c r="D36" s="69">
        <f t="shared" si="7"/>
        <v>5</v>
      </c>
      <c r="E36" s="72">
        <v>8.5</v>
      </c>
      <c r="F36" s="72">
        <f t="shared" si="6"/>
        <v>5.399435154895821</v>
      </c>
    </row>
    <row r="37" spans="1:10" x14ac:dyDescent="0.25">
      <c r="D37" s="69">
        <f t="shared" si="7"/>
        <v>6</v>
      </c>
      <c r="E37" s="72">
        <v>8.5</v>
      </c>
      <c r="F37" s="72">
        <f t="shared" si="6"/>
        <v>4.9309910090372799</v>
      </c>
    </row>
    <row r="38" spans="1:10" x14ac:dyDescent="0.25">
      <c r="D38" s="69">
        <f t="shared" si="7"/>
        <v>7</v>
      </c>
      <c r="E38" s="72">
        <v>8.5</v>
      </c>
      <c r="F38" s="72">
        <f t="shared" si="6"/>
        <v>4.5031881361071049</v>
      </c>
    </row>
    <row r="39" spans="1:10" x14ac:dyDescent="0.25">
      <c r="D39" s="69">
        <f t="shared" si="7"/>
        <v>8</v>
      </c>
      <c r="E39" s="72">
        <v>8.5</v>
      </c>
      <c r="F39" s="72">
        <f t="shared" si="6"/>
        <v>4.1125005809197299</v>
      </c>
    </row>
    <row r="40" spans="1:10" x14ac:dyDescent="0.25">
      <c r="D40" s="69">
        <f t="shared" si="7"/>
        <v>9</v>
      </c>
      <c r="E40" s="72">
        <v>8.5</v>
      </c>
      <c r="F40" s="72">
        <f t="shared" si="6"/>
        <v>3.7557082930773795</v>
      </c>
    </row>
    <row r="41" spans="1:10" x14ac:dyDescent="0.25">
      <c r="D41" s="69">
        <f t="shared" si="7"/>
        <v>10</v>
      </c>
      <c r="E41" s="72">
        <v>8.5</v>
      </c>
      <c r="F41" s="72">
        <f t="shared" si="6"/>
        <v>3.4298705872852775</v>
      </c>
    </row>
    <row r="42" spans="1:10" x14ac:dyDescent="0.25">
      <c r="D42" s="69">
        <f t="shared" si="7"/>
        <v>11</v>
      </c>
      <c r="E42" s="72">
        <v>8.5</v>
      </c>
      <c r="F42" s="72">
        <f t="shared" si="6"/>
        <v>3.1323019061966009</v>
      </c>
    </row>
    <row r="44" spans="1:10" x14ac:dyDescent="0.25">
      <c r="E44" s="69" t="s">
        <v>178</v>
      </c>
      <c r="F44" s="204">
        <f>SUM(F32:F42)</f>
        <v>56.502085197930512</v>
      </c>
    </row>
    <row r="45" spans="1:10" x14ac:dyDescent="0.25">
      <c r="E45" s="69" t="s">
        <v>57</v>
      </c>
      <c r="F45" s="84">
        <f>NPV(B32,E32:E42)</f>
        <v>56.502085197930519</v>
      </c>
    </row>
    <row r="46" spans="1:10" x14ac:dyDescent="0.25">
      <c r="A46" s="110" t="s">
        <v>223</v>
      </c>
    </row>
    <row r="47" spans="1:10" ht="39" customHeight="1" x14ac:dyDescent="0.25">
      <c r="A47" s="178" t="s">
        <v>214</v>
      </c>
      <c r="B47" s="178"/>
      <c r="C47" s="178"/>
      <c r="D47" s="178"/>
      <c r="E47" s="178"/>
      <c r="F47" s="178"/>
      <c r="G47" s="178"/>
      <c r="H47" s="178"/>
      <c r="I47" s="178"/>
      <c r="J47" s="65"/>
    </row>
    <row r="48" spans="1:10" ht="39" customHeight="1" x14ac:dyDescent="0.25">
      <c r="A48" s="173" t="s">
        <v>217</v>
      </c>
      <c r="B48" s="173"/>
      <c r="C48" s="173"/>
      <c r="D48" s="173"/>
      <c r="E48" s="173"/>
      <c r="F48" s="173"/>
      <c r="G48" s="173"/>
      <c r="H48" s="173"/>
      <c r="I48" s="173"/>
      <c r="J48" s="64"/>
    </row>
    <row r="49" spans="1:14" ht="31.5" x14ac:dyDescent="0.25">
      <c r="B49" s="69" t="s">
        <v>215</v>
      </c>
      <c r="C49" s="69" t="s">
        <v>216</v>
      </c>
      <c r="D49" s="73" t="s">
        <v>218</v>
      </c>
    </row>
    <row r="50" spans="1:14" x14ac:dyDescent="0.25">
      <c r="A50" s="69" t="s">
        <v>131</v>
      </c>
      <c r="B50" s="71">
        <v>3.2000000000000001E-2</v>
      </c>
      <c r="C50" s="71">
        <v>2.5000000000000001E-2</v>
      </c>
      <c r="D50" s="71">
        <v>1.4999999999999999E-2</v>
      </c>
    </row>
    <row r="51" spans="1:14" x14ac:dyDescent="0.25">
      <c r="A51" s="69" t="s">
        <v>132</v>
      </c>
      <c r="B51" s="71">
        <v>4.2500000000000003E-2</v>
      </c>
      <c r="C51" s="71">
        <v>5.1999999999999998E-2</v>
      </c>
      <c r="D51" s="71">
        <v>5.7500000000000002E-2</v>
      </c>
    </row>
    <row r="53" spans="1:14" ht="39.6" customHeight="1" x14ac:dyDescent="0.25">
      <c r="A53" s="178" t="s">
        <v>133</v>
      </c>
      <c r="B53" s="178"/>
      <c r="C53" s="178"/>
      <c r="D53" s="178"/>
      <c r="E53" s="178"/>
      <c r="F53" s="178"/>
      <c r="G53" s="178"/>
      <c r="H53" s="178"/>
      <c r="I53" s="178"/>
      <c r="J53" s="65"/>
    </row>
    <row r="54" spans="1:14" x14ac:dyDescent="0.25">
      <c r="A54" s="69" t="s">
        <v>336</v>
      </c>
      <c r="H54" s="69">
        <v>1</v>
      </c>
      <c r="I54" s="69">
        <v>2</v>
      </c>
      <c r="J54" s="69">
        <v>3</v>
      </c>
      <c r="K54" s="69">
        <v>4</v>
      </c>
    </row>
    <row r="55" spans="1:14" x14ac:dyDescent="0.25">
      <c r="A55" s="69" t="s">
        <v>335</v>
      </c>
      <c r="B55" s="69">
        <v>0</v>
      </c>
      <c r="C55" s="69">
        <v>1</v>
      </c>
      <c r="D55" s="69">
        <f>C55+1</f>
        <v>2</v>
      </c>
      <c r="E55" s="69">
        <f t="shared" ref="E55:G55" si="8">D55+1</f>
        <v>3</v>
      </c>
      <c r="F55" s="69">
        <f t="shared" si="8"/>
        <v>4</v>
      </c>
      <c r="G55" s="69">
        <f t="shared" si="8"/>
        <v>5</v>
      </c>
      <c r="H55" s="69">
        <v>5</v>
      </c>
      <c r="I55" s="69">
        <v>5</v>
      </c>
      <c r="J55" s="69">
        <v>5</v>
      </c>
      <c r="K55" s="69">
        <v>5</v>
      </c>
    </row>
    <row r="56" spans="1:14" x14ac:dyDescent="0.25">
      <c r="B56" s="69">
        <v>2020</v>
      </c>
      <c r="C56" s="69">
        <v>2021</v>
      </c>
      <c r="D56" s="69">
        <f>C56+1</f>
        <v>2022</v>
      </c>
      <c r="E56" s="69">
        <f t="shared" ref="E56:G56" si="9">D56+1</f>
        <v>2023</v>
      </c>
      <c r="F56" s="69">
        <f t="shared" si="9"/>
        <v>2024</v>
      </c>
      <c r="G56" s="69">
        <f t="shared" si="9"/>
        <v>2025</v>
      </c>
      <c r="H56" s="69">
        <f>G56+1</f>
        <v>2026</v>
      </c>
      <c r="I56" s="69">
        <f>H56+1</f>
        <v>2027</v>
      </c>
      <c r="J56" s="69">
        <f>I56+1</f>
        <v>2028</v>
      </c>
      <c r="K56" s="69">
        <f>J56+1</f>
        <v>2029</v>
      </c>
      <c r="L56" s="69">
        <v>2030</v>
      </c>
    </row>
    <row r="57" spans="1:14" x14ac:dyDescent="0.25">
      <c r="A57" s="69" t="s">
        <v>219</v>
      </c>
      <c r="B57" s="69" t="s">
        <v>220</v>
      </c>
      <c r="C57" s="71">
        <v>3.2000000000000001E-2</v>
      </c>
      <c r="D57" s="71">
        <v>3.2000000000000001E-2</v>
      </c>
      <c r="E57" s="71">
        <v>3.2000000000000001E-2</v>
      </c>
      <c r="F57" s="71">
        <v>3.2000000000000001E-2</v>
      </c>
      <c r="G57" s="71">
        <v>3.2000000000000001E-2</v>
      </c>
      <c r="H57" s="71">
        <v>2.5000000000000001E-2</v>
      </c>
      <c r="I57" s="71">
        <v>2.5000000000000001E-2</v>
      </c>
      <c r="J57" s="71">
        <v>2.5000000000000001E-2</v>
      </c>
      <c r="K57" s="71">
        <v>2.5000000000000001E-2</v>
      </c>
      <c r="L57" s="71">
        <v>1.4999999999999999E-2</v>
      </c>
    </row>
    <row r="58" spans="1:14" x14ac:dyDescent="0.25">
      <c r="A58" s="69" t="s">
        <v>132</v>
      </c>
      <c r="B58" s="69" t="s">
        <v>220</v>
      </c>
      <c r="C58" s="71">
        <v>4.2500000000000003E-2</v>
      </c>
      <c r="D58" s="71">
        <v>4.2500000000000003E-2</v>
      </c>
      <c r="E58" s="71">
        <v>4.2500000000000003E-2</v>
      </c>
      <c r="F58" s="71">
        <v>4.2500000000000003E-2</v>
      </c>
      <c r="G58" s="71">
        <v>4.2500000000000003E-2</v>
      </c>
      <c r="H58" s="71">
        <v>5.1999999999999998E-2</v>
      </c>
      <c r="I58" s="71">
        <v>5.1999999999999998E-2</v>
      </c>
      <c r="J58" s="71">
        <v>5.1999999999999998E-2</v>
      </c>
      <c r="K58" s="71">
        <v>5.1999999999999998E-2</v>
      </c>
      <c r="L58" s="71">
        <v>5.7500000000000002E-2</v>
      </c>
    </row>
    <row r="59" spans="1:14" x14ac:dyDescent="0.25">
      <c r="A59" s="69" t="s">
        <v>221</v>
      </c>
      <c r="B59" s="69">
        <v>6250</v>
      </c>
      <c r="C59" s="69">
        <f>B59*(1+C57)</f>
        <v>6450</v>
      </c>
      <c r="D59" s="69">
        <f t="shared" ref="D59:G59" si="10">C59*(1+D57)</f>
        <v>6656.4000000000005</v>
      </c>
      <c r="E59" s="69">
        <f t="shared" si="10"/>
        <v>6869.4048000000012</v>
      </c>
      <c r="F59" s="69">
        <f t="shared" si="10"/>
        <v>7089.2257536000016</v>
      </c>
      <c r="G59" s="69">
        <f t="shared" si="10"/>
        <v>7316.0809777152017</v>
      </c>
      <c r="H59" s="69">
        <f>G59*(1+H57)</f>
        <v>7498.983002158081</v>
      </c>
      <c r="I59" s="69">
        <f>H59*(1+I57)</f>
        <v>7686.4575772120324</v>
      </c>
      <c r="J59" s="69">
        <f>I59*(1+J57)</f>
        <v>7878.619016642333</v>
      </c>
      <c r="K59" s="69">
        <f>J59*(1+K57)</f>
        <v>8075.5844920583904</v>
      </c>
      <c r="L59" s="69">
        <f>K59*(1+L57)</f>
        <v>8196.7182594392652</v>
      </c>
    </row>
    <row r="60" spans="1:14" x14ac:dyDescent="0.25">
      <c r="A60" s="69" t="s">
        <v>57</v>
      </c>
      <c r="B60" s="69" t="s">
        <v>337</v>
      </c>
      <c r="C60" s="69">
        <f>C59/(1+C58)^C55</f>
        <v>6187.0503597122306</v>
      </c>
      <c r="D60" s="69">
        <f t="shared" ref="D60:F60" si="11">D59/(1+D58)^D55</f>
        <v>6124.7347445784389</v>
      </c>
      <c r="E60" s="69">
        <f t="shared" si="11"/>
        <v>6063.0467687337641</v>
      </c>
      <c r="F60" s="69">
        <f t="shared" si="11"/>
        <v>6001.9801106314108</v>
      </c>
      <c r="G60" s="69">
        <f>G59/(1+G58)^G55</f>
        <v>5941.5285123948361</v>
      </c>
      <c r="H60" s="69">
        <f>H59/(1+H58)^H54/(1+$G$58)^H55</f>
        <v>5789.0368110310892</v>
      </c>
      <c r="I60" s="69">
        <f t="shared" ref="I60:K60" si="12">I59/(1+I58)^I54/(1+$G$58)^I55</f>
        <v>5640.4588700635604</v>
      </c>
      <c r="J60" s="69">
        <f t="shared" si="12"/>
        <v>5495.6942412691524</v>
      </c>
      <c r="K60" s="69">
        <f t="shared" si="12"/>
        <v>5354.6450544685176</v>
      </c>
    </row>
    <row r="62" spans="1:14" x14ac:dyDescent="0.25">
      <c r="A62" s="69" t="s">
        <v>222</v>
      </c>
      <c r="B62" s="159">
        <f>SUM(C60:K60,N62)</f>
        <v>180479.6985384252</v>
      </c>
      <c r="C62" s="160" t="s">
        <v>338</v>
      </c>
      <c r="L62" s="69" t="s">
        <v>139</v>
      </c>
      <c r="N62" s="69">
        <f>L59/(L58-L57)/(1+K58)^K54/(1+G58)^K55</f>
        <v>127881.52306554219</v>
      </c>
    </row>
    <row r="63" spans="1:14" x14ac:dyDescent="0.25">
      <c r="B63" s="74"/>
    </row>
    <row r="64" spans="1:14" x14ac:dyDescent="0.25">
      <c r="B64" s="74"/>
    </row>
    <row r="65" spans="1:10" ht="145.9" customHeight="1" x14ac:dyDescent="0.25">
      <c r="B65" s="74"/>
    </row>
    <row r="66" spans="1:10" x14ac:dyDescent="0.25">
      <c r="B66" s="74"/>
    </row>
    <row r="67" spans="1:10" x14ac:dyDescent="0.25">
      <c r="B67" s="74"/>
    </row>
    <row r="68" spans="1:10" x14ac:dyDescent="0.25">
      <c r="B68" s="74"/>
    </row>
    <row r="69" spans="1:10" x14ac:dyDescent="0.25">
      <c r="B69" s="74"/>
    </row>
    <row r="70" spans="1:10" x14ac:dyDescent="0.25">
      <c r="B70" s="74"/>
    </row>
    <row r="71" spans="1:10" x14ac:dyDescent="0.25">
      <c r="B71" s="74"/>
    </row>
    <row r="72" spans="1:10" x14ac:dyDescent="0.25">
      <c r="B72" s="74"/>
    </row>
    <row r="73" spans="1:10" x14ac:dyDescent="0.25">
      <c r="B73" s="74"/>
    </row>
    <row r="75" spans="1:10" x14ac:dyDescent="0.25">
      <c r="A75" s="68" t="s">
        <v>224</v>
      </c>
    </row>
    <row r="76" spans="1:10" ht="16.149999999999999" customHeight="1" x14ac:dyDescent="0.25">
      <c r="A76" s="179" t="s">
        <v>225</v>
      </c>
      <c r="B76" s="179"/>
      <c r="C76" s="179"/>
      <c r="D76" s="179"/>
      <c r="E76" s="179"/>
      <c r="F76" s="179"/>
      <c r="G76" s="179"/>
      <c r="H76" s="179"/>
      <c r="I76" s="179"/>
      <c r="J76" s="76"/>
    </row>
    <row r="77" spans="1:10" ht="60" customHeight="1" x14ac:dyDescent="0.25">
      <c r="A77" s="179" t="s">
        <v>226</v>
      </c>
      <c r="B77" s="179"/>
      <c r="C77" s="179"/>
      <c r="D77" s="179"/>
      <c r="E77" s="179"/>
      <c r="F77" s="179"/>
      <c r="G77" s="179"/>
      <c r="H77" s="179"/>
      <c r="I77" s="179"/>
      <c r="J77" s="76"/>
    </row>
    <row r="78" spans="1:10" ht="60" customHeight="1" x14ac:dyDescent="0.25">
      <c r="A78" s="179" t="s">
        <v>232</v>
      </c>
      <c r="B78" s="179"/>
      <c r="C78" s="179"/>
      <c r="D78" s="179"/>
      <c r="E78" s="179"/>
      <c r="F78" s="179"/>
      <c r="G78" s="179"/>
      <c r="H78" s="179"/>
      <c r="I78" s="179"/>
      <c r="J78" s="76"/>
    </row>
    <row r="79" spans="1:10" ht="21" customHeight="1" x14ac:dyDescent="0.25">
      <c r="A79" s="180" t="s">
        <v>233</v>
      </c>
      <c r="B79" s="180"/>
      <c r="C79" s="180"/>
      <c r="D79" s="180"/>
      <c r="E79" s="180"/>
      <c r="F79" s="180"/>
      <c r="G79" s="180"/>
      <c r="H79" s="180"/>
      <c r="I79" s="180"/>
      <c r="J79" s="82"/>
    </row>
    <row r="80" spans="1:10" ht="49.9" customHeight="1" x14ac:dyDescent="0.25">
      <c r="A80" s="181" t="s">
        <v>234</v>
      </c>
      <c r="B80" s="181"/>
      <c r="C80" s="181"/>
      <c r="D80" s="181"/>
      <c r="E80" s="181"/>
      <c r="F80" s="181"/>
      <c r="G80" s="181"/>
      <c r="H80" s="181"/>
      <c r="I80" s="181"/>
      <c r="J80" s="83"/>
    </row>
    <row r="81" spans="1:10" ht="16.149999999999999" customHeight="1" x14ac:dyDescent="0.25">
      <c r="A81" s="76"/>
      <c r="B81" s="76"/>
      <c r="C81" s="76"/>
      <c r="D81" s="76"/>
      <c r="E81" s="76"/>
      <c r="F81" s="76"/>
      <c r="G81" s="76"/>
      <c r="H81" s="76"/>
      <c r="I81" s="76"/>
      <c r="J81" s="76"/>
    </row>
    <row r="82" spans="1:10" ht="16.149999999999999" customHeight="1" x14ac:dyDescent="0.25">
      <c r="A82" s="76"/>
      <c r="B82" s="81">
        <v>1</v>
      </c>
      <c r="C82" s="81">
        <v>2</v>
      </c>
      <c r="D82" s="81">
        <v>3</v>
      </c>
      <c r="E82" s="81">
        <v>4</v>
      </c>
      <c r="F82" s="81">
        <v>5</v>
      </c>
      <c r="G82" s="81">
        <v>6</v>
      </c>
      <c r="H82" s="81">
        <v>7</v>
      </c>
      <c r="I82" s="81">
        <v>8</v>
      </c>
    </row>
    <row r="83" spans="1:10" x14ac:dyDescent="0.25">
      <c r="A83" s="77"/>
      <c r="B83" s="78" t="s">
        <v>227</v>
      </c>
      <c r="C83" s="78" t="s">
        <v>228</v>
      </c>
      <c r="D83" s="78" t="s">
        <v>229</v>
      </c>
      <c r="E83" s="78" t="s">
        <v>230</v>
      </c>
      <c r="F83" s="78" t="s">
        <v>231</v>
      </c>
      <c r="G83" s="78">
        <v>2025</v>
      </c>
      <c r="H83" s="78">
        <v>2026</v>
      </c>
      <c r="I83" s="78">
        <v>2027</v>
      </c>
      <c r="J83" s="68"/>
    </row>
    <row r="84" spans="1:10" x14ac:dyDescent="0.25">
      <c r="A84" s="77" t="s">
        <v>91</v>
      </c>
      <c r="B84" s="79">
        <v>-500</v>
      </c>
      <c r="C84" s="79">
        <v>-400</v>
      </c>
      <c r="D84" s="79">
        <v>-400</v>
      </c>
      <c r="E84" s="79">
        <v>-1700</v>
      </c>
      <c r="F84" s="79">
        <v>2800</v>
      </c>
      <c r="G84" s="79">
        <v>4200</v>
      </c>
      <c r="H84" s="79">
        <v>4500</v>
      </c>
      <c r="I84" s="79">
        <f>H84*1.027</f>
        <v>4621.5</v>
      </c>
    </row>
    <row r="85" spans="1:10" ht="25.5" x14ac:dyDescent="0.25">
      <c r="A85" s="77" t="s">
        <v>235</v>
      </c>
      <c r="B85" s="79">
        <v>1000</v>
      </c>
      <c r="C85" s="79">
        <f>MAX(B85-B84,0)</f>
        <v>1500</v>
      </c>
      <c r="D85" s="79">
        <f t="shared" ref="D85:G85" si="13">MAX(C85-C84,0)</f>
        <v>1900</v>
      </c>
      <c r="E85" s="79">
        <f t="shared" si="13"/>
        <v>2300</v>
      </c>
      <c r="F85" s="79">
        <f t="shared" si="13"/>
        <v>4000</v>
      </c>
      <c r="G85" s="79">
        <f>MAX(F85-F84,0)</f>
        <v>1200</v>
      </c>
      <c r="H85" s="79">
        <f>MAX(G85-G84,0)</f>
        <v>0</v>
      </c>
      <c r="I85" s="79">
        <f>MAX(H85-I84,0)</f>
        <v>0</v>
      </c>
      <c r="J85" s="79"/>
    </row>
    <row r="86" spans="1:10" x14ac:dyDescent="0.25">
      <c r="A86" s="77" t="s">
        <v>236</v>
      </c>
      <c r="B86" s="79">
        <f>MAX(0,B84-B85)</f>
        <v>0</v>
      </c>
      <c r="C86" s="79">
        <f>MAX(0,C84-C85)</f>
        <v>0</v>
      </c>
      <c r="D86" s="79">
        <f t="shared" ref="B86:I86" si="14">MAX(0,D84-D85)</f>
        <v>0</v>
      </c>
      <c r="E86" s="79">
        <f t="shared" si="14"/>
        <v>0</v>
      </c>
      <c r="F86" s="79">
        <f t="shared" si="14"/>
        <v>0</v>
      </c>
      <c r="G86" s="79">
        <f>MAX(0,G84-G85)</f>
        <v>3000</v>
      </c>
      <c r="H86" s="79">
        <f t="shared" si="14"/>
        <v>4500</v>
      </c>
      <c r="I86" s="79">
        <f t="shared" si="14"/>
        <v>4621.5</v>
      </c>
      <c r="J86" s="79"/>
    </row>
    <row r="87" spans="1:10" x14ac:dyDescent="0.25">
      <c r="A87" s="77" t="s">
        <v>237</v>
      </c>
      <c r="B87" s="79">
        <f>B86*0.21</f>
        <v>0</v>
      </c>
      <c r="C87" s="79">
        <f t="shared" ref="C87:H87" si="15">C86*0.21</f>
        <v>0</v>
      </c>
      <c r="D87" s="79">
        <f t="shared" si="15"/>
        <v>0</v>
      </c>
      <c r="E87" s="79">
        <f t="shared" si="15"/>
        <v>0</v>
      </c>
      <c r="F87" s="79">
        <f t="shared" si="15"/>
        <v>0</v>
      </c>
      <c r="G87" s="79">
        <f>G86*0.21</f>
        <v>630</v>
      </c>
      <c r="H87" s="79">
        <f>H86*0.21</f>
        <v>945</v>
      </c>
      <c r="I87" s="79">
        <f>I86*0.21</f>
        <v>970.51499999999999</v>
      </c>
      <c r="J87" s="79"/>
    </row>
    <row r="88" spans="1:10" x14ac:dyDescent="0.25">
      <c r="A88" s="78" t="s">
        <v>238</v>
      </c>
      <c r="B88" s="80">
        <f>B84-B87</f>
        <v>-500</v>
      </c>
      <c r="C88" s="80">
        <f t="shared" ref="C88:I88" si="16">C84-C87</f>
        <v>-400</v>
      </c>
      <c r="D88" s="80">
        <f t="shared" si="16"/>
        <v>-400</v>
      </c>
      <c r="E88" s="80">
        <f t="shared" si="16"/>
        <v>-1700</v>
      </c>
      <c r="F88" s="80">
        <f>F84-F87</f>
        <v>2800</v>
      </c>
      <c r="G88" s="80">
        <f t="shared" si="16"/>
        <v>3570</v>
      </c>
      <c r="H88" s="80">
        <f t="shared" si="16"/>
        <v>3555</v>
      </c>
      <c r="I88" s="80">
        <f t="shared" si="16"/>
        <v>3650.9850000000001</v>
      </c>
      <c r="J88" s="80"/>
    </row>
    <row r="89" spans="1:10" x14ac:dyDescent="0.25">
      <c r="A89" s="77"/>
      <c r="B89" s="79"/>
      <c r="C89" s="79"/>
      <c r="D89" s="79"/>
      <c r="E89" s="79"/>
      <c r="F89" s="79"/>
      <c r="G89" s="79"/>
      <c r="H89" s="79"/>
      <c r="I89" s="79"/>
    </row>
    <row r="90" spans="1:10" ht="24.6" customHeight="1" x14ac:dyDescent="0.25">
      <c r="A90" s="77" t="s">
        <v>93</v>
      </c>
      <c r="B90" s="79">
        <v>400</v>
      </c>
      <c r="C90" s="79">
        <v>600</v>
      </c>
      <c r="D90" s="79">
        <v>1000</v>
      </c>
      <c r="E90" s="79">
        <v>1000</v>
      </c>
      <c r="F90" s="79">
        <v>800</v>
      </c>
      <c r="G90" s="79">
        <v>800</v>
      </c>
      <c r="H90" s="79">
        <v>900</v>
      </c>
      <c r="I90" s="79">
        <v>0</v>
      </c>
    </row>
    <row r="91" spans="1:10" ht="25.5" x14ac:dyDescent="0.25">
      <c r="A91" s="77" t="s">
        <v>122</v>
      </c>
      <c r="B91" s="79">
        <v>400</v>
      </c>
      <c r="C91" s="79">
        <v>400</v>
      </c>
      <c r="D91" s="79">
        <v>200</v>
      </c>
      <c r="E91" s="79">
        <v>100</v>
      </c>
      <c r="F91" s="79">
        <v>100</v>
      </c>
      <c r="G91" s="79">
        <v>-100</v>
      </c>
      <c r="H91" s="79">
        <v>-100</v>
      </c>
      <c r="I91" s="79">
        <v>0</v>
      </c>
    </row>
    <row r="92" spans="1:10" x14ac:dyDescent="0.25">
      <c r="A92" s="77" t="s">
        <v>95</v>
      </c>
      <c r="B92" s="79">
        <v>80</v>
      </c>
      <c r="C92" s="79">
        <v>160</v>
      </c>
      <c r="D92" s="79">
        <v>205</v>
      </c>
      <c r="E92" s="79">
        <v>210</v>
      </c>
      <c r="F92" s="79">
        <v>220</v>
      </c>
      <c r="G92" s="79">
        <v>230</v>
      </c>
      <c r="H92" s="79">
        <v>230</v>
      </c>
      <c r="I92" s="79">
        <v>0</v>
      </c>
    </row>
    <row r="93" spans="1:10" x14ac:dyDescent="0.25">
      <c r="A93" s="78" t="s">
        <v>239</v>
      </c>
      <c r="B93" s="80">
        <f>B88-B90-B91+B92</f>
        <v>-1220</v>
      </c>
      <c r="C93" s="80">
        <f t="shared" ref="C93:I93" si="17">C88-C90-C91+C92</f>
        <v>-1240</v>
      </c>
      <c r="D93" s="80">
        <f t="shared" si="17"/>
        <v>-1395</v>
      </c>
      <c r="E93" s="80">
        <f t="shared" si="17"/>
        <v>-2590</v>
      </c>
      <c r="F93" s="80">
        <f t="shared" si="17"/>
        <v>2120</v>
      </c>
      <c r="G93" s="80">
        <f>G88-G90-G91+G92</f>
        <v>3100</v>
      </c>
      <c r="H93" s="80">
        <f t="shared" si="17"/>
        <v>2985</v>
      </c>
      <c r="I93" s="80">
        <f t="shared" si="17"/>
        <v>3650.9850000000001</v>
      </c>
      <c r="J93" s="80"/>
    </row>
    <row r="94" spans="1:10" x14ac:dyDescent="0.25">
      <c r="A94" s="78" t="s">
        <v>241</v>
      </c>
      <c r="B94" s="80">
        <f>B93/(1+0.0725)^B82</f>
        <v>-1137.5291375291374</v>
      </c>
      <c r="C94" s="80">
        <f t="shared" ref="C94:H94" si="18">C93/(1+0.0725)^C82</f>
        <v>-1078.0206584402388</v>
      </c>
      <c r="D94" s="80">
        <f t="shared" si="18"/>
        <v>-1130.7909004617891</v>
      </c>
      <c r="E94" s="80">
        <f t="shared" si="18"/>
        <v>-1957.5396193170973</v>
      </c>
      <c r="F94" s="80">
        <f t="shared" si="18"/>
        <v>1493.9957314585399</v>
      </c>
      <c r="G94" s="80">
        <f t="shared" si="18"/>
        <v>2036.9383680879071</v>
      </c>
      <c r="H94" s="80">
        <f t="shared" si="18"/>
        <v>1828.7874362711191</v>
      </c>
      <c r="I94" s="80"/>
      <c r="J94" s="80"/>
    </row>
    <row r="95" spans="1:10" x14ac:dyDescent="0.25">
      <c r="A95" s="75"/>
      <c r="B95"/>
      <c r="C95"/>
      <c r="D95"/>
      <c r="E95"/>
      <c r="F95"/>
      <c r="G95"/>
      <c r="H95"/>
      <c r="I95"/>
      <c r="J95"/>
    </row>
    <row r="96" spans="1:10" x14ac:dyDescent="0.25">
      <c r="A96" s="75" t="s">
        <v>100</v>
      </c>
      <c r="B96" s="67">
        <f>I93/(0.0725-0.027)</f>
        <v>80241.42857142858</v>
      </c>
      <c r="C96"/>
      <c r="D96"/>
      <c r="E96"/>
      <c r="F96"/>
      <c r="G96"/>
      <c r="H96"/>
      <c r="I96"/>
      <c r="J96"/>
    </row>
    <row r="97" spans="1:16" x14ac:dyDescent="0.25">
      <c r="A97" s="75" t="s">
        <v>240</v>
      </c>
      <c r="B97" s="67">
        <f>B96/(1+0.0725)^7</f>
        <v>49160.642023408705</v>
      </c>
      <c r="C97"/>
      <c r="D97"/>
      <c r="E97"/>
      <c r="F97"/>
      <c r="G97"/>
      <c r="H97"/>
      <c r="I97"/>
      <c r="J97"/>
    </row>
    <row r="98" spans="1:16" x14ac:dyDescent="0.25">
      <c r="A98" s="75" t="s">
        <v>345</v>
      </c>
      <c r="B98" s="67">
        <f>NPV(0.0725,B93:H93)</f>
        <v>55.841220069303866</v>
      </c>
      <c r="C98"/>
      <c r="D98"/>
      <c r="E98"/>
      <c r="F98"/>
      <c r="G98"/>
      <c r="H98"/>
      <c r="I98"/>
      <c r="J98"/>
    </row>
    <row r="99" spans="1:16" ht="23.45" customHeight="1" x14ac:dyDescent="0.25">
      <c r="A99" s="75" t="s">
        <v>242</v>
      </c>
      <c r="B99" s="67">
        <f>SUM(B97:B98)</f>
        <v>49216.483243478011</v>
      </c>
      <c r="C99"/>
      <c r="D99"/>
      <c r="E99"/>
      <c r="F99"/>
      <c r="G99"/>
      <c r="H99"/>
      <c r="I99"/>
      <c r="J99"/>
    </row>
    <row r="101" spans="1:16" x14ac:dyDescent="0.25">
      <c r="A101" s="110" t="s">
        <v>163</v>
      </c>
    </row>
    <row r="102" spans="1:16" ht="46.15" customHeight="1" x14ac:dyDescent="0.25">
      <c r="A102" s="178" t="s">
        <v>249</v>
      </c>
      <c r="B102" s="178"/>
      <c r="C102" s="178"/>
      <c r="D102" s="178"/>
      <c r="E102" s="178"/>
      <c r="F102" s="178"/>
      <c r="G102" s="178"/>
      <c r="H102" s="178"/>
      <c r="I102" s="178"/>
      <c r="J102" s="65"/>
    </row>
    <row r="103" spans="1:16" ht="46.15" customHeight="1" x14ac:dyDescent="0.25">
      <c r="A103" s="173" t="s">
        <v>250</v>
      </c>
      <c r="B103" s="173"/>
      <c r="C103" s="173"/>
      <c r="D103" s="173"/>
      <c r="E103" s="173"/>
      <c r="F103" s="173"/>
      <c r="G103" s="173"/>
      <c r="H103" s="173"/>
      <c r="I103" s="173"/>
      <c r="J103" s="64"/>
    </row>
    <row r="105" spans="1:16" ht="16.5" thickBot="1" x14ac:dyDescent="0.3">
      <c r="A105" s="69" t="s">
        <v>251</v>
      </c>
      <c r="B105" s="69">
        <v>0.11</v>
      </c>
    </row>
    <row r="106" spans="1:16" x14ac:dyDescent="0.25">
      <c r="B106" s="174" t="s">
        <v>252</v>
      </c>
      <c r="C106" s="175"/>
      <c r="D106" s="175"/>
      <c r="E106" s="175"/>
      <c r="F106" s="176"/>
      <c r="G106" s="174" t="s">
        <v>253</v>
      </c>
      <c r="H106" s="175"/>
      <c r="I106" s="175"/>
      <c r="J106" s="175"/>
      <c r="K106" s="175"/>
      <c r="L106" s="175"/>
      <c r="M106" s="175"/>
      <c r="N106" s="175"/>
      <c r="O106" s="175"/>
      <c r="P106" s="177"/>
    </row>
    <row r="107" spans="1:16" ht="43.9" customHeight="1" x14ac:dyDescent="0.25">
      <c r="A107" s="69" t="s">
        <v>243</v>
      </c>
      <c r="B107" s="87" t="s">
        <v>244</v>
      </c>
      <c r="C107" s="85" t="s">
        <v>245</v>
      </c>
      <c r="D107" s="85" t="s">
        <v>246</v>
      </c>
      <c r="E107" s="85" t="s">
        <v>247</v>
      </c>
      <c r="F107" s="92" t="s">
        <v>248</v>
      </c>
      <c r="G107" s="87" t="s">
        <v>244</v>
      </c>
      <c r="H107" s="85" t="s">
        <v>255</v>
      </c>
      <c r="I107" s="85" t="s">
        <v>245</v>
      </c>
      <c r="J107" s="85" t="s">
        <v>255</v>
      </c>
      <c r="K107" s="85" t="s">
        <v>246</v>
      </c>
      <c r="L107" s="85"/>
      <c r="M107" s="85" t="s">
        <v>247</v>
      </c>
      <c r="N107" s="85"/>
      <c r="O107" s="85" t="s">
        <v>248</v>
      </c>
      <c r="P107" s="88"/>
    </row>
    <row r="108" spans="1:16" x14ac:dyDescent="0.25">
      <c r="A108" s="69">
        <v>0</v>
      </c>
      <c r="B108" s="89">
        <v>-3000000</v>
      </c>
      <c r="C108" s="86">
        <v>-1750000</v>
      </c>
      <c r="D108" s="86">
        <v>-1500000</v>
      </c>
      <c r="E108" s="86">
        <v>-985000</v>
      </c>
      <c r="F108" s="93">
        <v>-2120000</v>
      </c>
      <c r="G108" s="98">
        <f>B108/(1+$B$105)^$A108</f>
        <v>-3000000</v>
      </c>
      <c r="H108" s="99"/>
      <c r="I108" s="99">
        <f t="shared" ref="I108:I114" si="19">C108/(1+$B$105)^$A108</f>
        <v>-1750000</v>
      </c>
      <c r="J108" s="99"/>
      <c r="K108" s="99">
        <f t="shared" ref="K108:K114" si="20">D108/(1+$B$105)^$A108</f>
        <v>-1500000</v>
      </c>
      <c r="L108" s="99"/>
      <c r="M108" s="99">
        <f t="shared" ref="M108:M114" si="21">E108/(1+$B$105)^$A108</f>
        <v>-985000</v>
      </c>
      <c r="N108" s="99"/>
      <c r="O108" s="99">
        <f t="shared" ref="O108:O113" si="22">F108/(1+$B$105)^$A108</f>
        <v>-2120000</v>
      </c>
      <c r="P108" s="99"/>
    </row>
    <row r="109" spans="1:16" x14ac:dyDescent="0.25">
      <c r="A109" s="69">
        <v>1</v>
      </c>
      <c r="B109" s="89">
        <v>1600000</v>
      </c>
      <c r="C109" s="86">
        <v>450000</v>
      </c>
      <c r="D109" s="86">
        <v>400000</v>
      </c>
      <c r="E109" s="86">
        <v>250000</v>
      </c>
      <c r="F109" s="93">
        <v>1000000</v>
      </c>
      <c r="G109" s="98">
        <f>B109/(1+$B$105)^$A109</f>
        <v>1441441.4414414414</v>
      </c>
      <c r="H109" s="99">
        <f>G109</f>
        <v>1441441.4414414414</v>
      </c>
      <c r="I109" s="99">
        <f t="shared" si="19"/>
        <v>405405.40540540538</v>
      </c>
      <c r="J109" s="99">
        <f>I109</f>
        <v>405405.40540540538</v>
      </c>
      <c r="K109" s="99">
        <f t="shared" si="20"/>
        <v>360360.36036036036</v>
      </c>
      <c r="L109" s="99">
        <f>K109</f>
        <v>360360.36036036036</v>
      </c>
      <c r="M109" s="99">
        <f t="shared" si="21"/>
        <v>225225.22522522521</v>
      </c>
      <c r="N109" s="99">
        <f>M109</f>
        <v>225225.22522522521</v>
      </c>
      <c r="O109" s="99">
        <f t="shared" si="22"/>
        <v>900900.90090090083</v>
      </c>
      <c r="P109" s="99">
        <f>O109</f>
        <v>900900.90090090083</v>
      </c>
    </row>
    <row r="110" spans="1:16" x14ac:dyDescent="0.25">
      <c r="A110" s="69">
        <v>2</v>
      </c>
      <c r="B110" s="89">
        <v>1500000</v>
      </c>
      <c r="C110" s="86">
        <v>550000</v>
      </c>
      <c r="D110" s="86">
        <v>500000</v>
      </c>
      <c r="E110" s="86">
        <v>300000</v>
      </c>
      <c r="F110" s="93">
        <v>800000</v>
      </c>
      <c r="G110" s="98">
        <f>B110/(1+$B$105)^$A110</f>
        <v>1217433.649866082</v>
      </c>
      <c r="H110" s="99">
        <f>G110</f>
        <v>1217433.649866082</v>
      </c>
      <c r="I110" s="99">
        <f t="shared" si="19"/>
        <v>446392.33828423009</v>
      </c>
      <c r="J110" s="99">
        <f>I110</f>
        <v>446392.33828423009</v>
      </c>
      <c r="K110" s="99">
        <f t="shared" si="20"/>
        <v>405811.21662202739</v>
      </c>
      <c r="L110" s="99">
        <f>K110</f>
        <v>405811.21662202739</v>
      </c>
      <c r="M110" s="99">
        <f t="shared" si="21"/>
        <v>243486.72997321642</v>
      </c>
      <c r="N110" s="99">
        <f>M110</f>
        <v>243486.72997321642</v>
      </c>
      <c r="O110" s="99">
        <f t="shared" si="22"/>
        <v>649297.94659524376</v>
      </c>
      <c r="P110" s="99">
        <f>O110</f>
        <v>649297.94659524376</v>
      </c>
    </row>
    <row r="111" spans="1:16" x14ac:dyDescent="0.25">
      <c r="A111" s="69">
        <v>3</v>
      </c>
      <c r="B111" s="89">
        <v>750000</v>
      </c>
      <c r="C111" s="86">
        <v>550000</v>
      </c>
      <c r="D111" s="86">
        <v>500000</v>
      </c>
      <c r="E111" s="86">
        <v>300000</v>
      </c>
      <c r="F111" s="93">
        <v>750000</v>
      </c>
      <c r="G111" s="98">
        <f>B111/(1+$B$105)^$A111</f>
        <v>548393.53597571258</v>
      </c>
      <c r="H111" s="99">
        <f>-G108-SUM(H109:H110)</f>
        <v>341124.90869247634</v>
      </c>
      <c r="I111" s="99">
        <f t="shared" si="19"/>
        <v>402155.25971552258</v>
      </c>
      <c r="J111" s="99">
        <f>I111</f>
        <v>402155.25971552258</v>
      </c>
      <c r="K111" s="99">
        <f t="shared" si="20"/>
        <v>365595.6906504751</v>
      </c>
      <c r="L111" s="99">
        <f>K111</f>
        <v>365595.6906504751</v>
      </c>
      <c r="M111" s="99">
        <f t="shared" si="21"/>
        <v>219357.41439028506</v>
      </c>
      <c r="N111" s="99">
        <f>M111</f>
        <v>219357.41439028506</v>
      </c>
      <c r="O111" s="99">
        <f t="shared" si="22"/>
        <v>548393.53597571258</v>
      </c>
      <c r="P111" s="99">
        <f>O111</f>
        <v>548393.53597571258</v>
      </c>
    </row>
    <row r="112" spans="1:16" x14ac:dyDescent="0.25">
      <c r="A112" s="69">
        <v>4</v>
      </c>
      <c r="B112" s="89">
        <v>500000</v>
      </c>
      <c r="C112" s="86">
        <v>400000</v>
      </c>
      <c r="D112" s="86">
        <v>400000</v>
      </c>
      <c r="E112" s="86">
        <v>300000</v>
      </c>
      <c r="F112" s="93">
        <v>500000</v>
      </c>
      <c r="G112" s="98">
        <f>B112/(1+$B$105)^$A112</f>
        <v>329365.48707250005</v>
      </c>
      <c r="H112" s="99"/>
      <c r="I112" s="99">
        <f t="shared" si="19"/>
        <v>263492.38965800003</v>
      </c>
      <c r="J112" s="99">
        <f>I112</f>
        <v>263492.38965800003</v>
      </c>
      <c r="K112" s="99">
        <f t="shared" si="20"/>
        <v>263492.38965800003</v>
      </c>
      <c r="L112" s="99">
        <f>K112</f>
        <v>263492.38965800003</v>
      </c>
      <c r="M112" s="99">
        <f t="shared" si="21"/>
        <v>197619.29224350004</v>
      </c>
      <c r="N112" s="99">
        <f>M112</f>
        <v>197619.29224350004</v>
      </c>
      <c r="O112" s="99">
        <f t="shared" si="22"/>
        <v>329365.48707250005</v>
      </c>
      <c r="P112" s="99">
        <f>-O$108-SUM(P$109:P111)</f>
        <v>21407.616528143175</v>
      </c>
    </row>
    <row r="113" spans="1:17" x14ac:dyDescent="0.25">
      <c r="A113" s="69">
        <v>5</v>
      </c>
      <c r="B113" s="89">
        <v>500000</v>
      </c>
      <c r="C113" s="86">
        <v>300000</v>
      </c>
      <c r="D113" s="86">
        <v>200000</v>
      </c>
      <c r="E113" s="86">
        <v>150000</v>
      </c>
      <c r="F113" s="93">
        <v>300000</v>
      </c>
      <c r="G113" s="98">
        <f>B113/(1+$B$105)^$A113</f>
        <v>296725.66402927932</v>
      </c>
      <c r="H113" s="99"/>
      <c r="I113" s="99">
        <f t="shared" si="19"/>
        <v>178035.3984175676</v>
      </c>
      <c r="J113" s="99">
        <f>I113</f>
        <v>178035.3984175676</v>
      </c>
      <c r="K113" s="99">
        <f t="shared" si="20"/>
        <v>118690.26561171173</v>
      </c>
      <c r="L113" s="99">
        <f>-K$108-SUM(L$109:L112)</f>
        <v>104740.34270913689</v>
      </c>
      <c r="M113" s="99">
        <f t="shared" si="21"/>
        <v>89017.699208783801</v>
      </c>
      <c r="N113" s="99">
        <f>M113</f>
        <v>89017.699208783801</v>
      </c>
      <c r="O113" s="99">
        <f t="shared" si="22"/>
        <v>178035.3984175676</v>
      </c>
      <c r="P113" s="99">
        <f>-O$108-SUM(P$109:P112)</f>
        <v>0</v>
      </c>
    </row>
    <row r="114" spans="1:17" ht="16.5" thickBot="1" x14ac:dyDescent="0.3">
      <c r="A114" s="69">
        <v>6</v>
      </c>
      <c r="B114" s="90">
        <v>50000</v>
      </c>
      <c r="C114" s="91">
        <v>250000</v>
      </c>
      <c r="D114" s="91">
        <v>150000</v>
      </c>
      <c r="E114" s="91">
        <v>50000</v>
      </c>
      <c r="F114" s="97">
        <v>100000</v>
      </c>
      <c r="G114" s="100">
        <f>B114/(1+$B$105)^$A114</f>
        <v>26732.041804439577</v>
      </c>
      <c r="H114" s="101"/>
      <c r="I114" s="101">
        <f t="shared" si="19"/>
        <v>133660.20902219787</v>
      </c>
      <c r="J114" s="101">
        <f>-I$108-SUM(J$109:J113)</f>
        <v>54519.208519274136</v>
      </c>
      <c r="K114" s="101">
        <f t="shared" si="20"/>
        <v>80196.125413318732</v>
      </c>
      <c r="L114" s="101">
        <f>-K$108-SUM(L$109:L113)</f>
        <v>0</v>
      </c>
      <c r="M114" s="101">
        <f t="shared" si="21"/>
        <v>26732.041804439577</v>
      </c>
      <c r="N114" s="101">
        <f>-M$108-SUM(N$109:N113)</f>
        <v>10293.638958989526</v>
      </c>
      <c r="O114" s="101">
        <f>F114/(1+$B$105)^$A114</f>
        <v>53464.083608879155</v>
      </c>
      <c r="P114" s="101">
        <f>-O$108-SUM(P$109:P113)</f>
        <v>0</v>
      </c>
    </row>
    <row r="115" spans="1:17" x14ac:dyDescent="0.25">
      <c r="A115" s="68" t="s">
        <v>178</v>
      </c>
      <c r="B115" s="94">
        <f>NPV($B$105,B109:B114)+B108</f>
        <v>860091.82018945552</v>
      </c>
      <c r="C115" s="95">
        <f t="shared" ref="C115:F115" si="23">NPV($B$105,C109:C114)+C108</f>
        <v>79141.000502923504</v>
      </c>
      <c r="D115" s="95">
        <f t="shared" si="23"/>
        <v>94146.048315893393</v>
      </c>
      <c r="E115" s="95">
        <f t="shared" si="23"/>
        <v>16438.402845450095</v>
      </c>
      <c r="F115" s="95">
        <f t="shared" si="23"/>
        <v>539457.3525708043</v>
      </c>
      <c r="G115" s="70"/>
      <c r="H115" s="70"/>
    </row>
    <row r="116" spans="1:17" x14ac:dyDescent="0.25">
      <c r="A116" s="68" t="s">
        <v>205</v>
      </c>
      <c r="B116" s="106">
        <f>IRR(B108:B114)</f>
        <v>0.25118579290214593</v>
      </c>
      <c r="C116" s="106">
        <f t="shared" ref="C116:F116" si="24">IRR(C108:C114)</f>
        <v>0.12734374915252133</v>
      </c>
      <c r="D116" s="106">
        <f t="shared" si="24"/>
        <v>0.13497176034074321</v>
      </c>
      <c r="E116" s="106">
        <f t="shared" si="24"/>
        <v>0.1166845939040384</v>
      </c>
      <c r="F116" s="106">
        <f t="shared" si="24"/>
        <v>0.2244326123180469</v>
      </c>
      <c r="O116" s="102"/>
    </row>
    <row r="117" spans="1:17" x14ac:dyDescent="0.25">
      <c r="A117" s="68"/>
      <c r="B117" s="96"/>
      <c r="C117" s="96"/>
      <c r="D117" s="96"/>
      <c r="E117" s="96"/>
      <c r="F117" s="96"/>
      <c r="O117" s="102"/>
    </row>
    <row r="118" spans="1:17" x14ac:dyDescent="0.25">
      <c r="A118" s="110" t="s">
        <v>164</v>
      </c>
      <c r="B118" s="96"/>
      <c r="C118" s="96"/>
      <c r="D118" s="96"/>
      <c r="E118" s="96"/>
      <c r="F118" s="96"/>
      <c r="O118" s="102"/>
    </row>
    <row r="119" spans="1:17" x14ac:dyDescent="0.25">
      <c r="A119" s="107" t="s">
        <v>254</v>
      </c>
      <c r="B119" s="108">
        <f>P119</f>
        <v>3.0649965384000022</v>
      </c>
      <c r="H119" s="103">
        <f>2+(H111/G111)</f>
        <v>2.6220440000000003</v>
      </c>
      <c r="I119" s="105" t="s">
        <v>256</v>
      </c>
      <c r="J119" s="103">
        <f>5+J114/I114</f>
        <v>5.4078940839470011</v>
      </c>
      <c r="K119" s="105" t="s">
        <v>256</v>
      </c>
      <c r="L119" s="103">
        <f>4+L113/K113</f>
        <v>4.8824678432499997</v>
      </c>
      <c r="M119" s="105" t="s">
        <v>256</v>
      </c>
      <c r="N119" s="103">
        <f>5+N114/M114</f>
        <v>5.3850674420717084</v>
      </c>
      <c r="O119" s="105" t="s">
        <v>256</v>
      </c>
      <c r="P119" s="103">
        <f>3+P112/O112</f>
        <v>3.0649965384000022</v>
      </c>
      <c r="Q119" s="105" t="s">
        <v>256</v>
      </c>
    </row>
    <row r="121" spans="1:17" x14ac:dyDescent="0.25">
      <c r="A121" s="110" t="s">
        <v>165</v>
      </c>
    </row>
    <row r="122" spans="1:17" x14ac:dyDescent="0.25">
      <c r="A122" s="69" t="s">
        <v>257</v>
      </c>
      <c r="B122" s="109">
        <f>D116</f>
        <v>0.13497176034074321</v>
      </c>
    </row>
    <row r="124" spans="1:17" x14ac:dyDescent="0.25">
      <c r="A124" s="110" t="s">
        <v>166</v>
      </c>
    </row>
    <row r="125" spans="1:17" x14ac:dyDescent="0.25">
      <c r="B125" s="111" t="s">
        <v>258</v>
      </c>
      <c r="C125" s="112"/>
      <c r="D125" s="112"/>
      <c r="E125" s="112"/>
    </row>
    <row r="127" spans="1:17" x14ac:dyDescent="0.25">
      <c r="A127" s="110" t="s">
        <v>172</v>
      </c>
    </row>
    <row r="128" spans="1:17" ht="98.45" customHeight="1" x14ac:dyDescent="0.25">
      <c r="A128" s="171" t="s">
        <v>259</v>
      </c>
      <c r="B128" s="171"/>
      <c r="C128" s="171"/>
      <c r="D128" s="171"/>
      <c r="E128" s="171"/>
      <c r="F128" s="171"/>
      <c r="G128" s="171"/>
      <c r="H128" s="171"/>
    </row>
    <row r="129" spans="1:8" ht="27.6" customHeight="1" x14ac:dyDescent="0.25">
      <c r="A129" s="171" t="s">
        <v>143</v>
      </c>
      <c r="B129" s="171"/>
      <c r="C129" s="171"/>
      <c r="D129" s="171"/>
      <c r="E129" s="171"/>
      <c r="F129" s="171"/>
      <c r="G129" s="171"/>
      <c r="H129" s="171"/>
    </row>
    <row r="130" spans="1:8" ht="55.15" customHeight="1" x14ac:dyDescent="0.25">
      <c r="A130" s="171" t="s">
        <v>260</v>
      </c>
      <c r="B130" s="171"/>
      <c r="C130" s="171"/>
      <c r="D130" s="171"/>
      <c r="E130" s="171"/>
      <c r="F130" s="171"/>
      <c r="G130" s="171"/>
      <c r="H130" s="171"/>
    </row>
    <row r="131" spans="1:8" ht="2.4500000000000002" customHeight="1" x14ac:dyDescent="0.25"/>
    <row r="132" spans="1:8" s="113" customFormat="1" ht="12" customHeight="1" x14ac:dyDescent="0.2">
      <c r="A132" s="172" t="s">
        <v>262</v>
      </c>
      <c r="B132" s="172"/>
      <c r="D132" s="172" t="s">
        <v>265</v>
      </c>
      <c r="E132" s="172"/>
      <c r="G132" s="172" t="s">
        <v>267</v>
      </c>
      <c r="H132" s="172"/>
    </row>
    <row r="133" spans="1:8" s="113" customFormat="1" ht="12" customHeight="1" x14ac:dyDescent="0.2">
      <c r="A133" s="114" t="s">
        <v>261</v>
      </c>
      <c r="G133" s="113">
        <v>0</v>
      </c>
      <c r="H133" s="116">
        <f>-E134+E142</f>
        <v>-598000</v>
      </c>
    </row>
    <row r="134" spans="1:8" s="113" customFormat="1" ht="12" customHeight="1" x14ac:dyDescent="0.2">
      <c r="A134" s="113" t="s">
        <v>146</v>
      </c>
      <c r="B134" s="115">
        <v>1250000</v>
      </c>
      <c r="D134" s="113" t="s">
        <v>150</v>
      </c>
      <c r="E134" s="115">
        <v>1548000</v>
      </c>
      <c r="G134" s="113">
        <v>1</v>
      </c>
      <c r="H134" s="116">
        <f>E141-B141</f>
        <v>103853.33333333337</v>
      </c>
    </row>
    <row r="135" spans="1:8" s="113" customFormat="1" ht="12" customHeight="1" x14ac:dyDescent="0.2">
      <c r="A135" s="113" t="s">
        <v>263</v>
      </c>
      <c r="B135" s="115">
        <v>10</v>
      </c>
      <c r="D135" s="113" t="s">
        <v>263</v>
      </c>
      <c r="E135" s="115">
        <v>9</v>
      </c>
      <c r="G135" s="113">
        <v>2</v>
      </c>
      <c r="H135" s="116">
        <f>H134</f>
        <v>103853.33333333337</v>
      </c>
    </row>
    <row r="136" spans="1:8" s="113" customFormat="1" ht="12" customHeight="1" x14ac:dyDescent="0.2">
      <c r="A136" s="113" t="s">
        <v>264</v>
      </c>
      <c r="B136" s="115">
        <v>0</v>
      </c>
      <c r="D136" s="113" t="s">
        <v>264</v>
      </c>
      <c r="E136" s="115">
        <v>35000</v>
      </c>
      <c r="G136" s="113">
        <v>3</v>
      </c>
      <c r="H136" s="116">
        <f t="shared" ref="H136:H141" si="25">H135</f>
        <v>103853.33333333337</v>
      </c>
    </row>
    <row r="137" spans="1:8" s="113" customFormat="1" ht="12" customHeight="1" x14ac:dyDescent="0.2">
      <c r="A137" s="113" t="s">
        <v>95</v>
      </c>
      <c r="B137" s="115">
        <f>(B134-B136)/B135</f>
        <v>125000</v>
      </c>
      <c r="D137" s="113" t="s">
        <v>95</v>
      </c>
      <c r="E137" s="115">
        <f>(E134-E136)/E135</f>
        <v>168111.11111111112</v>
      </c>
      <c r="G137" s="113">
        <v>4</v>
      </c>
      <c r="H137" s="116">
        <f t="shared" si="25"/>
        <v>103853.33333333337</v>
      </c>
    </row>
    <row r="138" spans="1:8" s="113" customFormat="1" ht="12" customHeight="1" x14ac:dyDescent="0.2">
      <c r="A138" s="113" t="s">
        <v>1</v>
      </c>
      <c r="B138" s="115">
        <v>365000</v>
      </c>
      <c r="D138" s="113" t="s">
        <v>1</v>
      </c>
      <c r="E138" s="115">
        <v>485000</v>
      </c>
      <c r="G138" s="113">
        <v>5</v>
      </c>
      <c r="H138" s="116">
        <f t="shared" si="25"/>
        <v>103853.33333333337</v>
      </c>
    </row>
    <row r="139" spans="1:8" s="113" customFormat="1" ht="12" customHeight="1" x14ac:dyDescent="0.2">
      <c r="A139" s="113" t="s">
        <v>91</v>
      </c>
      <c r="B139" s="115">
        <f>B138-B137</f>
        <v>240000</v>
      </c>
      <c r="D139" s="113" t="s">
        <v>91</v>
      </c>
      <c r="E139" s="115">
        <f>E138-E137</f>
        <v>316888.88888888888</v>
      </c>
      <c r="G139" s="113">
        <v>6</v>
      </c>
      <c r="H139" s="116">
        <f t="shared" si="25"/>
        <v>103853.33333333337</v>
      </c>
    </row>
    <row r="140" spans="1:8" s="113" customFormat="1" ht="12" customHeight="1" x14ac:dyDescent="0.2">
      <c r="A140" s="113" t="s">
        <v>43</v>
      </c>
      <c r="B140" s="117">
        <v>0.21</v>
      </c>
      <c r="D140" s="113" t="s">
        <v>43</v>
      </c>
      <c r="E140" s="117">
        <v>0.21</v>
      </c>
      <c r="G140" s="113">
        <v>7</v>
      </c>
      <c r="H140" s="116">
        <f t="shared" si="25"/>
        <v>103853.33333333337</v>
      </c>
    </row>
    <row r="141" spans="1:8" s="113" customFormat="1" ht="12" customHeight="1" x14ac:dyDescent="0.2">
      <c r="A141" s="113" t="s">
        <v>155</v>
      </c>
      <c r="B141" s="115">
        <f>B139*(1-B140)+B137</f>
        <v>314600</v>
      </c>
      <c r="D141" s="113" t="s">
        <v>155</v>
      </c>
      <c r="E141" s="115">
        <f>E139*(1-E140)+E137</f>
        <v>418453.33333333337</v>
      </c>
      <c r="G141" s="113">
        <v>8</v>
      </c>
      <c r="H141" s="116">
        <f t="shared" si="25"/>
        <v>103853.33333333337</v>
      </c>
    </row>
    <row r="142" spans="1:8" s="113" customFormat="1" ht="12" customHeight="1" x14ac:dyDescent="0.2">
      <c r="B142" s="115"/>
      <c r="D142" s="113" t="s">
        <v>153</v>
      </c>
      <c r="E142" s="115">
        <v>950000</v>
      </c>
      <c r="G142" s="113">
        <v>9</v>
      </c>
      <c r="H142" s="116">
        <f>H141+E136</f>
        <v>138853.33333333337</v>
      </c>
    </row>
    <row r="143" spans="1:8" ht="12" customHeight="1" x14ac:dyDescent="0.25">
      <c r="A143" s="113"/>
      <c r="B143" s="115"/>
      <c r="C143" s="113"/>
      <c r="D143" s="113"/>
      <c r="E143" s="115"/>
      <c r="F143" s="113"/>
      <c r="G143" s="113"/>
      <c r="H143" s="116"/>
    </row>
    <row r="144" spans="1:8" ht="12" customHeight="1" x14ac:dyDescent="0.25">
      <c r="A144" s="113" t="s">
        <v>266</v>
      </c>
      <c r="B144" s="117">
        <v>0.12</v>
      </c>
      <c r="C144" s="113"/>
      <c r="D144" s="113"/>
      <c r="E144" s="113"/>
      <c r="F144" s="113"/>
      <c r="G144" s="113"/>
      <c r="H144" s="116"/>
    </row>
    <row r="145" spans="1:10" ht="12" customHeight="1" x14ac:dyDescent="0.25">
      <c r="A145" s="113"/>
      <c r="B145" s="113"/>
      <c r="C145" s="113"/>
      <c r="D145" s="113"/>
      <c r="E145" s="113"/>
      <c r="F145" s="113"/>
      <c r="G145" s="113"/>
      <c r="H145" s="113"/>
    </row>
    <row r="146" spans="1:10" ht="12" customHeight="1" x14ac:dyDescent="0.25">
      <c r="A146" s="113"/>
      <c r="B146" s="113"/>
      <c r="C146" s="113"/>
      <c r="D146" s="113"/>
      <c r="E146" s="113"/>
      <c r="F146" s="113"/>
      <c r="G146" s="113"/>
      <c r="H146" s="116">
        <f>NPV(B144,H134:H144)+H133</f>
        <v>-32022.147412480786</v>
      </c>
    </row>
    <row r="147" spans="1:10" x14ac:dyDescent="0.25">
      <c r="A147" s="113"/>
      <c r="B147" s="113"/>
      <c r="C147" s="113"/>
      <c r="D147" s="113"/>
      <c r="E147" s="113"/>
      <c r="F147" s="113"/>
      <c r="G147" s="113"/>
      <c r="H147" s="113"/>
    </row>
    <row r="148" spans="1:10" x14ac:dyDescent="0.25">
      <c r="A148" s="126" t="s">
        <v>173</v>
      </c>
    </row>
    <row r="149" spans="1:10" s="113" customFormat="1" ht="139.15" customHeight="1" x14ac:dyDescent="0.2">
      <c r="A149" s="171" t="s">
        <v>272</v>
      </c>
      <c r="B149" s="171"/>
      <c r="C149" s="171"/>
      <c r="D149" s="171"/>
      <c r="E149" s="171"/>
      <c r="F149" s="171"/>
      <c r="G149" s="171"/>
      <c r="H149" s="171"/>
    </row>
    <row r="150" spans="1:10" s="113" customFormat="1" ht="30.6" customHeight="1" x14ac:dyDescent="0.2">
      <c r="A150" s="171" t="s">
        <v>268</v>
      </c>
      <c r="B150" s="171"/>
      <c r="C150" s="171"/>
      <c r="D150" s="171"/>
      <c r="E150" s="171"/>
      <c r="F150" s="171"/>
      <c r="G150" s="171"/>
      <c r="H150" s="171"/>
    </row>
    <row r="151" spans="1:10" s="113" customFormat="1" ht="42.6" customHeight="1" x14ac:dyDescent="0.2">
      <c r="A151" s="171" t="s">
        <v>271</v>
      </c>
      <c r="B151" s="171"/>
      <c r="C151" s="171"/>
      <c r="D151" s="171"/>
      <c r="E151" s="171"/>
      <c r="F151" s="171"/>
      <c r="G151" s="171"/>
      <c r="H151" s="171"/>
    </row>
    <row r="152" spans="1:10" s="113" customFormat="1" ht="12.75" x14ac:dyDescent="0.2">
      <c r="A152" s="172" t="s">
        <v>269</v>
      </c>
      <c r="B152" s="172"/>
      <c r="D152" s="172" t="s">
        <v>270</v>
      </c>
      <c r="E152" s="172"/>
      <c r="G152" s="113" t="s">
        <v>243</v>
      </c>
      <c r="H152" s="113" t="s">
        <v>276</v>
      </c>
      <c r="I152" s="113" t="s">
        <v>57</v>
      </c>
    </row>
    <row r="153" spans="1:10" s="113" customFormat="1" ht="12.75" x14ac:dyDescent="0.2">
      <c r="A153" s="118" t="s">
        <v>146</v>
      </c>
      <c r="B153" s="118">
        <v>1200000</v>
      </c>
      <c r="C153" s="118"/>
      <c r="D153" s="118" t="s">
        <v>150</v>
      </c>
      <c r="E153" s="118">
        <v>2200000</v>
      </c>
      <c r="G153" s="113">
        <v>0</v>
      </c>
      <c r="H153" s="121">
        <f>-E153+E157</f>
        <v>-1900000</v>
      </c>
      <c r="I153" s="121">
        <f>H153/(1+$B$163)^G153</f>
        <v>-1900000</v>
      </c>
      <c r="J153" s="113" t="s">
        <v>274</v>
      </c>
    </row>
    <row r="154" spans="1:10" s="113" customFormat="1" ht="12.75" x14ac:dyDescent="0.2">
      <c r="A154" s="118" t="s">
        <v>263</v>
      </c>
      <c r="B154" s="118">
        <v>9</v>
      </c>
      <c r="C154" s="118"/>
      <c r="D154" s="118" t="s">
        <v>263</v>
      </c>
      <c r="E154" s="118">
        <v>7</v>
      </c>
      <c r="G154" s="113">
        <f>G153+1</f>
        <v>1</v>
      </c>
      <c r="H154" s="121">
        <f>E161-B161</f>
        <v>476040</v>
      </c>
      <c r="I154" s="121">
        <f t="shared" ref="I154:I160" si="26">H154/(1+$B$163)^G154</f>
        <v>425035.71428571426</v>
      </c>
    </row>
    <row r="155" spans="1:10" s="113" customFormat="1" ht="12.75" x14ac:dyDescent="0.2">
      <c r="A155" s="118" t="s">
        <v>264</v>
      </c>
      <c r="B155" s="118">
        <v>30000</v>
      </c>
      <c r="C155" s="118"/>
      <c r="D155" s="118" t="s">
        <v>264</v>
      </c>
      <c r="E155" s="118">
        <v>37000</v>
      </c>
      <c r="F155" s="113" t="s">
        <v>275</v>
      </c>
      <c r="G155" s="113">
        <f t="shared" ref="G155:G160" si="27">G154+1</f>
        <v>2</v>
      </c>
      <c r="H155" s="121">
        <f>H154</f>
        <v>476040</v>
      </c>
      <c r="I155" s="121">
        <f t="shared" si="26"/>
        <v>379496.17346938769</v>
      </c>
    </row>
    <row r="156" spans="1:10" s="113" customFormat="1" ht="12.75" x14ac:dyDescent="0.2">
      <c r="A156" s="118" t="s">
        <v>95</v>
      </c>
      <c r="B156" s="118">
        <f>(B153-B155)/B154</f>
        <v>130000</v>
      </c>
      <c r="C156" s="118"/>
      <c r="D156" s="118" t="s">
        <v>95</v>
      </c>
      <c r="E156" s="118">
        <f>(E153-E155)/E154</f>
        <v>309000</v>
      </c>
      <c r="G156" s="113">
        <f t="shared" si="27"/>
        <v>3</v>
      </c>
      <c r="H156" s="121">
        <f t="shared" ref="H156:H159" si="28">H155</f>
        <v>476040</v>
      </c>
      <c r="I156" s="121">
        <f t="shared" si="26"/>
        <v>338835.86916909611</v>
      </c>
    </row>
    <row r="157" spans="1:10" s="113" customFormat="1" ht="12.75" x14ac:dyDescent="0.2">
      <c r="A157" s="118"/>
      <c r="B157" s="118"/>
      <c r="C157" s="118"/>
      <c r="D157" s="118" t="s">
        <v>153</v>
      </c>
      <c r="E157" s="118">
        <v>300000</v>
      </c>
      <c r="F157" s="113" t="s">
        <v>273</v>
      </c>
      <c r="G157" s="113">
        <f t="shared" si="27"/>
        <v>4</v>
      </c>
      <c r="H157" s="121">
        <f t="shared" si="28"/>
        <v>476040</v>
      </c>
      <c r="I157" s="121">
        <f t="shared" si="26"/>
        <v>302532.02604383585</v>
      </c>
    </row>
    <row r="158" spans="1:10" s="113" customFormat="1" ht="12.75" x14ac:dyDescent="0.2">
      <c r="A158" s="118" t="s">
        <v>1</v>
      </c>
      <c r="B158" s="118">
        <v>395000</v>
      </c>
      <c r="C158" s="118"/>
      <c r="D158" s="118" t="s">
        <v>1</v>
      </c>
      <c r="E158" s="118">
        <v>950000</v>
      </c>
      <c r="G158" s="113">
        <f t="shared" si="27"/>
        <v>5</v>
      </c>
      <c r="H158" s="121">
        <f t="shared" si="28"/>
        <v>476040</v>
      </c>
      <c r="I158" s="121">
        <f t="shared" si="26"/>
        <v>270117.88039628195</v>
      </c>
    </row>
    <row r="159" spans="1:10" s="113" customFormat="1" ht="12.75" x14ac:dyDescent="0.2">
      <c r="A159" s="118" t="s">
        <v>91</v>
      </c>
      <c r="B159" s="118">
        <f>B158-B156</f>
        <v>265000</v>
      </c>
      <c r="C159" s="118"/>
      <c r="D159" s="118" t="s">
        <v>91</v>
      </c>
      <c r="E159" s="118">
        <f>E158-E156</f>
        <v>641000</v>
      </c>
      <c r="G159" s="113">
        <f t="shared" si="27"/>
        <v>6</v>
      </c>
      <c r="H159" s="121">
        <f t="shared" si="28"/>
        <v>476040</v>
      </c>
      <c r="I159" s="121">
        <f t="shared" si="26"/>
        <v>241176.67892525173</v>
      </c>
    </row>
    <row r="160" spans="1:10" s="113" customFormat="1" ht="12.75" x14ac:dyDescent="0.2">
      <c r="A160" s="118" t="s">
        <v>98</v>
      </c>
      <c r="B160" s="119">
        <v>0.21</v>
      </c>
      <c r="C160" s="118"/>
      <c r="D160" s="118" t="s">
        <v>98</v>
      </c>
      <c r="E160" s="119">
        <v>0.21</v>
      </c>
      <c r="G160" s="113">
        <f t="shared" si="27"/>
        <v>7</v>
      </c>
      <c r="H160" s="121">
        <f>H159+E155</f>
        <v>513040</v>
      </c>
      <c r="I160" s="121">
        <f t="shared" si="26"/>
        <v>232073.24143643983</v>
      </c>
    </row>
    <row r="161" spans="1:9" s="113" customFormat="1" ht="12.75" x14ac:dyDescent="0.2">
      <c r="A161" s="118" t="s">
        <v>155</v>
      </c>
      <c r="B161" s="116">
        <f>B159*(1-B160)+B156</f>
        <v>339350</v>
      </c>
      <c r="D161" s="118" t="s">
        <v>155</v>
      </c>
      <c r="E161" s="116">
        <f>E159*(1-E160)+E156</f>
        <v>815390</v>
      </c>
      <c r="G161" s="113" t="s">
        <v>178</v>
      </c>
      <c r="H161" s="122">
        <f>NPV(B163,H154:H160)+H153</f>
        <v>289267.58372600749</v>
      </c>
      <c r="I161" s="122">
        <f>SUM(I153:I160)</f>
        <v>289267.58372600749</v>
      </c>
    </row>
    <row r="162" spans="1:9" s="113" customFormat="1" ht="12.75" x14ac:dyDescent="0.2">
      <c r="A162" s="118"/>
      <c r="D162" s="118"/>
      <c r="H162" s="121"/>
    </row>
    <row r="163" spans="1:9" s="113" customFormat="1" ht="12.75" x14ac:dyDescent="0.2">
      <c r="A163" s="118" t="s">
        <v>251</v>
      </c>
      <c r="B163" s="120">
        <v>0.12</v>
      </c>
      <c r="D163" s="118"/>
      <c r="H163" s="121"/>
    </row>
    <row r="164" spans="1:9" s="113" customFormat="1" ht="12.75" x14ac:dyDescent="0.2"/>
    <row r="165" spans="1:9" s="113" customFormat="1" ht="12.75" x14ac:dyDescent="0.2"/>
    <row r="166" spans="1:9" s="113" customFormat="1" x14ac:dyDescent="0.25">
      <c r="A166" s="126" t="s">
        <v>174</v>
      </c>
    </row>
    <row r="167" spans="1:9" s="113" customFormat="1" ht="12.75" x14ac:dyDescent="0.2">
      <c r="A167" s="114" t="s">
        <v>278</v>
      </c>
    </row>
    <row r="168" spans="1:9" ht="15.6" customHeight="1" x14ac:dyDescent="0.25">
      <c r="A168" s="171" t="s">
        <v>280</v>
      </c>
      <c r="B168" s="171"/>
      <c r="C168" s="171"/>
      <c r="D168" s="171"/>
      <c r="E168" s="171"/>
      <c r="F168" s="171"/>
      <c r="G168" s="171"/>
      <c r="H168" s="171"/>
    </row>
    <row r="169" spans="1:9" x14ac:dyDescent="0.25">
      <c r="A169" s="168" t="s">
        <v>279</v>
      </c>
      <c r="B169" s="168"/>
      <c r="C169" s="168"/>
      <c r="D169" s="168"/>
      <c r="E169" s="168"/>
      <c r="F169" s="168"/>
      <c r="G169" s="168"/>
      <c r="H169" s="168"/>
    </row>
    <row r="170" spans="1:9" x14ac:dyDescent="0.25">
      <c r="A170" s="123"/>
      <c r="B170" s="123"/>
      <c r="C170" s="123"/>
      <c r="D170" s="123"/>
      <c r="E170" s="123"/>
      <c r="F170" s="123"/>
      <c r="G170" s="123"/>
      <c r="H170" s="123"/>
    </row>
    <row r="171" spans="1:9" x14ac:dyDescent="0.25">
      <c r="A171" s="126" t="s">
        <v>179</v>
      </c>
    </row>
    <row r="172" spans="1:9" s="113" customFormat="1" ht="12.75" x14ac:dyDescent="0.2">
      <c r="A172" s="114" t="s">
        <v>277</v>
      </c>
    </row>
    <row r="173" spans="1:9" s="113" customFormat="1" ht="12.75" x14ac:dyDescent="0.2">
      <c r="A173" s="114"/>
    </row>
    <row r="174" spans="1:9" s="113" customFormat="1" ht="12.75" x14ac:dyDescent="0.2">
      <c r="A174" s="114"/>
    </row>
    <row r="175" spans="1:9" s="113" customFormat="1" ht="12.75" x14ac:dyDescent="0.2">
      <c r="A175" s="114"/>
    </row>
  </sheetData>
  <mergeCells count="29">
    <mergeCell ref="A47:I47"/>
    <mergeCell ref="A48:I48"/>
    <mergeCell ref="A53:I53"/>
    <mergeCell ref="A76:I76"/>
    <mergeCell ref="A29:J29"/>
    <mergeCell ref="G106:P106"/>
    <mergeCell ref="A128:H128"/>
    <mergeCell ref="A129:H129"/>
    <mergeCell ref="A102:I102"/>
    <mergeCell ref="A77:I77"/>
    <mergeCell ref="A78:I78"/>
    <mergeCell ref="A79:I79"/>
    <mergeCell ref="A80:I80"/>
    <mergeCell ref="A169:H169"/>
    <mergeCell ref="A2:H2"/>
    <mergeCell ref="A15:H15"/>
    <mergeCell ref="B18:C21"/>
    <mergeCell ref="A151:H151"/>
    <mergeCell ref="A152:B152"/>
    <mergeCell ref="D152:E152"/>
    <mergeCell ref="A168:H168"/>
    <mergeCell ref="A130:H130"/>
    <mergeCell ref="A132:B132"/>
    <mergeCell ref="D132:E132"/>
    <mergeCell ref="G132:H132"/>
    <mergeCell ref="A149:H149"/>
    <mergeCell ref="A150:H150"/>
    <mergeCell ref="A103:I103"/>
    <mergeCell ref="B106:F106"/>
  </mergeCells>
  <hyperlinks>
    <hyperlink ref="A169" r:id="rId1" location=":~:text=Thus%2C%20beta%20is%20a%20useful,a%20measure%20of%20idiosyncratic%20risk."/>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31" zoomScale="135" zoomScaleNormal="135" workbookViewId="0">
      <selection activeCell="E45" sqref="E45"/>
    </sheetView>
  </sheetViews>
  <sheetFormatPr defaultColWidth="8.75" defaultRowHeight="15.75" x14ac:dyDescent="0.25"/>
  <cols>
    <col min="1" max="1" width="31.375" style="143" customWidth="1"/>
    <col min="2" max="3" width="16.75" style="143" customWidth="1"/>
    <col min="4" max="4" width="17.75" style="143" customWidth="1"/>
    <col min="5" max="5" width="16.75" style="143" customWidth="1"/>
    <col min="6" max="6" width="14" style="143" customWidth="1"/>
    <col min="7" max="7" width="13.375" style="143" customWidth="1"/>
    <col min="8" max="8" width="6.625" style="143" customWidth="1"/>
    <col min="9" max="11" width="16.75" style="143" customWidth="1"/>
    <col min="12" max="16384" width="8.75" style="143"/>
  </cols>
  <sheetData>
    <row r="1" spans="1:11" s="128" customFormat="1" ht="127.9" customHeight="1" thickBot="1" x14ac:dyDescent="0.3">
      <c r="A1" s="186" t="s">
        <v>287</v>
      </c>
      <c r="B1" s="186"/>
      <c r="C1" s="186"/>
      <c r="D1" s="186"/>
      <c r="E1" s="186"/>
      <c r="F1" s="186"/>
      <c r="G1" s="186"/>
      <c r="H1" s="186"/>
      <c r="I1" s="127"/>
      <c r="J1" s="127"/>
      <c r="K1" s="127"/>
    </row>
    <row r="2" spans="1:11" s="130" customFormat="1" ht="19.5" thickBot="1" x14ac:dyDescent="0.35">
      <c r="A2" s="187" t="s">
        <v>288</v>
      </c>
      <c r="B2" s="188"/>
      <c r="C2" s="189"/>
      <c r="D2" s="187" t="s">
        <v>289</v>
      </c>
      <c r="E2" s="188"/>
      <c r="F2" s="188"/>
      <c r="G2" s="189"/>
    </row>
    <row r="3" spans="1:11" s="130" customFormat="1" ht="18.75" x14ac:dyDescent="0.3">
      <c r="A3" s="156" t="s">
        <v>44</v>
      </c>
      <c r="B3" s="157">
        <v>115</v>
      </c>
      <c r="C3" s="158"/>
      <c r="D3" s="156" t="s">
        <v>44</v>
      </c>
      <c r="E3" s="157">
        <v>45</v>
      </c>
      <c r="F3" s="190"/>
      <c r="G3" s="191"/>
    </row>
    <row r="4" spans="1:11" s="130" customFormat="1" ht="18.75" x14ac:dyDescent="0.3">
      <c r="A4" s="149" t="s">
        <v>290</v>
      </c>
      <c r="B4" s="147">
        <v>0.06</v>
      </c>
      <c r="C4" s="153" t="s">
        <v>331</v>
      </c>
      <c r="D4" s="149" t="s">
        <v>291</v>
      </c>
      <c r="E4" s="146">
        <v>17.3</v>
      </c>
      <c r="F4" s="182"/>
      <c r="G4" s="183"/>
    </row>
    <row r="5" spans="1:11" s="130" customFormat="1" ht="18.75" x14ac:dyDescent="0.3">
      <c r="A5" s="149" t="s">
        <v>2</v>
      </c>
      <c r="B5" s="146">
        <v>360</v>
      </c>
      <c r="C5" s="153" t="s">
        <v>292</v>
      </c>
      <c r="D5" s="149" t="s">
        <v>332</v>
      </c>
      <c r="E5" s="147">
        <v>0.1</v>
      </c>
      <c r="F5" s="182" t="s">
        <v>293</v>
      </c>
      <c r="G5" s="183"/>
    </row>
    <row r="6" spans="1:11" s="130" customFormat="1" ht="18.75" x14ac:dyDescent="0.3">
      <c r="A6" s="149" t="s">
        <v>294</v>
      </c>
      <c r="B6" s="147">
        <v>0.11</v>
      </c>
      <c r="C6" s="153" t="s">
        <v>42</v>
      </c>
      <c r="D6" s="149" t="s">
        <v>333</v>
      </c>
      <c r="E6" s="147">
        <v>0.03</v>
      </c>
      <c r="F6" s="182" t="s">
        <v>295</v>
      </c>
      <c r="G6" s="183"/>
    </row>
    <row r="7" spans="1:11" s="130" customFormat="1" ht="18.75" x14ac:dyDescent="0.3">
      <c r="A7" s="149" t="s">
        <v>296</v>
      </c>
      <c r="B7" s="146">
        <f>B5+B3</f>
        <v>475</v>
      </c>
      <c r="C7" s="153"/>
      <c r="D7" s="149" t="s">
        <v>297</v>
      </c>
      <c r="E7" s="147">
        <v>0.09</v>
      </c>
      <c r="F7" s="182" t="s">
        <v>298</v>
      </c>
      <c r="G7" s="183"/>
    </row>
    <row r="8" spans="1:11" s="130" customFormat="1" ht="18.75" x14ac:dyDescent="0.3">
      <c r="A8" s="149"/>
      <c r="B8" s="148"/>
      <c r="C8" s="153"/>
      <c r="D8" s="149" t="s">
        <v>299</v>
      </c>
      <c r="E8" s="147">
        <v>0.15</v>
      </c>
      <c r="F8" s="182" t="s">
        <v>298</v>
      </c>
      <c r="G8" s="183"/>
    </row>
    <row r="9" spans="1:11" s="130" customFormat="1" ht="18.75" x14ac:dyDescent="0.3">
      <c r="A9" s="149" t="s">
        <v>300</v>
      </c>
      <c r="B9" s="152">
        <f>B4*(1-E11)*(B3/B7)+B6*(B5/B7)</f>
        <v>9.4844210526315781E-2</v>
      </c>
      <c r="C9" s="153"/>
      <c r="D9" s="149" t="s">
        <v>95</v>
      </c>
      <c r="E9" s="147">
        <v>0.08</v>
      </c>
      <c r="F9" s="182" t="s">
        <v>298</v>
      </c>
      <c r="G9" s="183"/>
    </row>
    <row r="10" spans="1:11" s="130" customFormat="1" ht="18.75" x14ac:dyDescent="0.3">
      <c r="A10" s="149"/>
      <c r="B10" s="146"/>
      <c r="C10" s="153"/>
      <c r="D10" s="149" t="s">
        <v>301</v>
      </c>
      <c r="E10" s="146">
        <v>1.95</v>
      </c>
      <c r="F10" s="182"/>
      <c r="G10" s="183"/>
    </row>
    <row r="11" spans="1:11" s="130" customFormat="1" ht="19.5" thickBot="1" x14ac:dyDescent="0.35">
      <c r="A11" s="150"/>
      <c r="B11" s="151"/>
      <c r="C11" s="154"/>
      <c r="D11" s="155" t="s">
        <v>43</v>
      </c>
      <c r="E11" s="151">
        <v>0.21</v>
      </c>
      <c r="F11" s="184"/>
      <c r="G11" s="185"/>
    </row>
    <row r="12" spans="1:11" s="130" customFormat="1" ht="21" x14ac:dyDescent="0.35">
      <c r="A12" s="133" t="s">
        <v>302</v>
      </c>
    </row>
    <row r="13" spans="1:11" s="130" customFormat="1" ht="18.75" x14ac:dyDescent="0.3"/>
    <row r="14" spans="1:11" s="130" customFormat="1" ht="18.75" x14ac:dyDescent="0.3">
      <c r="A14" s="130" t="s">
        <v>303</v>
      </c>
    </row>
    <row r="15" spans="1:11" s="130" customFormat="1" ht="18.75" x14ac:dyDescent="0.3">
      <c r="A15" s="134" t="s">
        <v>243</v>
      </c>
      <c r="B15" s="135">
        <v>1</v>
      </c>
      <c r="C15" s="135">
        <v>2</v>
      </c>
      <c r="D15" s="135">
        <v>3</v>
      </c>
      <c r="E15" s="135">
        <v>4</v>
      </c>
      <c r="F15" s="135">
        <v>5</v>
      </c>
      <c r="G15" s="135">
        <v>6</v>
      </c>
    </row>
    <row r="16" spans="1:11" s="130" customFormat="1" ht="18.75" x14ac:dyDescent="0.3">
      <c r="A16" s="130" t="s">
        <v>91</v>
      </c>
      <c r="B16" s="136">
        <v>17.3</v>
      </c>
      <c r="C16" s="136">
        <f>B16*(1+$E$5)</f>
        <v>19.03</v>
      </c>
      <c r="D16" s="136">
        <f>C16*(1+$E$5)</f>
        <v>20.933000000000003</v>
      </c>
      <c r="E16" s="136">
        <f>D16*(1+$E$5)</f>
        <v>23.026300000000006</v>
      </c>
      <c r="F16" s="136">
        <f>E16*(1+$E$5)</f>
        <v>25.32893000000001</v>
      </c>
      <c r="G16" s="136">
        <f>F16*(1+E6)</f>
        <v>26.08879790000001</v>
      </c>
    </row>
    <row r="17" spans="1:7" s="130" customFormat="1" ht="18.75" x14ac:dyDescent="0.3">
      <c r="A17" s="130" t="s">
        <v>304</v>
      </c>
      <c r="B17" s="137">
        <f>B16*$E$11</f>
        <v>3.633</v>
      </c>
      <c r="C17" s="137">
        <f>C16*$E$11</f>
        <v>3.9963000000000002</v>
      </c>
      <c r="D17" s="137">
        <f t="shared" ref="C17:G17" si="0">D16*$E$11</f>
        <v>4.3959300000000008</v>
      </c>
      <c r="E17" s="137">
        <f t="shared" si="0"/>
        <v>4.8355230000000011</v>
      </c>
      <c r="F17" s="137">
        <f t="shared" si="0"/>
        <v>5.3190753000000024</v>
      </c>
      <c r="G17" s="137">
        <f t="shared" si="0"/>
        <v>5.4786475590000023</v>
      </c>
    </row>
    <row r="18" spans="1:7" s="130" customFormat="1" ht="18.75" x14ac:dyDescent="0.3">
      <c r="A18" s="130" t="s">
        <v>305</v>
      </c>
      <c r="B18" s="137">
        <f>B16-B17</f>
        <v>13.667000000000002</v>
      </c>
      <c r="C18" s="137">
        <f t="shared" ref="C18:G18" si="1">C16-C17</f>
        <v>15.033700000000001</v>
      </c>
      <c r="D18" s="137">
        <f t="shared" si="1"/>
        <v>16.537070000000003</v>
      </c>
      <c r="E18" s="137">
        <f t="shared" si="1"/>
        <v>18.190777000000004</v>
      </c>
      <c r="F18" s="137">
        <f t="shared" si="1"/>
        <v>20.009854700000009</v>
      </c>
      <c r="G18" s="137">
        <f t="shared" si="1"/>
        <v>20.610150341000008</v>
      </c>
    </row>
    <row r="19" spans="1:7" s="130" customFormat="1" ht="18.75" x14ac:dyDescent="0.3">
      <c r="A19" s="130" t="s">
        <v>95</v>
      </c>
      <c r="B19" s="137">
        <f>B16*$E$9</f>
        <v>1.3840000000000001</v>
      </c>
      <c r="C19" s="137">
        <f t="shared" ref="C19:G19" si="2">C16*$E$9</f>
        <v>1.5224000000000002</v>
      </c>
      <c r="D19" s="137">
        <f t="shared" si="2"/>
        <v>1.6746400000000004</v>
      </c>
      <c r="E19" s="137">
        <f t="shared" si="2"/>
        <v>1.8421040000000006</v>
      </c>
      <c r="F19" s="137">
        <f t="shared" si="2"/>
        <v>2.0263144000000008</v>
      </c>
      <c r="G19" s="137">
        <f t="shared" si="2"/>
        <v>2.0871038320000008</v>
      </c>
    </row>
    <row r="20" spans="1:7" s="130" customFormat="1" ht="18.75" x14ac:dyDescent="0.3">
      <c r="A20" s="130" t="s">
        <v>306</v>
      </c>
      <c r="B20" s="137">
        <f>B16*$E$8</f>
        <v>2.5950000000000002</v>
      </c>
      <c r="C20" s="137">
        <f t="shared" ref="C20:G20" si="3">C16*$E$8</f>
        <v>2.8545000000000003</v>
      </c>
      <c r="D20" s="137">
        <f t="shared" si="3"/>
        <v>3.1399500000000002</v>
      </c>
      <c r="E20" s="137">
        <f t="shared" si="3"/>
        <v>3.4539450000000009</v>
      </c>
      <c r="F20" s="137">
        <f t="shared" si="3"/>
        <v>3.7993395000000012</v>
      </c>
      <c r="G20" s="137">
        <f t="shared" si="3"/>
        <v>3.9133196850000012</v>
      </c>
    </row>
    <row r="21" spans="1:7" s="130" customFormat="1" ht="18.75" x14ac:dyDescent="0.3">
      <c r="A21" s="130" t="s">
        <v>297</v>
      </c>
      <c r="B21" s="137">
        <f>B16*$E$7</f>
        <v>1.5569999999999999</v>
      </c>
      <c r="C21" s="137">
        <f t="shared" ref="C21:G21" si="4">C16*$E$7</f>
        <v>1.7127000000000001</v>
      </c>
      <c r="D21" s="137">
        <f t="shared" si="4"/>
        <v>1.8839700000000001</v>
      </c>
      <c r="E21" s="137">
        <f t="shared" si="4"/>
        <v>2.0723670000000003</v>
      </c>
      <c r="F21" s="137">
        <f t="shared" si="4"/>
        <v>2.2796037000000009</v>
      </c>
      <c r="G21" s="137">
        <f>G16*$E$7</f>
        <v>2.3479918110000009</v>
      </c>
    </row>
    <row r="22" spans="1:7" s="130" customFormat="1" ht="21" x14ac:dyDescent="0.45">
      <c r="A22" s="130" t="s">
        <v>276</v>
      </c>
      <c r="B22" s="138">
        <f>B18+B19-B20-B21</f>
        <v>10.899000000000001</v>
      </c>
      <c r="C22" s="138">
        <f t="shared" ref="C22:G22" si="5">C18+C19-C20-C21</f>
        <v>11.988900000000001</v>
      </c>
      <c r="D22" s="138">
        <f t="shared" si="5"/>
        <v>13.187790000000003</v>
      </c>
      <c r="E22" s="138">
        <f t="shared" si="5"/>
        <v>14.506569000000002</v>
      </c>
      <c r="F22" s="138">
        <f t="shared" si="5"/>
        <v>15.957225900000006</v>
      </c>
      <c r="G22" s="138">
        <f>G18+G19-G20-G21</f>
        <v>16.435942677000007</v>
      </c>
    </row>
    <row r="23" spans="1:7" s="130" customFormat="1" ht="18.75" x14ac:dyDescent="0.3">
      <c r="A23" s="130" t="s">
        <v>307</v>
      </c>
      <c r="B23" s="137">
        <f>B22/(1+$B$9)^B15</f>
        <v>9.954840967520493</v>
      </c>
      <c r="C23" s="137">
        <f t="shared" ref="C23:F23" si="6">C22/(1+$B$9)^C15</f>
        <v>10.001719841956765</v>
      </c>
      <c r="D23" s="137">
        <f t="shared" si="6"/>
        <v>10.048819476209854</v>
      </c>
      <c r="E23" s="137">
        <f t="shared" si="6"/>
        <v>10.096140909871625</v>
      </c>
      <c r="F23" s="137">
        <f t="shared" si="6"/>
        <v>10.143685187429549</v>
      </c>
      <c r="G23" s="137">
        <f>G22/(1+$B$9)^RIGHT(G15,1)</f>
        <v>9.5429063263985778</v>
      </c>
    </row>
    <row r="24" spans="1:7" s="130" customFormat="1" ht="18.75" x14ac:dyDescent="0.3">
      <c r="B24" s="134"/>
      <c r="C24" s="134"/>
      <c r="D24" s="134"/>
      <c r="E24" s="134"/>
      <c r="F24" s="134"/>
      <c r="G24" s="134"/>
    </row>
    <row r="25" spans="1:7" s="130" customFormat="1" ht="18.75" x14ac:dyDescent="0.3">
      <c r="A25" s="130" t="s">
        <v>308</v>
      </c>
      <c r="B25" s="139">
        <f>G22/(B9-E6)</f>
        <v>253.46815920181177</v>
      </c>
      <c r="C25" s="134"/>
      <c r="D25" s="134"/>
      <c r="E25" s="134"/>
      <c r="F25" s="134" t="s">
        <v>309</v>
      </c>
      <c r="G25" s="137">
        <f>F22+B25</f>
        <v>269.4253851018118</v>
      </c>
    </row>
    <row r="26" spans="1:7" s="130" customFormat="1" ht="18.75" x14ac:dyDescent="0.3">
      <c r="A26" s="130" t="s">
        <v>310</v>
      </c>
      <c r="B26" s="139">
        <f>B25/(1+B9)^5</f>
        <v>161.12457316158267</v>
      </c>
      <c r="C26" s="134"/>
      <c r="D26" s="134"/>
      <c r="E26" s="134"/>
      <c r="F26" s="134" t="s">
        <v>127</v>
      </c>
      <c r="G26" s="140">
        <f>NPV(B9,B22:E22,G25)</f>
        <v>211.36977954457097</v>
      </c>
    </row>
    <row r="27" spans="1:7" s="130" customFormat="1" ht="18.75" x14ac:dyDescent="0.3">
      <c r="A27" s="130" t="s">
        <v>346</v>
      </c>
      <c r="B27" s="139">
        <f>B26+SUM(B23:F23)</f>
        <v>211.36977954457097</v>
      </c>
      <c r="C27" s="134" t="s">
        <v>311</v>
      </c>
      <c r="D27" s="134"/>
      <c r="E27" s="134"/>
      <c r="F27" s="134"/>
      <c r="G27" s="134"/>
    </row>
    <row r="28" spans="1:7" s="130" customFormat="1" ht="18.75" x14ac:dyDescent="0.3">
      <c r="A28" s="130" t="s">
        <v>312</v>
      </c>
      <c r="B28" s="139">
        <f>B27-E3</f>
        <v>166.36977954457097</v>
      </c>
      <c r="C28" s="141" t="s">
        <v>313</v>
      </c>
      <c r="D28" s="134"/>
      <c r="E28" s="134"/>
      <c r="F28" s="134"/>
      <c r="G28" s="134"/>
    </row>
    <row r="29" spans="1:7" s="130" customFormat="1" ht="18.75" x14ac:dyDescent="0.3">
      <c r="A29" s="130" t="s">
        <v>314</v>
      </c>
      <c r="B29" s="142">
        <f>B28/E10</f>
        <v>85.317835663882548</v>
      </c>
      <c r="C29" s="141" t="s">
        <v>315</v>
      </c>
      <c r="D29" s="134"/>
      <c r="E29" s="134"/>
      <c r="F29" s="134"/>
      <c r="G29" s="134"/>
    </row>
    <row r="30" spans="1:7" s="130" customFormat="1" ht="18.75" x14ac:dyDescent="0.3">
      <c r="E30" s="129" t="s">
        <v>316</v>
      </c>
    </row>
    <row r="31" spans="1:7" s="130" customFormat="1" ht="18.75" x14ac:dyDescent="0.3"/>
    <row r="32" spans="1:7" s="130" customFormat="1" ht="18.75" x14ac:dyDescent="0.3"/>
    <row r="33" spans="1:5" ht="18.75" x14ac:dyDescent="0.3">
      <c r="A33" s="129" t="s">
        <v>288</v>
      </c>
      <c r="B33" s="130"/>
    </row>
    <row r="34" spans="1:5" ht="18.75" x14ac:dyDescent="0.3">
      <c r="A34" s="130" t="s">
        <v>44</v>
      </c>
      <c r="B34" s="130">
        <v>115</v>
      </c>
    </row>
    <row r="35" spans="1:5" ht="18.75" x14ac:dyDescent="0.3">
      <c r="A35" s="130" t="s">
        <v>290</v>
      </c>
      <c r="B35" s="131">
        <v>0.06</v>
      </c>
    </row>
    <row r="36" spans="1:5" ht="18.75" x14ac:dyDescent="0.3">
      <c r="A36" s="130" t="s">
        <v>2</v>
      </c>
      <c r="B36" s="130">
        <v>360</v>
      </c>
    </row>
    <row r="37" spans="1:5" ht="18.75" x14ac:dyDescent="0.3">
      <c r="A37" s="130" t="s">
        <v>294</v>
      </c>
      <c r="B37" s="131">
        <v>0.11</v>
      </c>
    </row>
    <row r="38" spans="1:5" ht="18.75" x14ac:dyDescent="0.3">
      <c r="A38" s="130" t="s">
        <v>296</v>
      </c>
      <c r="B38" s="130">
        <f>B36+B34</f>
        <v>475</v>
      </c>
    </row>
    <row r="39" spans="1:5" ht="18.75" x14ac:dyDescent="0.3">
      <c r="A39" s="130"/>
      <c r="B39" s="132"/>
    </row>
    <row r="40" spans="1:5" ht="18.75" x14ac:dyDescent="0.3">
      <c r="A40" s="130" t="s">
        <v>300</v>
      </c>
      <c r="B40" s="132">
        <f>B35*(1-E11)*(B34/B38)+B37*(B36/B38)</f>
        <v>9.4844210526315781E-2</v>
      </c>
    </row>
    <row r="42" spans="1:5" ht="18.75" x14ac:dyDescent="0.3">
      <c r="A42" s="130" t="s">
        <v>317</v>
      </c>
      <c r="B42" s="130">
        <v>9</v>
      </c>
      <c r="C42" s="130"/>
      <c r="D42" s="130"/>
    </row>
    <row r="43" spans="1:5" ht="18.75" x14ac:dyDescent="0.3">
      <c r="A43" s="130" t="s">
        <v>318</v>
      </c>
      <c r="B43" s="144">
        <f>F16</f>
        <v>25.32893000000001</v>
      </c>
      <c r="C43" s="130"/>
      <c r="D43" s="130"/>
    </row>
    <row r="44" spans="1:5" ht="18.75" x14ac:dyDescent="0.3">
      <c r="A44" s="130" t="s">
        <v>319</v>
      </c>
      <c r="B44" s="144">
        <f>F19</f>
        <v>2.0263144000000008</v>
      </c>
      <c r="C44" s="130"/>
      <c r="D44" s="130"/>
      <c r="E44" s="143" t="s">
        <v>320</v>
      </c>
    </row>
    <row r="45" spans="1:5" ht="18.75" x14ac:dyDescent="0.3">
      <c r="A45" s="130" t="s">
        <v>321</v>
      </c>
      <c r="B45" s="144">
        <f>B43+B44</f>
        <v>27.355244400000011</v>
      </c>
      <c r="C45" s="130"/>
      <c r="D45" s="130"/>
      <c r="E45" s="143" t="s">
        <v>322</v>
      </c>
    </row>
    <row r="46" spans="1:5" ht="18.75" x14ac:dyDescent="0.3">
      <c r="A46" s="130" t="s">
        <v>323</v>
      </c>
      <c r="B46" s="144">
        <f>B45*B42</f>
        <v>246.19719960000009</v>
      </c>
      <c r="C46" s="130" t="s">
        <v>324</v>
      </c>
      <c r="D46" s="130"/>
      <c r="E46" s="143" t="s">
        <v>347</v>
      </c>
    </row>
    <row r="47" spans="1:5" ht="18.75" x14ac:dyDescent="0.3">
      <c r="A47" s="130" t="s">
        <v>325</v>
      </c>
      <c r="B47" s="144">
        <f>B46/(1+B40)^5</f>
        <v>156.50257146319876</v>
      </c>
      <c r="C47" s="130" t="s">
        <v>326</v>
      </c>
      <c r="D47" s="130"/>
    </row>
    <row r="48" spans="1:5" ht="18.75" x14ac:dyDescent="0.3">
      <c r="A48" s="130" t="s">
        <v>327</v>
      </c>
      <c r="B48" s="144">
        <f>B47+SUM(B23:F23)</f>
        <v>206.74777784618703</v>
      </c>
      <c r="C48" s="130" t="s">
        <v>328</v>
      </c>
      <c r="D48" s="130"/>
    </row>
    <row r="49" spans="1:4" ht="18.75" x14ac:dyDescent="0.3">
      <c r="A49" s="130" t="s">
        <v>312</v>
      </c>
      <c r="B49" s="139">
        <f>B48-E3</f>
        <v>161.74777784618703</v>
      </c>
      <c r="C49" s="141" t="s">
        <v>313</v>
      </c>
      <c r="D49" s="130"/>
    </row>
    <row r="50" spans="1:4" ht="18.75" x14ac:dyDescent="0.3">
      <c r="A50" s="130" t="s">
        <v>329</v>
      </c>
      <c r="B50" s="139">
        <v>0</v>
      </c>
      <c r="C50" s="141"/>
      <c r="D50" s="130"/>
    </row>
    <row r="51" spans="1:4" ht="18.75" x14ac:dyDescent="0.3">
      <c r="A51" s="130" t="s">
        <v>330</v>
      </c>
      <c r="B51" s="139">
        <f>SUM(B49:B50)</f>
        <v>161.74777784618703</v>
      </c>
      <c r="C51" s="141"/>
      <c r="D51" s="130"/>
    </row>
    <row r="52" spans="1:4" ht="18.75" x14ac:dyDescent="0.3">
      <c r="A52" s="130" t="s">
        <v>314</v>
      </c>
      <c r="B52" s="142">
        <f>B51/E10</f>
        <v>82.947578382660026</v>
      </c>
      <c r="C52" s="141" t="s">
        <v>315</v>
      </c>
      <c r="D52" s="130"/>
    </row>
    <row r="53" spans="1:4" ht="18.75" x14ac:dyDescent="0.3">
      <c r="A53" s="130"/>
      <c r="B53" s="145"/>
      <c r="C53" s="130"/>
      <c r="D53" s="130"/>
    </row>
    <row r="54" spans="1:4" ht="18.75" x14ac:dyDescent="0.3">
      <c r="C54" s="130"/>
      <c r="D54" s="130"/>
    </row>
  </sheetData>
  <mergeCells count="12">
    <mergeCell ref="F11:G11"/>
    <mergeCell ref="A1:H1"/>
    <mergeCell ref="A2:C2"/>
    <mergeCell ref="D2:G2"/>
    <mergeCell ref="F3:G3"/>
    <mergeCell ref="F4:G4"/>
    <mergeCell ref="F5:G5"/>
    <mergeCell ref="F6:G6"/>
    <mergeCell ref="F7:G7"/>
    <mergeCell ref="F8:G8"/>
    <mergeCell ref="F9:G9"/>
    <mergeCell ref="F10:G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 5 SA</vt:lpstr>
      <vt:lpstr>Supplemental Assessment</vt:lpstr>
      <vt:lpstr>Happy Times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 Ofiesh</dc:creator>
  <cp:lastModifiedBy>Amber Ofiesh</cp:lastModifiedBy>
  <dcterms:created xsi:type="dcterms:W3CDTF">2021-06-16T01:52:27Z</dcterms:created>
  <dcterms:modified xsi:type="dcterms:W3CDTF">2021-06-19T21:21:15Z</dcterms:modified>
</cp:coreProperties>
</file>